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mber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esponses" sheetId="4" state="visible" r:id="rId4"/>
    <sheet xmlns:r="http://schemas.openxmlformats.org/officeDocument/2006/relationships" name="Paper sign-ups" sheetId="5" state="visible" r:id="rId5"/>
    <sheet xmlns:r="http://schemas.openxmlformats.org/officeDocument/2006/relationships" name="Settings" sheetId="6" state="visible" r:id="rId6"/>
  </sheets>
  <definedNames>
    <definedName name="_xlnm.Print_Titles" localSheetId="1">'Members'!$5:$5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4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4"/>
    </font>
    <font>
      <name val="Arial"/>
      <i val="1"/>
      <color rgb="005E5468"/>
      <sz val="10"/>
    </font>
    <font>
      <name val="Arial"/>
      <b val="1"/>
      <color rgb="00231A2E"/>
      <sz val="16"/>
    </font>
    <font>
      <name val="Arial"/>
      <color rgb="005E5468"/>
      <sz val="10"/>
    </font>
    <font>
      <name val="Arial"/>
      <color rgb="005E5468"/>
      <sz val="9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D9D3E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/>
    </xf>
    <xf numFmtId="0" fontId="6" fillId="4" borderId="1" pivotButton="0" quotePrefix="0" xfId="0"/>
    <xf numFmtId="164" fontId="6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13" fillId="4" borderId="1" applyAlignment="1" pivotButton="0" quotePrefix="0" xfId="0">
      <alignment horizontal="center"/>
    </xf>
    <xf numFmtId="0" fontId="5" fillId="0" borderId="1" pivotButton="0" quotePrefix="0" xfId="0"/>
    <xf numFmtId="4" fontId="5" fillId="4" borderId="1" applyAlignment="1" pivotButton="0" quotePrefix="0" xfId="0">
      <alignment horizontal="center"/>
    </xf>
    <xf numFmtId="0" fontId="3" fillId="7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10" fillId="0" borderId="0" pivotButton="0" quotePrefix="0" xfId="0"/>
    <xf numFmtId="0" fontId="0" fillId="7" borderId="0" pivotButton="0" quotePrefix="0" xfId="0"/>
    <xf numFmtId="0" fontId="6" fillId="3" borderId="1" pivotButton="0" quotePrefix="0" xfId="0"/>
    <xf numFmtId="0" fontId="12" fillId="4" borderId="1" pivotButton="0" quotePrefix="0" xfId="0"/>
    <xf numFmtId="164" fontId="12" fillId="4" borderId="1" pivotButton="0" quotePrefix="0" xfId="0"/>
    <xf numFmtId="4" fontId="12" fillId="4" borderId="1" pivotButton="0" quotePrefix="0" xfId="0"/>
    <xf numFmtId="0" fontId="10" fillId="3" borderId="1" pivotButton="0" quotePrefix="0" xfId="0"/>
    <xf numFmtId="164" fontId="10" fillId="3" borderId="1" pivotButton="0" quotePrefix="0" xfId="0"/>
    <xf numFmtId="4" fontId="10" fillId="3" borderId="1" pivotButton="0" quotePrefix="0" xfId="0"/>
    <xf numFmtId="164" fontId="6" fillId="3" borderId="1" pivotButton="0" quotePrefix="0" xfId="0"/>
    <xf numFmtId="4" fontId="6" fillId="3" borderId="1" pivotButton="0" quotePrefix="0" xfId="0"/>
    <xf numFmtId="0" fontId="9" fillId="0" borderId="0" pivotButton="0" quotePrefix="0" xfId="0"/>
    <xf numFmtId="0" fontId="6" fillId="0" borderId="1" applyAlignment="1" pivotButton="0" quotePrefix="0" xfId="0">
      <alignment vertical="center" wrapText="1"/>
    </xf>
    <xf numFmtId="164" fontId="5" fillId="3" borderId="1" applyAlignment="1" pivotButton="0" quotePrefix="0" xfId="0">
      <alignment horizontal="center"/>
    </xf>
    <xf numFmtId="164" fontId="10" fillId="0" borderId="1" applyAlignment="1" pivotButton="0" quotePrefix="0" xfId="0">
      <alignment horizontal="center"/>
    </xf>
    <xf numFmtId="164" fontId="5" fillId="4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0" borderId="1" pivotButton="0" quotePrefix="0" xfId="0"/>
    <xf numFmtId="0" fontId="5" fillId="3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164" fontId="0" fillId="3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G5" authorId="0" shapeId="0">
      <text>
        <t>Next reminder date minus the as of date on Settings. Below 0 means the membership has lapsed.</t>
      </text>
    </comment>
    <comment ref="I5" authorId="0" shapeId="0">
      <text>
        <t>Lapsed: past the next reminder date. Remind soon: within the window on Settings. Current: paid and not due soon. No reminder: a type with a term of 0, such as Life member. Unpaid: the payment did not go through, or a paper row has no Y. Add a join date: a paper row with no date.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export here, starting at this cell, headers included. The CSV carries the payment columns. Rows 2 to 11 are EXAMPLE data: clear A2 to AC11 first.</t>
      </text>
    </comment>
    <comment ref="AB1" authorId="0" shapeId="0">
      <text>
        <t>Type Y when a member paid in cash, by cheque or another way outside the form. The row then counts as paid.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A1" authorId="0" shapeId="0">
      <text>
        <t>Type members who joined on the printed form, one per row. Rows 2 and 3 are EXAMPLE data: clear A2 to G3 first.</t>
      </text>
    </comment>
    <comment ref="B1" authorId="0" shapeId="0">
      <text>
        <t>Add the email if you have it. The sheet uses it to spot when a member joins again online later.</t>
      </text>
    </comment>
    <comment ref="D1" authorId="0" shapeId="0">
      <text>
        <t>The date you received the form and the dues, for example 2027-02-08.</t>
      </text>
    </comment>
    <comment ref="F1" authorId="0" shapeId="0">
      <text>
        <t>Y once the dues are in. Without Y the member shows as Unpaid.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F3" authorId="0" shapeId="0">
      <text>
        <t>Type each option of your Membership type question exactly as it appears on the form.</t>
      </text>
    </comment>
    <comment ref="B4" authorId="0" shapeId="0">
      <text>
        <t>Type a date to see the list as it was or will be on that day. Leave empty to use the example in the next column.</t>
      </text>
    </comment>
    <comment ref="B5" authorId="0" shapeId="0">
      <text>
        <t>Used for any membership type not listed on the right. Leave empty to use the example in the next column.</t>
      </text>
    </comment>
    <comment ref="B6" authorId="0" shapeId="0">
      <text>
        <t>Members due within this many days show as Remind soon. Leave empty to use the example in the next column.</t>
      </text>
    </comment>
    <comment ref="B8" authorId="0" shapeId="0">
      <text>
        <t>Leave empty to use the joined date plus the term. Type any date, for example 2027-01-01, if you remind every member on that day each year. Only its month and day are used.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Membership tracker</t>
        </is>
      </c>
    </row>
    <row r="3">
      <c r="B3" s="2" t="inlineStr">
        <is>
          <t>Who is a member, who has paid and who to remind next, from your CSV export and your paper forms.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Export your responses</t>
        </is>
      </c>
      <c r="D6" s="6" t="inlineStr">
        <is>
          <t>In HornetForms, open the form's Responses page and download the CSV. The CSV carries the payment columns (Payment status, Payment amount, Payment paid at and more).</t>
        </is>
      </c>
    </row>
    <row r="7" ht="51" customHeight="1">
      <c r="B7" s="4" t="n">
        <v>2</v>
      </c>
      <c r="C7" s="5" t="inlineStr">
        <is>
          <t>Put them on the Responses tab</t>
        </is>
      </c>
      <c r="D7" s="6" t="inlineStr">
        <is>
          <t>First clear the example: select A2 to AC11 on Responses and press Delete. Then click A1 and paste your CSV, headers included. Paste a fresh export over the old one whenever you want an update.</t>
        </is>
      </c>
    </row>
    <row r="8" ht="44" customHeight="1">
      <c r="B8" s="4" t="n">
        <v>3</v>
      </c>
      <c r="C8" s="5" t="inlineStr">
        <is>
          <t>Add paper sign-ups</t>
        </is>
      </c>
      <c r="D8" s="6" t="inlineStr">
        <is>
          <t>On Paper sign-ups, clear the two example rows, then type anyone who joined on the printed form, with the date and a Y once they have paid.</t>
        </is>
      </c>
    </row>
    <row r="9" ht="51" customHeight="1">
      <c r="B9" s="4" t="n">
        <v>4</v>
      </c>
      <c r="C9" s="5" t="inlineStr">
        <is>
          <t>Set your terms</t>
        </is>
      </c>
      <c r="D9" s="6" t="inlineStr">
        <is>
          <t>On Settings, type your membership types exactly as they appear on the form, with a term in months (12 for a yearly membership, 0 for no reminder). Or type one reminder day for everyone.</t>
        </is>
      </c>
    </row>
    <row r="10" ht="51" customHeight="1">
      <c r="B10" s="4" t="n">
        <v>5</v>
      </c>
      <c r="C10" s="5" t="inlineStr">
        <is>
          <t>Read the Members tab</t>
        </is>
      </c>
      <c r="D10" s="6" t="inlineStr">
        <is>
          <t>Members lists every member, soonest reminder date first, with days to reminder and a status. Send the form link again yourself to everyone marked Remind soon or Lapsed. Summary counts members by status and type.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34" customHeight="1">
      <c r="C18" s="12" t="inlineStr">
        <is>
          <t>A member who fills in the form again shows once, by their newest paid row. The sheet matches them by email address, or by name when there is no email.</t>
        </is>
      </c>
    </row>
    <row r="19" ht="28" customHeight="1">
      <c r="C19" s="12" t="inlineStr">
        <is>
          <t>The joined date is the day the payment went through, or the day the form was submitted when there was no payment.</t>
        </is>
      </c>
    </row>
    <row r="20" ht="28" customHeight="1">
      <c r="C20" s="12" t="inlineStr">
        <is>
          <t>Rows with no payment columns (a Google Sheets row, or a price of 0) count as paid. Change that on the Settings tab.</t>
        </is>
      </c>
    </row>
    <row r="21" ht="28" customHeight="1">
      <c r="C21" s="12" t="inlineStr">
        <is>
          <t>Type Y under Paid another way on Responses when someone paid in cash or by cheque.</t>
        </is>
      </c>
    </row>
    <row r="22" ht="34" customHeight="1">
      <c r="C22" s="12" t="inlineStr">
        <is>
          <t>The sheet finds columns by their header names, so it still works if your columns are in another order. Renamed a question? Update its name on the Settings tab.</t>
        </is>
      </c>
    </row>
    <row r="23" ht="34" customHeight="1">
      <c r="C23" s="12" t="inlineStr">
        <is>
          <t>Do not sort or delete rows on Responses: your yellow cells line up with the pasted rows. Paste a fresh export over the old one instead.</t>
        </is>
      </c>
    </row>
    <row r="24" ht="28" customHeight="1">
      <c r="C24" s="12" t="inlineStr">
        <is>
          <t>There is room for 500 online rows, 100 paper rows and 300 members on the Members list.</t>
        </is>
      </c>
    </row>
    <row r="25" ht="28" customHeight="1">
      <c r="C25" s="12" t="inlineStr">
        <is>
          <t>Keep this file where only the people who run your membership can open it. It holds names and email addresses.</t>
        </is>
      </c>
    </row>
    <row r="27">
      <c r="B27" s="7" t="inlineStr">
        <is>
          <t>Example data</t>
        </is>
      </c>
    </row>
    <row r="28" ht="32" customHeight="1">
      <c r="C28" s="13" t="inlineStr">
        <is>
          <t>Rows 2 to 11 on Responses and rows 2 and 3 on Paper sign-ups are EXAMPLE data with invented people. Clear them before you add your own.</t>
        </is>
      </c>
    </row>
    <row r="30">
      <c r="C30" s="14" t="inlineStr">
        <is>
          <t>Made by HornetForms, hornetforms.com</t>
        </is>
      </c>
    </row>
  </sheetData>
  <mergeCells count="9">
    <mergeCell ref="C20:D20"/>
    <mergeCell ref="C21:D21"/>
    <mergeCell ref="C24:D24"/>
    <mergeCell ref="C25:D25"/>
    <mergeCell ref="C19:D19"/>
    <mergeCell ref="C28:D28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B2E83"/>
    <outlinePr summaryBelow="1" summaryRight="1"/>
    <pageSetUpPr fitToPage="1"/>
  </sheetPr>
  <dimension ref="A1:K30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26" customWidth="1" min="3" max="3"/>
    <col width="18" customWidth="1" min="4" max="4"/>
    <col width="13" customWidth="1" min="5" max="5"/>
    <col width="18" customWidth="1" min="6" max="6"/>
    <col width="12" customWidth="1" min="7" max="7"/>
    <col width="20" customWidth="1" min="8" max="8"/>
    <col width="16" customWidth="1" min="9" max="9"/>
    <col width="13" customWidth="1" min="10" max="10"/>
    <col width="10" customWidth="1" min="11" max="11"/>
  </cols>
  <sheetData>
    <row r="1">
      <c r="A1" s="15" t="inlineStr">
        <is>
          <t>Members: who to remind, and when?</t>
        </is>
      </c>
    </row>
    <row r="2">
      <c r="A2" s="16">
        <f>"One row per member, soonest reminder date first. As of "&amp;TEXT(Settings!$D$4,"yyyy-mm-dd")&amp;". Remind soon = within "&amp;Settings!$D$6&amp;" days."</f>
        <v/>
      </c>
    </row>
    <row r="3">
      <c r="A3" s="17">
        <f>IF(COUNTIF(Responses!$A$2:$A$501,"EXAMPLE*")&gt;0,"You are looking at EXAMPLE data. Clear A2 to AC11 on Responses and A2 to G3 on Paper sign-ups, then add your own.","")</f>
        <v/>
      </c>
    </row>
    <row r="5" ht="32" customHeight="1">
      <c r="A5" s="3" t="inlineStr">
        <is>
          <t>#</t>
        </is>
      </c>
      <c r="B5" s="3" t="inlineStr">
        <is>
          <t>Member</t>
        </is>
      </c>
      <c r="C5" s="3" t="inlineStr">
        <is>
          <t>Email</t>
        </is>
      </c>
      <c r="D5" s="3" t="inlineStr">
        <is>
          <t>Membership type</t>
        </is>
      </c>
      <c r="E5" s="3" t="inlineStr">
        <is>
          <t>Joined</t>
        </is>
      </c>
      <c r="F5" s="3" t="inlineStr">
        <is>
          <t>Next reminder date (your own)</t>
        </is>
      </c>
      <c r="G5" s="3" t="inlineStr">
        <is>
          <t>Days to reminder</t>
        </is>
      </c>
      <c r="H5" s="3" t="inlineStr">
        <is>
          <t>Payment status</t>
        </is>
      </c>
      <c r="I5" s="3" t="inlineStr">
        <is>
          <t>Status</t>
        </is>
      </c>
      <c r="J5" s="3" t="inlineStr">
        <is>
          <t>From</t>
        </is>
      </c>
      <c r="K5" s="3" t="inlineStr">
        <is>
          <t>Row (worked out)</t>
        </is>
      </c>
    </row>
    <row r="6">
      <c r="A6" s="18">
        <f>IF(K6="","",1)</f>
        <v/>
      </c>
      <c r="B6" s="10">
        <f>IF(K6="","",IF(K6&lt;10000,INDEX('Responses'!$AE$2:$AE$501,K6),INDEX('Paper sign-ups'!$I$2:$I$101,K6-10000)))</f>
        <v/>
      </c>
      <c r="C6" s="19">
        <f>IF(K6="","",IF(K6&lt;10000,INDEX('Responses'!$AF$2:$AF$501,K6),INDEX('Paper sign-ups'!$J$2:$J$101,K6-10000)))</f>
        <v/>
      </c>
      <c r="D6" s="18">
        <f>IF(K6="","",IF(K6&lt;10000,INDEX('Responses'!$AH$2:$AH$501,K6),INDEX('Paper sign-ups'!$L$2:$L$101,K6-10000)))</f>
        <v/>
      </c>
      <c r="E6" s="20">
        <f>IF(K6="","",IF(K6&lt;10000,INDEX('Responses'!$AL$2:$AL$501,K6),INDEX('Paper sign-ups'!$P$2:$P$101,K6-10000)))</f>
        <v/>
      </c>
      <c r="F6" s="20">
        <f>IF(K6="","",IF(K6&lt;10000,INDEX('Responses'!$AN$2:$AN$501,K6),INDEX('Paper sign-ups'!$R$2:$R$101,K6-10000)))</f>
        <v/>
      </c>
      <c r="G6" s="18">
        <f>IF(K6="","",IF(K6&lt;10000,INDEX('Responses'!$AO$2:$AO$501,K6),INDEX('Paper sign-ups'!$S$2:$S$101,K6-10000)))</f>
        <v/>
      </c>
      <c r="H6" s="19">
        <f>IF(K6="","",IF(K6&lt;10000,INDEX('Responses'!$AI$2:$AI$501,K6),INDEX('Paper sign-ups'!$M$2:$M$101,K6-10000)))</f>
        <v/>
      </c>
      <c r="I6" s="21">
        <f>IF(K6="","",IF(K6&lt;10000,INDEX('Responses'!$AR$2:$AR$501,K6),INDEX('Paper sign-ups'!$V$2:$V$101,K6-10000)))</f>
        <v/>
      </c>
      <c r="J6" s="18">
        <f>IF(K6="","",IF(K6&lt;10000,"Online form","Paper"))</f>
        <v/>
      </c>
      <c r="K6" s="22">
        <f>IF(ISNUMBER(MATCH(1,'Responses'!$AV$2:$AV$501,0)),MATCH(1,'Responses'!$AV$2:$AV$501,0),IF(ISNUMBER(MATCH(1,'Paper sign-ups'!$Z$2:$Z$101,0)),10000+MATCH(1,'Paper sign-ups'!$Z$2:$Z$101,0),""))</f>
        <v/>
      </c>
    </row>
    <row r="7">
      <c r="A7" s="18">
        <f>IF(K7="","",2)</f>
        <v/>
      </c>
      <c r="B7" s="10">
        <f>IF(K7="","",IF(K7&lt;10000,INDEX('Responses'!$AE$2:$AE$501,K7),INDEX('Paper sign-ups'!$I$2:$I$101,K7-10000)))</f>
        <v/>
      </c>
      <c r="C7" s="19">
        <f>IF(K7="","",IF(K7&lt;10000,INDEX('Responses'!$AF$2:$AF$501,K7),INDEX('Paper sign-ups'!$J$2:$J$101,K7-10000)))</f>
        <v/>
      </c>
      <c r="D7" s="18">
        <f>IF(K7="","",IF(K7&lt;10000,INDEX('Responses'!$AH$2:$AH$501,K7),INDEX('Paper sign-ups'!$L$2:$L$101,K7-10000)))</f>
        <v/>
      </c>
      <c r="E7" s="20">
        <f>IF(K7="","",IF(K7&lt;10000,INDEX('Responses'!$AL$2:$AL$501,K7),INDEX('Paper sign-ups'!$P$2:$P$101,K7-10000)))</f>
        <v/>
      </c>
      <c r="F7" s="20">
        <f>IF(K7="","",IF(K7&lt;10000,INDEX('Responses'!$AN$2:$AN$501,K7),INDEX('Paper sign-ups'!$R$2:$R$101,K7-10000)))</f>
        <v/>
      </c>
      <c r="G7" s="18">
        <f>IF(K7="","",IF(K7&lt;10000,INDEX('Responses'!$AO$2:$AO$501,K7),INDEX('Paper sign-ups'!$S$2:$S$101,K7-10000)))</f>
        <v/>
      </c>
      <c r="H7" s="19">
        <f>IF(K7="","",IF(K7&lt;10000,INDEX('Responses'!$AI$2:$AI$501,K7),INDEX('Paper sign-ups'!$M$2:$M$101,K7-10000)))</f>
        <v/>
      </c>
      <c r="I7" s="21">
        <f>IF(K7="","",IF(K7&lt;10000,INDEX('Responses'!$AR$2:$AR$501,K7),INDEX('Paper sign-ups'!$V$2:$V$101,K7-10000)))</f>
        <v/>
      </c>
      <c r="J7" s="18">
        <f>IF(K7="","",IF(K7&lt;10000,"Online form","Paper"))</f>
        <v/>
      </c>
      <c r="K7" s="22">
        <f>IF(ISNUMBER(MATCH(2,'Responses'!$AV$2:$AV$501,0)),MATCH(2,'Responses'!$AV$2:$AV$501,0),IF(ISNUMBER(MATCH(2,'Paper sign-ups'!$Z$2:$Z$101,0)),10000+MATCH(2,'Paper sign-ups'!$Z$2:$Z$101,0),""))</f>
        <v/>
      </c>
    </row>
    <row r="8">
      <c r="A8" s="18">
        <f>IF(K8="","",3)</f>
        <v/>
      </c>
      <c r="B8" s="10">
        <f>IF(K8="","",IF(K8&lt;10000,INDEX('Responses'!$AE$2:$AE$501,K8),INDEX('Paper sign-ups'!$I$2:$I$101,K8-10000)))</f>
        <v/>
      </c>
      <c r="C8" s="19">
        <f>IF(K8="","",IF(K8&lt;10000,INDEX('Responses'!$AF$2:$AF$501,K8),INDEX('Paper sign-ups'!$J$2:$J$101,K8-10000)))</f>
        <v/>
      </c>
      <c r="D8" s="18">
        <f>IF(K8="","",IF(K8&lt;10000,INDEX('Responses'!$AH$2:$AH$501,K8),INDEX('Paper sign-ups'!$L$2:$L$101,K8-10000)))</f>
        <v/>
      </c>
      <c r="E8" s="20">
        <f>IF(K8="","",IF(K8&lt;10000,INDEX('Responses'!$AL$2:$AL$501,K8),INDEX('Paper sign-ups'!$P$2:$P$101,K8-10000)))</f>
        <v/>
      </c>
      <c r="F8" s="20">
        <f>IF(K8="","",IF(K8&lt;10000,INDEX('Responses'!$AN$2:$AN$501,K8),INDEX('Paper sign-ups'!$R$2:$R$101,K8-10000)))</f>
        <v/>
      </c>
      <c r="G8" s="18">
        <f>IF(K8="","",IF(K8&lt;10000,INDEX('Responses'!$AO$2:$AO$501,K8),INDEX('Paper sign-ups'!$S$2:$S$101,K8-10000)))</f>
        <v/>
      </c>
      <c r="H8" s="19">
        <f>IF(K8="","",IF(K8&lt;10000,INDEX('Responses'!$AI$2:$AI$501,K8),INDEX('Paper sign-ups'!$M$2:$M$101,K8-10000)))</f>
        <v/>
      </c>
      <c r="I8" s="21">
        <f>IF(K8="","",IF(K8&lt;10000,INDEX('Responses'!$AR$2:$AR$501,K8),INDEX('Paper sign-ups'!$V$2:$V$101,K8-10000)))</f>
        <v/>
      </c>
      <c r="J8" s="18">
        <f>IF(K8="","",IF(K8&lt;10000,"Online form","Paper"))</f>
        <v/>
      </c>
      <c r="K8" s="22">
        <f>IF(ISNUMBER(MATCH(3,'Responses'!$AV$2:$AV$501,0)),MATCH(3,'Responses'!$AV$2:$AV$501,0),IF(ISNUMBER(MATCH(3,'Paper sign-ups'!$Z$2:$Z$101,0)),10000+MATCH(3,'Paper sign-ups'!$Z$2:$Z$101,0),""))</f>
        <v/>
      </c>
    </row>
    <row r="9">
      <c r="A9" s="18">
        <f>IF(K9="","",4)</f>
        <v/>
      </c>
      <c r="B9" s="10">
        <f>IF(K9="","",IF(K9&lt;10000,INDEX('Responses'!$AE$2:$AE$501,K9),INDEX('Paper sign-ups'!$I$2:$I$101,K9-10000)))</f>
        <v/>
      </c>
      <c r="C9" s="19">
        <f>IF(K9="","",IF(K9&lt;10000,INDEX('Responses'!$AF$2:$AF$501,K9),INDEX('Paper sign-ups'!$J$2:$J$101,K9-10000)))</f>
        <v/>
      </c>
      <c r="D9" s="18">
        <f>IF(K9="","",IF(K9&lt;10000,INDEX('Responses'!$AH$2:$AH$501,K9),INDEX('Paper sign-ups'!$L$2:$L$101,K9-10000)))</f>
        <v/>
      </c>
      <c r="E9" s="20">
        <f>IF(K9="","",IF(K9&lt;10000,INDEX('Responses'!$AL$2:$AL$501,K9),INDEX('Paper sign-ups'!$P$2:$P$101,K9-10000)))</f>
        <v/>
      </c>
      <c r="F9" s="20">
        <f>IF(K9="","",IF(K9&lt;10000,INDEX('Responses'!$AN$2:$AN$501,K9),INDEX('Paper sign-ups'!$R$2:$R$101,K9-10000)))</f>
        <v/>
      </c>
      <c r="G9" s="18">
        <f>IF(K9="","",IF(K9&lt;10000,INDEX('Responses'!$AO$2:$AO$501,K9),INDEX('Paper sign-ups'!$S$2:$S$101,K9-10000)))</f>
        <v/>
      </c>
      <c r="H9" s="19">
        <f>IF(K9="","",IF(K9&lt;10000,INDEX('Responses'!$AI$2:$AI$501,K9),INDEX('Paper sign-ups'!$M$2:$M$101,K9-10000)))</f>
        <v/>
      </c>
      <c r="I9" s="21">
        <f>IF(K9="","",IF(K9&lt;10000,INDEX('Responses'!$AR$2:$AR$501,K9),INDEX('Paper sign-ups'!$V$2:$V$101,K9-10000)))</f>
        <v/>
      </c>
      <c r="J9" s="18">
        <f>IF(K9="","",IF(K9&lt;10000,"Online form","Paper"))</f>
        <v/>
      </c>
      <c r="K9" s="22">
        <f>IF(ISNUMBER(MATCH(4,'Responses'!$AV$2:$AV$501,0)),MATCH(4,'Responses'!$AV$2:$AV$501,0),IF(ISNUMBER(MATCH(4,'Paper sign-ups'!$Z$2:$Z$101,0)),10000+MATCH(4,'Paper sign-ups'!$Z$2:$Z$101,0),""))</f>
        <v/>
      </c>
    </row>
    <row r="10">
      <c r="A10" s="18">
        <f>IF(K10="","",5)</f>
        <v/>
      </c>
      <c r="B10" s="10">
        <f>IF(K10="","",IF(K10&lt;10000,INDEX('Responses'!$AE$2:$AE$501,K10),INDEX('Paper sign-ups'!$I$2:$I$101,K10-10000)))</f>
        <v/>
      </c>
      <c r="C10" s="19">
        <f>IF(K10="","",IF(K10&lt;10000,INDEX('Responses'!$AF$2:$AF$501,K10),INDEX('Paper sign-ups'!$J$2:$J$101,K10-10000)))</f>
        <v/>
      </c>
      <c r="D10" s="18">
        <f>IF(K10="","",IF(K10&lt;10000,INDEX('Responses'!$AH$2:$AH$501,K10),INDEX('Paper sign-ups'!$L$2:$L$101,K10-10000)))</f>
        <v/>
      </c>
      <c r="E10" s="20">
        <f>IF(K10="","",IF(K10&lt;10000,INDEX('Responses'!$AL$2:$AL$501,K10),INDEX('Paper sign-ups'!$P$2:$P$101,K10-10000)))</f>
        <v/>
      </c>
      <c r="F10" s="20">
        <f>IF(K10="","",IF(K10&lt;10000,INDEX('Responses'!$AN$2:$AN$501,K10),INDEX('Paper sign-ups'!$R$2:$R$101,K10-10000)))</f>
        <v/>
      </c>
      <c r="G10" s="18">
        <f>IF(K10="","",IF(K10&lt;10000,INDEX('Responses'!$AO$2:$AO$501,K10),INDEX('Paper sign-ups'!$S$2:$S$101,K10-10000)))</f>
        <v/>
      </c>
      <c r="H10" s="19">
        <f>IF(K10="","",IF(K10&lt;10000,INDEX('Responses'!$AI$2:$AI$501,K10),INDEX('Paper sign-ups'!$M$2:$M$101,K10-10000)))</f>
        <v/>
      </c>
      <c r="I10" s="21">
        <f>IF(K10="","",IF(K10&lt;10000,INDEX('Responses'!$AR$2:$AR$501,K10),INDEX('Paper sign-ups'!$V$2:$V$101,K10-10000)))</f>
        <v/>
      </c>
      <c r="J10" s="18">
        <f>IF(K10="","",IF(K10&lt;10000,"Online form","Paper"))</f>
        <v/>
      </c>
      <c r="K10" s="22">
        <f>IF(ISNUMBER(MATCH(5,'Responses'!$AV$2:$AV$501,0)),MATCH(5,'Responses'!$AV$2:$AV$501,0),IF(ISNUMBER(MATCH(5,'Paper sign-ups'!$Z$2:$Z$101,0)),10000+MATCH(5,'Paper sign-ups'!$Z$2:$Z$101,0),""))</f>
        <v/>
      </c>
    </row>
    <row r="11">
      <c r="A11" s="18">
        <f>IF(K11="","",6)</f>
        <v/>
      </c>
      <c r="B11" s="10">
        <f>IF(K11="","",IF(K11&lt;10000,INDEX('Responses'!$AE$2:$AE$501,K11),INDEX('Paper sign-ups'!$I$2:$I$101,K11-10000)))</f>
        <v/>
      </c>
      <c r="C11" s="19">
        <f>IF(K11="","",IF(K11&lt;10000,INDEX('Responses'!$AF$2:$AF$501,K11),INDEX('Paper sign-ups'!$J$2:$J$101,K11-10000)))</f>
        <v/>
      </c>
      <c r="D11" s="18">
        <f>IF(K11="","",IF(K11&lt;10000,INDEX('Responses'!$AH$2:$AH$501,K11),INDEX('Paper sign-ups'!$L$2:$L$101,K11-10000)))</f>
        <v/>
      </c>
      <c r="E11" s="20">
        <f>IF(K11="","",IF(K11&lt;10000,INDEX('Responses'!$AL$2:$AL$501,K11),INDEX('Paper sign-ups'!$P$2:$P$101,K11-10000)))</f>
        <v/>
      </c>
      <c r="F11" s="20">
        <f>IF(K11="","",IF(K11&lt;10000,INDEX('Responses'!$AN$2:$AN$501,K11),INDEX('Paper sign-ups'!$R$2:$R$101,K11-10000)))</f>
        <v/>
      </c>
      <c r="G11" s="18">
        <f>IF(K11="","",IF(K11&lt;10000,INDEX('Responses'!$AO$2:$AO$501,K11),INDEX('Paper sign-ups'!$S$2:$S$101,K11-10000)))</f>
        <v/>
      </c>
      <c r="H11" s="19">
        <f>IF(K11="","",IF(K11&lt;10000,INDEX('Responses'!$AI$2:$AI$501,K11),INDEX('Paper sign-ups'!$M$2:$M$101,K11-10000)))</f>
        <v/>
      </c>
      <c r="I11" s="21">
        <f>IF(K11="","",IF(K11&lt;10000,INDEX('Responses'!$AR$2:$AR$501,K11),INDEX('Paper sign-ups'!$V$2:$V$101,K11-10000)))</f>
        <v/>
      </c>
      <c r="J11" s="18">
        <f>IF(K11="","",IF(K11&lt;10000,"Online form","Paper"))</f>
        <v/>
      </c>
      <c r="K11" s="22">
        <f>IF(ISNUMBER(MATCH(6,'Responses'!$AV$2:$AV$501,0)),MATCH(6,'Responses'!$AV$2:$AV$501,0),IF(ISNUMBER(MATCH(6,'Paper sign-ups'!$Z$2:$Z$101,0)),10000+MATCH(6,'Paper sign-ups'!$Z$2:$Z$101,0),""))</f>
        <v/>
      </c>
    </row>
    <row r="12">
      <c r="A12" s="18">
        <f>IF(K12="","",7)</f>
        <v/>
      </c>
      <c r="B12" s="10">
        <f>IF(K12="","",IF(K12&lt;10000,INDEX('Responses'!$AE$2:$AE$501,K12),INDEX('Paper sign-ups'!$I$2:$I$101,K12-10000)))</f>
        <v/>
      </c>
      <c r="C12" s="19">
        <f>IF(K12="","",IF(K12&lt;10000,INDEX('Responses'!$AF$2:$AF$501,K12),INDEX('Paper sign-ups'!$J$2:$J$101,K12-10000)))</f>
        <v/>
      </c>
      <c r="D12" s="18">
        <f>IF(K12="","",IF(K12&lt;10000,INDEX('Responses'!$AH$2:$AH$501,K12),INDEX('Paper sign-ups'!$L$2:$L$101,K12-10000)))</f>
        <v/>
      </c>
      <c r="E12" s="20">
        <f>IF(K12="","",IF(K12&lt;10000,INDEX('Responses'!$AL$2:$AL$501,K12),INDEX('Paper sign-ups'!$P$2:$P$101,K12-10000)))</f>
        <v/>
      </c>
      <c r="F12" s="20">
        <f>IF(K12="","",IF(K12&lt;10000,INDEX('Responses'!$AN$2:$AN$501,K12),INDEX('Paper sign-ups'!$R$2:$R$101,K12-10000)))</f>
        <v/>
      </c>
      <c r="G12" s="18">
        <f>IF(K12="","",IF(K12&lt;10000,INDEX('Responses'!$AO$2:$AO$501,K12),INDEX('Paper sign-ups'!$S$2:$S$101,K12-10000)))</f>
        <v/>
      </c>
      <c r="H12" s="19">
        <f>IF(K12="","",IF(K12&lt;10000,INDEX('Responses'!$AI$2:$AI$501,K12),INDEX('Paper sign-ups'!$M$2:$M$101,K12-10000)))</f>
        <v/>
      </c>
      <c r="I12" s="21">
        <f>IF(K12="","",IF(K12&lt;10000,INDEX('Responses'!$AR$2:$AR$501,K12),INDEX('Paper sign-ups'!$V$2:$V$101,K12-10000)))</f>
        <v/>
      </c>
      <c r="J12" s="18">
        <f>IF(K12="","",IF(K12&lt;10000,"Online form","Paper"))</f>
        <v/>
      </c>
      <c r="K12" s="22">
        <f>IF(ISNUMBER(MATCH(7,'Responses'!$AV$2:$AV$501,0)),MATCH(7,'Responses'!$AV$2:$AV$501,0),IF(ISNUMBER(MATCH(7,'Paper sign-ups'!$Z$2:$Z$101,0)),10000+MATCH(7,'Paper sign-ups'!$Z$2:$Z$101,0),""))</f>
        <v/>
      </c>
    </row>
    <row r="13">
      <c r="A13" s="18">
        <f>IF(K13="","",8)</f>
        <v/>
      </c>
      <c r="B13" s="10">
        <f>IF(K13="","",IF(K13&lt;10000,INDEX('Responses'!$AE$2:$AE$501,K13),INDEX('Paper sign-ups'!$I$2:$I$101,K13-10000)))</f>
        <v/>
      </c>
      <c r="C13" s="19">
        <f>IF(K13="","",IF(K13&lt;10000,INDEX('Responses'!$AF$2:$AF$501,K13),INDEX('Paper sign-ups'!$J$2:$J$101,K13-10000)))</f>
        <v/>
      </c>
      <c r="D13" s="18">
        <f>IF(K13="","",IF(K13&lt;10000,INDEX('Responses'!$AH$2:$AH$501,K13),INDEX('Paper sign-ups'!$L$2:$L$101,K13-10000)))</f>
        <v/>
      </c>
      <c r="E13" s="20">
        <f>IF(K13="","",IF(K13&lt;10000,INDEX('Responses'!$AL$2:$AL$501,K13),INDEX('Paper sign-ups'!$P$2:$P$101,K13-10000)))</f>
        <v/>
      </c>
      <c r="F13" s="20">
        <f>IF(K13="","",IF(K13&lt;10000,INDEX('Responses'!$AN$2:$AN$501,K13),INDEX('Paper sign-ups'!$R$2:$R$101,K13-10000)))</f>
        <v/>
      </c>
      <c r="G13" s="18">
        <f>IF(K13="","",IF(K13&lt;10000,INDEX('Responses'!$AO$2:$AO$501,K13),INDEX('Paper sign-ups'!$S$2:$S$101,K13-10000)))</f>
        <v/>
      </c>
      <c r="H13" s="19">
        <f>IF(K13="","",IF(K13&lt;10000,INDEX('Responses'!$AI$2:$AI$501,K13),INDEX('Paper sign-ups'!$M$2:$M$101,K13-10000)))</f>
        <v/>
      </c>
      <c r="I13" s="21">
        <f>IF(K13="","",IF(K13&lt;10000,INDEX('Responses'!$AR$2:$AR$501,K13),INDEX('Paper sign-ups'!$V$2:$V$101,K13-10000)))</f>
        <v/>
      </c>
      <c r="J13" s="18">
        <f>IF(K13="","",IF(K13&lt;10000,"Online form","Paper"))</f>
        <v/>
      </c>
      <c r="K13" s="22">
        <f>IF(ISNUMBER(MATCH(8,'Responses'!$AV$2:$AV$501,0)),MATCH(8,'Responses'!$AV$2:$AV$501,0),IF(ISNUMBER(MATCH(8,'Paper sign-ups'!$Z$2:$Z$101,0)),10000+MATCH(8,'Paper sign-ups'!$Z$2:$Z$101,0),""))</f>
        <v/>
      </c>
    </row>
    <row r="14">
      <c r="A14" s="18">
        <f>IF(K14="","",9)</f>
        <v/>
      </c>
      <c r="B14" s="10">
        <f>IF(K14="","",IF(K14&lt;10000,INDEX('Responses'!$AE$2:$AE$501,K14),INDEX('Paper sign-ups'!$I$2:$I$101,K14-10000)))</f>
        <v/>
      </c>
      <c r="C14" s="19">
        <f>IF(K14="","",IF(K14&lt;10000,INDEX('Responses'!$AF$2:$AF$501,K14),INDEX('Paper sign-ups'!$J$2:$J$101,K14-10000)))</f>
        <v/>
      </c>
      <c r="D14" s="18">
        <f>IF(K14="","",IF(K14&lt;10000,INDEX('Responses'!$AH$2:$AH$501,K14),INDEX('Paper sign-ups'!$L$2:$L$101,K14-10000)))</f>
        <v/>
      </c>
      <c r="E14" s="20">
        <f>IF(K14="","",IF(K14&lt;10000,INDEX('Responses'!$AL$2:$AL$501,K14),INDEX('Paper sign-ups'!$P$2:$P$101,K14-10000)))</f>
        <v/>
      </c>
      <c r="F14" s="20">
        <f>IF(K14="","",IF(K14&lt;10000,INDEX('Responses'!$AN$2:$AN$501,K14),INDEX('Paper sign-ups'!$R$2:$R$101,K14-10000)))</f>
        <v/>
      </c>
      <c r="G14" s="18">
        <f>IF(K14="","",IF(K14&lt;10000,INDEX('Responses'!$AO$2:$AO$501,K14),INDEX('Paper sign-ups'!$S$2:$S$101,K14-10000)))</f>
        <v/>
      </c>
      <c r="H14" s="19">
        <f>IF(K14="","",IF(K14&lt;10000,INDEX('Responses'!$AI$2:$AI$501,K14),INDEX('Paper sign-ups'!$M$2:$M$101,K14-10000)))</f>
        <v/>
      </c>
      <c r="I14" s="21">
        <f>IF(K14="","",IF(K14&lt;10000,INDEX('Responses'!$AR$2:$AR$501,K14),INDEX('Paper sign-ups'!$V$2:$V$101,K14-10000)))</f>
        <v/>
      </c>
      <c r="J14" s="18">
        <f>IF(K14="","",IF(K14&lt;10000,"Online form","Paper"))</f>
        <v/>
      </c>
      <c r="K14" s="22">
        <f>IF(ISNUMBER(MATCH(9,'Responses'!$AV$2:$AV$501,0)),MATCH(9,'Responses'!$AV$2:$AV$501,0),IF(ISNUMBER(MATCH(9,'Paper sign-ups'!$Z$2:$Z$101,0)),10000+MATCH(9,'Paper sign-ups'!$Z$2:$Z$101,0),""))</f>
        <v/>
      </c>
    </row>
    <row r="15">
      <c r="A15" s="18">
        <f>IF(K15="","",10)</f>
        <v/>
      </c>
      <c r="B15" s="10">
        <f>IF(K15="","",IF(K15&lt;10000,INDEX('Responses'!$AE$2:$AE$501,K15),INDEX('Paper sign-ups'!$I$2:$I$101,K15-10000)))</f>
        <v/>
      </c>
      <c r="C15" s="19">
        <f>IF(K15="","",IF(K15&lt;10000,INDEX('Responses'!$AF$2:$AF$501,K15),INDEX('Paper sign-ups'!$J$2:$J$101,K15-10000)))</f>
        <v/>
      </c>
      <c r="D15" s="18">
        <f>IF(K15="","",IF(K15&lt;10000,INDEX('Responses'!$AH$2:$AH$501,K15),INDEX('Paper sign-ups'!$L$2:$L$101,K15-10000)))</f>
        <v/>
      </c>
      <c r="E15" s="20">
        <f>IF(K15="","",IF(K15&lt;10000,INDEX('Responses'!$AL$2:$AL$501,K15),INDEX('Paper sign-ups'!$P$2:$P$101,K15-10000)))</f>
        <v/>
      </c>
      <c r="F15" s="20">
        <f>IF(K15="","",IF(K15&lt;10000,INDEX('Responses'!$AN$2:$AN$501,K15),INDEX('Paper sign-ups'!$R$2:$R$101,K15-10000)))</f>
        <v/>
      </c>
      <c r="G15" s="18">
        <f>IF(K15="","",IF(K15&lt;10000,INDEX('Responses'!$AO$2:$AO$501,K15),INDEX('Paper sign-ups'!$S$2:$S$101,K15-10000)))</f>
        <v/>
      </c>
      <c r="H15" s="19">
        <f>IF(K15="","",IF(K15&lt;10000,INDEX('Responses'!$AI$2:$AI$501,K15),INDEX('Paper sign-ups'!$M$2:$M$101,K15-10000)))</f>
        <v/>
      </c>
      <c r="I15" s="21">
        <f>IF(K15="","",IF(K15&lt;10000,INDEX('Responses'!$AR$2:$AR$501,K15),INDEX('Paper sign-ups'!$V$2:$V$101,K15-10000)))</f>
        <v/>
      </c>
      <c r="J15" s="18">
        <f>IF(K15="","",IF(K15&lt;10000,"Online form","Paper"))</f>
        <v/>
      </c>
      <c r="K15" s="22">
        <f>IF(ISNUMBER(MATCH(10,'Responses'!$AV$2:$AV$501,0)),MATCH(10,'Responses'!$AV$2:$AV$501,0),IF(ISNUMBER(MATCH(10,'Paper sign-ups'!$Z$2:$Z$101,0)),10000+MATCH(10,'Paper sign-ups'!$Z$2:$Z$101,0),""))</f>
        <v/>
      </c>
    </row>
    <row r="16">
      <c r="A16" s="18">
        <f>IF(K16="","",11)</f>
        <v/>
      </c>
      <c r="B16" s="10">
        <f>IF(K16="","",IF(K16&lt;10000,INDEX('Responses'!$AE$2:$AE$501,K16),INDEX('Paper sign-ups'!$I$2:$I$101,K16-10000)))</f>
        <v/>
      </c>
      <c r="C16" s="19">
        <f>IF(K16="","",IF(K16&lt;10000,INDEX('Responses'!$AF$2:$AF$501,K16),INDEX('Paper sign-ups'!$J$2:$J$101,K16-10000)))</f>
        <v/>
      </c>
      <c r="D16" s="18">
        <f>IF(K16="","",IF(K16&lt;10000,INDEX('Responses'!$AH$2:$AH$501,K16),INDEX('Paper sign-ups'!$L$2:$L$101,K16-10000)))</f>
        <v/>
      </c>
      <c r="E16" s="20">
        <f>IF(K16="","",IF(K16&lt;10000,INDEX('Responses'!$AL$2:$AL$501,K16),INDEX('Paper sign-ups'!$P$2:$P$101,K16-10000)))</f>
        <v/>
      </c>
      <c r="F16" s="20">
        <f>IF(K16="","",IF(K16&lt;10000,INDEX('Responses'!$AN$2:$AN$501,K16),INDEX('Paper sign-ups'!$R$2:$R$101,K16-10000)))</f>
        <v/>
      </c>
      <c r="G16" s="18">
        <f>IF(K16="","",IF(K16&lt;10000,INDEX('Responses'!$AO$2:$AO$501,K16),INDEX('Paper sign-ups'!$S$2:$S$101,K16-10000)))</f>
        <v/>
      </c>
      <c r="H16" s="19">
        <f>IF(K16="","",IF(K16&lt;10000,INDEX('Responses'!$AI$2:$AI$501,K16),INDEX('Paper sign-ups'!$M$2:$M$101,K16-10000)))</f>
        <v/>
      </c>
      <c r="I16" s="21">
        <f>IF(K16="","",IF(K16&lt;10000,INDEX('Responses'!$AR$2:$AR$501,K16),INDEX('Paper sign-ups'!$V$2:$V$101,K16-10000)))</f>
        <v/>
      </c>
      <c r="J16" s="18">
        <f>IF(K16="","",IF(K16&lt;10000,"Online form","Paper"))</f>
        <v/>
      </c>
      <c r="K16" s="22">
        <f>IF(ISNUMBER(MATCH(11,'Responses'!$AV$2:$AV$501,0)),MATCH(11,'Responses'!$AV$2:$AV$501,0),IF(ISNUMBER(MATCH(11,'Paper sign-ups'!$Z$2:$Z$101,0)),10000+MATCH(11,'Paper sign-ups'!$Z$2:$Z$101,0),""))</f>
        <v/>
      </c>
    </row>
    <row r="17">
      <c r="A17" s="18">
        <f>IF(K17="","",12)</f>
        <v/>
      </c>
      <c r="B17" s="10">
        <f>IF(K17="","",IF(K17&lt;10000,INDEX('Responses'!$AE$2:$AE$501,K17),INDEX('Paper sign-ups'!$I$2:$I$101,K17-10000)))</f>
        <v/>
      </c>
      <c r="C17" s="19">
        <f>IF(K17="","",IF(K17&lt;10000,INDEX('Responses'!$AF$2:$AF$501,K17),INDEX('Paper sign-ups'!$J$2:$J$101,K17-10000)))</f>
        <v/>
      </c>
      <c r="D17" s="18">
        <f>IF(K17="","",IF(K17&lt;10000,INDEX('Responses'!$AH$2:$AH$501,K17),INDEX('Paper sign-ups'!$L$2:$L$101,K17-10000)))</f>
        <v/>
      </c>
      <c r="E17" s="20">
        <f>IF(K17="","",IF(K17&lt;10000,INDEX('Responses'!$AL$2:$AL$501,K17),INDEX('Paper sign-ups'!$P$2:$P$101,K17-10000)))</f>
        <v/>
      </c>
      <c r="F17" s="20">
        <f>IF(K17="","",IF(K17&lt;10000,INDEX('Responses'!$AN$2:$AN$501,K17),INDEX('Paper sign-ups'!$R$2:$R$101,K17-10000)))</f>
        <v/>
      </c>
      <c r="G17" s="18">
        <f>IF(K17="","",IF(K17&lt;10000,INDEX('Responses'!$AO$2:$AO$501,K17),INDEX('Paper sign-ups'!$S$2:$S$101,K17-10000)))</f>
        <v/>
      </c>
      <c r="H17" s="19">
        <f>IF(K17="","",IF(K17&lt;10000,INDEX('Responses'!$AI$2:$AI$501,K17),INDEX('Paper sign-ups'!$M$2:$M$101,K17-10000)))</f>
        <v/>
      </c>
      <c r="I17" s="21">
        <f>IF(K17="","",IF(K17&lt;10000,INDEX('Responses'!$AR$2:$AR$501,K17),INDEX('Paper sign-ups'!$V$2:$V$101,K17-10000)))</f>
        <v/>
      </c>
      <c r="J17" s="18">
        <f>IF(K17="","",IF(K17&lt;10000,"Online form","Paper"))</f>
        <v/>
      </c>
      <c r="K17" s="22">
        <f>IF(ISNUMBER(MATCH(12,'Responses'!$AV$2:$AV$501,0)),MATCH(12,'Responses'!$AV$2:$AV$501,0),IF(ISNUMBER(MATCH(12,'Paper sign-ups'!$Z$2:$Z$101,0)),10000+MATCH(12,'Paper sign-ups'!$Z$2:$Z$101,0),""))</f>
        <v/>
      </c>
    </row>
    <row r="18">
      <c r="A18" s="18">
        <f>IF(K18="","",13)</f>
        <v/>
      </c>
      <c r="B18" s="10">
        <f>IF(K18="","",IF(K18&lt;10000,INDEX('Responses'!$AE$2:$AE$501,K18),INDEX('Paper sign-ups'!$I$2:$I$101,K18-10000)))</f>
        <v/>
      </c>
      <c r="C18" s="19">
        <f>IF(K18="","",IF(K18&lt;10000,INDEX('Responses'!$AF$2:$AF$501,K18),INDEX('Paper sign-ups'!$J$2:$J$101,K18-10000)))</f>
        <v/>
      </c>
      <c r="D18" s="18">
        <f>IF(K18="","",IF(K18&lt;10000,INDEX('Responses'!$AH$2:$AH$501,K18),INDEX('Paper sign-ups'!$L$2:$L$101,K18-10000)))</f>
        <v/>
      </c>
      <c r="E18" s="20">
        <f>IF(K18="","",IF(K18&lt;10000,INDEX('Responses'!$AL$2:$AL$501,K18),INDEX('Paper sign-ups'!$P$2:$P$101,K18-10000)))</f>
        <v/>
      </c>
      <c r="F18" s="20">
        <f>IF(K18="","",IF(K18&lt;10000,INDEX('Responses'!$AN$2:$AN$501,K18),INDEX('Paper sign-ups'!$R$2:$R$101,K18-10000)))</f>
        <v/>
      </c>
      <c r="G18" s="18">
        <f>IF(K18="","",IF(K18&lt;10000,INDEX('Responses'!$AO$2:$AO$501,K18),INDEX('Paper sign-ups'!$S$2:$S$101,K18-10000)))</f>
        <v/>
      </c>
      <c r="H18" s="19">
        <f>IF(K18="","",IF(K18&lt;10000,INDEX('Responses'!$AI$2:$AI$501,K18),INDEX('Paper sign-ups'!$M$2:$M$101,K18-10000)))</f>
        <v/>
      </c>
      <c r="I18" s="21">
        <f>IF(K18="","",IF(K18&lt;10000,INDEX('Responses'!$AR$2:$AR$501,K18),INDEX('Paper sign-ups'!$V$2:$V$101,K18-10000)))</f>
        <v/>
      </c>
      <c r="J18" s="18">
        <f>IF(K18="","",IF(K18&lt;10000,"Online form","Paper"))</f>
        <v/>
      </c>
      <c r="K18" s="22">
        <f>IF(ISNUMBER(MATCH(13,'Responses'!$AV$2:$AV$501,0)),MATCH(13,'Responses'!$AV$2:$AV$501,0),IF(ISNUMBER(MATCH(13,'Paper sign-ups'!$Z$2:$Z$101,0)),10000+MATCH(13,'Paper sign-ups'!$Z$2:$Z$101,0),""))</f>
        <v/>
      </c>
    </row>
    <row r="19">
      <c r="A19" s="18">
        <f>IF(K19="","",14)</f>
        <v/>
      </c>
      <c r="B19" s="10">
        <f>IF(K19="","",IF(K19&lt;10000,INDEX('Responses'!$AE$2:$AE$501,K19),INDEX('Paper sign-ups'!$I$2:$I$101,K19-10000)))</f>
        <v/>
      </c>
      <c r="C19" s="19">
        <f>IF(K19="","",IF(K19&lt;10000,INDEX('Responses'!$AF$2:$AF$501,K19),INDEX('Paper sign-ups'!$J$2:$J$101,K19-10000)))</f>
        <v/>
      </c>
      <c r="D19" s="18">
        <f>IF(K19="","",IF(K19&lt;10000,INDEX('Responses'!$AH$2:$AH$501,K19),INDEX('Paper sign-ups'!$L$2:$L$101,K19-10000)))</f>
        <v/>
      </c>
      <c r="E19" s="20">
        <f>IF(K19="","",IF(K19&lt;10000,INDEX('Responses'!$AL$2:$AL$501,K19),INDEX('Paper sign-ups'!$P$2:$P$101,K19-10000)))</f>
        <v/>
      </c>
      <c r="F19" s="20">
        <f>IF(K19="","",IF(K19&lt;10000,INDEX('Responses'!$AN$2:$AN$501,K19),INDEX('Paper sign-ups'!$R$2:$R$101,K19-10000)))</f>
        <v/>
      </c>
      <c r="G19" s="18">
        <f>IF(K19="","",IF(K19&lt;10000,INDEX('Responses'!$AO$2:$AO$501,K19),INDEX('Paper sign-ups'!$S$2:$S$101,K19-10000)))</f>
        <v/>
      </c>
      <c r="H19" s="19">
        <f>IF(K19="","",IF(K19&lt;10000,INDEX('Responses'!$AI$2:$AI$501,K19),INDEX('Paper sign-ups'!$M$2:$M$101,K19-10000)))</f>
        <v/>
      </c>
      <c r="I19" s="21">
        <f>IF(K19="","",IF(K19&lt;10000,INDEX('Responses'!$AR$2:$AR$501,K19),INDEX('Paper sign-ups'!$V$2:$V$101,K19-10000)))</f>
        <v/>
      </c>
      <c r="J19" s="18">
        <f>IF(K19="","",IF(K19&lt;10000,"Online form","Paper"))</f>
        <v/>
      </c>
      <c r="K19" s="22">
        <f>IF(ISNUMBER(MATCH(14,'Responses'!$AV$2:$AV$501,0)),MATCH(14,'Responses'!$AV$2:$AV$501,0),IF(ISNUMBER(MATCH(14,'Paper sign-ups'!$Z$2:$Z$101,0)),10000+MATCH(14,'Paper sign-ups'!$Z$2:$Z$101,0),""))</f>
        <v/>
      </c>
    </row>
    <row r="20">
      <c r="A20" s="18">
        <f>IF(K20="","",15)</f>
        <v/>
      </c>
      <c r="B20" s="10">
        <f>IF(K20="","",IF(K20&lt;10000,INDEX('Responses'!$AE$2:$AE$501,K20),INDEX('Paper sign-ups'!$I$2:$I$101,K20-10000)))</f>
        <v/>
      </c>
      <c r="C20" s="19">
        <f>IF(K20="","",IF(K20&lt;10000,INDEX('Responses'!$AF$2:$AF$501,K20),INDEX('Paper sign-ups'!$J$2:$J$101,K20-10000)))</f>
        <v/>
      </c>
      <c r="D20" s="18">
        <f>IF(K20="","",IF(K20&lt;10000,INDEX('Responses'!$AH$2:$AH$501,K20),INDEX('Paper sign-ups'!$L$2:$L$101,K20-10000)))</f>
        <v/>
      </c>
      <c r="E20" s="20">
        <f>IF(K20="","",IF(K20&lt;10000,INDEX('Responses'!$AL$2:$AL$501,K20),INDEX('Paper sign-ups'!$P$2:$P$101,K20-10000)))</f>
        <v/>
      </c>
      <c r="F20" s="20">
        <f>IF(K20="","",IF(K20&lt;10000,INDEX('Responses'!$AN$2:$AN$501,K20),INDEX('Paper sign-ups'!$R$2:$R$101,K20-10000)))</f>
        <v/>
      </c>
      <c r="G20" s="18">
        <f>IF(K20="","",IF(K20&lt;10000,INDEX('Responses'!$AO$2:$AO$501,K20),INDEX('Paper sign-ups'!$S$2:$S$101,K20-10000)))</f>
        <v/>
      </c>
      <c r="H20" s="19">
        <f>IF(K20="","",IF(K20&lt;10000,INDEX('Responses'!$AI$2:$AI$501,K20),INDEX('Paper sign-ups'!$M$2:$M$101,K20-10000)))</f>
        <v/>
      </c>
      <c r="I20" s="21">
        <f>IF(K20="","",IF(K20&lt;10000,INDEX('Responses'!$AR$2:$AR$501,K20),INDEX('Paper sign-ups'!$V$2:$V$101,K20-10000)))</f>
        <v/>
      </c>
      <c r="J20" s="18">
        <f>IF(K20="","",IF(K20&lt;10000,"Online form","Paper"))</f>
        <v/>
      </c>
      <c r="K20" s="22">
        <f>IF(ISNUMBER(MATCH(15,'Responses'!$AV$2:$AV$501,0)),MATCH(15,'Responses'!$AV$2:$AV$501,0),IF(ISNUMBER(MATCH(15,'Paper sign-ups'!$Z$2:$Z$101,0)),10000+MATCH(15,'Paper sign-ups'!$Z$2:$Z$101,0),""))</f>
        <v/>
      </c>
    </row>
    <row r="21">
      <c r="A21" s="18">
        <f>IF(K21="","",16)</f>
        <v/>
      </c>
      <c r="B21" s="10">
        <f>IF(K21="","",IF(K21&lt;10000,INDEX('Responses'!$AE$2:$AE$501,K21),INDEX('Paper sign-ups'!$I$2:$I$101,K21-10000)))</f>
        <v/>
      </c>
      <c r="C21" s="19">
        <f>IF(K21="","",IF(K21&lt;10000,INDEX('Responses'!$AF$2:$AF$501,K21),INDEX('Paper sign-ups'!$J$2:$J$101,K21-10000)))</f>
        <v/>
      </c>
      <c r="D21" s="18">
        <f>IF(K21="","",IF(K21&lt;10000,INDEX('Responses'!$AH$2:$AH$501,K21),INDEX('Paper sign-ups'!$L$2:$L$101,K21-10000)))</f>
        <v/>
      </c>
      <c r="E21" s="20">
        <f>IF(K21="","",IF(K21&lt;10000,INDEX('Responses'!$AL$2:$AL$501,K21),INDEX('Paper sign-ups'!$P$2:$P$101,K21-10000)))</f>
        <v/>
      </c>
      <c r="F21" s="20">
        <f>IF(K21="","",IF(K21&lt;10000,INDEX('Responses'!$AN$2:$AN$501,K21),INDEX('Paper sign-ups'!$R$2:$R$101,K21-10000)))</f>
        <v/>
      </c>
      <c r="G21" s="18">
        <f>IF(K21="","",IF(K21&lt;10000,INDEX('Responses'!$AO$2:$AO$501,K21),INDEX('Paper sign-ups'!$S$2:$S$101,K21-10000)))</f>
        <v/>
      </c>
      <c r="H21" s="19">
        <f>IF(K21="","",IF(K21&lt;10000,INDEX('Responses'!$AI$2:$AI$501,K21),INDEX('Paper sign-ups'!$M$2:$M$101,K21-10000)))</f>
        <v/>
      </c>
      <c r="I21" s="21">
        <f>IF(K21="","",IF(K21&lt;10000,INDEX('Responses'!$AR$2:$AR$501,K21),INDEX('Paper sign-ups'!$V$2:$V$101,K21-10000)))</f>
        <v/>
      </c>
      <c r="J21" s="18">
        <f>IF(K21="","",IF(K21&lt;10000,"Online form","Paper"))</f>
        <v/>
      </c>
      <c r="K21" s="22">
        <f>IF(ISNUMBER(MATCH(16,'Responses'!$AV$2:$AV$501,0)),MATCH(16,'Responses'!$AV$2:$AV$501,0),IF(ISNUMBER(MATCH(16,'Paper sign-ups'!$Z$2:$Z$101,0)),10000+MATCH(16,'Paper sign-ups'!$Z$2:$Z$101,0),""))</f>
        <v/>
      </c>
    </row>
    <row r="22">
      <c r="A22" s="18">
        <f>IF(K22="","",17)</f>
        <v/>
      </c>
      <c r="B22" s="10">
        <f>IF(K22="","",IF(K22&lt;10000,INDEX('Responses'!$AE$2:$AE$501,K22),INDEX('Paper sign-ups'!$I$2:$I$101,K22-10000)))</f>
        <v/>
      </c>
      <c r="C22" s="19">
        <f>IF(K22="","",IF(K22&lt;10000,INDEX('Responses'!$AF$2:$AF$501,K22),INDEX('Paper sign-ups'!$J$2:$J$101,K22-10000)))</f>
        <v/>
      </c>
      <c r="D22" s="18">
        <f>IF(K22="","",IF(K22&lt;10000,INDEX('Responses'!$AH$2:$AH$501,K22),INDEX('Paper sign-ups'!$L$2:$L$101,K22-10000)))</f>
        <v/>
      </c>
      <c r="E22" s="20">
        <f>IF(K22="","",IF(K22&lt;10000,INDEX('Responses'!$AL$2:$AL$501,K22),INDEX('Paper sign-ups'!$P$2:$P$101,K22-10000)))</f>
        <v/>
      </c>
      <c r="F22" s="20">
        <f>IF(K22="","",IF(K22&lt;10000,INDEX('Responses'!$AN$2:$AN$501,K22),INDEX('Paper sign-ups'!$R$2:$R$101,K22-10000)))</f>
        <v/>
      </c>
      <c r="G22" s="18">
        <f>IF(K22="","",IF(K22&lt;10000,INDEX('Responses'!$AO$2:$AO$501,K22),INDEX('Paper sign-ups'!$S$2:$S$101,K22-10000)))</f>
        <v/>
      </c>
      <c r="H22" s="19">
        <f>IF(K22="","",IF(K22&lt;10000,INDEX('Responses'!$AI$2:$AI$501,K22),INDEX('Paper sign-ups'!$M$2:$M$101,K22-10000)))</f>
        <v/>
      </c>
      <c r="I22" s="21">
        <f>IF(K22="","",IF(K22&lt;10000,INDEX('Responses'!$AR$2:$AR$501,K22),INDEX('Paper sign-ups'!$V$2:$V$101,K22-10000)))</f>
        <v/>
      </c>
      <c r="J22" s="18">
        <f>IF(K22="","",IF(K22&lt;10000,"Online form","Paper"))</f>
        <v/>
      </c>
      <c r="K22" s="22">
        <f>IF(ISNUMBER(MATCH(17,'Responses'!$AV$2:$AV$501,0)),MATCH(17,'Responses'!$AV$2:$AV$501,0),IF(ISNUMBER(MATCH(17,'Paper sign-ups'!$Z$2:$Z$101,0)),10000+MATCH(17,'Paper sign-ups'!$Z$2:$Z$101,0),""))</f>
        <v/>
      </c>
    </row>
    <row r="23">
      <c r="A23" s="18">
        <f>IF(K23="","",18)</f>
        <v/>
      </c>
      <c r="B23" s="10">
        <f>IF(K23="","",IF(K23&lt;10000,INDEX('Responses'!$AE$2:$AE$501,K23),INDEX('Paper sign-ups'!$I$2:$I$101,K23-10000)))</f>
        <v/>
      </c>
      <c r="C23" s="19">
        <f>IF(K23="","",IF(K23&lt;10000,INDEX('Responses'!$AF$2:$AF$501,K23),INDEX('Paper sign-ups'!$J$2:$J$101,K23-10000)))</f>
        <v/>
      </c>
      <c r="D23" s="18">
        <f>IF(K23="","",IF(K23&lt;10000,INDEX('Responses'!$AH$2:$AH$501,K23),INDEX('Paper sign-ups'!$L$2:$L$101,K23-10000)))</f>
        <v/>
      </c>
      <c r="E23" s="20">
        <f>IF(K23="","",IF(K23&lt;10000,INDEX('Responses'!$AL$2:$AL$501,K23),INDEX('Paper sign-ups'!$P$2:$P$101,K23-10000)))</f>
        <v/>
      </c>
      <c r="F23" s="20">
        <f>IF(K23="","",IF(K23&lt;10000,INDEX('Responses'!$AN$2:$AN$501,K23),INDEX('Paper sign-ups'!$R$2:$R$101,K23-10000)))</f>
        <v/>
      </c>
      <c r="G23" s="18">
        <f>IF(K23="","",IF(K23&lt;10000,INDEX('Responses'!$AO$2:$AO$501,K23),INDEX('Paper sign-ups'!$S$2:$S$101,K23-10000)))</f>
        <v/>
      </c>
      <c r="H23" s="19">
        <f>IF(K23="","",IF(K23&lt;10000,INDEX('Responses'!$AI$2:$AI$501,K23),INDEX('Paper sign-ups'!$M$2:$M$101,K23-10000)))</f>
        <v/>
      </c>
      <c r="I23" s="21">
        <f>IF(K23="","",IF(K23&lt;10000,INDEX('Responses'!$AR$2:$AR$501,K23),INDEX('Paper sign-ups'!$V$2:$V$101,K23-10000)))</f>
        <v/>
      </c>
      <c r="J23" s="18">
        <f>IF(K23="","",IF(K23&lt;10000,"Online form","Paper"))</f>
        <v/>
      </c>
      <c r="K23" s="22">
        <f>IF(ISNUMBER(MATCH(18,'Responses'!$AV$2:$AV$501,0)),MATCH(18,'Responses'!$AV$2:$AV$501,0),IF(ISNUMBER(MATCH(18,'Paper sign-ups'!$Z$2:$Z$101,0)),10000+MATCH(18,'Paper sign-ups'!$Z$2:$Z$101,0),""))</f>
        <v/>
      </c>
    </row>
    <row r="24">
      <c r="A24" s="18">
        <f>IF(K24="","",19)</f>
        <v/>
      </c>
      <c r="B24" s="10">
        <f>IF(K24="","",IF(K24&lt;10000,INDEX('Responses'!$AE$2:$AE$501,K24),INDEX('Paper sign-ups'!$I$2:$I$101,K24-10000)))</f>
        <v/>
      </c>
      <c r="C24" s="19">
        <f>IF(K24="","",IF(K24&lt;10000,INDEX('Responses'!$AF$2:$AF$501,K24),INDEX('Paper sign-ups'!$J$2:$J$101,K24-10000)))</f>
        <v/>
      </c>
      <c r="D24" s="18">
        <f>IF(K24="","",IF(K24&lt;10000,INDEX('Responses'!$AH$2:$AH$501,K24),INDEX('Paper sign-ups'!$L$2:$L$101,K24-10000)))</f>
        <v/>
      </c>
      <c r="E24" s="20">
        <f>IF(K24="","",IF(K24&lt;10000,INDEX('Responses'!$AL$2:$AL$501,K24),INDEX('Paper sign-ups'!$P$2:$P$101,K24-10000)))</f>
        <v/>
      </c>
      <c r="F24" s="20">
        <f>IF(K24="","",IF(K24&lt;10000,INDEX('Responses'!$AN$2:$AN$501,K24),INDEX('Paper sign-ups'!$R$2:$R$101,K24-10000)))</f>
        <v/>
      </c>
      <c r="G24" s="18">
        <f>IF(K24="","",IF(K24&lt;10000,INDEX('Responses'!$AO$2:$AO$501,K24),INDEX('Paper sign-ups'!$S$2:$S$101,K24-10000)))</f>
        <v/>
      </c>
      <c r="H24" s="19">
        <f>IF(K24="","",IF(K24&lt;10000,INDEX('Responses'!$AI$2:$AI$501,K24),INDEX('Paper sign-ups'!$M$2:$M$101,K24-10000)))</f>
        <v/>
      </c>
      <c r="I24" s="21">
        <f>IF(K24="","",IF(K24&lt;10000,INDEX('Responses'!$AR$2:$AR$501,K24),INDEX('Paper sign-ups'!$V$2:$V$101,K24-10000)))</f>
        <v/>
      </c>
      <c r="J24" s="18">
        <f>IF(K24="","",IF(K24&lt;10000,"Online form","Paper"))</f>
        <v/>
      </c>
      <c r="K24" s="22">
        <f>IF(ISNUMBER(MATCH(19,'Responses'!$AV$2:$AV$501,0)),MATCH(19,'Responses'!$AV$2:$AV$501,0),IF(ISNUMBER(MATCH(19,'Paper sign-ups'!$Z$2:$Z$101,0)),10000+MATCH(19,'Paper sign-ups'!$Z$2:$Z$101,0),""))</f>
        <v/>
      </c>
    </row>
    <row r="25">
      <c r="A25" s="18">
        <f>IF(K25="","",20)</f>
        <v/>
      </c>
      <c r="B25" s="10">
        <f>IF(K25="","",IF(K25&lt;10000,INDEX('Responses'!$AE$2:$AE$501,K25),INDEX('Paper sign-ups'!$I$2:$I$101,K25-10000)))</f>
        <v/>
      </c>
      <c r="C25" s="19">
        <f>IF(K25="","",IF(K25&lt;10000,INDEX('Responses'!$AF$2:$AF$501,K25),INDEX('Paper sign-ups'!$J$2:$J$101,K25-10000)))</f>
        <v/>
      </c>
      <c r="D25" s="18">
        <f>IF(K25="","",IF(K25&lt;10000,INDEX('Responses'!$AH$2:$AH$501,K25),INDEX('Paper sign-ups'!$L$2:$L$101,K25-10000)))</f>
        <v/>
      </c>
      <c r="E25" s="20">
        <f>IF(K25="","",IF(K25&lt;10000,INDEX('Responses'!$AL$2:$AL$501,K25),INDEX('Paper sign-ups'!$P$2:$P$101,K25-10000)))</f>
        <v/>
      </c>
      <c r="F25" s="20">
        <f>IF(K25="","",IF(K25&lt;10000,INDEX('Responses'!$AN$2:$AN$501,K25),INDEX('Paper sign-ups'!$R$2:$R$101,K25-10000)))</f>
        <v/>
      </c>
      <c r="G25" s="18">
        <f>IF(K25="","",IF(K25&lt;10000,INDEX('Responses'!$AO$2:$AO$501,K25),INDEX('Paper sign-ups'!$S$2:$S$101,K25-10000)))</f>
        <v/>
      </c>
      <c r="H25" s="19">
        <f>IF(K25="","",IF(K25&lt;10000,INDEX('Responses'!$AI$2:$AI$501,K25),INDEX('Paper sign-ups'!$M$2:$M$101,K25-10000)))</f>
        <v/>
      </c>
      <c r="I25" s="21">
        <f>IF(K25="","",IF(K25&lt;10000,INDEX('Responses'!$AR$2:$AR$501,K25),INDEX('Paper sign-ups'!$V$2:$V$101,K25-10000)))</f>
        <v/>
      </c>
      <c r="J25" s="18">
        <f>IF(K25="","",IF(K25&lt;10000,"Online form","Paper"))</f>
        <v/>
      </c>
      <c r="K25" s="22">
        <f>IF(ISNUMBER(MATCH(20,'Responses'!$AV$2:$AV$501,0)),MATCH(20,'Responses'!$AV$2:$AV$501,0),IF(ISNUMBER(MATCH(20,'Paper sign-ups'!$Z$2:$Z$101,0)),10000+MATCH(20,'Paper sign-ups'!$Z$2:$Z$101,0),""))</f>
        <v/>
      </c>
    </row>
    <row r="26">
      <c r="A26" s="18">
        <f>IF(K26="","",21)</f>
        <v/>
      </c>
      <c r="B26" s="10">
        <f>IF(K26="","",IF(K26&lt;10000,INDEX('Responses'!$AE$2:$AE$501,K26),INDEX('Paper sign-ups'!$I$2:$I$101,K26-10000)))</f>
        <v/>
      </c>
      <c r="C26" s="19">
        <f>IF(K26="","",IF(K26&lt;10000,INDEX('Responses'!$AF$2:$AF$501,K26),INDEX('Paper sign-ups'!$J$2:$J$101,K26-10000)))</f>
        <v/>
      </c>
      <c r="D26" s="18">
        <f>IF(K26="","",IF(K26&lt;10000,INDEX('Responses'!$AH$2:$AH$501,K26),INDEX('Paper sign-ups'!$L$2:$L$101,K26-10000)))</f>
        <v/>
      </c>
      <c r="E26" s="20">
        <f>IF(K26="","",IF(K26&lt;10000,INDEX('Responses'!$AL$2:$AL$501,K26),INDEX('Paper sign-ups'!$P$2:$P$101,K26-10000)))</f>
        <v/>
      </c>
      <c r="F26" s="20">
        <f>IF(K26="","",IF(K26&lt;10000,INDEX('Responses'!$AN$2:$AN$501,K26),INDEX('Paper sign-ups'!$R$2:$R$101,K26-10000)))</f>
        <v/>
      </c>
      <c r="G26" s="18">
        <f>IF(K26="","",IF(K26&lt;10000,INDEX('Responses'!$AO$2:$AO$501,K26),INDEX('Paper sign-ups'!$S$2:$S$101,K26-10000)))</f>
        <v/>
      </c>
      <c r="H26" s="19">
        <f>IF(K26="","",IF(K26&lt;10000,INDEX('Responses'!$AI$2:$AI$501,K26),INDEX('Paper sign-ups'!$M$2:$M$101,K26-10000)))</f>
        <v/>
      </c>
      <c r="I26" s="21">
        <f>IF(K26="","",IF(K26&lt;10000,INDEX('Responses'!$AR$2:$AR$501,K26),INDEX('Paper sign-ups'!$V$2:$V$101,K26-10000)))</f>
        <v/>
      </c>
      <c r="J26" s="18">
        <f>IF(K26="","",IF(K26&lt;10000,"Online form","Paper"))</f>
        <v/>
      </c>
      <c r="K26" s="22">
        <f>IF(ISNUMBER(MATCH(21,'Responses'!$AV$2:$AV$501,0)),MATCH(21,'Responses'!$AV$2:$AV$501,0),IF(ISNUMBER(MATCH(21,'Paper sign-ups'!$Z$2:$Z$101,0)),10000+MATCH(21,'Paper sign-ups'!$Z$2:$Z$101,0),""))</f>
        <v/>
      </c>
    </row>
    <row r="27">
      <c r="A27" s="18">
        <f>IF(K27="","",22)</f>
        <v/>
      </c>
      <c r="B27" s="10">
        <f>IF(K27="","",IF(K27&lt;10000,INDEX('Responses'!$AE$2:$AE$501,K27),INDEX('Paper sign-ups'!$I$2:$I$101,K27-10000)))</f>
        <v/>
      </c>
      <c r="C27" s="19">
        <f>IF(K27="","",IF(K27&lt;10000,INDEX('Responses'!$AF$2:$AF$501,K27),INDEX('Paper sign-ups'!$J$2:$J$101,K27-10000)))</f>
        <v/>
      </c>
      <c r="D27" s="18">
        <f>IF(K27="","",IF(K27&lt;10000,INDEX('Responses'!$AH$2:$AH$501,K27),INDEX('Paper sign-ups'!$L$2:$L$101,K27-10000)))</f>
        <v/>
      </c>
      <c r="E27" s="20">
        <f>IF(K27="","",IF(K27&lt;10000,INDEX('Responses'!$AL$2:$AL$501,K27),INDEX('Paper sign-ups'!$P$2:$P$101,K27-10000)))</f>
        <v/>
      </c>
      <c r="F27" s="20">
        <f>IF(K27="","",IF(K27&lt;10000,INDEX('Responses'!$AN$2:$AN$501,K27),INDEX('Paper sign-ups'!$R$2:$R$101,K27-10000)))</f>
        <v/>
      </c>
      <c r="G27" s="18">
        <f>IF(K27="","",IF(K27&lt;10000,INDEX('Responses'!$AO$2:$AO$501,K27),INDEX('Paper sign-ups'!$S$2:$S$101,K27-10000)))</f>
        <v/>
      </c>
      <c r="H27" s="19">
        <f>IF(K27="","",IF(K27&lt;10000,INDEX('Responses'!$AI$2:$AI$501,K27),INDEX('Paper sign-ups'!$M$2:$M$101,K27-10000)))</f>
        <v/>
      </c>
      <c r="I27" s="21">
        <f>IF(K27="","",IF(K27&lt;10000,INDEX('Responses'!$AR$2:$AR$501,K27),INDEX('Paper sign-ups'!$V$2:$V$101,K27-10000)))</f>
        <v/>
      </c>
      <c r="J27" s="18">
        <f>IF(K27="","",IF(K27&lt;10000,"Online form","Paper"))</f>
        <v/>
      </c>
      <c r="K27" s="22">
        <f>IF(ISNUMBER(MATCH(22,'Responses'!$AV$2:$AV$501,0)),MATCH(22,'Responses'!$AV$2:$AV$501,0),IF(ISNUMBER(MATCH(22,'Paper sign-ups'!$Z$2:$Z$101,0)),10000+MATCH(22,'Paper sign-ups'!$Z$2:$Z$101,0),""))</f>
        <v/>
      </c>
    </row>
    <row r="28">
      <c r="A28" s="18">
        <f>IF(K28="","",23)</f>
        <v/>
      </c>
      <c r="B28" s="10">
        <f>IF(K28="","",IF(K28&lt;10000,INDEX('Responses'!$AE$2:$AE$501,K28),INDEX('Paper sign-ups'!$I$2:$I$101,K28-10000)))</f>
        <v/>
      </c>
      <c r="C28" s="19">
        <f>IF(K28="","",IF(K28&lt;10000,INDEX('Responses'!$AF$2:$AF$501,K28),INDEX('Paper sign-ups'!$J$2:$J$101,K28-10000)))</f>
        <v/>
      </c>
      <c r="D28" s="18">
        <f>IF(K28="","",IF(K28&lt;10000,INDEX('Responses'!$AH$2:$AH$501,K28),INDEX('Paper sign-ups'!$L$2:$L$101,K28-10000)))</f>
        <v/>
      </c>
      <c r="E28" s="20">
        <f>IF(K28="","",IF(K28&lt;10000,INDEX('Responses'!$AL$2:$AL$501,K28),INDEX('Paper sign-ups'!$P$2:$P$101,K28-10000)))</f>
        <v/>
      </c>
      <c r="F28" s="20">
        <f>IF(K28="","",IF(K28&lt;10000,INDEX('Responses'!$AN$2:$AN$501,K28),INDEX('Paper sign-ups'!$R$2:$R$101,K28-10000)))</f>
        <v/>
      </c>
      <c r="G28" s="18">
        <f>IF(K28="","",IF(K28&lt;10000,INDEX('Responses'!$AO$2:$AO$501,K28),INDEX('Paper sign-ups'!$S$2:$S$101,K28-10000)))</f>
        <v/>
      </c>
      <c r="H28" s="19">
        <f>IF(K28="","",IF(K28&lt;10000,INDEX('Responses'!$AI$2:$AI$501,K28),INDEX('Paper sign-ups'!$M$2:$M$101,K28-10000)))</f>
        <v/>
      </c>
      <c r="I28" s="21">
        <f>IF(K28="","",IF(K28&lt;10000,INDEX('Responses'!$AR$2:$AR$501,K28),INDEX('Paper sign-ups'!$V$2:$V$101,K28-10000)))</f>
        <v/>
      </c>
      <c r="J28" s="18">
        <f>IF(K28="","",IF(K28&lt;10000,"Online form","Paper"))</f>
        <v/>
      </c>
      <c r="K28" s="22">
        <f>IF(ISNUMBER(MATCH(23,'Responses'!$AV$2:$AV$501,0)),MATCH(23,'Responses'!$AV$2:$AV$501,0),IF(ISNUMBER(MATCH(23,'Paper sign-ups'!$Z$2:$Z$101,0)),10000+MATCH(23,'Paper sign-ups'!$Z$2:$Z$101,0),""))</f>
        <v/>
      </c>
    </row>
    <row r="29">
      <c r="A29" s="18">
        <f>IF(K29="","",24)</f>
        <v/>
      </c>
      <c r="B29" s="10">
        <f>IF(K29="","",IF(K29&lt;10000,INDEX('Responses'!$AE$2:$AE$501,K29),INDEX('Paper sign-ups'!$I$2:$I$101,K29-10000)))</f>
        <v/>
      </c>
      <c r="C29" s="19">
        <f>IF(K29="","",IF(K29&lt;10000,INDEX('Responses'!$AF$2:$AF$501,K29),INDEX('Paper sign-ups'!$J$2:$J$101,K29-10000)))</f>
        <v/>
      </c>
      <c r="D29" s="18">
        <f>IF(K29="","",IF(K29&lt;10000,INDEX('Responses'!$AH$2:$AH$501,K29),INDEX('Paper sign-ups'!$L$2:$L$101,K29-10000)))</f>
        <v/>
      </c>
      <c r="E29" s="20">
        <f>IF(K29="","",IF(K29&lt;10000,INDEX('Responses'!$AL$2:$AL$501,K29),INDEX('Paper sign-ups'!$P$2:$P$101,K29-10000)))</f>
        <v/>
      </c>
      <c r="F29" s="20">
        <f>IF(K29="","",IF(K29&lt;10000,INDEX('Responses'!$AN$2:$AN$501,K29),INDEX('Paper sign-ups'!$R$2:$R$101,K29-10000)))</f>
        <v/>
      </c>
      <c r="G29" s="18">
        <f>IF(K29="","",IF(K29&lt;10000,INDEX('Responses'!$AO$2:$AO$501,K29),INDEX('Paper sign-ups'!$S$2:$S$101,K29-10000)))</f>
        <v/>
      </c>
      <c r="H29" s="19">
        <f>IF(K29="","",IF(K29&lt;10000,INDEX('Responses'!$AI$2:$AI$501,K29),INDEX('Paper sign-ups'!$M$2:$M$101,K29-10000)))</f>
        <v/>
      </c>
      <c r="I29" s="21">
        <f>IF(K29="","",IF(K29&lt;10000,INDEX('Responses'!$AR$2:$AR$501,K29),INDEX('Paper sign-ups'!$V$2:$V$101,K29-10000)))</f>
        <v/>
      </c>
      <c r="J29" s="18">
        <f>IF(K29="","",IF(K29&lt;10000,"Online form","Paper"))</f>
        <v/>
      </c>
      <c r="K29" s="22">
        <f>IF(ISNUMBER(MATCH(24,'Responses'!$AV$2:$AV$501,0)),MATCH(24,'Responses'!$AV$2:$AV$501,0),IF(ISNUMBER(MATCH(24,'Paper sign-ups'!$Z$2:$Z$101,0)),10000+MATCH(24,'Paper sign-ups'!$Z$2:$Z$101,0),""))</f>
        <v/>
      </c>
    </row>
    <row r="30">
      <c r="A30" s="18">
        <f>IF(K30="","",25)</f>
        <v/>
      </c>
      <c r="B30" s="10">
        <f>IF(K30="","",IF(K30&lt;10000,INDEX('Responses'!$AE$2:$AE$501,K30),INDEX('Paper sign-ups'!$I$2:$I$101,K30-10000)))</f>
        <v/>
      </c>
      <c r="C30" s="19">
        <f>IF(K30="","",IF(K30&lt;10000,INDEX('Responses'!$AF$2:$AF$501,K30),INDEX('Paper sign-ups'!$J$2:$J$101,K30-10000)))</f>
        <v/>
      </c>
      <c r="D30" s="18">
        <f>IF(K30="","",IF(K30&lt;10000,INDEX('Responses'!$AH$2:$AH$501,K30),INDEX('Paper sign-ups'!$L$2:$L$101,K30-10000)))</f>
        <v/>
      </c>
      <c r="E30" s="20">
        <f>IF(K30="","",IF(K30&lt;10000,INDEX('Responses'!$AL$2:$AL$501,K30),INDEX('Paper sign-ups'!$P$2:$P$101,K30-10000)))</f>
        <v/>
      </c>
      <c r="F30" s="20">
        <f>IF(K30="","",IF(K30&lt;10000,INDEX('Responses'!$AN$2:$AN$501,K30),INDEX('Paper sign-ups'!$R$2:$R$101,K30-10000)))</f>
        <v/>
      </c>
      <c r="G30" s="18">
        <f>IF(K30="","",IF(K30&lt;10000,INDEX('Responses'!$AO$2:$AO$501,K30),INDEX('Paper sign-ups'!$S$2:$S$101,K30-10000)))</f>
        <v/>
      </c>
      <c r="H30" s="19">
        <f>IF(K30="","",IF(K30&lt;10000,INDEX('Responses'!$AI$2:$AI$501,K30),INDEX('Paper sign-ups'!$M$2:$M$101,K30-10000)))</f>
        <v/>
      </c>
      <c r="I30" s="21">
        <f>IF(K30="","",IF(K30&lt;10000,INDEX('Responses'!$AR$2:$AR$501,K30),INDEX('Paper sign-ups'!$V$2:$V$101,K30-10000)))</f>
        <v/>
      </c>
      <c r="J30" s="18">
        <f>IF(K30="","",IF(K30&lt;10000,"Online form","Paper"))</f>
        <v/>
      </c>
      <c r="K30" s="22">
        <f>IF(ISNUMBER(MATCH(25,'Responses'!$AV$2:$AV$501,0)),MATCH(25,'Responses'!$AV$2:$AV$501,0),IF(ISNUMBER(MATCH(25,'Paper sign-ups'!$Z$2:$Z$101,0)),10000+MATCH(25,'Paper sign-ups'!$Z$2:$Z$101,0),""))</f>
        <v/>
      </c>
    </row>
    <row r="31">
      <c r="A31" s="18">
        <f>IF(K31="","",26)</f>
        <v/>
      </c>
      <c r="B31" s="10">
        <f>IF(K31="","",IF(K31&lt;10000,INDEX('Responses'!$AE$2:$AE$501,K31),INDEX('Paper sign-ups'!$I$2:$I$101,K31-10000)))</f>
        <v/>
      </c>
      <c r="C31" s="19">
        <f>IF(K31="","",IF(K31&lt;10000,INDEX('Responses'!$AF$2:$AF$501,K31),INDEX('Paper sign-ups'!$J$2:$J$101,K31-10000)))</f>
        <v/>
      </c>
      <c r="D31" s="18">
        <f>IF(K31="","",IF(K31&lt;10000,INDEX('Responses'!$AH$2:$AH$501,K31),INDEX('Paper sign-ups'!$L$2:$L$101,K31-10000)))</f>
        <v/>
      </c>
      <c r="E31" s="20">
        <f>IF(K31="","",IF(K31&lt;10000,INDEX('Responses'!$AL$2:$AL$501,K31),INDEX('Paper sign-ups'!$P$2:$P$101,K31-10000)))</f>
        <v/>
      </c>
      <c r="F31" s="20">
        <f>IF(K31="","",IF(K31&lt;10000,INDEX('Responses'!$AN$2:$AN$501,K31),INDEX('Paper sign-ups'!$R$2:$R$101,K31-10000)))</f>
        <v/>
      </c>
      <c r="G31" s="18">
        <f>IF(K31="","",IF(K31&lt;10000,INDEX('Responses'!$AO$2:$AO$501,K31),INDEX('Paper sign-ups'!$S$2:$S$101,K31-10000)))</f>
        <v/>
      </c>
      <c r="H31" s="19">
        <f>IF(K31="","",IF(K31&lt;10000,INDEX('Responses'!$AI$2:$AI$501,K31),INDEX('Paper sign-ups'!$M$2:$M$101,K31-10000)))</f>
        <v/>
      </c>
      <c r="I31" s="21">
        <f>IF(K31="","",IF(K31&lt;10000,INDEX('Responses'!$AR$2:$AR$501,K31),INDEX('Paper sign-ups'!$V$2:$V$101,K31-10000)))</f>
        <v/>
      </c>
      <c r="J31" s="18">
        <f>IF(K31="","",IF(K31&lt;10000,"Online form","Paper"))</f>
        <v/>
      </c>
      <c r="K31" s="22">
        <f>IF(ISNUMBER(MATCH(26,'Responses'!$AV$2:$AV$501,0)),MATCH(26,'Responses'!$AV$2:$AV$501,0),IF(ISNUMBER(MATCH(26,'Paper sign-ups'!$Z$2:$Z$101,0)),10000+MATCH(26,'Paper sign-ups'!$Z$2:$Z$101,0),""))</f>
        <v/>
      </c>
    </row>
    <row r="32">
      <c r="A32" s="18">
        <f>IF(K32="","",27)</f>
        <v/>
      </c>
      <c r="B32" s="10">
        <f>IF(K32="","",IF(K32&lt;10000,INDEX('Responses'!$AE$2:$AE$501,K32),INDEX('Paper sign-ups'!$I$2:$I$101,K32-10000)))</f>
        <v/>
      </c>
      <c r="C32" s="19">
        <f>IF(K32="","",IF(K32&lt;10000,INDEX('Responses'!$AF$2:$AF$501,K32),INDEX('Paper sign-ups'!$J$2:$J$101,K32-10000)))</f>
        <v/>
      </c>
      <c r="D32" s="18">
        <f>IF(K32="","",IF(K32&lt;10000,INDEX('Responses'!$AH$2:$AH$501,K32),INDEX('Paper sign-ups'!$L$2:$L$101,K32-10000)))</f>
        <v/>
      </c>
      <c r="E32" s="20">
        <f>IF(K32="","",IF(K32&lt;10000,INDEX('Responses'!$AL$2:$AL$501,K32),INDEX('Paper sign-ups'!$P$2:$P$101,K32-10000)))</f>
        <v/>
      </c>
      <c r="F32" s="20">
        <f>IF(K32="","",IF(K32&lt;10000,INDEX('Responses'!$AN$2:$AN$501,K32),INDEX('Paper sign-ups'!$R$2:$R$101,K32-10000)))</f>
        <v/>
      </c>
      <c r="G32" s="18">
        <f>IF(K32="","",IF(K32&lt;10000,INDEX('Responses'!$AO$2:$AO$501,K32),INDEX('Paper sign-ups'!$S$2:$S$101,K32-10000)))</f>
        <v/>
      </c>
      <c r="H32" s="19">
        <f>IF(K32="","",IF(K32&lt;10000,INDEX('Responses'!$AI$2:$AI$501,K32),INDEX('Paper sign-ups'!$M$2:$M$101,K32-10000)))</f>
        <v/>
      </c>
      <c r="I32" s="21">
        <f>IF(K32="","",IF(K32&lt;10000,INDEX('Responses'!$AR$2:$AR$501,K32),INDEX('Paper sign-ups'!$V$2:$V$101,K32-10000)))</f>
        <v/>
      </c>
      <c r="J32" s="18">
        <f>IF(K32="","",IF(K32&lt;10000,"Online form","Paper"))</f>
        <v/>
      </c>
      <c r="K32" s="22">
        <f>IF(ISNUMBER(MATCH(27,'Responses'!$AV$2:$AV$501,0)),MATCH(27,'Responses'!$AV$2:$AV$501,0),IF(ISNUMBER(MATCH(27,'Paper sign-ups'!$Z$2:$Z$101,0)),10000+MATCH(27,'Paper sign-ups'!$Z$2:$Z$101,0),""))</f>
        <v/>
      </c>
    </row>
    <row r="33">
      <c r="A33" s="18">
        <f>IF(K33="","",28)</f>
        <v/>
      </c>
      <c r="B33" s="10">
        <f>IF(K33="","",IF(K33&lt;10000,INDEX('Responses'!$AE$2:$AE$501,K33),INDEX('Paper sign-ups'!$I$2:$I$101,K33-10000)))</f>
        <v/>
      </c>
      <c r="C33" s="19">
        <f>IF(K33="","",IF(K33&lt;10000,INDEX('Responses'!$AF$2:$AF$501,K33),INDEX('Paper sign-ups'!$J$2:$J$101,K33-10000)))</f>
        <v/>
      </c>
      <c r="D33" s="18">
        <f>IF(K33="","",IF(K33&lt;10000,INDEX('Responses'!$AH$2:$AH$501,K33),INDEX('Paper sign-ups'!$L$2:$L$101,K33-10000)))</f>
        <v/>
      </c>
      <c r="E33" s="20">
        <f>IF(K33="","",IF(K33&lt;10000,INDEX('Responses'!$AL$2:$AL$501,K33),INDEX('Paper sign-ups'!$P$2:$P$101,K33-10000)))</f>
        <v/>
      </c>
      <c r="F33" s="20">
        <f>IF(K33="","",IF(K33&lt;10000,INDEX('Responses'!$AN$2:$AN$501,K33),INDEX('Paper sign-ups'!$R$2:$R$101,K33-10000)))</f>
        <v/>
      </c>
      <c r="G33" s="18">
        <f>IF(K33="","",IF(K33&lt;10000,INDEX('Responses'!$AO$2:$AO$501,K33),INDEX('Paper sign-ups'!$S$2:$S$101,K33-10000)))</f>
        <v/>
      </c>
      <c r="H33" s="19">
        <f>IF(K33="","",IF(K33&lt;10000,INDEX('Responses'!$AI$2:$AI$501,K33),INDEX('Paper sign-ups'!$M$2:$M$101,K33-10000)))</f>
        <v/>
      </c>
      <c r="I33" s="21">
        <f>IF(K33="","",IF(K33&lt;10000,INDEX('Responses'!$AR$2:$AR$501,K33),INDEX('Paper sign-ups'!$V$2:$V$101,K33-10000)))</f>
        <v/>
      </c>
      <c r="J33" s="18">
        <f>IF(K33="","",IF(K33&lt;10000,"Online form","Paper"))</f>
        <v/>
      </c>
      <c r="K33" s="22">
        <f>IF(ISNUMBER(MATCH(28,'Responses'!$AV$2:$AV$501,0)),MATCH(28,'Responses'!$AV$2:$AV$501,0),IF(ISNUMBER(MATCH(28,'Paper sign-ups'!$Z$2:$Z$101,0)),10000+MATCH(28,'Paper sign-ups'!$Z$2:$Z$101,0),""))</f>
        <v/>
      </c>
    </row>
    <row r="34">
      <c r="A34" s="18">
        <f>IF(K34="","",29)</f>
        <v/>
      </c>
      <c r="B34" s="10">
        <f>IF(K34="","",IF(K34&lt;10000,INDEX('Responses'!$AE$2:$AE$501,K34),INDEX('Paper sign-ups'!$I$2:$I$101,K34-10000)))</f>
        <v/>
      </c>
      <c r="C34" s="19">
        <f>IF(K34="","",IF(K34&lt;10000,INDEX('Responses'!$AF$2:$AF$501,K34),INDEX('Paper sign-ups'!$J$2:$J$101,K34-10000)))</f>
        <v/>
      </c>
      <c r="D34" s="18">
        <f>IF(K34="","",IF(K34&lt;10000,INDEX('Responses'!$AH$2:$AH$501,K34),INDEX('Paper sign-ups'!$L$2:$L$101,K34-10000)))</f>
        <v/>
      </c>
      <c r="E34" s="20">
        <f>IF(K34="","",IF(K34&lt;10000,INDEX('Responses'!$AL$2:$AL$501,K34),INDEX('Paper sign-ups'!$P$2:$P$101,K34-10000)))</f>
        <v/>
      </c>
      <c r="F34" s="20">
        <f>IF(K34="","",IF(K34&lt;10000,INDEX('Responses'!$AN$2:$AN$501,K34),INDEX('Paper sign-ups'!$R$2:$R$101,K34-10000)))</f>
        <v/>
      </c>
      <c r="G34" s="18">
        <f>IF(K34="","",IF(K34&lt;10000,INDEX('Responses'!$AO$2:$AO$501,K34),INDEX('Paper sign-ups'!$S$2:$S$101,K34-10000)))</f>
        <v/>
      </c>
      <c r="H34" s="19">
        <f>IF(K34="","",IF(K34&lt;10000,INDEX('Responses'!$AI$2:$AI$501,K34),INDEX('Paper sign-ups'!$M$2:$M$101,K34-10000)))</f>
        <v/>
      </c>
      <c r="I34" s="21">
        <f>IF(K34="","",IF(K34&lt;10000,INDEX('Responses'!$AR$2:$AR$501,K34),INDEX('Paper sign-ups'!$V$2:$V$101,K34-10000)))</f>
        <v/>
      </c>
      <c r="J34" s="18">
        <f>IF(K34="","",IF(K34&lt;10000,"Online form","Paper"))</f>
        <v/>
      </c>
      <c r="K34" s="22">
        <f>IF(ISNUMBER(MATCH(29,'Responses'!$AV$2:$AV$501,0)),MATCH(29,'Responses'!$AV$2:$AV$501,0),IF(ISNUMBER(MATCH(29,'Paper sign-ups'!$Z$2:$Z$101,0)),10000+MATCH(29,'Paper sign-ups'!$Z$2:$Z$101,0),""))</f>
        <v/>
      </c>
    </row>
    <row r="35">
      <c r="A35" s="18">
        <f>IF(K35="","",30)</f>
        <v/>
      </c>
      <c r="B35" s="10">
        <f>IF(K35="","",IF(K35&lt;10000,INDEX('Responses'!$AE$2:$AE$501,K35),INDEX('Paper sign-ups'!$I$2:$I$101,K35-10000)))</f>
        <v/>
      </c>
      <c r="C35" s="19">
        <f>IF(K35="","",IF(K35&lt;10000,INDEX('Responses'!$AF$2:$AF$501,K35),INDEX('Paper sign-ups'!$J$2:$J$101,K35-10000)))</f>
        <v/>
      </c>
      <c r="D35" s="18">
        <f>IF(K35="","",IF(K35&lt;10000,INDEX('Responses'!$AH$2:$AH$501,K35),INDEX('Paper sign-ups'!$L$2:$L$101,K35-10000)))</f>
        <v/>
      </c>
      <c r="E35" s="20">
        <f>IF(K35="","",IF(K35&lt;10000,INDEX('Responses'!$AL$2:$AL$501,K35),INDEX('Paper sign-ups'!$P$2:$P$101,K35-10000)))</f>
        <v/>
      </c>
      <c r="F35" s="20">
        <f>IF(K35="","",IF(K35&lt;10000,INDEX('Responses'!$AN$2:$AN$501,K35),INDEX('Paper sign-ups'!$R$2:$R$101,K35-10000)))</f>
        <v/>
      </c>
      <c r="G35" s="18">
        <f>IF(K35="","",IF(K35&lt;10000,INDEX('Responses'!$AO$2:$AO$501,K35),INDEX('Paper sign-ups'!$S$2:$S$101,K35-10000)))</f>
        <v/>
      </c>
      <c r="H35" s="19">
        <f>IF(K35="","",IF(K35&lt;10000,INDEX('Responses'!$AI$2:$AI$501,K35),INDEX('Paper sign-ups'!$M$2:$M$101,K35-10000)))</f>
        <v/>
      </c>
      <c r="I35" s="21">
        <f>IF(K35="","",IF(K35&lt;10000,INDEX('Responses'!$AR$2:$AR$501,K35),INDEX('Paper sign-ups'!$V$2:$V$101,K35-10000)))</f>
        <v/>
      </c>
      <c r="J35" s="18">
        <f>IF(K35="","",IF(K35&lt;10000,"Online form","Paper"))</f>
        <v/>
      </c>
      <c r="K35" s="22">
        <f>IF(ISNUMBER(MATCH(30,'Responses'!$AV$2:$AV$501,0)),MATCH(30,'Responses'!$AV$2:$AV$501,0),IF(ISNUMBER(MATCH(30,'Paper sign-ups'!$Z$2:$Z$101,0)),10000+MATCH(30,'Paper sign-ups'!$Z$2:$Z$101,0),""))</f>
        <v/>
      </c>
    </row>
    <row r="36">
      <c r="A36" s="18">
        <f>IF(K36="","",31)</f>
        <v/>
      </c>
      <c r="B36" s="10">
        <f>IF(K36="","",IF(K36&lt;10000,INDEX('Responses'!$AE$2:$AE$501,K36),INDEX('Paper sign-ups'!$I$2:$I$101,K36-10000)))</f>
        <v/>
      </c>
      <c r="C36" s="19">
        <f>IF(K36="","",IF(K36&lt;10000,INDEX('Responses'!$AF$2:$AF$501,K36),INDEX('Paper sign-ups'!$J$2:$J$101,K36-10000)))</f>
        <v/>
      </c>
      <c r="D36" s="18">
        <f>IF(K36="","",IF(K36&lt;10000,INDEX('Responses'!$AH$2:$AH$501,K36),INDEX('Paper sign-ups'!$L$2:$L$101,K36-10000)))</f>
        <v/>
      </c>
      <c r="E36" s="20">
        <f>IF(K36="","",IF(K36&lt;10000,INDEX('Responses'!$AL$2:$AL$501,K36),INDEX('Paper sign-ups'!$P$2:$P$101,K36-10000)))</f>
        <v/>
      </c>
      <c r="F36" s="20">
        <f>IF(K36="","",IF(K36&lt;10000,INDEX('Responses'!$AN$2:$AN$501,K36),INDEX('Paper sign-ups'!$R$2:$R$101,K36-10000)))</f>
        <v/>
      </c>
      <c r="G36" s="18">
        <f>IF(K36="","",IF(K36&lt;10000,INDEX('Responses'!$AO$2:$AO$501,K36),INDEX('Paper sign-ups'!$S$2:$S$101,K36-10000)))</f>
        <v/>
      </c>
      <c r="H36" s="19">
        <f>IF(K36="","",IF(K36&lt;10000,INDEX('Responses'!$AI$2:$AI$501,K36),INDEX('Paper sign-ups'!$M$2:$M$101,K36-10000)))</f>
        <v/>
      </c>
      <c r="I36" s="21">
        <f>IF(K36="","",IF(K36&lt;10000,INDEX('Responses'!$AR$2:$AR$501,K36),INDEX('Paper sign-ups'!$V$2:$V$101,K36-10000)))</f>
        <v/>
      </c>
      <c r="J36" s="18">
        <f>IF(K36="","",IF(K36&lt;10000,"Online form","Paper"))</f>
        <v/>
      </c>
      <c r="K36" s="22">
        <f>IF(ISNUMBER(MATCH(31,'Responses'!$AV$2:$AV$501,0)),MATCH(31,'Responses'!$AV$2:$AV$501,0),IF(ISNUMBER(MATCH(31,'Paper sign-ups'!$Z$2:$Z$101,0)),10000+MATCH(31,'Paper sign-ups'!$Z$2:$Z$101,0),""))</f>
        <v/>
      </c>
    </row>
    <row r="37">
      <c r="A37" s="18">
        <f>IF(K37="","",32)</f>
        <v/>
      </c>
      <c r="B37" s="10">
        <f>IF(K37="","",IF(K37&lt;10000,INDEX('Responses'!$AE$2:$AE$501,K37),INDEX('Paper sign-ups'!$I$2:$I$101,K37-10000)))</f>
        <v/>
      </c>
      <c r="C37" s="19">
        <f>IF(K37="","",IF(K37&lt;10000,INDEX('Responses'!$AF$2:$AF$501,K37),INDEX('Paper sign-ups'!$J$2:$J$101,K37-10000)))</f>
        <v/>
      </c>
      <c r="D37" s="18">
        <f>IF(K37="","",IF(K37&lt;10000,INDEX('Responses'!$AH$2:$AH$501,K37),INDEX('Paper sign-ups'!$L$2:$L$101,K37-10000)))</f>
        <v/>
      </c>
      <c r="E37" s="20">
        <f>IF(K37="","",IF(K37&lt;10000,INDEX('Responses'!$AL$2:$AL$501,K37),INDEX('Paper sign-ups'!$P$2:$P$101,K37-10000)))</f>
        <v/>
      </c>
      <c r="F37" s="20">
        <f>IF(K37="","",IF(K37&lt;10000,INDEX('Responses'!$AN$2:$AN$501,K37),INDEX('Paper sign-ups'!$R$2:$R$101,K37-10000)))</f>
        <v/>
      </c>
      <c r="G37" s="18">
        <f>IF(K37="","",IF(K37&lt;10000,INDEX('Responses'!$AO$2:$AO$501,K37),INDEX('Paper sign-ups'!$S$2:$S$101,K37-10000)))</f>
        <v/>
      </c>
      <c r="H37" s="19">
        <f>IF(K37="","",IF(K37&lt;10000,INDEX('Responses'!$AI$2:$AI$501,K37),INDEX('Paper sign-ups'!$M$2:$M$101,K37-10000)))</f>
        <v/>
      </c>
      <c r="I37" s="21">
        <f>IF(K37="","",IF(K37&lt;10000,INDEX('Responses'!$AR$2:$AR$501,K37),INDEX('Paper sign-ups'!$V$2:$V$101,K37-10000)))</f>
        <v/>
      </c>
      <c r="J37" s="18">
        <f>IF(K37="","",IF(K37&lt;10000,"Online form","Paper"))</f>
        <v/>
      </c>
      <c r="K37" s="22">
        <f>IF(ISNUMBER(MATCH(32,'Responses'!$AV$2:$AV$501,0)),MATCH(32,'Responses'!$AV$2:$AV$501,0),IF(ISNUMBER(MATCH(32,'Paper sign-ups'!$Z$2:$Z$101,0)),10000+MATCH(32,'Paper sign-ups'!$Z$2:$Z$101,0),""))</f>
        <v/>
      </c>
    </row>
    <row r="38">
      <c r="A38" s="18">
        <f>IF(K38="","",33)</f>
        <v/>
      </c>
      <c r="B38" s="10">
        <f>IF(K38="","",IF(K38&lt;10000,INDEX('Responses'!$AE$2:$AE$501,K38),INDEX('Paper sign-ups'!$I$2:$I$101,K38-10000)))</f>
        <v/>
      </c>
      <c r="C38" s="19">
        <f>IF(K38="","",IF(K38&lt;10000,INDEX('Responses'!$AF$2:$AF$501,K38),INDEX('Paper sign-ups'!$J$2:$J$101,K38-10000)))</f>
        <v/>
      </c>
      <c r="D38" s="18">
        <f>IF(K38="","",IF(K38&lt;10000,INDEX('Responses'!$AH$2:$AH$501,K38),INDEX('Paper sign-ups'!$L$2:$L$101,K38-10000)))</f>
        <v/>
      </c>
      <c r="E38" s="20">
        <f>IF(K38="","",IF(K38&lt;10000,INDEX('Responses'!$AL$2:$AL$501,K38),INDEX('Paper sign-ups'!$P$2:$P$101,K38-10000)))</f>
        <v/>
      </c>
      <c r="F38" s="20">
        <f>IF(K38="","",IF(K38&lt;10000,INDEX('Responses'!$AN$2:$AN$501,K38),INDEX('Paper sign-ups'!$R$2:$R$101,K38-10000)))</f>
        <v/>
      </c>
      <c r="G38" s="18">
        <f>IF(K38="","",IF(K38&lt;10000,INDEX('Responses'!$AO$2:$AO$501,K38),INDEX('Paper sign-ups'!$S$2:$S$101,K38-10000)))</f>
        <v/>
      </c>
      <c r="H38" s="19">
        <f>IF(K38="","",IF(K38&lt;10000,INDEX('Responses'!$AI$2:$AI$501,K38),INDEX('Paper sign-ups'!$M$2:$M$101,K38-10000)))</f>
        <v/>
      </c>
      <c r="I38" s="21">
        <f>IF(K38="","",IF(K38&lt;10000,INDEX('Responses'!$AR$2:$AR$501,K38),INDEX('Paper sign-ups'!$V$2:$V$101,K38-10000)))</f>
        <v/>
      </c>
      <c r="J38" s="18">
        <f>IF(K38="","",IF(K38&lt;10000,"Online form","Paper"))</f>
        <v/>
      </c>
      <c r="K38" s="22">
        <f>IF(ISNUMBER(MATCH(33,'Responses'!$AV$2:$AV$501,0)),MATCH(33,'Responses'!$AV$2:$AV$501,0),IF(ISNUMBER(MATCH(33,'Paper sign-ups'!$Z$2:$Z$101,0)),10000+MATCH(33,'Paper sign-ups'!$Z$2:$Z$101,0),""))</f>
        <v/>
      </c>
    </row>
    <row r="39">
      <c r="A39" s="18">
        <f>IF(K39="","",34)</f>
        <v/>
      </c>
      <c r="B39" s="10">
        <f>IF(K39="","",IF(K39&lt;10000,INDEX('Responses'!$AE$2:$AE$501,K39),INDEX('Paper sign-ups'!$I$2:$I$101,K39-10000)))</f>
        <v/>
      </c>
      <c r="C39" s="19">
        <f>IF(K39="","",IF(K39&lt;10000,INDEX('Responses'!$AF$2:$AF$501,K39),INDEX('Paper sign-ups'!$J$2:$J$101,K39-10000)))</f>
        <v/>
      </c>
      <c r="D39" s="18">
        <f>IF(K39="","",IF(K39&lt;10000,INDEX('Responses'!$AH$2:$AH$501,K39),INDEX('Paper sign-ups'!$L$2:$L$101,K39-10000)))</f>
        <v/>
      </c>
      <c r="E39" s="20">
        <f>IF(K39="","",IF(K39&lt;10000,INDEX('Responses'!$AL$2:$AL$501,K39),INDEX('Paper sign-ups'!$P$2:$P$101,K39-10000)))</f>
        <v/>
      </c>
      <c r="F39" s="20">
        <f>IF(K39="","",IF(K39&lt;10000,INDEX('Responses'!$AN$2:$AN$501,K39),INDEX('Paper sign-ups'!$R$2:$R$101,K39-10000)))</f>
        <v/>
      </c>
      <c r="G39" s="18">
        <f>IF(K39="","",IF(K39&lt;10000,INDEX('Responses'!$AO$2:$AO$501,K39),INDEX('Paper sign-ups'!$S$2:$S$101,K39-10000)))</f>
        <v/>
      </c>
      <c r="H39" s="19">
        <f>IF(K39="","",IF(K39&lt;10000,INDEX('Responses'!$AI$2:$AI$501,K39),INDEX('Paper sign-ups'!$M$2:$M$101,K39-10000)))</f>
        <v/>
      </c>
      <c r="I39" s="21">
        <f>IF(K39="","",IF(K39&lt;10000,INDEX('Responses'!$AR$2:$AR$501,K39),INDEX('Paper sign-ups'!$V$2:$V$101,K39-10000)))</f>
        <v/>
      </c>
      <c r="J39" s="18">
        <f>IF(K39="","",IF(K39&lt;10000,"Online form","Paper"))</f>
        <v/>
      </c>
      <c r="K39" s="22">
        <f>IF(ISNUMBER(MATCH(34,'Responses'!$AV$2:$AV$501,0)),MATCH(34,'Responses'!$AV$2:$AV$501,0),IF(ISNUMBER(MATCH(34,'Paper sign-ups'!$Z$2:$Z$101,0)),10000+MATCH(34,'Paper sign-ups'!$Z$2:$Z$101,0),""))</f>
        <v/>
      </c>
    </row>
    <row r="40">
      <c r="A40" s="18">
        <f>IF(K40="","",35)</f>
        <v/>
      </c>
      <c r="B40" s="10">
        <f>IF(K40="","",IF(K40&lt;10000,INDEX('Responses'!$AE$2:$AE$501,K40),INDEX('Paper sign-ups'!$I$2:$I$101,K40-10000)))</f>
        <v/>
      </c>
      <c r="C40" s="19">
        <f>IF(K40="","",IF(K40&lt;10000,INDEX('Responses'!$AF$2:$AF$501,K40),INDEX('Paper sign-ups'!$J$2:$J$101,K40-10000)))</f>
        <v/>
      </c>
      <c r="D40" s="18">
        <f>IF(K40="","",IF(K40&lt;10000,INDEX('Responses'!$AH$2:$AH$501,K40),INDEX('Paper sign-ups'!$L$2:$L$101,K40-10000)))</f>
        <v/>
      </c>
      <c r="E40" s="20">
        <f>IF(K40="","",IF(K40&lt;10000,INDEX('Responses'!$AL$2:$AL$501,K40),INDEX('Paper sign-ups'!$P$2:$P$101,K40-10000)))</f>
        <v/>
      </c>
      <c r="F40" s="20">
        <f>IF(K40="","",IF(K40&lt;10000,INDEX('Responses'!$AN$2:$AN$501,K40),INDEX('Paper sign-ups'!$R$2:$R$101,K40-10000)))</f>
        <v/>
      </c>
      <c r="G40" s="18">
        <f>IF(K40="","",IF(K40&lt;10000,INDEX('Responses'!$AO$2:$AO$501,K40),INDEX('Paper sign-ups'!$S$2:$S$101,K40-10000)))</f>
        <v/>
      </c>
      <c r="H40" s="19">
        <f>IF(K40="","",IF(K40&lt;10000,INDEX('Responses'!$AI$2:$AI$501,K40),INDEX('Paper sign-ups'!$M$2:$M$101,K40-10000)))</f>
        <v/>
      </c>
      <c r="I40" s="21">
        <f>IF(K40="","",IF(K40&lt;10000,INDEX('Responses'!$AR$2:$AR$501,K40),INDEX('Paper sign-ups'!$V$2:$V$101,K40-10000)))</f>
        <v/>
      </c>
      <c r="J40" s="18">
        <f>IF(K40="","",IF(K40&lt;10000,"Online form","Paper"))</f>
        <v/>
      </c>
      <c r="K40" s="22">
        <f>IF(ISNUMBER(MATCH(35,'Responses'!$AV$2:$AV$501,0)),MATCH(35,'Responses'!$AV$2:$AV$501,0),IF(ISNUMBER(MATCH(35,'Paper sign-ups'!$Z$2:$Z$101,0)),10000+MATCH(35,'Paper sign-ups'!$Z$2:$Z$101,0),""))</f>
        <v/>
      </c>
    </row>
    <row r="41">
      <c r="A41" s="18">
        <f>IF(K41="","",36)</f>
        <v/>
      </c>
      <c r="B41" s="10">
        <f>IF(K41="","",IF(K41&lt;10000,INDEX('Responses'!$AE$2:$AE$501,K41),INDEX('Paper sign-ups'!$I$2:$I$101,K41-10000)))</f>
        <v/>
      </c>
      <c r="C41" s="19">
        <f>IF(K41="","",IF(K41&lt;10000,INDEX('Responses'!$AF$2:$AF$501,K41),INDEX('Paper sign-ups'!$J$2:$J$101,K41-10000)))</f>
        <v/>
      </c>
      <c r="D41" s="18">
        <f>IF(K41="","",IF(K41&lt;10000,INDEX('Responses'!$AH$2:$AH$501,K41),INDEX('Paper sign-ups'!$L$2:$L$101,K41-10000)))</f>
        <v/>
      </c>
      <c r="E41" s="20">
        <f>IF(K41="","",IF(K41&lt;10000,INDEX('Responses'!$AL$2:$AL$501,K41),INDEX('Paper sign-ups'!$P$2:$P$101,K41-10000)))</f>
        <v/>
      </c>
      <c r="F41" s="20">
        <f>IF(K41="","",IF(K41&lt;10000,INDEX('Responses'!$AN$2:$AN$501,K41),INDEX('Paper sign-ups'!$R$2:$R$101,K41-10000)))</f>
        <v/>
      </c>
      <c r="G41" s="18">
        <f>IF(K41="","",IF(K41&lt;10000,INDEX('Responses'!$AO$2:$AO$501,K41),INDEX('Paper sign-ups'!$S$2:$S$101,K41-10000)))</f>
        <v/>
      </c>
      <c r="H41" s="19">
        <f>IF(K41="","",IF(K41&lt;10000,INDEX('Responses'!$AI$2:$AI$501,K41),INDEX('Paper sign-ups'!$M$2:$M$101,K41-10000)))</f>
        <v/>
      </c>
      <c r="I41" s="21">
        <f>IF(K41="","",IF(K41&lt;10000,INDEX('Responses'!$AR$2:$AR$501,K41),INDEX('Paper sign-ups'!$V$2:$V$101,K41-10000)))</f>
        <v/>
      </c>
      <c r="J41" s="18">
        <f>IF(K41="","",IF(K41&lt;10000,"Online form","Paper"))</f>
        <v/>
      </c>
      <c r="K41" s="22">
        <f>IF(ISNUMBER(MATCH(36,'Responses'!$AV$2:$AV$501,0)),MATCH(36,'Responses'!$AV$2:$AV$501,0),IF(ISNUMBER(MATCH(36,'Paper sign-ups'!$Z$2:$Z$101,0)),10000+MATCH(36,'Paper sign-ups'!$Z$2:$Z$101,0),""))</f>
        <v/>
      </c>
    </row>
    <row r="42">
      <c r="A42" s="18">
        <f>IF(K42="","",37)</f>
        <v/>
      </c>
      <c r="B42" s="10">
        <f>IF(K42="","",IF(K42&lt;10000,INDEX('Responses'!$AE$2:$AE$501,K42),INDEX('Paper sign-ups'!$I$2:$I$101,K42-10000)))</f>
        <v/>
      </c>
      <c r="C42" s="19">
        <f>IF(K42="","",IF(K42&lt;10000,INDEX('Responses'!$AF$2:$AF$501,K42),INDEX('Paper sign-ups'!$J$2:$J$101,K42-10000)))</f>
        <v/>
      </c>
      <c r="D42" s="18">
        <f>IF(K42="","",IF(K42&lt;10000,INDEX('Responses'!$AH$2:$AH$501,K42),INDEX('Paper sign-ups'!$L$2:$L$101,K42-10000)))</f>
        <v/>
      </c>
      <c r="E42" s="20">
        <f>IF(K42="","",IF(K42&lt;10000,INDEX('Responses'!$AL$2:$AL$501,K42),INDEX('Paper sign-ups'!$P$2:$P$101,K42-10000)))</f>
        <v/>
      </c>
      <c r="F42" s="20">
        <f>IF(K42="","",IF(K42&lt;10000,INDEX('Responses'!$AN$2:$AN$501,K42),INDEX('Paper sign-ups'!$R$2:$R$101,K42-10000)))</f>
        <v/>
      </c>
      <c r="G42" s="18">
        <f>IF(K42="","",IF(K42&lt;10000,INDEX('Responses'!$AO$2:$AO$501,K42),INDEX('Paper sign-ups'!$S$2:$S$101,K42-10000)))</f>
        <v/>
      </c>
      <c r="H42" s="19">
        <f>IF(K42="","",IF(K42&lt;10000,INDEX('Responses'!$AI$2:$AI$501,K42),INDEX('Paper sign-ups'!$M$2:$M$101,K42-10000)))</f>
        <v/>
      </c>
      <c r="I42" s="21">
        <f>IF(K42="","",IF(K42&lt;10000,INDEX('Responses'!$AR$2:$AR$501,K42),INDEX('Paper sign-ups'!$V$2:$V$101,K42-10000)))</f>
        <v/>
      </c>
      <c r="J42" s="18">
        <f>IF(K42="","",IF(K42&lt;10000,"Online form","Paper"))</f>
        <v/>
      </c>
      <c r="K42" s="22">
        <f>IF(ISNUMBER(MATCH(37,'Responses'!$AV$2:$AV$501,0)),MATCH(37,'Responses'!$AV$2:$AV$501,0),IF(ISNUMBER(MATCH(37,'Paper sign-ups'!$Z$2:$Z$101,0)),10000+MATCH(37,'Paper sign-ups'!$Z$2:$Z$101,0),""))</f>
        <v/>
      </c>
    </row>
    <row r="43">
      <c r="A43" s="18">
        <f>IF(K43="","",38)</f>
        <v/>
      </c>
      <c r="B43" s="10">
        <f>IF(K43="","",IF(K43&lt;10000,INDEX('Responses'!$AE$2:$AE$501,K43),INDEX('Paper sign-ups'!$I$2:$I$101,K43-10000)))</f>
        <v/>
      </c>
      <c r="C43" s="19">
        <f>IF(K43="","",IF(K43&lt;10000,INDEX('Responses'!$AF$2:$AF$501,K43),INDEX('Paper sign-ups'!$J$2:$J$101,K43-10000)))</f>
        <v/>
      </c>
      <c r="D43" s="18">
        <f>IF(K43="","",IF(K43&lt;10000,INDEX('Responses'!$AH$2:$AH$501,K43),INDEX('Paper sign-ups'!$L$2:$L$101,K43-10000)))</f>
        <v/>
      </c>
      <c r="E43" s="20">
        <f>IF(K43="","",IF(K43&lt;10000,INDEX('Responses'!$AL$2:$AL$501,K43),INDEX('Paper sign-ups'!$P$2:$P$101,K43-10000)))</f>
        <v/>
      </c>
      <c r="F43" s="20">
        <f>IF(K43="","",IF(K43&lt;10000,INDEX('Responses'!$AN$2:$AN$501,K43),INDEX('Paper sign-ups'!$R$2:$R$101,K43-10000)))</f>
        <v/>
      </c>
      <c r="G43" s="18">
        <f>IF(K43="","",IF(K43&lt;10000,INDEX('Responses'!$AO$2:$AO$501,K43),INDEX('Paper sign-ups'!$S$2:$S$101,K43-10000)))</f>
        <v/>
      </c>
      <c r="H43" s="19">
        <f>IF(K43="","",IF(K43&lt;10000,INDEX('Responses'!$AI$2:$AI$501,K43),INDEX('Paper sign-ups'!$M$2:$M$101,K43-10000)))</f>
        <v/>
      </c>
      <c r="I43" s="21">
        <f>IF(K43="","",IF(K43&lt;10000,INDEX('Responses'!$AR$2:$AR$501,K43),INDEX('Paper sign-ups'!$V$2:$V$101,K43-10000)))</f>
        <v/>
      </c>
      <c r="J43" s="18">
        <f>IF(K43="","",IF(K43&lt;10000,"Online form","Paper"))</f>
        <v/>
      </c>
      <c r="K43" s="22">
        <f>IF(ISNUMBER(MATCH(38,'Responses'!$AV$2:$AV$501,0)),MATCH(38,'Responses'!$AV$2:$AV$501,0),IF(ISNUMBER(MATCH(38,'Paper sign-ups'!$Z$2:$Z$101,0)),10000+MATCH(38,'Paper sign-ups'!$Z$2:$Z$101,0),""))</f>
        <v/>
      </c>
    </row>
    <row r="44">
      <c r="A44" s="18">
        <f>IF(K44="","",39)</f>
        <v/>
      </c>
      <c r="B44" s="10">
        <f>IF(K44="","",IF(K44&lt;10000,INDEX('Responses'!$AE$2:$AE$501,K44),INDEX('Paper sign-ups'!$I$2:$I$101,K44-10000)))</f>
        <v/>
      </c>
      <c r="C44" s="19">
        <f>IF(K44="","",IF(K44&lt;10000,INDEX('Responses'!$AF$2:$AF$501,K44),INDEX('Paper sign-ups'!$J$2:$J$101,K44-10000)))</f>
        <v/>
      </c>
      <c r="D44" s="18">
        <f>IF(K44="","",IF(K44&lt;10000,INDEX('Responses'!$AH$2:$AH$501,K44),INDEX('Paper sign-ups'!$L$2:$L$101,K44-10000)))</f>
        <v/>
      </c>
      <c r="E44" s="20">
        <f>IF(K44="","",IF(K44&lt;10000,INDEX('Responses'!$AL$2:$AL$501,K44),INDEX('Paper sign-ups'!$P$2:$P$101,K44-10000)))</f>
        <v/>
      </c>
      <c r="F44" s="20">
        <f>IF(K44="","",IF(K44&lt;10000,INDEX('Responses'!$AN$2:$AN$501,K44),INDEX('Paper sign-ups'!$R$2:$R$101,K44-10000)))</f>
        <v/>
      </c>
      <c r="G44" s="18">
        <f>IF(K44="","",IF(K44&lt;10000,INDEX('Responses'!$AO$2:$AO$501,K44),INDEX('Paper sign-ups'!$S$2:$S$101,K44-10000)))</f>
        <v/>
      </c>
      <c r="H44" s="19">
        <f>IF(K44="","",IF(K44&lt;10000,INDEX('Responses'!$AI$2:$AI$501,K44),INDEX('Paper sign-ups'!$M$2:$M$101,K44-10000)))</f>
        <v/>
      </c>
      <c r="I44" s="21">
        <f>IF(K44="","",IF(K44&lt;10000,INDEX('Responses'!$AR$2:$AR$501,K44),INDEX('Paper sign-ups'!$V$2:$V$101,K44-10000)))</f>
        <v/>
      </c>
      <c r="J44" s="18">
        <f>IF(K44="","",IF(K44&lt;10000,"Online form","Paper"))</f>
        <v/>
      </c>
      <c r="K44" s="22">
        <f>IF(ISNUMBER(MATCH(39,'Responses'!$AV$2:$AV$501,0)),MATCH(39,'Responses'!$AV$2:$AV$501,0),IF(ISNUMBER(MATCH(39,'Paper sign-ups'!$Z$2:$Z$101,0)),10000+MATCH(39,'Paper sign-ups'!$Z$2:$Z$101,0),""))</f>
        <v/>
      </c>
    </row>
    <row r="45">
      <c r="A45" s="18">
        <f>IF(K45="","",40)</f>
        <v/>
      </c>
      <c r="B45" s="10">
        <f>IF(K45="","",IF(K45&lt;10000,INDEX('Responses'!$AE$2:$AE$501,K45),INDEX('Paper sign-ups'!$I$2:$I$101,K45-10000)))</f>
        <v/>
      </c>
      <c r="C45" s="19">
        <f>IF(K45="","",IF(K45&lt;10000,INDEX('Responses'!$AF$2:$AF$501,K45),INDEX('Paper sign-ups'!$J$2:$J$101,K45-10000)))</f>
        <v/>
      </c>
      <c r="D45" s="18">
        <f>IF(K45="","",IF(K45&lt;10000,INDEX('Responses'!$AH$2:$AH$501,K45),INDEX('Paper sign-ups'!$L$2:$L$101,K45-10000)))</f>
        <v/>
      </c>
      <c r="E45" s="20">
        <f>IF(K45="","",IF(K45&lt;10000,INDEX('Responses'!$AL$2:$AL$501,K45),INDEX('Paper sign-ups'!$P$2:$P$101,K45-10000)))</f>
        <v/>
      </c>
      <c r="F45" s="20">
        <f>IF(K45="","",IF(K45&lt;10000,INDEX('Responses'!$AN$2:$AN$501,K45),INDEX('Paper sign-ups'!$R$2:$R$101,K45-10000)))</f>
        <v/>
      </c>
      <c r="G45" s="18">
        <f>IF(K45="","",IF(K45&lt;10000,INDEX('Responses'!$AO$2:$AO$501,K45),INDEX('Paper sign-ups'!$S$2:$S$101,K45-10000)))</f>
        <v/>
      </c>
      <c r="H45" s="19">
        <f>IF(K45="","",IF(K45&lt;10000,INDEX('Responses'!$AI$2:$AI$501,K45),INDEX('Paper sign-ups'!$M$2:$M$101,K45-10000)))</f>
        <v/>
      </c>
      <c r="I45" s="21">
        <f>IF(K45="","",IF(K45&lt;10000,INDEX('Responses'!$AR$2:$AR$501,K45),INDEX('Paper sign-ups'!$V$2:$V$101,K45-10000)))</f>
        <v/>
      </c>
      <c r="J45" s="18">
        <f>IF(K45="","",IF(K45&lt;10000,"Online form","Paper"))</f>
        <v/>
      </c>
      <c r="K45" s="22">
        <f>IF(ISNUMBER(MATCH(40,'Responses'!$AV$2:$AV$501,0)),MATCH(40,'Responses'!$AV$2:$AV$501,0),IF(ISNUMBER(MATCH(40,'Paper sign-ups'!$Z$2:$Z$101,0)),10000+MATCH(40,'Paper sign-ups'!$Z$2:$Z$101,0),""))</f>
        <v/>
      </c>
    </row>
    <row r="46">
      <c r="A46" s="18">
        <f>IF(K46="","",41)</f>
        <v/>
      </c>
      <c r="B46" s="10">
        <f>IF(K46="","",IF(K46&lt;10000,INDEX('Responses'!$AE$2:$AE$501,K46),INDEX('Paper sign-ups'!$I$2:$I$101,K46-10000)))</f>
        <v/>
      </c>
      <c r="C46" s="19">
        <f>IF(K46="","",IF(K46&lt;10000,INDEX('Responses'!$AF$2:$AF$501,K46),INDEX('Paper sign-ups'!$J$2:$J$101,K46-10000)))</f>
        <v/>
      </c>
      <c r="D46" s="18">
        <f>IF(K46="","",IF(K46&lt;10000,INDEX('Responses'!$AH$2:$AH$501,K46),INDEX('Paper sign-ups'!$L$2:$L$101,K46-10000)))</f>
        <v/>
      </c>
      <c r="E46" s="20">
        <f>IF(K46="","",IF(K46&lt;10000,INDEX('Responses'!$AL$2:$AL$501,K46),INDEX('Paper sign-ups'!$P$2:$P$101,K46-10000)))</f>
        <v/>
      </c>
      <c r="F46" s="20">
        <f>IF(K46="","",IF(K46&lt;10000,INDEX('Responses'!$AN$2:$AN$501,K46),INDEX('Paper sign-ups'!$R$2:$R$101,K46-10000)))</f>
        <v/>
      </c>
      <c r="G46" s="18">
        <f>IF(K46="","",IF(K46&lt;10000,INDEX('Responses'!$AO$2:$AO$501,K46),INDEX('Paper sign-ups'!$S$2:$S$101,K46-10000)))</f>
        <v/>
      </c>
      <c r="H46" s="19">
        <f>IF(K46="","",IF(K46&lt;10000,INDEX('Responses'!$AI$2:$AI$501,K46),INDEX('Paper sign-ups'!$M$2:$M$101,K46-10000)))</f>
        <v/>
      </c>
      <c r="I46" s="21">
        <f>IF(K46="","",IF(K46&lt;10000,INDEX('Responses'!$AR$2:$AR$501,K46),INDEX('Paper sign-ups'!$V$2:$V$101,K46-10000)))</f>
        <v/>
      </c>
      <c r="J46" s="18">
        <f>IF(K46="","",IF(K46&lt;10000,"Online form","Paper"))</f>
        <v/>
      </c>
      <c r="K46" s="22">
        <f>IF(ISNUMBER(MATCH(41,'Responses'!$AV$2:$AV$501,0)),MATCH(41,'Responses'!$AV$2:$AV$501,0),IF(ISNUMBER(MATCH(41,'Paper sign-ups'!$Z$2:$Z$101,0)),10000+MATCH(41,'Paper sign-ups'!$Z$2:$Z$101,0),""))</f>
        <v/>
      </c>
    </row>
    <row r="47">
      <c r="A47" s="18">
        <f>IF(K47="","",42)</f>
        <v/>
      </c>
      <c r="B47" s="10">
        <f>IF(K47="","",IF(K47&lt;10000,INDEX('Responses'!$AE$2:$AE$501,K47),INDEX('Paper sign-ups'!$I$2:$I$101,K47-10000)))</f>
        <v/>
      </c>
      <c r="C47" s="19">
        <f>IF(K47="","",IF(K47&lt;10000,INDEX('Responses'!$AF$2:$AF$501,K47),INDEX('Paper sign-ups'!$J$2:$J$101,K47-10000)))</f>
        <v/>
      </c>
      <c r="D47" s="18">
        <f>IF(K47="","",IF(K47&lt;10000,INDEX('Responses'!$AH$2:$AH$501,K47),INDEX('Paper sign-ups'!$L$2:$L$101,K47-10000)))</f>
        <v/>
      </c>
      <c r="E47" s="20">
        <f>IF(K47="","",IF(K47&lt;10000,INDEX('Responses'!$AL$2:$AL$501,K47),INDEX('Paper sign-ups'!$P$2:$P$101,K47-10000)))</f>
        <v/>
      </c>
      <c r="F47" s="20">
        <f>IF(K47="","",IF(K47&lt;10000,INDEX('Responses'!$AN$2:$AN$501,K47),INDEX('Paper sign-ups'!$R$2:$R$101,K47-10000)))</f>
        <v/>
      </c>
      <c r="G47" s="18">
        <f>IF(K47="","",IF(K47&lt;10000,INDEX('Responses'!$AO$2:$AO$501,K47),INDEX('Paper sign-ups'!$S$2:$S$101,K47-10000)))</f>
        <v/>
      </c>
      <c r="H47" s="19">
        <f>IF(K47="","",IF(K47&lt;10000,INDEX('Responses'!$AI$2:$AI$501,K47),INDEX('Paper sign-ups'!$M$2:$M$101,K47-10000)))</f>
        <v/>
      </c>
      <c r="I47" s="21">
        <f>IF(K47="","",IF(K47&lt;10000,INDEX('Responses'!$AR$2:$AR$501,K47),INDEX('Paper sign-ups'!$V$2:$V$101,K47-10000)))</f>
        <v/>
      </c>
      <c r="J47" s="18">
        <f>IF(K47="","",IF(K47&lt;10000,"Online form","Paper"))</f>
        <v/>
      </c>
      <c r="K47" s="22">
        <f>IF(ISNUMBER(MATCH(42,'Responses'!$AV$2:$AV$501,0)),MATCH(42,'Responses'!$AV$2:$AV$501,0),IF(ISNUMBER(MATCH(42,'Paper sign-ups'!$Z$2:$Z$101,0)),10000+MATCH(42,'Paper sign-ups'!$Z$2:$Z$101,0),""))</f>
        <v/>
      </c>
    </row>
    <row r="48">
      <c r="A48" s="18">
        <f>IF(K48="","",43)</f>
        <v/>
      </c>
      <c r="B48" s="10">
        <f>IF(K48="","",IF(K48&lt;10000,INDEX('Responses'!$AE$2:$AE$501,K48),INDEX('Paper sign-ups'!$I$2:$I$101,K48-10000)))</f>
        <v/>
      </c>
      <c r="C48" s="19">
        <f>IF(K48="","",IF(K48&lt;10000,INDEX('Responses'!$AF$2:$AF$501,K48),INDEX('Paper sign-ups'!$J$2:$J$101,K48-10000)))</f>
        <v/>
      </c>
      <c r="D48" s="18">
        <f>IF(K48="","",IF(K48&lt;10000,INDEX('Responses'!$AH$2:$AH$501,K48),INDEX('Paper sign-ups'!$L$2:$L$101,K48-10000)))</f>
        <v/>
      </c>
      <c r="E48" s="20">
        <f>IF(K48="","",IF(K48&lt;10000,INDEX('Responses'!$AL$2:$AL$501,K48),INDEX('Paper sign-ups'!$P$2:$P$101,K48-10000)))</f>
        <v/>
      </c>
      <c r="F48" s="20">
        <f>IF(K48="","",IF(K48&lt;10000,INDEX('Responses'!$AN$2:$AN$501,K48),INDEX('Paper sign-ups'!$R$2:$R$101,K48-10000)))</f>
        <v/>
      </c>
      <c r="G48" s="18">
        <f>IF(K48="","",IF(K48&lt;10000,INDEX('Responses'!$AO$2:$AO$501,K48),INDEX('Paper sign-ups'!$S$2:$S$101,K48-10000)))</f>
        <v/>
      </c>
      <c r="H48" s="19">
        <f>IF(K48="","",IF(K48&lt;10000,INDEX('Responses'!$AI$2:$AI$501,K48),INDEX('Paper sign-ups'!$M$2:$M$101,K48-10000)))</f>
        <v/>
      </c>
      <c r="I48" s="21">
        <f>IF(K48="","",IF(K48&lt;10000,INDEX('Responses'!$AR$2:$AR$501,K48),INDEX('Paper sign-ups'!$V$2:$V$101,K48-10000)))</f>
        <v/>
      </c>
      <c r="J48" s="18">
        <f>IF(K48="","",IF(K48&lt;10000,"Online form","Paper"))</f>
        <v/>
      </c>
      <c r="K48" s="22">
        <f>IF(ISNUMBER(MATCH(43,'Responses'!$AV$2:$AV$501,0)),MATCH(43,'Responses'!$AV$2:$AV$501,0),IF(ISNUMBER(MATCH(43,'Paper sign-ups'!$Z$2:$Z$101,0)),10000+MATCH(43,'Paper sign-ups'!$Z$2:$Z$101,0),""))</f>
        <v/>
      </c>
    </row>
    <row r="49">
      <c r="A49" s="18">
        <f>IF(K49="","",44)</f>
        <v/>
      </c>
      <c r="B49" s="10">
        <f>IF(K49="","",IF(K49&lt;10000,INDEX('Responses'!$AE$2:$AE$501,K49),INDEX('Paper sign-ups'!$I$2:$I$101,K49-10000)))</f>
        <v/>
      </c>
      <c r="C49" s="19">
        <f>IF(K49="","",IF(K49&lt;10000,INDEX('Responses'!$AF$2:$AF$501,K49),INDEX('Paper sign-ups'!$J$2:$J$101,K49-10000)))</f>
        <v/>
      </c>
      <c r="D49" s="18">
        <f>IF(K49="","",IF(K49&lt;10000,INDEX('Responses'!$AH$2:$AH$501,K49),INDEX('Paper sign-ups'!$L$2:$L$101,K49-10000)))</f>
        <v/>
      </c>
      <c r="E49" s="20">
        <f>IF(K49="","",IF(K49&lt;10000,INDEX('Responses'!$AL$2:$AL$501,K49),INDEX('Paper sign-ups'!$P$2:$P$101,K49-10000)))</f>
        <v/>
      </c>
      <c r="F49" s="20">
        <f>IF(K49="","",IF(K49&lt;10000,INDEX('Responses'!$AN$2:$AN$501,K49),INDEX('Paper sign-ups'!$R$2:$R$101,K49-10000)))</f>
        <v/>
      </c>
      <c r="G49" s="18">
        <f>IF(K49="","",IF(K49&lt;10000,INDEX('Responses'!$AO$2:$AO$501,K49),INDEX('Paper sign-ups'!$S$2:$S$101,K49-10000)))</f>
        <v/>
      </c>
      <c r="H49" s="19">
        <f>IF(K49="","",IF(K49&lt;10000,INDEX('Responses'!$AI$2:$AI$501,K49),INDEX('Paper sign-ups'!$M$2:$M$101,K49-10000)))</f>
        <v/>
      </c>
      <c r="I49" s="21">
        <f>IF(K49="","",IF(K49&lt;10000,INDEX('Responses'!$AR$2:$AR$501,K49),INDEX('Paper sign-ups'!$V$2:$V$101,K49-10000)))</f>
        <v/>
      </c>
      <c r="J49" s="18">
        <f>IF(K49="","",IF(K49&lt;10000,"Online form","Paper"))</f>
        <v/>
      </c>
      <c r="K49" s="22">
        <f>IF(ISNUMBER(MATCH(44,'Responses'!$AV$2:$AV$501,0)),MATCH(44,'Responses'!$AV$2:$AV$501,0),IF(ISNUMBER(MATCH(44,'Paper sign-ups'!$Z$2:$Z$101,0)),10000+MATCH(44,'Paper sign-ups'!$Z$2:$Z$101,0),""))</f>
        <v/>
      </c>
    </row>
    <row r="50">
      <c r="A50" s="18">
        <f>IF(K50="","",45)</f>
        <v/>
      </c>
      <c r="B50" s="10">
        <f>IF(K50="","",IF(K50&lt;10000,INDEX('Responses'!$AE$2:$AE$501,K50),INDEX('Paper sign-ups'!$I$2:$I$101,K50-10000)))</f>
        <v/>
      </c>
      <c r="C50" s="19">
        <f>IF(K50="","",IF(K50&lt;10000,INDEX('Responses'!$AF$2:$AF$501,K50),INDEX('Paper sign-ups'!$J$2:$J$101,K50-10000)))</f>
        <v/>
      </c>
      <c r="D50" s="18">
        <f>IF(K50="","",IF(K50&lt;10000,INDEX('Responses'!$AH$2:$AH$501,K50),INDEX('Paper sign-ups'!$L$2:$L$101,K50-10000)))</f>
        <v/>
      </c>
      <c r="E50" s="20">
        <f>IF(K50="","",IF(K50&lt;10000,INDEX('Responses'!$AL$2:$AL$501,K50),INDEX('Paper sign-ups'!$P$2:$P$101,K50-10000)))</f>
        <v/>
      </c>
      <c r="F50" s="20">
        <f>IF(K50="","",IF(K50&lt;10000,INDEX('Responses'!$AN$2:$AN$501,K50),INDEX('Paper sign-ups'!$R$2:$R$101,K50-10000)))</f>
        <v/>
      </c>
      <c r="G50" s="18">
        <f>IF(K50="","",IF(K50&lt;10000,INDEX('Responses'!$AO$2:$AO$501,K50),INDEX('Paper sign-ups'!$S$2:$S$101,K50-10000)))</f>
        <v/>
      </c>
      <c r="H50" s="19">
        <f>IF(K50="","",IF(K50&lt;10000,INDEX('Responses'!$AI$2:$AI$501,K50),INDEX('Paper sign-ups'!$M$2:$M$101,K50-10000)))</f>
        <v/>
      </c>
      <c r="I50" s="21">
        <f>IF(K50="","",IF(K50&lt;10000,INDEX('Responses'!$AR$2:$AR$501,K50),INDEX('Paper sign-ups'!$V$2:$V$101,K50-10000)))</f>
        <v/>
      </c>
      <c r="J50" s="18">
        <f>IF(K50="","",IF(K50&lt;10000,"Online form","Paper"))</f>
        <v/>
      </c>
      <c r="K50" s="22">
        <f>IF(ISNUMBER(MATCH(45,'Responses'!$AV$2:$AV$501,0)),MATCH(45,'Responses'!$AV$2:$AV$501,0),IF(ISNUMBER(MATCH(45,'Paper sign-ups'!$Z$2:$Z$101,0)),10000+MATCH(45,'Paper sign-ups'!$Z$2:$Z$101,0),""))</f>
        <v/>
      </c>
    </row>
    <row r="51">
      <c r="A51" s="18">
        <f>IF(K51="","",46)</f>
        <v/>
      </c>
      <c r="B51" s="10">
        <f>IF(K51="","",IF(K51&lt;10000,INDEX('Responses'!$AE$2:$AE$501,K51),INDEX('Paper sign-ups'!$I$2:$I$101,K51-10000)))</f>
        <v/>
      </c>
      <c r="C51" s="19">
        <f>IF(K51="","",IF(K51&lt;10000,INDEX('Responses'!$AF$2:$AF$501,K51),INDEX('Paper sign-ups'!$J$2:$J$101,K51-10000)))</f>
        <v/>
      </c>
      <c r="D51" s="18">
        <f>IF(K51="","",IF(K51&lt;10000,INDEX('Responses'!$AH$2:$AH$501,K51),INDEX('Paper sign-ups'!$L$2:$L$101,K51-10000)))</f>
        <v/>
      </c>
      <c r="E51" s="20">
        <f>IF(K51="","",IF(K51&lt;10000,INDEX('Responses'!$AL$2:$AL$501,K51),INDEX('Paper sign-ups'!$P$2:$P$101,K51-10000)))</f>
        <v/>
      </c>
      <c r="F51" s="20">
        <f>IF(K51="","",IF(K51&lt;10000,INDEX('Responses'!$AN$2:$AN$501,K51),INDEX('Paper sign-ups'!$R$2:$R$101,K51-10000)))</f>
        <v/>
      </c>
      <c r="G51" s="18">
        <f>IF(K51="","",IF(K51&lt;10000,INDEX('Responses'!$AO$2:$AO$501,K51),INDEX('Paper sign-ups'!$S$2:$S$101,K51-10000)))</f>
        <v/>
      </c>
      <c r="H51" s="19">
        <f>IF(K51="","",IF(K51&lt;10000,INDEX('Responses'!$AI$2:$AI$501,K51),INDEX('Paper sign-ups'!$M$2:$M$101,K51-10000)))</f>
        <v/>
      </c>
      <c r="I51" s="21">
        <f>IF(K51="","",IF(K51&lt;10000,INDEX('Responses'!$AR$2:$AR$501,K51),INDEX('Paper sign-ups'!$V$2:$V$101,K51-10000)))</f>
        <v/>
      </c>
      <c r="J51" s="18">
        <f>IF(K51="","",IF(K51&lt;10000,"Online form","Paper"))</f>
        <v/>
      </c>
      <c r="K51" s="22">
        <f>IF(ISNUMBER(MATCH(46,'Responses'!$AV$2:$AV$501,0)),MATCH(46,'Responses'!$AV$2:$AV$501,0),IF(ISNUMBER(MATCH(46,'Paper sign-ups'!$Z$2:$Z$101,0)),10000+MATCH(46,'Paper sign-ups'!$Z$2:$Z$101,0),""))</f>
        <v/>
      </c>
    </row>
    <row r="52">
      <c r="A52" s="18">
        <f>IF(K52="","",47)</f>
        <v/>
      </c>
      <c r="B52" s="10">
        <f>IF(K52="","",IF(K52&lt;10000,INDEX('Responses'!$AE$2:$AE$501,K52),INDEX('Paper sign-ups'!$I$2:$I$101,K52-10000)))</f>
        <v/>
      </c>
      <c r="C52" s="19">
        <f>IF(K52="","",IF(K52&lt;10000,INDEX('Responses'!$AF$2:$AF$501,K52),INDEX('Paper sign-ups'!$J$2:$J$101,K52-10000)))</f>
        <v/>
      </c>
      <c r="D52" s="18">
        <f>IF(K52="","",IF(K52&lt;10000,INDEX('Responses'!$AH$2:$AH$501,K52),INDEX('Paper sign-ups'!$L$2:$L$101,K52-10000)))</f>
        <v/>
      </c>
      <c r="E52" s="20">
        <f>IF(K52="","",IF(K52&lt;10000,INDEX('Responses'!$AL$2:$AL$501,K52),INDEX('Paper sign-ups'!$P$2:$P$101,K52-10000)))</f>
        <v/>
      </c>
      <c r="F52" s="20">
        <f>IF(K52="","",IF(K52&lt;10000,INDEX('Responses'!$AN$2:$AN$501,K52),INDEX('Paper sign-ups'!$R$2:$R$101,K52-10000)))</f>
        <v/>
      </c>
      <c r="G52" s="18">
        <f>IF(K52="","",IF(K52&lt;10000,INDEX('Responses'!$AO$2:$AO$501,K52),INDEX('Paper sign-ups'!$S$2:$S$101,K52-10000)))</f>
        <v/>
      </c>
      <c r="H52" s="19">
        <f>IF(K52="","",IF(K52&lt;10000,INDEX('Responses'!$AI$2:$AI$501,K52),INDEX('Paper sign-ups'!$M$2:$M$101,K52-10000)))</f>
        <v/>
      </c>
      <c r="I52" s="21">
        <f>IF(K52="","",IF(K52&lt;10000,INDEX('Responses'!$AR$2:$AR$501,K52),INDEX('Paper sign-ups'!$V$2:$V$101,K52-10000)))</f>
        <v/>
      </c>
      <c r="J52" s="18">
        <f>IF(K52="","",IF(K52&lt;10000,"Online form","Paper"))</f>
        <v/>
      </c>
      <c r="K52" s="22">
        <f>IF(ISNUMBER(MATCH(47,'Responses'!$AV$2:$AV$501,0)),MATCH(47,'Responses'!$AV$2:$AV$501,0),IF(ISNUMBER(MATCH(47,'Paper sign-ups'!$Z$2:$Z$101,0)),10000+MATCH(47,'Paper sign-ups'!$Z$2:$Z$101,0),""))</f>
        <v/>
      </c>
    </row>
    <row r="53">
      <c r="A53" s="18">
        <f>IF(K53="","",48)</f>
        <v/>
      </c>
      <c r="B53" s="10">
        <f>IF(K53="","",IF(K53&lt;10000,INDEX('Responses'!$AE$2:$AE$501,K53),INDEX('Paper sign-ups'!$I$2:$I$101,K53-10000)))</f>
        <v/>
      </c>
      <c r="C53" s="19">
        <f>IF(K53="","",IF(K53&lt;10000,INDEX('Responses'!$AF$2:$AF$501,K53),INDEX('Paper sign-ups'!$J$2:$J$101,K53-10000)))</f>
        <v/>
      </c>
      <c r="D53" s="18">
        <f>IF(K53="","",IF(K53&lt;10000,INDEX('Responses'!$AH$2:$AH$501,K53),INDEX('Paper sign-ups'!$L$2:$L$101,K53-10000)))</f>
        <v/>
      </c>
      <c r="E53" s="20">
        <f>IF(K53="","",IF(K53&lt;10000,INDEX('Responses'!$AL$2:$AL$501,K53),INDEX('Paper sign-ups'!$P$2:$P$101,K53-10000)))</f>
        <v/>
      </c>
      <c r="F53" s="20">
        <f>IF(K53="","",IF(K53&lt;10000,INDEX('Responses'!$AN$2:$AN$501,K53),INDEX('Paper sign-ups'!$R$2:$R$101,K53-10000)))</f>
        <v/>
      </c>
      <c r="G53" s="18">
        <f>IF(K53="","",IF(K53&lt;10000,INDEX('Responses'!$AO$2:$AO$501,K53),INDEX('Paper sign-ups'!$S$2:$S$101,K53-10000)))</f>
        <v/>
      </c>
      <c r="H53" s="19">
        <f>IF(K53="","",IF(K53&lt;10000,INDEX('Responses'!$AI$2:$AI$501,K53),INDEX('Paper sign-ups'!$M$2:$M$101,K53-10000)))</f>
        <v/>
      </c>
      <c r="I53" s="21">
        <f>IF(K53="","",IF(K53&lt;10000,INDEX('Responses'!$AR$2:$AR$501,K53),INDEX('Paper sign-ups'!$V$2:$V$101,K53-10000)))</f>
        <v/>
      </c>
      <c r="J53" s="18">
        <f>IF(K53="","",IF(K53&lt;10000,"Online form","Paper"))</f>
        <v/>
      </c>
      <c r="K53" s="22">
        <f>IF(ISNUMBER(MATCH(48,'Responses'!$AV$2:$AV$501,0)),MATCH(48,'Responses'!$AV$2:$AV$501,0),IF(ISNUMBER(MATCH(48,'Paper sign-ups'!$Z$2:$Z$101,0)),10000+MATCH(48,'Paper sign-ups'!$Z$2:$Z$101,0),""))</f>
        <v/>
      </c>
    </row>
    <row r="54">
      <c r="A54" s="18">
        <f>IF(K54="","",49)</f>
        <v/>
      </c>
      <c r="B54" s="10">
        <f>IF(K54="","",IF(K54&lt;10000,INDEX('Responses'!$AE$2:$AE$501,K54),INDEX('Paper sign-ups'!$I$2:$I$101,K54-10000)))</f>
        <v/>
      </c>
      <c r="C54" s="19">
        <f>IF(K54="","",IF(K54&lt;10000,INDEX('Responses'!$AF$2:$AF$501,K54),INDEX('Paper sign-ups'!$J$2:$J$101,K54-10000)))</f>
        <v/>
      </c>
      <c r="D54" s="18">
        <f>IF(K54="","",IF(K54&lt;10000,INDEX('Responses'!$AH$2:$AH$501,K54),INDEX('Paper sign-ups'!$L$2:$L$101,K54-10000)))</f>
        <v/>
      </c>
      <c r="E54" s="20">
        <f>IF(K54="","",IF(K54&lt;10000,INDEX('Responses'!$AL$2:$AL$501,K54),INDEX('Paper sign-ups'!$P$2:$P$101,K54-10000)))</f>
        <v/>
      </c>
      <c r="F54" s="20">
        <f>IF(K54="","",IF(K54&lt;10000,INDEX('Responses'!$AN$2:$AN$501,K54),INDEX('Paper sign-ups'!$R$2:$R$101,K54-10000)))</f>
        <v/>
      </c>
      <c r="G54" s="18">
        <f>IF(K54="","",IF(K54&lt;10000,INDEX('Responses'!$AO$2:$AO$501,K54),INDEX('Paper sign-ups'!$S$2:$S$101,K54-10000)))</f>
        <v/>
      </c>
      <c r="H54" s="19">
        <f>IF(K54="","",IF(K54&lt;10000,INDEX('Responses'!$AI$2:$AI$501,K54),INDEX('Paper sign-ups'!$M$2:$M$101,K54-10000)))</f>
        <v/>
      </c>
      <c r="I54" s="21">
        <f>IF(K54="","",IF(K54&lt;10000,INDEX('Responses'!$AR$2:$AR$501,K54),INDEX('Paper sign-ups'!$V$2:$V$101,K54-10000)))</f>
        <v/>
      </c>
      <c r="J54" s="18">
        <f>IF(K54="","",IF(K54&lt;10000,"Online form","Paper"))</f>
        <v/>
      </c>
      <c r="K54" s="22">
        <f>IF(ISNUMBER(MATCH(49,'Responses'!$AV$2:$AV$501,0)),MATCH(49,'Responses'!$AV$2:$AV$501,0),IF(ISNUMBER(MATCH(49,'Paper sign-ups'!$Z$2:$Z$101,0)),10000+MATCH(49,'Paper sign-ups'!$Z$2:$Z$101,0),""))</f>
        <v/>
      </c>
    </row>
    <row r="55">
      <c r="A55" s="18">
        <f>IF(K55="","",50)</f>
        <v/>
      </c>
      <c r="B55" s="10">
        <f>IF(K55="","",IF(K55&lt;10000,INDEX('Responses'!$AE$2:$AE$501,K55),INDEX('Paper sign-ups'!$I$2:$I$101,K55-10000)))</f>
        <v/>
      </c>
      <c r="C55" s="19">
        <f>IF(K55="","",IF(K55&lt;10000,INDEX('Responses'!$AF$2:$AF$501,K55),INDEX('Paper sign-ups'!$J$2:$J$101,K55-10000)))</f>
        <v/>
      </c>
      <c r="D55" s="18">
        <f>IF(K55="","",IF(K55&lt;10000,INDEX('Responses'!$AH$2:$AH$501,K55),INDEX('Paper sign-ups'!$L$2:$L$101,K55-10000)))</f>
        <v/>
      </c>
      <c r="E55" s="20">
        <f>IF(K55="","",IF(K55&lt;10000,INDEX('Responses'!$AL$2:$AL$501,K55),INDEX('Paper sign-ups'!$P$2:$P$101,K55-10000)))</f>
        <v/>
      </c>
      <c r="F55" s="20">
        <f>IF(K55="","",IF(K55&lt;10000,INDEX('Responses'!$AN$2:$AN$501,K55),INDEX('Paper sign-ups'!$R$2:$R$101,K55-10000)))</f>
        <v/>
      </c>
      <c r="G55" s="18">
        <f>IF(K55="","",IF(K55&lt;10000,INDEX('Responses'!$AO$2:$AO$501,K55),INDEX('Paper sign-ups'!$S$2:$S$101,K55-10000)))</f>
        <v/>
      </c>
      <c r="H55" s="19">
        <f>IF(K55="","",IF(K55&lt;10000,INDEX('Responses'!$AI$2:$AI$501,K55),INDEX('Paper sign-ups'!$M$2:$M$101,K55-10000)))</f>
        <v/>
      </c>
      <c r="I55" s="21">
        <f>IF(K55="","",IF(K55&lt;10000,INDEX('Responses'!$AR$2:$AR$501,K55),INDEX('Paper sign-ups'!$V$2:$V$101,K55-10000)))</f>
        <v/>
      </c>
      <c r="J55" s="18">
        <f>IF(K55="","",IF(K55&lt;10000,"Online form","Paper"))</f>
        <v/>
      </c>
      <c r="K55" s="22">
        <f>IF(ISNUMBER(MATCH(50,'Responses'!$AV$2:$AV$501,0)),MATCH(50,'Responses'!$AV$2:$AV$501,0),IF(ISNUMBER(MATCH(50,'Paper sign-ups'!$Z$2:$Z$101,0)),10000+MATCH(50,'Paper sign-ups'!$Z$2:$Z$101,0),""))</f>
        <v/>
      </c>
    </row>
    <row r="56">
      <c r="A56" s="18">
        <f>IF(K56="","",51)</f>
        <v/>
      </c>
      <c r="B56" s="10">
        <f>IF(K56="","",IF(K56&lt;10000,INDEX('Responses'!$AE$2:$AE$501,K56),INDEX('Paper sign-ups'!$I$2:$I$101,K56-10000)))</f>
        <v/>
      </c>
      <c r="C56" s="19">
        <f>IF(K56="","",IF(K56&lt;10000,INDEX('Responses'!$AF$2:$AF$501,K56),INDEX('Paper sign-ups'!$J$2:$J$101,K56-10000)))</f>
        <v/>
      </c>
      <c r="D56" s="18">
        <f>IF(K56="","",IF(K56&lt;10000,INDEX('Responses'!$AH$2:$AH$501,K56),INDEX('Paper sign-ups'!$L$2:$L$101,K56-10000)))</f>
        <v/>
      </c>
      <c r="E56" s="20">
        <f>IF(K56="","",IF(K56&lt;10000,INDEX('Responses'!$AL$2:$AL$501,K56),INDEX('Paper sign-ups'!$P$2:$P$101,K56-10000)))</f>
        <v/>
      </c>
      <c r="F56" s="20">
        <f>IF(K56="","",IF(K56&lt;10000,INDEX('Responses'!$AN$2:$AN$501,K56),INDEX('Paper sign-ups'!$R$2:$R$101,K56-10000)))</f>
        <v/>
      </c>
      <c r="G56" s="18">
        <f>IF(K56="","",IF(K56&lt;10000,INDEX('Responses'!$AO$2:$AO$501,K56),INDEX('Paper sign-ups'!$S$2:$S$101,K56-10000)))</f>
        <v/>
      </c>
      <c r="H56" s="19">
        <f>IF(K56="","",IF(K56&lt;10000,INDEX('Responses'!$AI$2:$AI$501,K56),INDEX('Paper sign-ups'!$M$2:$M$101,K56-10000)))</f>
        <v/>
      </c>
      <c r="I56" s="21">
        <f>IF(K56="","",IF(K56&lt;10000,INDEX('Responses'!$AR$2:$AR$501,K56),INDEX('Paper sign-ups'!$V$2:$V$101,K56-10000)))</f>
        <v/>
      </c>
      <c r="J56" s="18">
        <f>IF(K56="","",IF(K56&lt;10000,"Online form","Paper"))</f>
        <v/>
      </c>
      <c r="K56" s="22">
        <f>IF(ISNUMBER(MATCH(51,'Responses'!$AV$2:$AV$501,0)),MATCH(51,'Responses'!$AV$2:$AV$501,0),IF(ISNUMBER(MATCH(51,'Paper sign-ups'!$Z$2:$Z$101,0)),10000+MATCH(51,'Paper sign-ups'!$Z$2:$Z$101,0),""))</f>
        <v/>
      </c>
    </row>
    <row r="57">
      <c r="A57" s="18">
        <f>IF(K57="","",52)</f>
        <v/>
      </c>
      <c r="B57" s="10">
        <f>IF(K57="","",IF(K57&lt;10000,INDEX('Responses'!$AE$2:$AE$501,K57),INDEX('Paper sign-ups'!$I$2:$I$101,K57-10000)))</f>
        <v/>
      </c>
      <c r="C57" s="19">
        <f>IF(K57="","",IF(K57&lt;10000,INDEX('Responses'!$AF$2:$AF$501,K57),INDEX('Paper sign-ups'!$J$2:$J$101,K57-10000)))</f>
        <v/>
      </c>
      <c r="D57" s="18">
        <f>IF(K57="","",IF(K57&lt;10000,INDEX('Responses'!$AH$2:$AH$501,K57),INDEX('Paper sign-ups'!$L$2:$L$101,K57-10000)))</f>
        <v/>
      </c>
      <c r="E57" s="20">
        <f>IF(K57="","",IF(K57&lt;10000,INDEX('Responses'!$AL$2:$AL$501,K57),INDEX('Paper sign-ups'!$P$2:$P$101,K57-10000)))</f>
        <v/>
      </c>
      <c r="F57" s="20">
        <f>IF(K57="","",IF(K57&lt;10000,INDEX('Responses'!$AN$2:$AN$501,K57),INDEX('Paper sign-ups'!$R$2:$R$101,K57-10000)))</f>
        <v/>
      </c>
      <c r="G57" s="18">
        <f>IF(K57="","",IF(K57&lt;10000,INDEX('Responses'!$AO$2:$AO$501,K57),INDEX('Paper sign-ups'!$S$2:$S$101,K57-10000)))</f>
        <v/>
      </c>
      <c r="H57" s="19">
        <f>IF(K57="","",IF(K57&lt;10000,INDEX('Responses'!$AI$2:$AI$501,K57),INDEX('Paper sign-ups'!$M$2:$M$101,K57-10000)))</f>
        <v/>
      </c>
      <c r="I57" s="21">
        <f>IF(K57="","",IF(K57&lt;10000,INDEX('Responses'!$AR$2:$AR$501,K57),INDEX('Paper sign-ups'!$V$2:$V$101,K57-10000)))</f>
        <v/>
      </c>
      <c r="J57" s="18">
        <f>IF(K57="","",IF(K57&lt;10000,"Online form","Paper"))</f>
        <v/>
      </c>
      <c r="K57" s="22">
        <f>IF(ISNUMBER(MATCH(52,'Responses'!$AV$2:$AV$501,0)),MATCH(52,'Responses'!$AV$2:$AV$501,0),IF(ISNUMBER(MATCH(52,'Paper sign-ups'!$Z$2:$Z$101,0)),10000+MATCH(52,'Paper sign-ups'!$Z$2:$Z$101,0),""))</f>
        <v/>
      </c>
    </row>
    <row r="58">
      <c r="A58" s="18">
        <f>IF(K58="","",53)</f>
        <v/>
      </c>
      <c r="B58" s="10">
        <f>IF(K58="","",IF(K58&lt;10000,INDEX('Responses'!$AE$2:$AE$501,K58),INDEX('Paper sign-ups'!$I$2:$I$101,K58-10000)))</f>
        <v/>
      </c>
      <c r="C58" s="19">
        <f>IF(K58="","",IF(K58&lt;10000,INDEX('Responses'!$AF$2:$AF$501,K58),INDEX('Paper sign-ups'!$J$2:$J$101,K58-10000)))</f>
        <v/>
      </c>
      <c r="D58" s="18">
        <f>IF(K58="","",IF(K58&lt;10000,INDEX('Responses'!$AH$2:$AH$501,K58),INDEX('Paper sign-ups'!$L$2:$L$101,K58-10000)))</f>
        <v/>
      </c>
      <c r="E58" s="20">
        <f>IF(K58="","",IF(K58&lt;10000,INDEX('Responses'!$AL$2:$AL$501,K58),INDEX('Paper sign-ups'!$P$2:$P$101,K58-10000)))</f>
        <v/>
      </c>
      <c r="F58" s="20">
        <f>IF(K58="","",IF(K58&lt;10000,INDEX('Responses'!$AN$2:$AN$501,K58),INDEX('Paper sign-ups'!$R$2:$R$101,K58-10000)))</f>
        <v/>
      </c>
      <c r="G58" s="18">
        <f>IF(K58="","",IF(K58&lt;10000,INDEX('Responses'!$AO$2:$AO$501,K58),INDEX('Paper sign-ups'!$S$2:$S$101,K58-10000)))</f>
        <v/>
      </c>
      <c r="H58" s="19">
        <f>IF(K58="","",IF(K58&lt;10000,INDEX('Responses'!$AI$2:$AI$501,K58),INDEX('Paper sign-ups'!$M$2:$M$101,K58-10000)))</f>
        <v/>
      </c>
      <c r="I58" s="21">
        <f>IF(K58="","",IF(K58&lt;10000,INDEX('Responses'!$AR$2:$AR$501,K58),INDEX('Paper sign-ups'!$V$2:$V$101,K58-10000)))</f>
        <v/>
      </c>
      <c r="J58" s="18">
        <f>IF(K58="","",IF(K58&lt;10000,"Online form","Paper"))</f>
        <v/>
      </c>
      <c r="K58" s="22">
        <f>IF(ISNUMBER(MATCH(53,'Responses'!$AV$2:$AV$501,0)),MATCH(53,'Responses'!$AV$2:$AV$501,0),IF(ISNUMBER(MATCH(53,'Paper sign-ups'!$Z$2:$Z$101,0)),10000+MATCH(53,'Paper sign-ups'!$Z$2:$Z$101,0),""))</f>
        <v/>
      </c>
    </row>
    <row r="59">
      <c r="A59" s="18">
        <f>IF(K59="","",54)</f>
        <v/>
      </c>
      <c r="B59" s="10">
        <f>IF(K59="","",IF(K59&lt;10000,INDEX('Responses'!$AE$2:$AE$501,K59),INDEX('Paper sign-ups'!$I$2:$I$101,K59-10000)))</f>
        <v/>
      </c>
      <c r="C59" s="19">
        <f>IF(K59="","",IF(K59&lt;10000,INDEX('Responses'!$AF$2:$AF$501,K59),INDEX('Paper sign-ups'!$J$2:$J$101,K59-10000)))</f>
        <v/>
      </c>
      <c r="D59" s="18">
        <f>IF(K59="","",IF(K59&lt;10000,INDEX('Responses'!$AH$2:$AH$501,K59),INDEX('Paper sign-ups'!$L$2:$L$101,K59-10000)))</f>
        <v/>
      </c>
      <c r="E59" s="20">
        <f>IF(K59="","",IF(K59&lt;10000,INDEX('Responses'!$AL$2:$AL$501,K59),INDEX('Paper sign-ups'!$P$2:$P$101,K59-10000)))</f>
        <v/>
      </c>
      <c r="F59" s="20">
        <f>IF(K59="","",IF(K59&lt;10000,INDEX('Responses'!$AN$2:$AN$501,K59),INDEX('Paper sign-ups'!$R$2:$R$101,K59-10000)))</f>
        <v/>
      </c>
      <c r="G59" s="18">
        <f>IF(K59="","",IF(K59&lt;10000,INDEX('Responses'!$AO$2:$AO$501,K59),INDEX('Paper sign-ups'!$S$2:$S$101,K59-10000)))</f>
        <v/>
      </c>
      <c r="H59" s="19">
        <f>IF(K59="","",IF(K59&lt;10000,INDEX('Responses'!$AI$2:$AI$501,K59),INDEX('Paper sign-ups'!$M$2:$M$101,K59-10000)))</f>
        <v/>
      </c>
      <c r="I59" s="21">
        <f>IF(K59="","",IF(K59&lt;10000,INDEX('Responses'!$AR$2:$AR$501,K59),INDEX('Paper sign-ups'!$V$2:$V$101,K59-10000)))</f>
        <v/>
      </c>
      <c r="J59" s="18">
        <f>IF(K59="","",IF(K59&lt;10000,"Online form","Paper"))</f>
        <v/>
      </c>
      <c r="K59" s="22">
        <f>IF(ISNUMBER(MATCH(54,'Responses'!$AV$2:$AV$501,0)),MATCH(54,'Responses'!$AV$2:$AV$501,0),IF(ISNUMBER(MATCH(54,'Paper sign-ups'!$Z$2:$Z$101,0)),10000+MATCH(54,'Paper sign-ups'!$Z$2:$Z$101,0),""))</f>
        <v/>
      </c>
    </row>
    <row r="60">
      <c r="A60" s="18">
        <f>IF(K60="","",55)</f>
        <v/>
      </c>
      <c r="B60" s="10">
        <f>IF(K60="","",IF(K60&lt;10000,INDEX('Responses'!$AE$2:$AE$501,K60),INDEX('Paper sign-ups'!$I$2:$I$101,K60-10000)))</f>
        <v/>
      </c>
      <c r="C60" s="19">
        <f>IF(K60="","",IF(K60&lt;10000,INDEX('Responses'!$AF$2:$AF$501,K60),INDEX('Paper sign-ups'!$J$2:$J$101,K60-10000)))</f>
        <v/>
      </c>
      <c r="D60" s="18">
        <f>IF(K60="","",IF(K60&lt;10000,INDEX('Responses'!$AH$2:$AH$501,K60),INDEX('Paper sign-ups'!$L$2:$L$101,K60-10000)))</f>
        <v/>
      </c>
      <c r="E60" s="20">
        <f>IF(K60="","",IF(K60&lt;10000,INDEX('Responses'!$AL$2:$AL$501,K60),INDEX('Paper sign-ups'!$P$2:$P$101,K60-10000)))</f>
        <v/>
      </c>
      <c r="F60" s="20">
        <f>IF(K60="","",IF(K60&lt;10000,INDEX('Responses'!$AN$2:$AN$501,K60),INDEX('Paper sign-ups'!$R$2:$R$101,K60-10000)))</f>
        <v/>
      </c>
      <c r="G60" s="18">
        <f>IF(K60="","",IF(K60&lt;10000,INDEX('Responses'!$AO$2:$AO$501,K60),INDEX('Paper sign-ups'!$S$2:$S$101,K60-10000)))</f>
        <v/>
      </c>
      <c r="H60" s="19">
        <f>IF(K60="","",IF(K60&lt;10000,INDEX('Responses'!$AI$2:$AI$501,K60),INDEX('Paper sign-ups'!$M$2:$M$101,K60-10000)))</f>
        <v/>
      </c>
      <c r="I60" s="21">
        <f>IF(K60="","",IF(K60&lt;10000,INDEX('Responses'!$AR$2:$AR$501,K60),INDEX('Paper sign-ups'!$V$2:$V$101,K60-10000)))</f>
        <v/>
      </c>
      <c r="J60" s="18">
        <f>IF(K60="","",IF(K60&lt;10000,"Online form","Paper"))</f>
        <v/>
      </c>
      <c r="K60" s="22">
        <f>IF(ISNUMBER(MATCH(55,'Responses'!$AV$2:$AV$501,0)),MATCH(55,'Responses'!$AV$2:$AV$501,0),IF(ISNUMBER(MATCH(55,'Paper sign-ups'!$Z$2:$Z$101,0)),10000+MATCH(55,'Paper sign-ups'!$Z$2:$Z$101,0),""))</f>
        <v/>
      </c>
    </row>
    <row r="61">
      <c r="A61" s="18">
        <f>IF(K61="","",56)</f>
        <v/>
      </c>
      <c r="B61" s="10">
        <f>IF(K61="","",IF(K61&lt;10000,INDEX('Responses'!$AE$2:$AE$501,K61),INDEX('Paper sign-ups'!$I$2:$I$101,K61-10000)))</f>
        <v/>
      </c>
      <c r="C61" s="19">
        <f>IF(K61="","",IF(K61&lt;10000,INDEX('Responses'!$AF$2:$AF$501,K61),INDEX('Paper sign-ups'!$J$2:$J$101,K61-10000)))</f>
        <v/>
      </c>
      <c r="D61" s="18">
        <f>IF(K61="","",IF(K61&lt;10000,INDEX('Responses'!$AH$2:$AH$501,K61),INDEX('Paper sign-ups'!$L$2:$L$101,K61-10000)))</f>
        <v/>
      </c>
      <c r="E61" s="20">
        <f>IF(K61="","",IF(K61&lt;10000,INDEX('Responses'!$AL$2:$AL$501,K61),INDEX('Paper sign-ups'!$P$2:$P$101,K61-10000)))</f>
        <v/>
      </c>
      <c r="F61" s="20">
        <f>IF(K61="","",IF(K61&lt;10000,INDEX('Responses'!$AN$2:$AN$501,K61),INDEX('Paper sign-ups'!$R$2:$R$101,K61-10000)))</f>
        <v/>
      </c>
      <c r="G61" s="18">
        <f>IF(K61="","",IF(K61&lt;10000,INDEX('Responses'!$AO$2:$AO$501,K61),INDEX('Paper sign-ups'!$S$2:$S$101,K61-10000)))</f>
        <v/>
      </c>
      <c r="H61" s="19">
        <f>IF(K61="","",IF(K61&lt;10000,INDEX('Responses'!$AI$2:$AI$501,K61),INDEX('Paper sign-ups'!$M$2:$M$101,K61-10000)))</f>
        <v/>
      </c>
      <c r="I61" s="21">
        <f>IF(K61="","",IF(K61&lt;10000,INDEX('Responses'!$AR$2:$AR$501,K61),INDEX('Paper sign-ups'!$V$2:$V$101,K61-10000)))</f>
        <v/>
      </c>
      <c r="J61" s="18">
        <f>IF(K61="","",IF(K61&lt;10000,"Online form","Paper"))</f>
        <v/>
      </c>
      <c r="K61" s="22">
        <f>IF(ISNUMBER(MATCH(56,'Responses'!$AV$2:$AV$501,0)),MATCH(56,'Responses'!$AV$2:$AV$501,0),IF(ISNUMBER(MATCH(56,'Paper sign-ups'!$Z$2:$Z$101,0)),10000+MATCH(56,'Paper sign-ups'!$Z$2:$Z$101,0),""))</f>
        <v/>
      </c>
    </row>
    <row r="62">
      <c r="A62" s="18">
        <f>IF(K62="","",57)</f>
        <v/>
      </c>
      <c r="B62" s="10">
        <f>IF(K62="","",IF(K62&lt;10000,INDEX('Responses'!$AE$2:$AE$501,K62),INDEX('Paper sign-ups'!$I$2:$I$101,K62-10000)))</f>
        <v/>
      </c>
      <c r="C62" s="19">
        <f>IF(K62="","",IF(K62&lt;10000,INDEX('Responses'!$AF$2:$AF$501,K62),INDEX('Paper sign-ups'!$J$2:$J$101,K62-10000)))</f>
        <v/>
      </c>
      <c r="D62" s="18">
        <f>IF(K62="","",IF(K62&lt;10000,INDEX('Responses'!$AH$2:$AH$501,K62),INDEX('Paper sign-ups'!$L$2:$L$101,K62-10000)))</f>
        <v/>
      </c>
      <c r="E62" s="20">
        <f>IF(K62="","",IF(K62&lt;10000,INDEX('Responses'!$AL$2:$AL$501,K62),INDEX('Paper sign-ups'!$P$2:$P$101,K62-10000)))</f>
        <v/>
      </c>
      <c r="F62" s="20">
        <f>IF(K62="","",IF(K62&lt;10000,INDEX('Responses'!$AN$2:$AN$501,K62),INDEX('Paper sign-ups'!$R$2:$R$101,K62-10000)))</f>
        <v/>
      </c>
      <c r="G62" s="18">
        <f>IF(K62="","",IF(K62&lt;10000,INDEX('Responses'!$AO$2:$AO$501,K62),INDEX('Paper sign-ups'!$S$2:$S$101,K62-10000)))</f>
        <v/>
      </c>
      <c r="H62" s="19">
        <f>IF(K62="","",IF(K62&lt;10000,INDEX('Responses'!$AI$2:$AI$501,K62),INDEX('Paper sign-ups'!$M$2:$M$101,K62-10000)))</f>
        <v/>
      </c>
      <c r="I62" s="21">
        <f>IF(K62="","",IF(K62&lt;10000,INDEX('Responses'!$AR$2:$AR$501,K62),INDEX('Paper sign-ups'!$V$2:$V$101,K62-10000)))</f>
        <v/>
      </c>
      <c r="J62" s="18">
        <f>IF(K62="","",IF(K62&lt;10000,"Online form","Paper"))</f>
        <v/>
      </c>
      <c r="K62" s="22">
        <f>IF(ISNUMBER(MATCH(57,'Responses'!$AV$2:$AV$501,0)),MATCH(57,'Responses'!$AV$2:$AV$501,0),IF(ISNUMBER(MATCH(57,'Paper sign-ups'!$Z$2:$Z$101,0)),10000+MATCH(57,'Paper sign-ups'!$Z$2:$Z$101,0),""))</f>
        <v/>
      </c>
    </row>
    <row r="63">
      <c r="A63" s="18">
        <f>IF(K63="","",58)</f>
        <v/>
      </c>
      <c r="B63" s="10">
        <f>IF(K63="","",IF(K63&lt;10000,INDEX('Responses'!$AE$2:$AE$501,K63),INDEX('Paper sign-ups'!$I$2:$I$101,K63-10000)))</f>
        <v/>
      </c>
      <c r="C63" s="19">
        <f>IF(K63="","",IF(K63&lt;10000,INDEX('Responses'!$AF$2:$AF$501,K63),INDEX('Paper sign-ups'!$J$2:$J$101,K63-10000)))</f>
        <v/>
      </c>
      <c r="D63" s="18">
        <f>IF(K63="","",IF(K63&lt;10000,INDEX('Responses'!$AH$2:$AH$501,K63),INDEX('Paper sign-ups'!$L$2:$L$101,K63-10000)))</f>
        <v/>
      </c>
      <c r="E63" s="20">
        <f>IF(K63="","",IF(K63&lt;10000,INDEX('Responses'!$AL$2:$AL$501,K63),INDEX('Paper sign-ups'!$P$2:$P$101,K63-10000)))</f>
        <v/>
      </c>
      <c r="F63" s="20">
        <f>IF(K63="","",IF(K63&lt;10000,INDEX('Responses'!$AN$2:$AN$501,K63),INDEX('Paper sign-ups'!$R$2:$R$101,K63-10000)))</f>
        <v/>
      </c>
      <c r="G63" s="18">
        <f>IF(K63="","",IF(K63&lt;10000,INDEX('Responses'!$AO$2:$AO$501,K63),INDEX('Paper sign-ups'!$S$2:$S$101,K63-10000)))</f>
        <v/>
      </c>
      <c r="H63" s="19">
        <f>IF(K63="","",IF(K63&lt;10000,INDEX('Responses'!$AI$2:$AI$501,K63),INDEX('Paper sign-ups'!$M$2:$M$101,K63-10000)))</f>
        <v/>
      </c>
      <c r="I63" s="21">
        <f>IF(K63="","",IF(K63&lt;10000,INDEX('Responses'!$AR$2:$AR$501,K63),INDEX('Paper sign-ups'!$V$2:$V$101,K63-10000)))</f>
        <v/>
      </c>
      <c r="J63" s="18">
        <f>IF(K63="","",IF(K63&lt;10000,"Online form","Paper"))</f>
        <v/>
      </c>
      <c r="K63" s="22">
        <f>IF(ISNUMBER(MATCH(58,'Responses'!$AV$2:$AV$501,0)),MATCH(58,'Responses'!$AV$2:$AV$501,0),IF(ISNUMBER(MATCH(58,'Paper sign-ups'!$Z$2:$Z$101,0)),10000+MATCH(58,'Paper sign-ups'!$Z$2:$Z$101,0),""))</f>
        <v/>
      </c>
    </row>
    <row r="64">
      <c r="A64" s="18">
        <f>IF(K64="","",59)</f>
        <v/>
      </c>
      <c r="B64" s="10">
        <f>IF(K64="","",IF(K64&lt;10000,INDEX('Responses'!$AE$2:$AE$501,K64),INDEX('Paper sign-ups'!$I$2:$I$101,K64-10000)))</f>
        <v/>
      </c>
      <c r="C64" s="19">
        <f>IF(K64="","",IF(K64&lt;10000,INDEX('Responses'!$AF$2:$AF$501,K64),INDEX('Paper sign-ups'!$J$2:$J$101,K64-10000)))</f>
        <v/>
      </c>
      <c r="D64" s="18">
        <f>IF(K64="","",IF(K64&lt;10000,INDEX('Responses'!$AH$2:$AH$501,K64),INDEX('Paper sign-ups'!$L$2:$L$101,K64-10000)))</f>
        <v/>
      </c>
      <c r="E64" s="20">
        <f>IF(K64="","",IF(K64&lt;10000,INDEX('Responses'!$AL$2:$AL$501,K64),INDEX('Paper sign-ups'!$P$2:$P$101,K64-10000)))</f>
        <v/>
      </c>
      <c r="F64" s="20">
        <f>IF(K64="","",IF(K64&lt;10000,INDEX('Responses'!$AN$2:$AN$501,K64),INDEX('Paper sign-ups'!$R$2:$R$101,K64-10000)))</f>
        <v/>
      </c>
      <c r="G64" s="18">
        <f>IF(K64="","",IF(K64&lt;10000,INDEX('Responses'!$AO$2:$AO$501,K64),INDEX('Paper sign-ups'!$S$2:$S$101,K64-10000)))</f>
        <v/>
      </c>
      <c r="H64" s="19">
        <f>IF(K64="","",IF(K64&lt;10000,INDEX('Responses'!$AI$2:$AI$501,K64),INDEX('Paper sign-ups'!$M$2:$M$101,K64-10000)))</f>
        <v/>
      </c>
      <c r="I64" s="21">
        <f>IF(K64="","",IF(K64&lt;10000,INDEX('Responses'!$AR$2:$AR$501,K64),INDEX('Paper sign-ups'!$V$2:$V$101,K64-10000)))</f>
        <v/>
      </c>
      <c r="J64" s="18">
        <f>IF(K64="","",IF(K64&lt;10000,"Online form","Paper"))</f>
        <v/>
      </c>
      <c r="K64" s="22">
        <f>IF(ISNUMBER(MATCH(59,'Responses'!$AV$2:$AV$501,0)),MATCH(59,'Responses'!$AV$2:$AV$501,0),IF(ISNUMBER(MATCH(59,'Paper sign-ups'!$Z$2:$Z$101,0)),10000+MATCH(59,'Paper sign-ups'!$Z$2:$Z$101,0),""))</f>
        <v/>
      </c>
    </row>
    <row r="65">
      <c r="A65" s="18">
        <f>IF(K65="","",60)</f>
        <v/>
      </c>
      <c r="B65" s="10">
        <f>IF(K65="","",IF(K65&lt;10000,INDEX('Responses'!$AE$2:$AE$501,K65),INDEX('Paper sign-ups'!$I$2:$I$101,K65-10000)))</f>
        <v/>
      </c>
      <c r="C65" s="19">
        <f>IF(K65="","",IF(K65&lt;10000,INDEX('Responses'!$AF$2:$AF$501,K65),INDEX('Paper sign-ups'!$J$2:$J$101,K65-10000)))</f>
        <v/>
      </c>
      <c r="D65" s="18">
        <f>IF(K65="","",IF(K65&lt;10000,INDEX('Responses'!$AH$2:$AH$501,K65),INDEX('Paper sign-ups'!$L$2:$L$101,K65-10000)))</f>
        <v/>
      </c>
      <c r="E65" s="20">
        <f>IF(K65="","",IF(K65&lt;10000,INDEX('Responses'!$AL$2:$AL$501,K65),INDEX('Paper sign-ups'!$P$2:$P$101,K65-10000)))</f>
        <v/>
      </c>
      <c r="F65" s="20">
        <f>IF(K65="","",IF(K65&lt;10000,INDEX('Responses'!$AN$2:$AN$501,K65),INDEX('Paper sign-ups'!$R$2:$R$101,K65-10000)))</f>
        <v/>
      </c>
      <c r="G65" s="18">
        <f>IF(K65="","",IF(K65&lt;10000,INDEX('Responses'!$AO$2:$AO$501,K65),INDEX('Paper sign-ups'!$S$2:$S$101,K65-10000)))</f>
        <v/>
      </c>
      <c r="H65" s="19">
        <f>IF(K65="","",IF(K65&lt;10000,INDEX('Responses'!$AI$2:$AI$501,K65),INDEX('Paper sign-ups'!$M$2:$M$101,K65-10000)))</f>
        <v/>
      </c>
      <c r="I65" s="21">
        <f>IF(K65="","",IF(K65&lt;10000,INDEX('Responses'!$AR$2:$AR$501,K65),INDEX('Paper sign-ups'!$V$2:$V$101,K65-10000)))</f>
        <v/>
      </c>
      <c r="J65" s="18">
        <f>IF(K65="","",IF(K65&lt;10000,"Online form","Paper"))</f>
        <v/>
      </c>
      <c r="K65" s="22">
        <f>IF(ISNUMBER(MATCH(60,'Responses'!$AV$2:$AV$501,0)),MATCH(60,'Responses'!$AV$2:$AV$501,0),IF(ISNUMBER(MATCH(60,'Paper sign-ups'!$Z$2:$Z$101,0)),10000+MATCH(60,'Paper sign-ups'!$Z$2:$Z$101,0),""))</f>
        <v/>
      </c>
    </row>
    <row r="66">
      <c r="A66" s="18">
        <f>IF(K66="","",61)</f>
        <v/>
      </c>
      <c r="B66" s="10">
        <f>IF(K66="","",IF(K66&lt;10000,INDEX('Responses'!$AE$2:$AE$501,K66),INDEX('Paper sign-ups'!$I$2:$I$101,K66-10000)))</f>
        <v/>
      </c>
      <c r="C66" s="19">
        <f>IF(K66="","",IF(K66&lt;10000,INDEX('Responses'!$AF$2:$AF$501,K66),INDEX('Paper sign-ups'!$J$2:$J$101,K66-10000)))</f>
        <v/>
      </c>
      <c r="D66" s="18">
        <f>IF(K66="","",IF(K66&lt;10000,INDEX('Responses'!$AH$2:$AH$501,K66),INDEX('Paper sign-ups'!$L$2:$L$101,K66-10000)))</f>
        <v/>
      </c>
      <c r="E66" s="20">
        <f>IF(K66="","",IF(K66&lt;10000,INDEX('Responses'!$AL$2:$AL$501,K66),INDEX('Paper sign-ups'!$P$2:$P$101,K66-10000)))</f>
        <v/>
      </c>
      <c r="F66" s="20">
        <f>IF(K66="","",IF(K66&lt;10000,INDEX('Responses'!$AN$2:$AN$501,K66),INDEX('Paper sign-ups'!$R$2:$R$101,K66-10000)))</f>
        <v/>
      </c>
      <c r="G66" s="18">
        <f>IF(K66="","",IF(K66&lt;10000,INDEX('Responses'!$AO$2:$AO$501,K66),INDEX('Paper sign-ups'!$S$2:$S$101,K66-10000)))</f>
        <v/>
      </c>
      <c r="H66" s="19">
        <f>IF(K66="","",IF(K66&lt;10000,INDEX('Responses'!$AI$2:$AI$501,K66),INDEX('Paper sign-ups'!$M$2:$M$101,K66-10000)))</f>
        <v/>
      </c>
      <c r="I66" s="21">
        <f>IF(K66="","",IF(K66&lt;10000,INDEX('Responses'!$AR$2:$AR$501,K66),INDEX('Paper sign-ups'!$V$2:$V$101,K66-10000)))</f>
        <v/>
      </c>
      <c r="J66" s="18">
        <f>IF(K66="","",IF(K66&lt;10000,"Online form","Paper"))</f>
        <v/>
      </c>
      <c r="K66" s="22">
        <f>IF(ISNUMBER(MATCH(61,'Responses'!$AV$2:$AV$501,0)),MATCH(61,'Responses'!$AV$2:$AV$501,0),IF(ISNUMBER(MATCH(61,'Paper sign-ups'!$Z$2:$Z$101,0)),10000+MATCH(61,'Paper sign-ups'!$Z$2:$Z$101,0),""))</f>
        <v/>
      </c>
    </row>
    <row r="67">
      <c r="A67" s="18">
        <f>IF(K67="","",62)</f>
        <v/>
      </c>
      <c r="B67" s="10">
        <f>IF(K67="","",IF(K67&lt;10000,INDEX('Responses'!$AE$2:$AE$501,K67),INDEX('Paper sign-ups'!$I$2:$I$101,K67-10000)))</f>
        <v/>
      </c>
      <c r="C67" s="19">
        <f>IF(K67="","",IF(K67&lt;10000,INDEX('Responses'!$AF$2:$AF$501,K67),INDEX('Paper sign-ups'!$J$2:$J$101,K67-10000)))</f>
        <v/>
      </c>
      <c r="D67" s="18">
        <f>IF(K67="","",IF(K67&lt;10000,INDEX('Responses'!$AH$2:$AH$501,K67),INDEX('Paper sign-ups'!$L$2:$L$101,K67-10000)))</f>
        <v/>
      </c>
      <c r="E67" s="20">
        <f>IF(K67="","",IF(K67&lt;10000,INDEX('Responses'!$AL$2:$AL$501,K67),INDEX('Paper sign-ups'!$P$2:$P$101,K67-10000)))</f>
        <v/>
      </c>
      <c r="F67" s="20">
        <f>IF(K67="","",IF(K67&lt;10000,INDEX('Responses'!$AN$2:$AN$501,K67),INDEX('Paper sign-ups'!$R$2:$R$101,K67-10000)))</f>
        <v/>
      </c>
      <c r="G67" s="18">
        <f>IF(K67="","",IF(K67&lt;10000,INDEX('Responses'!$AO$2:$AO$501,K67),INDEX('Paper sign-ups'!$S$2:$S$101,K67-10000)))</f>
        <v/>
      </c>
      <c r="H67" s="19">
        <f>IF(K67="","",IF(K67&lt;10000,INDEX('Responses'!$AI$2:$AI$501,K67),INDEX('Paper sign-ups'!$M$2:$M$101,K67-10000)))</f>
        <v/>
      </c>
      <c r="I67" s="21">
        <f>IF(K67="","",IF(K67&lt;10000,INDEX('Responses'!$AR$2:$AR$501,K67),INDEX('Paper sign-ups'!$V$2:$V$101,K67-10000)))</f>
        <v/>
      </c>
      <c r="J67" s="18">
        <f>IF(K67="","",IF(K67&lt;10000,"Online form","Paper"))</f>
        <v/>
      </c>
      <c r="K67" s="22">
        <f>IF(ISNUMBER(MATCH(62,'Responses'!$AV$2:$AV$501,0)),MATCH(62,'Responses'!$AV$2:$AV$501,0),IF(ISNUMBER(MATCH(62,'Paper sign-ups'!$Z$2:$Z$101,0)),10000+MATCH(62,'Paper sign-ups'!$Z$2:$Z$101,0),""))</f>
        <v/>
      </c>
    </row>
    <row r="68">
      <c r="A68" s="18">
        <f>IF(K68="","",63)</f>
        <v/>
      </c>
      <c r="B68" s="10">
        <f>IF(K68="","",IF(K68&lt;10000,INDEX('Responses'!$AE$2:$AE$501,K68),INDEX('Paper sign-ups'!$I$2:$I$101,K68-10000)))</f>
        <v/>
      </c>
      <c r="C68" s="19">
        <f>IF(K68="","",IF(K68&lt;10000,INDEX('Responses'!$AF$2:$AF$501,K68),INDEX('Paper sign-ups'!$J$2:$J$101,K68-10000)))</f>
        <v/>
      </c>
      <c r="D68" s="18">
        <f>IF(K68="","",IF(K68&lt;10000,INDEX('Responses'!$AH$2:$AH$501,K68),INDEX('Paper sign-ups'!$L$2:$L$101,K68-10000)))</f>
        <v/>
      </c>
      <c r="E68" s="20">
        <f>IF(K68="","",IF(K68&lt;10000,INDEX('Responses'!$AL$2:$AL$501,K68),INDEX('Paper sign-ups'!$P$2:$P$101,K68-10000)))</f>
        <v/>
      </c>
      <c r="F68" s="20">
        <f>IF(K68="","",IF(K68&lt;10000,INDEX('Responses'!$AN$2:$AN$501,K68),INDEX('Paper sign-ups'!$R$2:$R$101,K68-10000)))</f>
        <v/>
      </c>
      <c r="G68" s="18">
        <f>IF(K68="","",IF(K68&lt;10000,INDEX('Responses'!$AO$2:$AO$501,K68),INDEX('Paper sign-ups'!$S$2:$S$101,K68-10000)))</f>
        <v/>
      </c>
      <c r="H68" s="19">
        <f>IF(K68="","",IF(K68&lt;10000,INDEX('Responses'!$AI$2:$AI$501,K68),INDEX('Paper sign-ups'!$M$2:$M$101,K68-10000)))</f>
        <v/>
      </c>
      <c r="I68" s="21">
        <f>IF(K68="","",IF(K68&lt;10000,INDEX('Responses'!$AR$2:$AR$501,K68),INDEX('Paper sign-ups'!$V$2:$V$101,K68-10000)))</f>
        <v/>
      </c>
      <c r="J68" s="18">
        <f>IF(K68="","",IF(K68&lt;10000,"Online form","Paper"))</f>
        <v/>
      </c>
      <c r="K68" s="22">
        <f>IF(ISNUMBER(MATCH(63,'Responses'!$AV$2:$AV$501,0)),MATCH(63,'Responses'!$AV$2:$AV$501,0),IF(ISNUMBER(MATCH(63,'Paper sign-ups'!$Z$2:$Z$101,0)),10000+MATCH(63,'Paper sign-ups'!$Z$2:$Z$101,0),""))</f>
        <v/>
      </c>
    </row>
    <row r="69">
      <c r="A69" s="18">
        <f>IF(K69="","",64)</f>
        <v/>
      </c>
      <c r="B69" s="10">
        <f>IF(K69="","",IF(K69&lt;10000,INDEX('Responses'!$AE$2:$AE$501,K69),INDEX('Paper sign-ups'!$I$2:$I$101,K69-10000)))</f>
        <v/>
      </c>
      <c r="C69" s="19">
        <f>IF(K69="","",IF(K69&lt;10000,INDEX('Responses'!$AF$2:$AF$501,K69),INDEX('Paper sign-ups'!$J$2:$J$101,K69-10000)))</f>
        <v/>
      </c>
      <c r="D69" s="18">
        <f>IF(K69="","",IF(K69&lt;10000,INDEX('Responses'!$AH$2:$AH$501,K69),INDEX('Paper sign-ups'!$L$2:$L$101,K69-10000)))</f>
        <v/>
      </c>
      <c r="E69" s="20">
        <f>IF(K69="","",IF(K69&lt;10000,INDEX('Responses'!$AL$2:$AL$501,K69),INDEX('Paper sign-ups'!$P$2:$P$101,K69-10000)))</f>
        <v/>
      </c>
      <c r="F69" s="20">
        <f>IF(K69="","",IF(K69&lt;10000,INDEX('Responses'!$AN$2:$AN$501,K69),INDEX('Paper sign-ups'!$R$2:$R$101,K69-10000)))</f>
        <v/>
      </c>
      <c r="G69" s="18">
        <f>IF(K69="","",IF(K69&lt;10000,INDEX('Responses'!$AO$2:$AO$501,K69),INDEX('Paper sign-ups'!$S$2:$S$101,K69-10000)))</f>
        <v/>
      </c>
      <c r="H69" s="19">
        <f>IF(K69="","",IF(K69&lt;10000,INDEX('Responses'!$AI$2:$AI$501,K69),INDEX('Paper sign-ups'!$M$2:$M$101,K69-10000)))</f>
        <v/>
      </c>
      <c r="I69" s="21">
        <f>IF(K69="","",IF(K69&lt;10000,INDEX('Responses'!$AR$2:$AR$501,K69),INDEX('Paper sign-ups'!$V$2:$V$101,K69-10000)))</f>
        <v/>
      </c>
      <c r="J69" s="18">
        <f>IF(K69="","",IF(K69&lt;10000,"Online form","Paper"))</f>
        <v/>
      </c>
      <c r="K69" s="22">
        <f>IF(ISNUMBER(MATCH(64,'Responses'!$AV$2:$AV$501,0)),MATCH(64,'Responses'!$AV$2:$AV$501,0),IF(ISNUMBER(MATCH(64,'Paper sign-ups'!$Z$2:$Z$101,0)),10000+MATCH(64,'Paper sign-ups'!$Z$2:$Z$101,0),""))</f>
        <v/>
      </c>
    </row>
    <row r="70">
      <c r="A70" s="18">
        <f>IF(K70="","",65)</f>
        <v/>
      </c>
      <c r="B70" s="10">
        <f>IF(K70="","",IF(K70&lt;10000,INDEX('Responses'!$AE$2:$AE$501,K70),INDEX('Paper sign-ups'!$I$2:$I$101,K70-10000)))</f>
        <v/>
      </c>
      <c r="C70" s="19">
        <f>IF(K70="","",IF(K70&lt;10000,INDEX('Responses'!$AF$2:$AF$501,K70),INDEX('Paper sign-ups'!$J$2:$J$101,K70-10000)))</f>
        <v/>
      </c>
      <c r="D70" s="18">
        <f>IF(K70="","",IF(K70&lt;10000,INDEX('Responses'!$AH$2:$AH$501,K70),INDEX('Paper sign-ups'!$L$2:$L$101,K70-10000)))</f>
        <v/>
      </c>
      <c r="E70" s="20">
        <f>IF(K70="","",IF(K70&lt;10000,INDEX('Responses'!$AL$2:$AL$501,K70),INDEX('Paper sign-ups'!$P$2:$P$101,K70-10000)))</f>
        <v/>
      </c>
      <c r="F70" s="20">
        <f>IF(K70="","",IF(K70&lt;10000,INDEX('Responses'!$AN$2:$AN$501,K70),INDEX('Paper sign-ups'!$R$2:$R$101,K70-10000)))</f>
        <v/>
      </c>
      <c r="G70" s="18">
        <f>IF(K70="","",IF(K70&lt;10000,INDEX('Responses'!$AO$2:$AO$501,K70),INDEX('Paper sign-ups'!$S$2:$S$101,K70-10000)))</f>
        <v/>
      </c>
      <c r="H70" s="19">
        <f>IF(K70="","",IF(K70&lt;10000,INDEX('Responses'!$AI$2:$AI$501,K70),INDEX('Paper sign-ups'!$M$2:$M$101,K70-10000)))</f>
        <v/>
      </c>
      <c r="I70" s="21">
        <f>IF(K70="","",IF(K70&lt;10000,INDEX('Responses'!$AR$2:$AR$501,K70),INDEX('Paper sign-ups'!$V$2:$V$101,K70-10000)))</f>
        <v/>
      </c>
      <c r="J70" s="18">
        <f>IF(K70="","",IF(K70&lt;10000,"Online form","Paper"))</f>
        <v/>
      </c>
      <c r="K70" s="22">
        <f>IF(ISNUMBER(MATCH(65,'Responses'!$AV$2:$AV$501,0)),MATCH(65,'Responses'!$AV$2:$AV$501,0),IF(ISNUMBER(MATCH(65,'Paper sign-ups'!$Z$2:$Z$101,0)),10000+MATCH(65,'Paper sign-ups'!$Z$2:$Z$101,0),""))</f>
        <v/>
      </c>
    </row>
    <row r="71">
      <c r="A71" s="18">
        <f>IF(K71="","",66)</f>
        <v/>
      </c>
      <c r="B71" s="10">
        <f>IF(K71="","",IF(K71&lt;10000,INDEX('Responses'!$AE$2:$AE$501,K71),INDEX('Paper sign-ups'!$I$2:$I$101,K71-10000)))</f>
        <v/>
      </c>
      <c r="C71" s="19">
        <f>IF(K71="","",IF(K71&lt;10000,INDEX('Responses'!$AF$2:$AF$501,K71),INDEX('Paper sign-ups'!$J$2:$J$101,K71-10000)))</f>
        <v/>
      </c>
      <c r="D71" s="18">
        <f>IF(K71="","",IF(K71&lt;10000,INDEX('Responses'!$AH$2:$AH$501,K71),INDEX('Paper sign-ups'!$L$2:$L$101,K71-10000)))</f>
        <v/>
      </c>
      <c r="E71" s="20">
        <f>IF(K71="","",IF(K71&lt;10000,INDEX('Responses'!$AL$2:$AL$501,K71),INDEX('Paper sign-ups'!$P$2:$P$101,K71-10000)))</f>
        <v/>
      </c>
      <c r="F71" s="20">
        <f>IF(K71="","",IF(K71&lt;10000,INDEX('Responses'!$AN$2:$AN$501,K71),INDEX('Paper sign-ups'!$R$2:$R$101,K71-10000)))</f>
        <v/>
      </c>
      <c r="G71" s="18">
        <f>IF(K71="","",IF(K71&lt;10000,INDEX('Responses'!$AO$2:$AO$501,K71),INDEX('Paper sign-ups'!$S$2:$S$101,K71-10000)))</f>
        <v/>
      </c>
      <c r="H71" s="19">
        <f>IF(K71="","",IF(K71&lt;10000,INDEX('Responses'!$AI$2:$AI$501,K71),INDEX('Paper sign-ups'!$M$2:$M$101,K71-10000)))</f>
        <v/>
      </c>
      <c r="I71" s="21">
        <f>IF(K71="","",IF(K71&lt;10000,INDEX('Responses'!$AR$2:$AR$501,K71),INDEX('Paper sign-ups'!$V$2:$V$101,K71-10000)))</f>
        <v/>
      </c>
      <c r="J71" s="18">
        <f>IF(K71="","",IF(K71&lt;10000,"Online form","Paper"))</f>
        <v/>
      </c>
      <c r="K71" s="22">
        <f>IF(ISNUMBER(MATCH(66,'Responses'!$AV$2:$AV$501,0)),MATCH(66,'Responses'!$AV$2:$AV$501,0),IF(ISNUMBER(MATCH(66,'Paper sign-ups'!$Z$2:$Z$101,0)),10000+MATCH(66,'Paper sign-ups'!$Z$2:$Z$101,0),""))</f>
        <v/>
      </c>
    </row>
    <row r="72">
      <c r="A72" s="18">
        <f>IF(K72="","",67)</f>
        <v/>
      </c>
      <c r="B72" s="10">
        <f>IF(K72="","",IF(K72&lt;10000,INDEX('Responses'!$AE$2:$AE$501,K72),INDEX('Paper sign-ups'!$I$2:$I$101,K72-10000)))</f>
        <v/>
      </c>
      <c r="C72" s="19">
        <f>IF(K72="","",IF(K72&lt;10000,INDEX('Responses'!$AF$2:$AF$501,K72),INDEX('Paper sign-ups'!$J$2:$J$101,K72-10000)))</f>
        <v/>
      </c>
      <c r="D72" s="18">
        <f>IF(K72="","",IF(K72&lt;10000,INDEX('Responses'!$AH$2:$AH$501,K72),INDEX('Paper sign-ups'!$L$2:$L$101,K72-10000)))</f>
        <v/>
      </c>
      <c r="E72" s="20">
        <f>IF(K72="","",IF(K72&lt;10000,INDEX('Responses'!$AL$2:$AL$501,K72),INDEX('Paper sign-ups'!$P$2:$P$101,K72-10000)))</f>
        <v/>
      </c>
      <c r="F72" s="20">
        <f>IF(K72="","",IF(K72&lt;10000,INDEX('Responses'!$AN$2:$AN$501,K72),INDEX('Paper sign-ups'!$R$2:$R$101,K72-10000)))</f>
        <v/>
      </c>
      <c r="G72" s="18">
        <f>IF(K72="","",IF(K72&lt;10000,INDEX('Responses'!$AO$2:$AO$501,K72),INDEX('Paper sign-ups'!$S$2:$S$101,K72-10000)))</f>
        <v/>
      </c>
      <c r="H72" s="19">
        <f>IF(K72="","",IF(K72&lt;10000,INDEX('Responses'!$AI$2:$AI$501,K72),INDEX('Paper sign-ups'!$M$2:$M$101,K72-10000)))</f>
        <v/>
      </c>
      <c r="I72" s="21">
        <f>IF(K72="","",IF(K72&lt;10000,INDEX('Responses'!$AR$2:$AR$501,K72),INDEX('Paper sign-ups'!$V$2:$V$101,K72-10000)))</f>
        <v/>
      </c>
      <c r="J72" s="18">
        <f>IF(K72="","",IF(K72&lt;10000,"Online form","Paper"))</f>
        <v/>
      </c>
      <c r="K72" s="22">
        <f>IF(ISNUMBER(MATCH(67,'Responses'!$AV$2:$AV$501,0)),MATCH(67,'Responses'!$AV$2:$AV$501,0),IF(ISNUMBER(MATCH(67,'Paper sign-ups'!$Z$2:$Z$101,0)),10000+MATCH(67,'Paper sign-ups'!$Z$2:$Z$101,0),""))</f>
        <v/>
      </c>
    </row>
    <row r="73">
      <c r="A73" s="18">
        <f>IF(K73="","",68)</f>
        <v/>
      </c>
      <c r="B73" s="10">
        <f>IF(K73="","",IF(K73&lt;10000,INDEX('Responses'!$AE$2:$AE$501,K73),INDEX('Paper sign-ups'!$I$2:$I$101,K73-10000)))</f>
        <v/>
      </c>
      <c r="C73" s="19">
        <f>IF(K73="","",IF(K73&lt;10000,INDEX('Responses'!$AF$2:$AF$501,K73),INDEX('Paper sign-ups'!$J$2:$J$101,K73-10000)))</f>
        <v/>
      </c>
      <c r="D73" s="18">
        <f>IF(K73="","",IF(K73&lt;10000,INDEX('Responses'!$AH$2:$AH$501,K73),INDEX('Paper sign-ups'!$L$2:$L$101,K73-10000)))</f>
        <v/>
      </c>
      <c r="E73" s="20">
        <f>IF(K73="","",IF(K73&lt;10000,INDEX('Responses'!$AL$2:$AL$501,K73),INDEX('Paper sign-ups'!$P$2:$P$101,K73-10000)))</f>
        <v/>
      </c>
      <c r="F73" s="20">
        <f>IF(K73="","",IF(K73&lt;10000,INDEX('Responses'!$AN$2:$AN$501,K73),INDEX('Paper sign-ups'!$R$2:$R$101,K73-10000)))</f>
        <v/>
      </c>
      <c r="G73" s="18">
        <f>IF(K73="","",IF(K73&lt;10000,INDEX('Responses'!$AO$2:$AO$501,K73),INDEX('Paper sign-ups'!$S$2:$S$101,K73-10000)))</f>
        <v/>
      </c>
      <c r="H73" s="19">
        <f>IF(K73="","",IF(K73&lt;10000,INDEX('Responses'!$AI$2:$AI$501,K73),INDEX('Paper sign-ups'!$M$2:$M$101,K73-10000)))</f>
        <v/>
      </c>
      <c r="I73" s="21">
        <f>IF(K73="","",IF(K73&lt;10000,INDEX('Responses'!$AR$2:$AR$501,K73),INDEX('Paper sign-ups'!$V$2:$V$101,K73-10000)))</f>
        <v/>
      </c>
      <c r="J73" s="18">
        <f>IF(K73="","",IF(K73&lt;10000,"Online form","Paper"))</f>
        <v/>
      </c>
      <c r="K73" s="22">
        <f>IF(ISNUMBER(MATCH(68,'Responses'!$AV$2:$AV$501,0)),MATCH(68,'Responses'!$AV$2:$AV$501,0),IF(ISNUMBER(MATCH(68,'Paper sign-ups'!$Z$2:$Z$101,0)),10000+MATCH(68,'Paper sign-ups'!$Z$2:$Z$101,0),""))</f>
        <v/>
      </c>
    </row>
    <row r="74">
      <c r="A74" s="18">
        <f>IF(K74="","",69)</f>
        <v/>
      </c>
      <c r="B74" s="10">
        <f>IF(K74="","",IF(K74&lt;10000,INDEX('Responses'!$AE$2:$AE$501,K74),INDEX('Paper sign-ups'!$I$2:$I$101,K74-10000)))</f>
        <v/>
      </c>
      <c r="C74" s="19">
        <f>IF(K74="","",IF(K74&lt;10000,INDEX('Responses'!$AF$2:$AF$501,K74),INDEX('Paper sign-ups'!$J$2:$J$101,K74-10000)))</f>
        <v/>
      </c>
      <c r="D74" s="18">
        <f>IF(K74="","",IF(K74&lt;10000,INDEX('Responses'!$AH$2:$AH$501,K74),INDEX('Paper sign-ups'!$L$2:$L$101,K74-10000)))</f>
        <v/>
      </c>
      <c r="E74" s="20">
        <f>IF(K74="","",IF(K74&lt;10000,INDEX('Responses'!$AL$2:$AL$501,K74),INDEX('Paper sign-ups'!$P$2:$P$101,K74-10000)))</f>
        <v/>
      </c>
      <c r="F74" s="20">
        <f>IF(K74="","",IF(K74&lt;10000,INDEX('Responses'!$AN$2:$AN$501,K74),INDEX('Paper sign-ups'!$R$2:$R$101,K74-10000)))</f>
        <v/>
      </c>
      <c r="G74" s="18">
        <f>IF(K74="","",IF(K74&lt;10000,INDEX('Responses'!$AO$2:$AO$501,K74),INDEX('Paper sign-ups'!$S$2:$S$101,K74-10000)))</f>
        <v/>
      </c>
      <c r="H74" s="19">
        <f>IF(K74="","",IF(K74&lt;10000,INDEX('Responses'!$AI$2:$AI$501,K74),INDEX('Paper sign-ups'!$M$2:$M$101,K74-10000)))</f>
        <v/>
      </c>
      <c r="I74" s="21">
        <f>IF(K74="","",IF(K74&lt;10000,INDEX('Responses'!$AR$2:$AR$501,K74),INDEX('Paper sign-ups'!$V$2:$V$101,K74-10000)))</f>
        <v/>
      </c>
      <c r="J74" s="18">
        <f>IF(K74="","",IF(K74&lt;10000,"Online form","Paper"))</f>
        <v/>
      </c>
      <c r="K74" s="22">
        <f>IF(ISNUMBER(MATCH(69,'Responses'!$AV$2:$AV$501,0)),MATCH(69,'Responses'!$AV$2:$AV$501,0),IF(ISNUMBER(MATCH(69,'Paper sign-ups'!$Z$2:$Z$101,0)),10000+MATCH(69,'Paper sign-ups'!$Z$2:$Z$101,0),""))</f>
        <v/>
      </c>
    </row>
    <row r="75">
      <c r="A75" s="18">
        <f>IF(K75="","",70)</f>
        <v/>
      </c>
      <c r="B75" s="10">
        <f>IF(K75="","",IF(K75&lt;10000,INDEX('Responses'!$AE$2:$AE$501,K75),INDEX('Paper sign-ups'!$I$2:$I$101,K75-10000)))</f>
        <v/>
      </c>
      <c r="C75" s="19">
        <f>IF(K75="","",IF(K75&lt;10000,INDEX('Responses'!$AF$2:$AF$501,K75),INDEX('Paper sign-ups'!$J$2:$J$101,K75-10000)))</f>
        <v/>
      </c>
      <c r="D75" s="18">
        <f>IF(K75="","",IF(K75&lt;10000,INDEX('Responses'!$AH$2:$AH$501,K75),INDEX('Paper sign-ups'!$L$2:$L$101,K75-10000)))</f>
        <v/>
      </c>
      <c r="E75" s="20">
        <f>IF(K75="","",IF(K75&lt;10000,INDEX('Responses'!$AL$2:$AL$501,K75),INDEX('Paper sign-ups'!$P$2:$P$101,K75-10000)))</f>
        <v/>
      </c>
      <c r="F75" s="20">
        <f>IF(K75="","",IF(K75&lt;10000,INDEX('Responses'!$AN$2:$AN$501,K75),INDEX('Paper sign-ups'!$R$2:$R$101,K75-10000)))</f>
        <v/>
      </c>
      <c r="G75" s="18">
        <f>IF(K75="","",IF(K75&lt;10000,INDEX('Responses'!$AO$2:$AO$501,K75),INDEX('Paper sign-ups'!$S$2:$S$101,K75-10000)))</f>
        <v/>
      </c>
      <c r="H75" s="19">
        <f>IF(K75="","",IF(K75&lt;10000,INDEX('Responses'!$AI$2:$AI$501,K75),INDEX('Paper sign-ups'!$M$2:$M$101,K75-10000)))</f>
        <v/>
      </c>
      <c r="I75" s="21">
        <f>IF(K75="","",IF(K75&lt;10000,INDEX('Responses'!$AR$2:$AR$501,K75),INDEX('Paper sign-ups'!$V$2:$V$101,K75-10000)))</f>
        <v/>
      </c>
      <c r="J75" s="18">
        <f>IF(K75="","",IF(K75&lt;10000,"Online form","Paper"))</f>
        <v/>
      </c>
      <c r="K75" s="22">
        <f>IF(ISNUMBER(MATCH(70,'Responses'!$AV$2:$AV$501,0)),MATCH(70,'Responses'!$AV$2:$AV$501,0),IF(ISNUMBER(MATCH(70,'Paper sign-ups'!$Z$2:$Z$101,0)),10000+MATCH(70,'Paper sign-ups'!$Z$2:$Z$101,0),""))</f>
        <v/>
      </c>
    </row>
    <row r="76">
      <c r="A76" s="18">
        <f>IF(K76="","",71)</f>
        <v/>
      </c>
      <c r="B76" s="10">
        <f>IF(K76="","",IF(K76&lt;10000,INDEX('Responses'!$AE$2:$AE$501,K76),INDEX('Paper sign-ups'!$I$2:$I$101,K76-10000)))</f>
        <v/>
      </c>
      <c r="C76" s="19">
        <f>IF(K76="","",IF(K76&lt;10000,INDEX('Responses'!$AF$2:$AF$501,K76),INDEX('Paper sign-ups'!$J$2:$J$101,K76-10000)))</f>
        <v/>
      </c>
      <c r="D76" s="18">
        <f>IF(K76="","",IF(K76&lt;10000,INDEX('Responses'!$AH$2:$AH$501,K76),INDEX('Paper sign-ups'!$L$2:$L$101,K76-10000)))</f>
        <v/>
      </c>
      <c r="E76" s="20">
        <f>IF(K76="","",IF(K76&lt;10000,INDEX('Responses'!$AL$2:$AL$501,K76),INDEX('Paper sign-ups'!$P$2:$P$101,K76-10000)))</f>
        <v/>
      </c>
      <c r="F76" s="20">
        <f>IF(K76="","",IF(K76&lt;10000,INDEX('Responses'!$AN$2:$AN$501,K76),INDEX('Paper sign-ups'!$R$2:$R$101,K76-10000)))</f>
        <v/>
      </c>
      <c r="G76" s="18">
        <f>IF(K76="","",IF(K76&lt;10000,INDEX('Responses'!$AO$2:$AO$501,K76),INDEX('Paper sign-ups'!$S$2:$S$101,K76-10000)))</f>
        <v/>
      </c>
      <c r="H76" s="19">
        <f>IF(K76="","",IF(K76&lt;10000,INDEX('Responses'!$AI$2:$AI$501,K76),INDEX('Paper sign-ups'!$M$2:$M$101,K76-10000)))</f>
        <v/>
      </c>
      <c r="I76" s="21">
        <f>IF(K76="","",IF(K76&lt;10000,INDEX('Responses'!$AR$2:$AR$501,K76),INDEX('Paper sign-ups'!$V$2:$V$101,K76-10000)))</f>
        <v/>
      </c>
      <c r="J76" s="18">
        <f>IF(K76="","",IF(K76&lt;10000,"Online form","Paper"))</f>
        <v/>
      </c>
      <c r="K76" s="22">
        <f>IF(ISNUMBER(MATCH(71,'Responses'!$AV$2:$AV$501,0)),MATCH(71,'Responses'!$AV$2:$AV$501,0),IF(ISNUMBER(MATCH(71,'Paper sign-ups'!$Z$2:$Z$101,0)),10000+MATCH(71,'Paper sign-ups'!$Z$2:$Z$101,0),""))</f>
        <v/>
      </c>
    </row>
    <row r="77">
      <c r="A77" s="18">
        <f>IF(K77="","",72)</f>
        <v/>
      </c>
      <c r="B77" s="10">
        <f>IF(K77="","",IF(K77&lt;10000,INDEX('Responses'!$AE$2:$AE$501,K77),INDEX('Paper sign-ups'!$I$2:$I$101,K77-10000)))</f>
        <v/>
      </c>
      <c r="C77" s="19">
        <f>IF(K77="","",IF(K77&lt;10000,INDEX('Responses'!$AF$2:$AF$501,K77),INDEX('Paper sign-ups'!$J$2:$J$101,K77-10000)))</f>
        <v/>
      </c>
      <c r="D77" s="18">
        <f>IF(K77="","",IF(K77&lt;10000,INDEX('Responses'!$AH$2:$AH$501,K77),INDEX('Paper sign-ups'!$L$2:$L$101,K77-10000)))</f>
        <v/>
      </c>
      <c r="E77" s="20">
        <f>IF(K77="","",IF(K77&lt;10000,INDEX('Responses'!$AL$2:$AL$501,K77),INDEX('Paper sign-ups'!$P$2:$P$101,K77-10000)))</f>
        <v/>
      </c>
      <c r="F77" s="20">
        <f>IF(K77="","",IF(K77&lt;10000,INDEX('Responses'!$AN$2:$AN$501,K77),INDEX('Paper sign-ups'!$R$2:$R$101,K77-10000)))</f>
        <v/>
      </c>
      <c r="G77" s="18">
        <f>IF(K77="","",IF(K77&lt;10000,INDEX('Responses'!$AO$2:$AO$501,K77),INDEX('Paper sign-ups'!$S$2:$S$101,K77-10000)))</f>
        <v/>
      </c>
      <c r="H77" s="19">
        <f>IF(K77="","",IF(K77&lt;10000,INDEX('Responses'!$AI$2:$AI$501,K77),INDEX('Paper sign-ups'!$M$2:$M$101,K77-10000)))</f>
        <v/>
      </c>
      <c r="I77" s="21">
        <f>IF(K77="","",IF(K77&lt;10000,INDEX('Responses'!$AR$2:$AR$501,K77),INDEX('Paper sign-ups'!$V$2:$V$101,K77-10000)))</f>
        <v/>
      </c>
      <c r="J77" s="18">
        <f>IF(K77="","",IF(K77&lt;10000,"Online form","Paper"))</f>
        <v/>
      </c>
      <c r="K77" s="22">
        <f>IF(ISNUMBER(MATCH(72,'Responses'!$AV$2:$AV$501,0)),MATCH(72,'Responses'!$AV$2:$AV$501,0),IF(ISNUMBER(MATCH(72,'Paper sign-ups'!$Z$2:$Z$101,0)),10000+MATCH(72,'Paper sign-ups'!$Z$2:$Z$101,0),""))</f>
        <v/>
      </c>
    </row>
    <row r="78">
      <c r="A78" s="18">
        <f>IF(K78="","",73)</f>
        <v/>
      </c>
      <c r="B78" s="10">
        <f>IF(K78="","",IF(K78&lt;10000,INDEX('Responses'!$AE$2:$AE$501,K78),INDEX('Paper sign-ups'!$I$2:$I$101,K78-10000)))</f>
        <v/>
      </c>
      <c r="C78" s="19">
        <f>IF(K78="","",IF(K78&lt;10000,INDEX('Responses'!$AF$2:$AF$501,K78),INDEX('Paper sign-ups'!$J$2:$J$101,K78-10000)))</f>
        <v/>
      </c>
      <c r="D78" s="18">
        <f>IF(K78="","",IF(K78&lt;10000,INDEX('Responses'!$AH$2:$AH$501,K78),INDEX('Paper sign-ups'!$L$2:$L$101,K78-10000)))</f>
        <v/>
      </c>
      <c r="E78" s="20">
        <f>IF(K78="","",IF(K78&lt;10000,INDEX('Responses'!$AL$2:$AL$501,K78),INDEX('Paper sign-ups'!$P$2:$P$101,K78-10000)))</f>
        <v/>
      </c>
      <c r="F78" s="20">
        <f>IF(K78="","",IF(K78&lt;10000,INDEX('Responses'!$AN$2:$AN$501,K78),INDEX('Paper sign-ups'!$R$2:$R$101,K78-10000)))</f>
        <v/>
      </c>
      <c r="G78" s="18">
        <f>IF(K78="","",IF(K78&lt;10000,INDEX('Responses'!$AO$2:$AO$501,K78),INDEX('Paper sign-ups'!$S$2:$S$101,K78-10000)))</f>
        <v/>
      </c>
      <c r="H78" s="19">
        <f>IF(K78="","",IF(K78&lt;10000,INDEX('Responses'!$AI$2:$AI$501,K78),INDEX('Paper sign-ups'!$M$2:$M$101,K78-10000)))</f>
        <v/>
      </c>
      <c r="I78" s="21">
        <f>IF(K78="","",IF(K78&lt;10000,INDEX('Responses'!$AR$2:$AR$501,K78),INDEX('Paper sign-ups'!$V$2:$V$101,K78-10000)))</f>
        <v/>
      </c>
      <c r="J78" s="18">
        <f>IF(K78="","",IF(K78&lt;10000,"Online form","Paper"))</f>
        <v/>
      </c>
      <c r="K78" s="22">
        <f>IF(ISNUMBER(MATCH(73,'Responses'!$AV$2:$AV$501,0)),MATCH(73,'Responses'!$AV$2:$AV$501,0),IF(ISNUMBER(MATCH(73,'Paper sign-ups'!$Z$2:$Z$101,0)),10000+MATCH(73,'Paper sign-ups'!$Z$2:$Z$101,0),""))</f>
        <v/>
      </c>
    </row>
    <row r="79">
      <c r="A79" s="18">
        <f>IF(K79="","",74)</f>
        <v/>
      </c>
      <c r="B79" s="10">
        <f>IF(K79="","",IF(K79&lt;10000,INDEX('Responses'!$AE$2:$AE$501,K79),INDEX('Paper sign-ups'!$I$2:$I$101,K79-10000)))</f>
        <v/>
      </c>
      <c r="C79" s="19">
        <f>IF(K79="","",IF(K79&lt;10000,INDEX('Responses'!$AF$2:$AF$501,K79),INDEX('Paper sign-ups'!$J$2:$J$101,K79-10000)))</f>
        <v/>
      </c>
      <c r="D79" s="18">
        <f>IF(K79="","",IF(K79&lt;10000,INDEX('Responses'!$AH$2:$AH$501,K79),INDEX('Paper sign-ups'!$L$2:$L$101,K79-10000)))</f>
        <v/>
      </c>
      <c r="E79" s="20">
        <f>IF(K79="","",IF(K79&lt;10000,INDEX('Responses'!$AL$2:$AL$501,K79),INDEX('Paper sign-ups'!$P$2:$P$101,K79-10000)))</f>
        <v/>
      </c>
      <c r="F79" s="20">
        <f>IF(K79="","",IF(K79&lt;10000,INDEX('Responses'!$AN$2:$AN$501,K79),INDEX('Paper sign-ups'!$R$2:$R$101,K79-10000)))</f>
        <v/>
      </c>
      <c r="G79" s="18">
        <f>IF(K79="","",IF(K79&lt;10000,INDEX('Responses'!$AO$2:$AO$501,K79),INDEX('Paper sign-ups'!$S$2:$S$101,K79-10000)))</f>
        <v/>
      </c>
      <c r="H79" s="19">
        <f>IF(K79="","",IF(K79&lt;10000,INDEX('Responses'!$AI$2:$AI$501,K79),INDEX('Paper sign-ups'!$M$2:$M$101,K79-10000)))</f>
        <v/>
      </c>
      <c r="I79" s="21">
        <f>IF(K79="","",IF(K79&lt;10000,INDEX('Responses'!$AR$2:$AR$501,K79),INDEX('Paper sign-ups'!$V$2:$V$101,K79-10000)))</f>
        <v/>
      </c>
      <c r="J79" s="18">
        <f>IF(K79="","",IF(K79&lt;10000,"Online form","Paper"))</f>
        <v/>
      </c>
      <c r="K79" s="22">
        <f>IF(ISNUMBER(MATCH(74,'Responses'!$AV$2:$AV$501,0)),MATCH(74,'Responses'!$AV$2:$AV$501,0),IF(ISNUMBER(MATCH(74,'Paper sign-ups'!$Z$2:$Z$101,0)),10000+MATCH(74,'Paper sign-ups'!$Z$2:$Z$101,0),""))</f>
        <v/>
      </c>
    </row>
    <row r="80">
      <c r="A80" s="18">
        <f>IF(K80="","",75)</f>
        <v/>
      </c>
      <c r="B80" s="10">
        <f>IF(K80="","",IF(K80&lt;10000,INDEX('Responses'!$AE$2:$AE$501,K80),INDEX('Paper sign-ups'!$I$2:$I$101,K80-10000)))</f>
        <v/>
      </c>
      <c r="C80" s="19">
        <f>IF(K80="","",IF(K80&lt;10000,INDEX('Responses'!$AF$2:$AF$501,K80),INDEX('Paper sign-ups'!$J$2:$J$101,K80-10000)))</f>
        <v/>
      </c>
      <c r="D80" s="18">
        <f>IF(K80="","",IF(K80&lt;10000,INDEX('Responses'!$AH$2:$AH$501,K80),INDEX('Paper sign-ups'!$L$2:$L$101,K80-10000)))</f>
        <v/>
      </c>
      <c r="E80" s="20">
        <f>IF(K80="","",IF(K80&lt;10000,INDEX('Responses'!$AL$2:$AL$501,K80),INDEX('Paper sign-ups'!$P$2:$P$101,K80-10000)))</f>
        <v/>
      </c>
      <c r="F80" s="20">
        <f>IF(K80="","",IF(K80&lt;10000,INDEX('Responses'!$AN$2:$AN$501,K80),INDEX('Paper sign-ups'!$R$2:$R$101,K80-10000)))</f>
        <v/>
      </c>
      <c r="G80" s="18">
        <f>IF(K80="","",IF(K80&lt;10000,INDEX('Responses'!$AO$2:$AO$501,K80),INDEX('Paper sign-ups'!$S$2:$S$101,K80-10000)))</f>
        <v/>
      </c>
      <c r="H80" s="19">
        <f>IF(K80="","",IF(K80&lt;10000,INDEX('Responses'!$AI$2:$AI$501,K80),INDEX('Paper sign-ups'!$M$2:$M$101,K80-10000)))</f>
        <v/>
      </c>
      <c r="I80" s="21">
        <f>IF(K80="","",IF(K80&lt;10000,INDEX('Responses'!$AR$2:$AR$501,K80),INDEX('Paper sign-ups'!$V$2:$V$101,K80-10000)))</f>
        <v/>
      </c>
      <c r="J80" s="18">
        <f>IF(K80="","",IF(K80&lt;10000,"Online form","Paper"))</f>
        <v/>
      </c>
      <c r="K80" s="22">
        <f>IF(ISNUMBER(MATCH(75,'Responses'!$AV$2:$AV$501,0)),MATCH(75,'Responses'!$AV$2:$AV$501,0),IF(ISNUMBER(MATCH(75,'Paper sign-ups'!$Z$2:$Z$101,0)),10000+MATCH(75,'Paper sign-ups'!$Z$2:$Z$101,0),""))</f>
        <v/>
      </c>
    </row>
    <row r="81">
      <c r="A81" s="18">
        <f>IF(K81="","",76)</f>
        <v/>
      </c>
      <c r="B81" s="10">
        <f>IF(K81="","",IF(K81&lt;10000,INDEX('Responses'!$AE$2:$AE$501,K81),INDEX('Paper sign-ups'!$I$2:$I$101,K81-10000)))</f>
        <v/>
      </c>
      <c r="C81" s="19">
        <f>IF(K81="","",IF(K81&lt;10000,INDEX('Responses'!$AF$2:$AF$501,K81),INDEX('Paper sign-ups'!$J$2:$J$101,K81-10000)))</f>
        <v/>
      </c>
      <c r="D81" s="18">
        <f>IF(K81="","",IF(K81&lt;10000,INDEX('Responses'!$AH$2:$AH$501,K81),INDEX('Paper sign-ups'!$L$2:$L$101,K81-10000)))</f>
        <v/>
      </c>
      <c r="E81" s="20">
        <f>IF(K81="","",IF(K81&lt;10000,INDEX('Responses'!$AL$2:$AL$501,K81),INDEX('Paper sign-ups'!$P$2:$P$101,K81-10000)))</f>
        <v/>
      </c>
      <c r="F81" s="20">
        <f>IF(K81="","",IF(K81&lt;10000,INDEX('Responses'!$AN$2:$AN$501,K81),INDEX('Paper sign-ups'!$R$2:$R$101,K81-10000)))</f>
        <v/>
      </c>
      <c r="G81" s="18">
        <f>IF(K81="","",IF(K81&lt;10000,INDEX('Responses'!$AO$2:$AO$501,K81),INDEX('Paper sign-ups'!$S$2:$S$101,K81-10000)))</f>
        <v/>
      </c>
      <c r="H81" s="19">
        <f>IF(K81="","",IF(K81&lt;10000,INDEX('Responses'!$AI$2:$AI$501,K81),INDEX('Paper sign-ups'!$M$2:$M$101,K81-10000)))</f>
        <v/>
      </c>
      <c r="I81" s="21">
        <f>IF(K81="","",IF(K81&lt;10000,INDEX('Responses'!$AR$2:$AR$501,K81),INDEX('Paper sign-ups'!$V$2:$V$101,K81-10000)))</f>
        <v/>
      </c>
      <c r="J81" s="18">
        <f>IF(K81="","",IF(K81&lt;10000,"Online form","Paper"))</f>
        <v/>
      </c>
      <c r="K81" s="22">
        <f>IF(ISNUMBER(MATCH(76,'Responses'!$AV$2:$AV$501,0)),MATCH(76,'Responses'!$AV$2:$AV$501,0),IF(ISNUMBER(MATCH(76,'Paper sign-ups'!$Z$2:$Z$101,0)),10000+MATCH(76,'Paper sign-ups'!$Z$2:$Z$101,0),""))</f>
        <v/>
      </c>
    </row>
    <row r="82">
      <c r="A82" s="18">
        <f>IF(K82="","",77)</f>
        <v/>
      </c>
      <c r="B82" s="10">
        <f>IF(K82="","",IF(K82&lt;10000,INDEX('Responses'!$AE$2:$AE$501,K82),INDEX('Paper sign-ups'!$I$2:$I$101,K82-10000)))</f>
        <v/>
      </c>
      <c r="C82" s="19">
        <f>IF(K82="","",IF(K82&lt;10000,INDEX('Responses'!$AF$2:$AF$501,K82),INDEX('Paper sign-ups'!$J$2:$J$101,K82-10000)))</f>
        <v/>
      </c>
      <c r="D82" s="18">
        <f>IF(K82="","",IF(K82&lt;10000,INDEX('Responses'!$AH$2:$AH$501,K82),INDEX('Paper sign-ups'!$L$2:$L$101,K82-10000)))</f>
        <v/>
      </c>
      <c r="E82" s="20">
        <f>IF(K82="","",IF(K82&lt;10000,INDEX('Responses'!$AL$2:$AL$501,K82),INDEX('Paper sign-ups'!$P$2:$P$101,K82-10000)))</f>
        <v/>
      </c>
      <c r="F82" s="20">
        <f>IF(K82="","",IF(K82&lt;10000,INDEX('Responses'!$AN$2:$AN$501,K82),INDEX('Paper sign-ups'!$R$2:$R$101,K82-10000)))</f>
        <v/>
      </c>
      <c r="G82" s="18">
        <f>IF(K82="","",IF(K82&lt;10000,INDEX('Responses'!$AO$2:$AO$501,K82),INDEX('Paper sign-ups'!$S$2:$S$101,K82-10000)))</f>
        <v/>
      </c>
      <c r="H82" s="19">
        <f>IF(K82="","",IF(K82&lt;10000,INDEX('Responses'!$AI$2:$AI$501,K82),INDEX('Paper sign-ups'!$M$2:$M$101,K82-10000)))</f>
        <v/>
      </c>
      <c r="I82" s="21">
        <f>IF(K82="","",IF(K82&lt;10000,INDEX('Responses'!$AR$2:$AR$501,K82),INDEX('Paper sign-ups'!$V$2:$V$101,K82-10000)))</f>
        <v/>
      </c>
      <c r="J82" s="18">
        <f>IF(K82="","",IF(K82&lt;10000,"Online form","Paper"))</f>
        <v/>
      </c>
      <c r="K82" s="22">
        <f>IF(ISNUMBER(MATCH(77,'Responses'!$AV$2:$AV$501,0)),MATCH(77,'Responses'!$AV$2:$AV$501,0),IF(ISNUMBER(MATCH(77,'Paper sign-ups'!$Z$2:$Z$101,0)),10000+MATCH(77,'Paper sign-ups'!$Z$2:$Z$101,0),""))</f>
        <v/>
      </c>
    </row>
    <row r="83">
      <c r="A83" s="18">
        <f>IF(K83="","",78)</f>
        <v/>
      </c>
      <c r="B83" s="10">
        <f>IF(K83="","",IF(K83&lt;10000,INDEX('Responses'!$AE$2:$AE$501,K83),INDEX('Paper sign-ups'!$I$2:$I$101,K83-10000)))</f>
        <v/>
      </c>
      <c r="C83" s="19">
        <f>IF(K83="","",IF(K83&lt;10000,INDEX('Responses'!$AF$2:$AF$501,K83),INDEX('Paper sign-ups'!$J$2:$J$101,K83-10000)))</f>
        <v/>
      </c>
      <c r="D83" s="18">
        <f>IF(K83="","",IF(K83&lt;10000,INDEX('Responses'!$AH$2:$AH$501,K83),INDEX('Paper sign-ups'!$L$2:$L$101,K83-10000)))</f>
        <v/>
      </c>
      <c r="E83" s="20">
        <f>IF(K83="","",IF(K83&lt;10000,INDEX('Responses'!$AL$2:$AL$501,K83),INDEX('Paper sign-ups'!$P$2:$P$101,K83-10000)))</f>
        <v/>
      </c>
      <c r="F83" s="20">
        <f>IF(K83="","",IF(K83&lt;10000,INDEX('Responses'!$AN$2:$AN$501,K83),INDEX('Paper sign-ups'!$R$2:$R$101,K83-10000)))</f>
        <v/>
      </c>
      <c r="G83" s="18">
        <f>IF(K83="","",IF(K83&lt;10000,INDEX('Responses'!$AO$2:$AO$501,K83),INDEX('Paper sign-ups'!$S$2:$S$101,K83-10000)))</f>
        <v/>
      </c>
      <c r="H83" s="19">
        <f>IF(K83="","",IF(K83&lt;10000,INDEX('Responses'!$AI$2:$AI$501,K83),INDEX('Paper sign-ups'!$M$2:$M$101,K83-10000)))</f>
        <v/>
      </c>
      <c r="I83" s="21">
        <f>IF(K83="","",IF(K83&lt;10000,INDEX('Responses'!$AR$2:$AR$501,K83),INDEX('Paper sign-ups'!$V$2:$V$101,K83-10000)))</f>
        <v/>
      </c>
      <c r="J83" s="18">
        <f>IF(K83="","",IF(K83&lt;10000,"Online form","Paper"))</f>
        <v/>
      </c>
      <c r="K83" s="22">
        <f>IF(ISNUMBER(MATCH(78,'Responses'!$AV$2:$AV$501,0)),MATCH(78,'Responses'!$AV$2:$AV$501,0),IF(ISNUMBER(MATCH(78,'Paper sign-ups'!$Z$2:$Z$101,0)),10000+MATCH(78,'Paper sign-ups'!$Z$2:$Z$101,0),""))</f>
        <v/>
      </c>
    </row>
    <row r="84">
      <c r="A84" s="18">
        <f>IF(K84="","",79)</f>
        <v/>
      </c>
      <c r="B84" s="10">
        <f>IF(K84="","",IF(K84&lt;10000,INDEX('Responses'!$AE$2:$AE$501,K84),INDEX('Paper sign-ups'!$I$2:$I$101,K84-10000)))</f>
        <v/>
      </c>
      <c r="C84" s="19">
        <f>IF(K84="","",IF(K84&lt;10000,INDEX('Responses'!$AF$2:$AF$501,K84),INDEX('Paper sign-ups'!$J$2:$J$101,K84-10000)))</f>
        <v/>
      </c>
      <c r="D84" s="18">
        <f>IF(K84="","",IF(K84&lt;10000,INDEX('Responses'!$AH$2:$AH$501,K84),INDEX('Paper sign-ups'!$L$2:$L$101,K84-10000)))</f>
        <v/>
      </c>
      <c r="E84" s="20">
        <f>IF(K84="","",IF(K84&lt;10000,INDEX('Responses'!$AL$2:$AL$501,K84),INDEX('Paper sign-ups'!$P$2:$P$101,K84-10000)))</f>
        <v/>
      </c>
      <c r="F84" s="20">
        <f>IF(K84="","",IF(K84&lt;10000,INDEX('Responses'!$AN$2:$AN$501,K84),INDEX('Paper sign-ups'!$R$2:$R$101,K84-10000)))</f>
        <v/>
      </c>
      <c r="G84" s="18">
        <f>IF(K84="","",IF(K84&lt;10000,INDEX('Responses'!$AO$2:$AO$501,K84),INDEX('Paper sign-ups'!$S$2:$S$101,K84-10000)))</f>
        <v/>
      </c>
      <c r="H84" s="19">
        <f>IF(K84="","",IF(K84&lt;10000,INDEX('Responses'!$AI$2:$AI$501,K84),INDEX('Paper sign-ups'!$M$2:$M$101,K84-10000)))</f>
        <v/>
      </c>
      <c r="I84" s="21">
        <f>IF(K84="","",IF(K84&lt;10000,INDEX('Responses'!$AR$2:$AR$501,K84),INDEX('Paper sign-ups'!$V$2:$V$101,K84-10000)))</f>
        <v/>
      </c>
      <c r="J84" s="18">
        <f>IF(K84="","",IF(K84&lt;10000,"Online form","Paper"))</f>
        <v/>
      </c>
      <c r="K84" s="22">
        <f>IF(ISNUMBER(MATCH(79,'Responses'!$AV$2:$AV$501,0)),MATCH(79,'Responses'!$AV$2:$AV$501,0),IF(ISNUMBER(MATCH(79,'Paper sign-ups'!$Z$2:$Z$101,0)),10000+MATCH(79,'Paper sign-ups'!$Z$2:$Z$101,0),""))</f>
        <v/>
      </c>
    </row>
    <row r="85">
      <c r="A85" s="18">
        <f>IF(K85="","",80)</f>
        <v/>
      </c>
      <c r="B85" s="10">
        <f>IF(K85="","",IF(K85&lt;10000,INDEX('Responses'!$AE$2:$AE$501,K85),INDEX('Paper sign-ups'!$I$2:$I$101,K85-10000)))</f>
        <v/>
      </c>
      <c r="C85" s="19">
        <f>IF(K85="","",IF(K85&lt;10000,INDEX('Responses'!$AF$2:$AF$501,K85),INDEX('Paper sign-ups'!$J$2:$J$101,K85-10000)))</f>
        <v/>
      </c>
      <c r="D85" s="18">
        <f>IF(K85="","",IF(K85&lt;10000,INDEX('Responses'!$AH$2:$AH$501,K85),INDEX('Paper sign-ups'!$L$2:$L$101,K85-10000)))</f>
        <v/>
      </c>
      <c r="E85" s="20">
        <f>IF(K85="","",IF(K85&lt;10000,INDEX('Responses'!$AL$2:$AL$501,K85),INDEX('Paper sign-ups'!$P$2:$P$101,K85-10000)))</f>
        <v/>
      </c>
      <c r="F85" s="20">
        <f>IF(K85="","",IF(K85&lt;10000,INDEX('Responses'!$AN$2:$AN$501,K85),INDEX('Paper sign-ups'!$R$2:$R$101,K85-10000)))</f>
        <v/>
      </c>
      <c r="G85" s="18">
        <f>IF(K85="","",IF(K85&lt;10000,INDEX('Responses'!$AO$2:$AO$501,K85),INDEX('Paper sign-ups'!$S$2:$S$101,K85-10000)))</f>
        <v/>
      </c>
      <c r="H85" s="19">
        <f>IF(K85="","",IF(K85&lt;10000,INDEX('Responses'!$AI$2:$AI$501,K85),INDEX('Paper sign-ups'!$M$2:$M$101,K85-10000)))</f>
        <v/>
      </c>
      <c r="I85" s="21">
        <f>IF(K85="","",IF(K85&lt;10000,INDEX('Responses'!$AR$2:$AR$501,K85),INDEX('Paper sign-ups'!$V$2:$V$101,K85-10000)))</f>
        <v/>
      </c>
      <c r="J85" s="18">
        <f>IF(K85="","",IF(K85&lt;10000,"Online form","Paper"))</f>
        <v/>
      </c>
      <c r="K85" s="22">
        <f>IF(ISNUMBER(MATCH(80,'Responses'!$AV$2:$AV$501,0)),MATCH(80,'Responses'!$AV$2:$AV$501,0),IF(ISNUMBER(MATCH(80,'Paper sign-ups'!$Z$2:$Z$101,0)),10000+MATCH(80,'Paper sign-ups'!$Z$2:$Z$101,0),""))</f>
        <v/>
      </c>
    </row>
    <row r="86">
      <c r="A86" s="18">
        <f>IF(K86="","",81)</f>
        <v/>
      </c>
      <c r="B86" s="10">
        <f>IF(K86="","",IF(K86&lt;10000,INDEX('Responses'!$AE$2:$AE$501,K86),INDEX('Paper sign-ups'!$I$2:$I$101,K86-10000)))</f>
        <v/>
      </c>
      <c r="C86" s="19">
        <f>IF(K86="","",IF(K86&lt;10000,INDEX('Responses'!$AF$2:$AF$501,K86),INDEX('Paper sign-ups'!$J$2:$J$101,K86-10000)))</f>
        <v/>
      </c>
      <c r="D86" s="18">
        <f>IF(K86="","",IF(K86&lt;10000,INDEX('Responses'!$AH$2:$AH$501,K86),INDEX('Paper sign-ups'!$L$2:$L$101,K86-10000)))</f>
        <v/>
      </c>
      <c r="E86" s="20">
        <f>IF(K86="","",IF(K86&lt;10000,INDEX('Responses'!$AL$2:$AL$501,K86),INDEX('Paper sign-ups'!$P$2:$P$101,K86-10000)))</f>
        <v/>
      </c>
      <c r="F86" s="20">
        <f>IF(K86="","",IF(K86&lt;10000,INDEX('Responses'!$AN$2:$AN$501,K86),INDEX('Paper sign-ups'!$R$2:$R$101,K86-10000)))</f>
        <v/>
      </c>
      <c r="G86" s="18">
        <f>IF(K86="","",IF(K86&lt;10000,INDEX('Responses'!$AO$2:$AO$501,K86),INDEX('Paper sign-ups'!$S$2:$S$101,K86-10000)))</f>
        <v/>
      </c>
      <c r="H86" s="19">
        <f>IF(K86="","",IF(K86&lt;10000,INDEX('Responses'!$AI$2:$AI$501,K86),INDEX('Paper sign-ups'!$M$2:$M$101,K86-10000)))</f>
        <v/>
      </c>
      <c r="I86" s="21">
        <f>IF(K86="","",IF(K86&lt;10000,INDEX('Responses'!$AR$2:$AR$501,K86),INDEX('Paper sign-ups'!$V$2:$V$101,K86-10000)))</f>
        <v/>
      </c>
      <c r="J86" s="18">
        <f>IF(K86="","",IF(K86&lt;10000,"Online form","Paper"))</f>
        <v/>
      </c>
      <c r="K86" s="22">
        <f>IF(ISNUMBER(MATCH(81,'Responses'!$AV$2:$AV$501,0)),MATCH(81,'Responses'!$AV$2:$AV$501,0),IF(ISNUMBER(MATCH(81,'Paper sign-ups'!$Z$2:$Z$101,0)),10000+MATCH(81,'Paper sign-ups'!$Z$2:$Z$101,0),""))</f>
        <v/>
      </c>
    </row>
    <row r="87">
      <c r="A87" s="18">
        <f>IF(K87="","",82)</f>
        <v/>
      </c>
      <c r="B87" s="10">
        <f>IF(K87="","",IF(K87&lt;10000,INDEX('Responses'!$AE$2:$AE$501,K87),INDEX('Paper sign-ups'!$I$2:$I$101,K87-10000)))</f>
        <v/>
      </c>
      <c r="C87" s="19">
        <f>IF(K87="","",IF(K87&lt;10000,INDEX('Responses'!$AF$2:$AF$501,K87),INDEX('Paper sign-ups'!$J$2:$J$101,K87-10000)))</f>
        <v/>
      </c>
      <c r="D87" s="18">
        <f>IF(K87="","",IF(K87&lt;10000,INDEX('Responses'!$AH$2:$AH$501,K87),INDEX('Paper sign-ups'!$L$2:$L$101,K87-10000)))</f>
        <v/>
      </c>
      <c r="E87" s="20">
        <f>IF(K87="","",IF(K87&lt;10000,INDEX('Responses'!$AL$2:$AL$501,K87),INDEX('Paper sign-ups'!$P$2:$P$101,K87-10000)))</f>
        <v/>
      </c>
      <c r="F87" s="20">
        <f>IF(K87="","",IF(K87&lt;10000,INDEX('Responses'!$AN$2:$AN$501,K87),INDEX('Paper sign-ups'!$R$2:$R$101,K87-10000)))</f>
        <v/>
      </c>
      <c r="G87" s="18">
        <f>IF(K87="","",IF(K87&lt;10000,INDEX('Responses'!$AO$2:$AO$501,K87),INDEX('Paper sign-ups'!$S$2:$S$101,K87-10000)))</f>
        <v/>
      </c>
      <c r="H87" s="19">
        <f>IF(K87="","",IF(K87&lt;10000,INDEX('Responses'!$AI$2:$AI$501,K87),INDEX('Paper sign-ups'!$M$2:$M$101,K87-10000)))</f>
        <v/>
      </c>
      <c r="I87" s="21">
        <f>IF(K87="","",IF(K87&lt;10000,INDEX('Responses'!$AR$2:$AR$501,K87),INDEX('Paper sign-ups'!$V$2:$V$101,K87-10000)))</f>
        <v/>
      </c>
      <c r="J87" s="18">
        <f>IF(K87="","",IF(K87&lt;10000,"Online form","Paper"))</f>
        <v/>
      </c>
      <c r="K87" s="22">
        <f>IF(ISNUMBER(MATCH(82,'Responses'!$AV$2:$AV$501,0)),MATCH(82,'Responses'!$AV$2:$AV$501,0),IF(ISNUMBER(MATCH(82,'Paper sign-ups'!$Z$2:$Z$101,0)),10000+MATCH(82,'Paper sign-ups'!$Z$2:$Z$101,0),""))</f>
        <v/>
      </c>
    </row>
    <row r="88">
      <c r="A88" s="18">
        <f>IF(K88="","",83)</f>
        <v/>
      </c>
      <c r="B88" s="10">
        <f>IF(K88="","",IF(K88&lt;10000,INDEX('Responses'!$AE$2:$AE$501,K88),INDEX('Paper sign-ups'!$I$2:$I$101,K88-10000)))</f>
        <v/>
      </c>
      <c r="C88" s="19">
        <f>IF(K88="","",IF(K88&lt;10000,INDEX('Responses'!$AF$2:$AF$501,K88),INDEX('Paper sign-ups'!$J$2:$J$101,K88-10000)))</f>
        <v/>
      </c>
      <c r="D88" s="18">
        <f>IF(K88="","",IF(K88&lt;10000,INDEX('Responses'!$AH$2:$AH$501,K88),INDEX('Paper sign-ups'!$L$2:$L$101,K88-10000)))</f>
        <v/>
      </c>
      <c r="E88" s="20">
        <f>IF(K88="","",IF(K88&lt;10000,INDEX('Responses'!$AL$2:$AL$501,K88),INDEX('Paper sign-ups'!$P$2:$P$101,K88-10000)))</f>
        <v/>
      </c>
      <c r="F88" s="20">
        <f>IF(K88="","",IF(K88&lt;10000,INDEX('Responses'!$AN$2:$AN$501,K88),INDEX('Paper sign-ups'!$R$2:$R$101,K88-10000)))</f>
        <v/>
      </c>
      <c r="G88" s="18">
        <f>IF(K88="","",IF(K88&lt;10000,INDEX('Responses'!$AO$2:$AO$501,K88),INDEX('Paper sign-ups'!$S$2:$S$101,K88-10000)))</f>
        <v/>
      </c>
      <c r="H88" s="19">
        <f>IF(K88="","",IF(K88&lt;10000,INDEX('Responses'!$AI$2:$AI$501,K88),INDEX('Paper sign-ups'!$M$2:$M$101,K88-10000)))</f>
        <v/>
      </c>
      <c r="I88" s="21">
        <f>IF(K88="","",IF(K88&lt;10000,INDEX('Responses'!$AR$2:$AR$501,K88),INDEX('Paper sign-ups'!$V$2:$V$101,K88-10000)))</f>
        <v/>
      </c>
      <c r="J88" s="18">
        <f>IF(K88="","",IF(K88&lt;10000,"Online form","Paper"))</f>
        <v/>
      </c>
      <c r="K88" s="22">
        <f>IF(ISNUMBER(MATCH(83,'Responses'!$AV$2:$AV$501,0)),MATCH(83,'Responses'!$AV$2:$AV$501,0),IF(ISNUMBER(MATCH(83,'Paper sign-ups'!$Z$2:$Z$101,0)),10000+MATCH(83,'Paper sign-ups'!$Z$2:$Z$101,0),""))</f>
        <v/>
      </c>
    </row>
    <row r="89">
      <c r="A89" s="18">
        <f>IF(K89="","",84)</f>
        <v/>
      </c>
      <c r="B89" s="10">
        <f>IF(K89="","",IF(K89&lt;10000,INDEX('Responses'!$AE$2:$AE$501,K89),INDEX('Paper sign-ups'!$I$2:$I$101,K89-10000)))</f>
        <v/>
      </c>
      <c r="C89" s="19">
        <f>IF(K89="","",IF(K89&lt;10000,INDEX('Responses'!$AF$2:$AF$501,K89),INDEX('Paper sign-ups'!$J$2:$J$101,K89-10000)))</f>
        <v/>
      </c>
      <c r="D89" s="18">
        <f>IF(K89="","",IF(K89&lt;10000,INDEX('Responses'!$AH$2:$AH$501,K89),INDEX('Paper sign-ups'!$L$2:$L$101,K89-10000)))</f>
        <v/>
      </c>
      <c r="E89" s="20">
        <f>IF(K89="","",IF(K89&lt;10000,INDEX('Responses'!$AL$2:$AL$501,K89),INDEX('Paper sign-ups'!$P$2:$P$101,K89-10000)))</f>
        <v/>
      </c>
      <c r="F89" s="20">
        <f>IF(K89="","",IF(K89&lt;10000,INDEX('Responses'!$AN$2:$AN$501,K89),INDEX('Paper sign-ups'!$R$2:$R$101,K89-10000)))</f>
        <v/>
      </c>
      <c r="G89" s="18">
        <f>IF(K89="","",IF(K89&lt;10000,INDEX('Responses'!$AO$2:$AO$501,K89),INDEX('Paper sign-ups'!$S$2:$S$101,K89-10000)))</f>
        <v/>
      </c>
      <c r="H89" s="19">
        <f>IF(K89="","",IF(K89&lt;10000,INDEX('Responses'!$AI$2:$AI$501,K89),INDEX('Paper sign-ups'!$M$2:$M$101,K89-10000)))</f>
        <v/>
      </c>
      <c r="I89" s="21">
        <f>IF(K89="","",IF(K89&lt;10000,INDEX('Responses'!$AR$2:$AR$501,K89),INDEX('Paper sign-ups'!$V$2:$V$101,K89-10000)))</f>
        <v/>
      </c>
      <c r="J89" s="18">
        <f>IF(K89="","",IF(K89&lt;10000,"Online form","Paper"))</f>
        <v/>
      </c>
      <c r="K89" s="22">
        <f>IF(ISNUMBER(MATCH(84,'Responses'!$AV$2:$AV$501,0)),MATCH(84,'Responses'!$AV$2:$AV$501,0),IF(ISNUMBER(MATCH(84,'Paper sign-ups'!$Z$2:$Z$101,0)),10000+MATCH(84,'Paper sign-ups'!$Z$2:$Z$101,0),""))</f>
        <v/>
      </c>
    </row>
    <row r="90">
      <c r="A90" s="18">
        <f>IF(K90="","",85)</f>
        <v/>
      </c>
      <c r="B90" s="10">
        <f>IF(K90="","",IF(K90&lt;10000,INDEX('Responses'!$AE$2:$AE$501,K90),INDEX('Paper sign-ups'!$I$2:$I$101,K90-10000)))</f>
        <v/>
      </c>
      <c r="C90" s="19">
        <f>IF(K90="","",IF(K90&lt;10000,INDEX('Responses'!$AF$2:$AF$501,K90),INDEX('Paper sign-ups'!$J$2:$J$101,K90-10000)))</f>
        <v/>
      </c>
      <c r="D90" s="18">
        <f>IF(K90="","",IF(K90&lt;10000,INDEX('Responses'!$AH$2:$AH$501,K90),INDEX('Paper sign-ups'!$L$2:$L$101,K90-10000)))</f>
        <v/>
      </c>
      <c r="E90" s="20">
        <f>IF(K90="","",IF(K90&lt;10000,INDEX('Responses'!$AL$2:$AL$501,K90),INDEX('Paper sign-ups'!$P$2:$P$101,K90-10000)))</f>
        <v/>
      </c>
      <c r="F90" s="20">
        <f>IF(K90="","",IF(K90&lt;10000,INDEX('Responses'!$AN$2:$AN$501,K90),INDEX('Paper sign-ups'!$R$2:$R$101,K90-10000)))</f>
        <v/>
      </c>
      <c r="G90" s="18">
        <f>IF(K90="","",IF(K90&lt;10000,INDEX('Responses'!$AO$2:$AO$501,K90),INDEX('Paper sign-ups'!$S$2:$S$101,K90-10000)))</f>
        <v/>
      </c>
      <c r="H90" s="19">
        <f>IF(K90="","",IF(K90&lt;10000,INDEX('Responses'!$AI$2:$AI$501,K90),INDEX('Paper sign-ups'!$M$2:$M$101,K90-10000)))</f>
        <v/>
      </c>
      <c r="I90" s="21">
        <f>IF(K90="","",IF(K90&lt;10000,INDEX('Responses'!$AR$2:$AR$501,K90),INDEX('Paper sign-ups'!$V$2:$V$101,K90-10000)))</f>
        <v/>
      </c>
      <c r="J90" s="18">
        <f>IF(K90="","",IF(K90&lt;10000,"Online form","Paper"))</f>
        <v/>
      </c>
      <c r="K90" s="22">
        <f>IF(ISNUMBER(MATCH(85,'Responses'!$AV$2:$AV$501,0)),MATCH(85,'Responses'!$AV$2:$AV$501,0),IF(ISNUMBER(MATCH(85,'Paper sign-ups'!$Z$2:$Z$101,0)),10000+MATCH(85,'Paper sign-ups'!$Z$2:$Z$101,0),""))</f>
        <v/>
      </c>
    </row>
    <row r="91">
      <c r="A91" s="18">
        <f>IF(K91="","",86)</f>
        <v/>
      </c>
      <c r="B91" s="10">
        <f>IF(K91="","",IF(K91&lt;10000,INDEX('Responses'!$AE$2:$AE$501,K91),INDEX('Paper sign-ups'!$I$2:$I$101,K91-10000)))</f>
        <v/>
      </c>
      <c r="C91" s="19">
        <f>IF(K91="","",IF(K91&lt;10000,INDEX('Responses'!$AF$2:$AF$501,K91),INDEX('Paper sign-ups'!$J$2:$J$101,K91-10000)))</f>
        <v/>
      </c>
      <c r="D91" s="18">
        <f>IF(K91="","",IF(K91&lt;10000,INDEX('Responses'!$AH$2:$AH$501,K91),INDEX('Paper sign-ups'!$L$2:$L$101,K91-10000)))</f>
        <v/>
      </c>
      <c r="E91" s="20">
        <f>IF(K91="","",IF(K91&lt;10000,INDEX('Responses'!$AL$2:$AL$501,K91),INDEX('Paper sign-ups'!$P$2:$P$101,K91-10000)))</f>
        <v/>
      </c>
      <c r="F91" s="20">
        <f>IF(K91="","",IF(K91&lt;10000,INDEX('Responses'!$AN$2:$AN$501,K91),INDEX('Paper sign-ups'!$R$2:$R$101,K91-10000)))</f>
        <v/>
      </c>
      <c r="G91" s="18">
        <f>IF(K91="","",IF(K91&lt;10000,INDEX('Responses'!$AO$2:$AO$501,K91),INDEX('Paper sign-ups'!$S$2:$S$101,K91-10000)))</f>
        <v/>
      </c>
      <c r="H91" s="19">
        <f>IF(K91="","",IF(K91&lt;10000,INDEX('Responses'!$AI$2:$AI$501,K91),INDEX('Paper sign-ups'!$M$2:$M$101,K91-10000)))</f>
        <v/>
      </c>
      <c r="I91" s="21">
        <f>IF(K91="","",IF(K91&lt;10000,INDEX('Responses'!$AR$2:$AR$501,K91),INDEX('Paper sign-ups'!$V$2:$V$101,K91-10000)))</f>
        <v/>
      </c>
      <c r="J91" s="18">
        <f>IF(K91="","",IF(K91&lt;10000,"Online form","Paper"))</f>
        <v/>
      </c>
      <c r="K91" s="22">
        <f>IF(ISNUMBER(MATCH(86,'Responses'!$AV$2:$AV$501,0)),MATCH(86,'Responses'!$AV$2:$AV$501,0),IF(ISNUMBER(MATCH(86,'Paper sign-ups'!$Z$2:$Z$101,0)),10000+MATCH(86,'Paper sign-ups'!$Z$2:$Z$101,0),""))</f>
        <v/>
      </c>
    </row>
    <row r="92">
      <c r="A92" s="18">
        <f>IF(K92="","",87)</f>
        <v/>
      </c>
      <c r="B92" s="10">
        <f>IF(K92="","",IF(K92&lt;10000,INDEX('Responses'!$AE$2:$AE$501,K92),INDEX('Paper sign-ups'!$I$2:$I$101,K92-10000)))</f>
        <v/>
      </c>
      <c r="C92" s="19">
        <f>IF(K92="","",IF(K92&lt;10000,INDEX('Responses'!$AF$2:$AF$501,K92),INDEX('Paper sign-ups'!$J$2:$J$101,K92-10000)))</f>
        <v/>
      </c>
      <c r="D92" s="18">
        <f>IF(K92="","",IF(K92&lt;10000,INDEX('Responses'!$AH$2:$AH$501,K92),INDEX('Paper sign-ups'!$L$2:$L$101,K92-10000)))</f>
        <v/>
      </c>
      <c r="E92" s="20">
        <f>IF(K92="","",IF(K92&lt;10000,INDEX('Responses'!$AL$2:$AL$501,K92),INDEX('Paper sign-ups'!$P$2:$P$101,K92-10000)))</f>
        <v/>
      </c>
      <c r="F92" s="20">
        <f>IF(K92="","",IF(K92&lt;10000,INDEX('Responses'!$AN$2:$AN$501,K92),INDEX('Paper sign-ups'!$R$2:$R$101,K92-10000)))</f>
        <v/>
      </c>
      <c r="G92" s="18">
        <f>IF(K92="","",IF(K92&lt;10000,INDEX('Responses'!$AO$2:$AO$501,K92),INDEX('Paper sign-ups'!$S$2:$S$101,K92-10000)))</f>
        <v/>
      </c>
      <c r="H92" s="19">
        <f>IF(K92="","",IF(K92&lt;10000,INDEX('Responses'!$AI$2:$AI$501,K92),INDEX('Paper sign-ups'!$M$2:$M$101,K92-10000)))</f>
        <v/>
      </c>
      <c r="I92" s="21">
        <f>IF(K92="","",IF(K92&lt;10000,INDEX('Responses'!$AR$2:$AR$501,K92),INDEX('Paper sign-ups'!$V$2:$V$101,K92-10000)))</f>
        <v/>
      </c>
      <c r="J92" s="18">
        <f>IF(K92="","",IF(K92&lt;10000,"Online form","Paper"))</f>
        <v/>
      </c>
      <c r="K92" s="22">
        <f>IF(ISNUMBER(MATCH(87,'Responses'!$AV$2:$AV$501,0)),MATCH(87,'Responses'!$AV$2:$AV$501,0),IF(ISNUMBER(MATCH(87,'Paper sign-ups'!$Z$2:$Z$101,0)),10000+MATCH(87,'Paper sign-ups'!$Z$2:$Z$101,0),""))</f>
        <v/>
      </c>
    </row>
    <row r="93">
      <c r="A93" s="18">
        <f>IF(K93="","",88)</f>
        <v/>
      </c>
      <c r="B93" s="10">
        <f>IF(K93="","",IF(K93&lt;10000,INDEX('Responses'!$AE$2:$AE$501,K93),INDEX('Paper sign-ups'!$I$2:$I$101,K93-10000)))</f>
        <v/>
      </c>
      <c r="C93" s="19">
        <f>IF(K93="","",IF(K93&lt;10000,INDEX('Responses'!$AF$2:$AF$501,K93),INDEX('Paper sign-ups'!$J$2:$J$101,K93-10000)))</f>
        <v/>
      </c>
      <c r="D93" s="18">
        <f>IF(K93="","",IF(K93&lt;10000,INDEX('Responses'!$AH$2:$AH$501,K93),INDEX('Paper sign-ups'!$L$2:$L$101,K93-10000)))</f>
        <v/>
      </c>
      <c r="E93" s="20">
        <f>IF(K93="","",IF(K93&lt;10000,INDEX('Responses'!$AL$2:$AL$501,K93),INDEX('Paper sign-ups'!$P$2:$P$101,K93-10000)))</f>
        <v/>
      </c>
      <c r="F93" s="20">
        <f>IF(K93="","",IF(K93&lt;10000,INDEX('Responses'!$AN$2:$AN$501,K93),INDEX('Paper sign-ups'!$R$2:$R$101,K93-10000)))</f>
        <v/>
      </c>
      <c r="G93" s="18">
        <f>IF(K93="","",IF(K93&lt;10000,INDEX('Responses'!$AO$2:$AO$501,K93),INDEX('Paper sign-ups'!$S$2:$S$101,K93-10000)))</f>
        <v/>
      </c>
      <c r="H93" s="19">
        <f>IF(K93="","",IF(K93&lt;10000,INDEX('Responses'!$AI$2:$AI$501,K93),INDEX('Paper sign-ups'!$M$2:$M$101,K93-10000)))</f>
        <v/>
      </c>
      <c r="I93" s="21">
        <f>IF(K93="","",IF(K93&lt;10000,INDEX('Responses'!$AR$2:$AR$501,K93),INDEX('Paper sign-ups'!$V$2:$V$101,K93-10000)))</f>
        <v/>
      </c>
      <c r="J93" s="18">
        <f>IF(K93="","",IF(K93&lt;10000,"Online form","Paper"))</f>
        <v/>
      </c>
      <c r="K93" s="22">
        <f>IF(ISNUMBER(MATCH(88,'Responses'!$AV$2:$AV$501,0)),MATCH(88,'Responses'!$AV$2:$AV$501,0),IF(ISNUMBER(MATCH(88,'Paper sign-ups'!$Z$2:$Z$101,0)),10000+MATCH(88,'Paper sign-ups'!$Z$2:$Z$101,0),""))</f>
        <v/>
      </c>
    </row>
    <row r="94">
      <c r="A94" s="18">
        <f>IF(K94="","",89)</f>
        <v/>
      </c>
      <c r="B94" s="10">
        <f>IF(K94="","",IF(K94&lt;10000,INDEX('Responses'!$AE$2:$AE$501,K94),INDEX('Paper sign-ups'!$I$2:$I$101,K94-10000)))</f>
        <v/>
      </c>
      <c r="C94" s="19">
        <f>IF(K94="","",IF(K94&lt;10000,INDEX('Responses'!$AF$2:$AF$501,K94),INDEX('Paper sign-ups'!$J$2:$J$101,K94-10000)))</f>
        <v/>
      </c>
      <c r="D94" s="18">
        <f>IF(K94="","",IF(K94&lt;10000,INDEX('Responses'!$AH$2:$AH$501,K94),INDEX('Paper sign-ups'!$L$2:$L$101,K94-10000)))</f>
        <v/>
      </c>
      <c r="E94" s="20">
        <f>IF(K94="","",IF(K94&lt;10000,INDEX('Responses'!$AL$2:$AL$501,K94),INDEX('Paper sign-ups'!$P$2:$P$101,K94-10000)))</f>
        <v/>
      </c>
      <c r="F94" s="20">
        <f>IF(K94="","",IF(K94&lt;10000,INDEX('Responses'!$AN$2:$AN$501,K94),INDEX('Paper sign-ups'!$R$2:$R$101,K94-10000)))</f>
        <v/>
      </c>
      <c r="G94" s="18">
        <f>IF(K94="","",IF(K94&lt;10000,INDEX('Responses'!$AO$2:$AO$501,K94),INDEX('Paper sign-ups'!$S$2:$S$101,K94-10000)))</f>
        <v/>
      </c>
      <c r="H94" s="19">
        <f>IF(K94="","",IF(K94&lt;10000,INDEX('Responses'!$AI$2:$AI$501,K94),INDEX('Paper sign-ups'!$M$2:$M$101,K94-10000)))</f>
        <v/>
      </c>
      <c r="I94" s="21">
        <f>IF(K94="","",IF(K94&lt;10000,INDEX('Responses'!$AR$2:$AR$501,K94),INDEX('Paper sign-ups'!$V$2:$V$101,K94-10000)))</f>
        <v/>
      </c>
      <c r="J94" s="18">
        <f>IF(K94="","",IF(K94&lt;10000,"Online form","Paper"))</f>
        <v/>
      </c>
      <c r="K94" s="22">
        <f>IF(ISNUMBER(MATCH(89,'Responses'!$AV$2:$AV$501,0)),MATCH(89,'Responses'!$AV$2:$AV$501,0),IF(ISNUMBER(MATCH(89,'Paper sign-ups'!$Z$2:$Z$101,0)),10000+MATCH(89,'Paper sign-ups'!$Z$2:$Z$101,0),""))</f>
        <v/>
      </c>
    </row>
    <row r="95">
      <c r="A95" s="18">
        <f>IF(K95="","",90)</f>
        <v/>
      </c>
      <c r="B95" s="10">
        <f>IF(K95="","",IF(K95&lt;10000,INDEX('Responses'!$AE$2:$AE$501,K95),INDEX('Paper sign-ups'!$I$2:$I$101,K95-10000)))</f>
        <v/>
      </c>
      <c r="C95" s="19">
        <f>IF(K95="","",IF(K95&lt;10000,INDEX('Responses'!$AF$2:$AF$501,K95),INDEX('Paper sign-ups'!$J$2:$J$101,K95-10000)))</f>
        <v/>
      </c>
      <c r="D95" s="18">
        <f>IF(K95="","",IF(K95&lt;10000,INDEX('Responses'!$AH$2:$AH$501,K95),INDEX('Paper sign-ups'!$L$2:$L$101,K95-10000)))</f>
        <v/>
      </c>
      <c r="E95" s="20">
        <f>IF(K95="","",IF(K95&lt;10000,INDEX('Responses'!$AL$2:$AL$501,K95),INDEX('Paper sign-ups'!$P$2:$P$101,K95-10000)))</f>
        <v/>
      </c>
      <c r="F95" s="20">
        <f>IF(K95="","",IF(K95&lt;10000,INDEX('Responses'!$AN$2:$AN$501,K95),INDEX('Paper sign-ups'!$R$2:$R$101,K95-10000)))</f>
        <v/>
      </c>
      <c r="G95" s="18">
        <f>IF(K95="","",IF(K95&lt;10000,INDEX('Responses'!$AO$2:$AO$501,K95),INDEX('Paper sign-ups'!$S$2:$S$101,K95-10000)))</f>
        <v/>
      </c>
      <c r="H95" s="19">
        <f>IF(K95="","",IF(K95&lt;10000,INDEX('Responses'!$AI$2:$AI$501,K95),INDEX('Paper sign-ups'!$M$2:$M$101,K95-10000)))</f>
        <v/>
      </c>
      <c r="I95" s="21">
        <f>IF(K95="","",IF(K95&lt;10000,INDEX('Responses'!$AR$2:$AR$501,K95),INDEX('Paper sign-ups'!$V$2:$V$101,K95-10000)))</f>
        <v/>
      </c>
      <c r="J95" s="18">
        <f>IF(K95="","",IF(K95&lt;10000,"Online form","Paper"))</f>
        <v/>
      </c>
      <c r="K95" s="22">
        <f>IF(ISNUMBER(MATCH(90,'Responses'!$AV$2:$AV$501,0)),MATCH(90,'Responses'!$AV$2:$AV$501,0),IF(ISNUMBER(MATCH(90,'Paper sign-ups'!$Z$2:$Z$101,0)),10000+MATCH(90,'Paper sign-ups'!$Z$2:$Z$101,0),""))</f>
        <v/>
      </c>
    </row>
    <row r="96">
      <c r="A96" s="18">
        <f>IF(K96="","",91)</f>
        <v/>
      </c>
      <c r="B96" s="10">
        <f>IF(K96="","",IF(K96&lt;10000,INDEX('Responses'!$AE$2:$AE$501,K96),INDEX('Paper sign-ups'!$I$2:$I$101,K96-10000)))</f>
        <v/>
      </c>
      <c r="C96" s="19">
        <f>IF(K96="","",IF(K96&lt;10000,INDEX('Responses'!$AF$2:$AF$501,K96),INDEX('Paper sign-ups'!$J$2:$J$101,K96-10000)))</f>
        <v/>
      </c>
      <c r="D96" s="18">
        <f>IF(K96="","",IF(K96&lt;10000,INDEX('Responses'!$AH$2:$AH$501,K96),INDEX('Paper sign-ups'!$L$2:$L$101,K96-10000)))</f>
        <v/>
      </c>
      <c r="E96" s="20">
        <f>IF(K96="","",IF(K96&lt;10000,INDEX('Responses'!$AL$2:$AL$501,K96),INDEX('Paper sign-ups'!$P$2:$P$101,K96-10000)))</f>
        <v/>
      </c>
      <c r="F96" s="20">
        <f>IF(K96="","",IF(K96&lt;10000,INDEX('Responses'!$AN$2:$AN$501,K96),INDEX('Paper sign-ups'!$R$2:$R$101,K96-10000)))</f>
        <v/>
      </c>
      <c r="G96" s="18">
        <f>IF(K96="","",IF(K96&lt;10000,INDEX('Responses'!$AO$2:$AO$501,K96),INDEX('Paper sign-ups'!$S$2:$S$101,K96-10000)))</f>
        <v/>
      </c>
      <c r="H96" s="19">
        <f>IF(K96="","",IF(K96&lt;10000,INDEX('Responses'!$AI$2:$AI$501,K96),INDEX('Paper sign-ups'!$M$2:$M$101,K96-10000)))</f>
        <v/>
      </c>
      <c r="I96" s="21">
        <f>IF(K96="","",IF(K96&lt;10000,INDEX('Responses'!$AR$2:$AR$501,K96),INDEX('Paper sign-ups'!$V$2:$V$101,K96-10000)))</f>
        <v/>
      </c>
      <c r="J96" s="18">
        <f>IF(K96="","",IF(K96&lt;10000,"Online form","Paper"))</f>
        <v/>
      </c>
      <c r="K96" s="22">
        <f>IF(ISNUMBER(MATCH(91,'Responses'!$AV$2:$AV$501,0)),MATCH(91,'Responses'!$AV$2:$AV$501,0),IF(ISNUMBER(MATCH(91,'Paper sign-ups'!$Z$2:$Z$101,0)),10000+MATCH(91,'Paper sign-ups'!$Z$2:$Z$101,0),""))</f>
        <v/>
      </c>
    </row>
    <row r="97">
      <c r="A97" s="18">
        <f>IF(K97="","",92)</f>
        <v/>
      </c>
      <c r="B97" s="10">
        <f>IF(K97="","",IF(K97&lt;10000,INDEX('Responses'!$AE$2:$AE$501,K97),INDEX('Paper sign-ups'!$I$2:$I$101,K97-10000)))</f>
        <v/>
      </c>
      <c r="C97" s="19">
        <f>IF(K97="","",IF(K97&lt;10000,INDEX('Responses'!$AF$2:$AF$501,K97),INDEX('Paper sign-ups'!$J$2:$J$101,K97-10000)))</f>
        <v/>
      </c>
      <c r="D97" s="18">
        <f>IF(K97="","",IF(K97&lt;10000,INDEX('Responses'!$AH$2:$AH$501,K97),INDEX('Paper sign-ups'!$L$2:$L$101,K97-10000)))</f>
        <v/>
      </c>
      <c r="E97" s="20">
        <f>IF(K97="","",IF(K97&lt;10000,INDEX('Responses'!$AL$2:$AL$501,K97),INDEX('Paper sign-ups'!$P$2:$P$101,K97-10000)))</f>
        <v/>
      </c>
      <c r="F97" s="20">
        <f>IF(K97="","",IF(K97&lt;10000,INDEX('Responses'!$AN$2:$AN$501,K97),INDEX('Paper sign-ups'!$R$2:$R$101,K97-10000)))</f>
        <v/>
      </c>
      <c r="G97" s="18">
        <f>IF(K97="","",IF(K97&lt;10000,INDEX('Responses'!$AO$2:$AO$501,K97),INDEX('Paper sign-ups'!$S$2:$S$101,K97-10000)))</f>
        <v/>
      </c>
      <c r="H97" s="19">
        <f>IF(K97="","",IF(K97&lt;10000,INDEX('Responses'!$AI$2:$AI$501,K97),INDEX('Paper sign-ups'!$M$2:$M$101,K97-10000)))</f>
        <v/>
      </c>
      <c r="I97" s="21">
        <f>IF(K97="","",IF(K97&lt;10000,INDEX('Responses'!$AR$2:$AR$501,K97),INDEX('Paper sign-ups'!$V$2:$V$101,K97-10000)))</f>
        <v/>
      </c>
      <c r="J97" s="18">
        <f>IF(K97="","",IF(K97&lt;10000,"Online form","Paper"))</f>
        <v/>
      </c>
      <c r="K97" s="22">
        <f>IF(ISNUMBER(MATCH(92,'Responses'!$AV$2:$AV$501,0)),MATCH(92,'Responses'!$AV$2:$AV$501,0),IF(ISNUMBER(MATCH(92,'Paper sign-ups'!$Z$2:$Z$101,0)),10000+MATCH(92,'Paper sign-ups'!$Z$2:$Z$101,0),""))</f>
        <v/>
      </c>
    </row>
    <row r="98">
      <c r="A98" s="18">
        <f>IF(K98="","",93)</f>
        <v/>
      </c>
      <c r="B98" s="10">
        <f>IF(K98="","",IF(K98&lt;10000,INDEX('Responses'!$AE$2:$AE$501,K98),INDEX('Paper sign-ups'!$I$2:$I$101,K98-10000)))</f>
        <v/>
      </c>
      <c r="C98" s="19">
        <f>IF(K98="","",IF(K98&lt;10000,INDEX('Responses'!$AF$2:$AF$501,K98),INDEX('Paper sign-ups'!$J$2:$J$101,K98-10000)))</f>
        <v/>
      </c>
      <c r="D98" s="18">
        <f>IF(K98="","",IF(K98&lt;10000,INDEX('Responses'!$AH$2:$AH$501,K98),INDEX('Paper sign-ups'!$L$2:$L$101,K98-10000)))</f>
        <v/>
      </c>
      <c r="E98" s="20">
        <f>IF(K98="","",IF(K98&lt;10000,INDEX('Responses'!$AL$2:$AL$501,K98),INDEX('Paper sign-ups'!$P$2:$P$101,K98-10000)))</f>
        <v/>
      </c>
      <c r="F98" s="20">
        <f>IF(K98="","",IF(K98&lt;10000,INDEX('Responses'!$AN$2:$AN$501,K98),INDEX('Paper sign-ups'!$R$2:$R$101,K98-10000)))</f>
        <v/>
      </c>
      <c r="G98" s="18">
        <f>IF(K98="","",IF(K98&lt;10000,INDEX('Responses'!$AO$2:$AO$501,K98),INDEX('Paper sign-ups'!$S$2:$S$101,K98-10000)))</f>
        <v/>
      </c>
      <c r="H98" s="19">
        <f>IF(K98="","",IF(K98&lt;10000,INDEX('Responses'!$AI$2:$AI$501,K98),INDEX('Paper sign-ups'!$M$2:$M$101,K98-10000)))</f>
        <v/>
      </c>
      <c r="I98" s="21">
        <f>IF(K98="","",IF(K98&lt;10000,INDEX('Responses'!$AR$2:$AR$501,K98),INDEX('Paper sign-ups'!$V$2:$V$101,K98-10000)))</f>
        <v/>
      </c>
      <c r="J98" s="18">
        <f>IF(K98="","",IF(K98&lt;10000,"Online form","Paper"))</f>
        <v/>
      </c>
      <c r="K98" s="22">
        <f>IF(ISNUMBER(MATCH(93,'Responses'!$AV$2:$AV$501,0)),MATCH(93,'Responses'!$AV$2:$AV$501,0),IF(ISNUMBER(MATCH(93,'Paper sign-ups'!$Z$2:$Z$101,0)),10000+MATCH(93,'Paper sign-ups'!$Z$2:$Z$101,0),""))</f>
        <v/>
      </c>
    </row>
    <row r="99">
      <c r="A99" s="18">
        <f>IF(K99="","",94)</f>
        <v/>
      </c>
      <c r="B99" s="10">
        <f>IF(K99="","",IF(K99&lt;10000,INDEX('Responses'!$AE$2:$AE$501,K99),INDEX('Paper sign-ups'!$I$2:$I$101,K99-10000)))</f>
        <v/>
      </c>
      <c r="C99" s="19">
        <f>IF(K99="","",IF(K99&lt;10000,INDEX('Responses'!$AF$2:$AF$501,K99),INDEX('Paper sign-ups'!$J$2:$J$101,K99-10000)))</f>
        <v/>
      </c>
      <c r="D99" s="18">
        <f>IF(K99="","",IF(K99&lt;10000,INDEX('Responses'!$AH$2:$AH$501,K99),INDEX('Paper sign-ups'!$L$2:$L$101,K99-10000)))</f>
        <v/>
      </c>
      <c r="E99" s="20">
        <f>IF(K99="","",IF(K99&lt;10000,INDEX('Responses'!$AL$2:$AL$501,K99),INDEX('Paper sign-ups'!$P$2:$P$101,K99-10000)))</f>
        <v/>
      </c>
      <c r="F99" s="20">
        <f>IF(K99="","",IF(K99&lt;10000,INDEX('Responses'!$AN$2:$AN$501,K99),INDEX('Paper sign-ups'!$R$2:$R$101,K99-10000)))</f>
        <v/>
      </c>
      <c r="G99" s="18">
        <f>IF(K99="","",IF(K99&lt;10000,INDEX('Responses'!$AO$2:$AO$501,K99),INDEX('Paper sign-ups'!$S$2:$S$101,K99-10000)))</f>
        <v/>
      </c>
      <c r="H99" s="19">
        <f>IF(K99="","",IF(K99&lt;10000,INDEX('Responses'!$AI$2:$AI$501,K99),INDEX('Paper sign-ups'!$M$2:$M$101,K99-10000)))</f>
        <v/>
      </c>
      <c r="I99" s="21">
        <f>IF(K99="","",IF(K99&lt;10000,INDEX('Responses'!$AR$2:$AR$501,K99),INDEX('Paper sign-ups'!$V$2:$V$101,K99-10000)))</f>
        <v/>
      </c>
      <c r="J99" s="18">
        <f>IF(K99="","",IF(K99&lt;10000,"Online form","Paper"))</f>
        <v/>
      </c>
      <c r="K99" s="22">
        <f>IF(ISNUMBER(MATCH(94,'Responses'!$AV$2:$AV$501,0)),MATCH(94,'Responses'!$AV$2:$AV$501,0),IF(ISNUMBER(MATCH(94,'Paper sign-ups'!$Z$2:$Z$101,0)),10000+MATCH(94,'Paper sign-ups'!$Z$2:$Z$101,0),""))</f>
        <v/>
      </c>
    </row>
    <row r="100">
      <c r="A100" s="18">
        <f>IF(K100="","",95)</f>
        <v/>
      </c>
      <c r="B100" s="10">
        <f>IF(K100="","",IF(K100&lt;10000,INDEX('Responses'!$AE$2:$AE$501,K100),INDEX('Paper sign-ups'!$I$2:$I$101,K100-10000)))</f>
        <v/>
      </c>
      <c r="C100" s="19">
        <f>IF(K100="","",IF(K100&lt;10000,INDEX('Responses'!$AF$2:$AF$501,K100),INDEX('Paper sign-ups'!$J$2:$J$101,K100-10000)))</f>
        <v/>
      </c>
      <c r="D100" s="18">
        <f>IF(K100="","",IF(K100&lt;10000,INDEX('Responses'!$AH$2:$AH$501,K100),INDEX('Paper sign-ups'!$L$2:$L$101,K100-10000)))</f>
        <v/>
      </c>
      <c r="E100" s="20">
        <f>IF(K100="","",IF(K100&lt;10000,INDEX('Responses'!$AL$2:$AL$501,K100),INDEX('Paper sign-ups'!$P$2:$P$101,K100-10000)))</f>
        <v/>
      </c>
      <c r="F100" s="20">
        <f>IF(K100="","",IF(K100&lt;10000,INDEX('Responses'!$AN$2:$AN$501,K100),INDEX('Paper sign-ups'!$R$2:$R$101,K100-10000)))</f>
        <v/>
      </c>
      <c r="G100" s="18">
        <f>IF(K100="","",IF(K100&lt;10000,INDEX('Responses'!$AO$2:$AO$501,K100),INDEX('Paper sign-ups'!$S$2:$S$101,K100-10000)))</f>
        <v/>
      </c>
      <c r="H100" s="19">
        <f>IF(K100="","",IF(K100&lt;10000,INDEX('Responses'!$AI$2:$AI$501,K100),INDEX('Paper sign-ups'!$M$2:$M$101,K100-10000)))</f>
        <v/>
      </c>
      <c r="I100" s="21">
        <f>IF(K100="","",IF(K100&lt;10000,INDEX('Responses'!$AR$2:$AR$501,K100),INDEX('Paper sign-ups'!$V$2:$V$101,K100-10000)))</f>
        <v/>
      </c>
      <c r="J100" s="18">
        <f>IF(K100="","",IF(K100&lt;10000,"Online form","Paper"))</f>
        <v/>
      </c>
      <c r="K100" s="22">
        <f>IF(ISNUMBER(MATCH(95,'Responses'!$AV$2:$AV$501,0)),MATCH(95,'Responses'!$AV$2:$AV$501,0),IF(ISNUMBER(MATCH(95,'Paper sign-ups'!$Z$2:$Z$101,0)),10000+MATCH(95,'Paper sign-ups'!$Z$2:$Z$101,0),""))</f>
        <v/>
      </c>
    </row>
    <row r="101">
      <c r="A101" s="18">
        <f>IF(K101="","",96)</f>
        <v/>
      </c>
      <c r="B101" s="10">
        <f>IF(K101="","",IF(K101&lt;10000,INDEX('Responses'!$AE$2:$AE$501,K101),INDEX('Paper sign-ups'!$I$2:$I$101,K101-10000)))</f>
        <v/>
      </c>
      <c r="C101" s="19">
        <f>IF(K101="","",IF(K101&lt;10000,INDEX('Responses'!$AF$2:$AF$501,K101),INDEX('Paper sign-ups'!$J$2:$J$101,K101-10000)))</f>
        <v/>
      </c>
      <c r="D101" s="18">
        <f>IF(K101="","",IF(K101&lt;10000,INDEX('Responses'!$AH$2:$AH$501,K101),INDEX('Paper sign-ups'!$L$2:$L$101,K101-10000)))</f>
        <v/>
      </c>
      <c r="E101" s="20">
        <f>IF(K101="","",IF(K101&lt;10000,INDEX('Responses'!$AL$2:$AL$501,K101),INDEX('Paper sign-ups'!$P$2:$P$101,K101-10000)))</f>
        <v/>
      </c>
      <c r="F101" s="20">
        <f>IF(K101="","",IF(K101&lt;10000,INDEX('Responses'!$AN$2:$AN$501,K101),INDEX('Paper sign-ups'!$R$2:$R$101,K101-10000)))</f>
        <v/>
      </c>
      <c r="G101" s="18">
        <f>IF(K101="","",IF(K101&lt;10000,INDEX('Responses'!$AO$2:$AO$501,K101),INDEX('Paper sign-ups'!$S$2:$S$101,K101-10000)))</f>
        <v/>
      </c>
      <c r="H101" s="19">
        <f>IF(K101="","",IF(K101&lt;10000,INDEX('Responses'!$AI$2:$AI$501,K101),INDEX('Paper sign-ups'!$M$2:$M$101,K101-10000)))</f>
        <v/>
      </c>
      <c r="I101" s="21">
        <f>IF(K101="","",IF(K101&lt;10000,INDEX('Responses'!$AR$2:$AR$501,K101),INDEX('Paper sign-ups'!$V$2:$V$101,K101-10000)))</f>
        <v/>
      </c>
      <c r="J101" s="18">
        <f>IF(K101="","",IF(K101&lt;10000,"Online form","Paper"))</f>
        <v/>
      </c>
      <c r="K101" s="22">
        <f>IF(ISNUMBER(MATCH(96,'Responses'!$AV$2:$AV$501,0)),MATCH(96,'Responses'!$AV$2:$AV$501,0),IF(ISNUMBER(MATCH(96,'Paper sign-ups'!$Z$2:$Z$101,0)),10000+MATCH(96,'Paper sign-ups'!$Z$2:$Z$101,0),""))</f>
        <v/>
      </c>
    </row>
    <row r="102">
      <c r="A102" s="18">
        <f>IF(K102="","",97)</f>
        <v/>
      </c>
      <c r="B102" s="10">
        <f>IF(K102="","",IF(K102&lt;10000,INDEX('Responses'!$AE$2:$AE$501,K102),INDEX('Paper sign-ups'!$I$2:$I$101,K102-10000)))</f>
        <v/>
      </c>
      <c r="C102" s="19">
        <f>IF(K102="","",IF(K102&lt;10000,INDEX('Responses'!$AF$2:$AF$501,K102),INDEX('Paper sign-ups'!$J$2:$J$101,K102-10000)))</f>
        <v/>
      </c>
      <c r="D102" s="18">
        <f>IF(K102="","",IF(K102&lt;10000,INDEX('Responses'!$AH$2:$AH$501,K102),INDEX('Paper sign-ups'!$L$2:$L$101,K102-10000)))</f>
        <v/>
      </c>
      <c r="E102" s="20">
        <f>IF(K102="","",IF(K102&lt;10000,INDEX('Responses'!$AL$2:$AL$501,K102),INDEX('Paper sign-ups'!$P$2:$P$101,K102-10000)))</f>
        <v/>
      </c>
      <c r="F102" s="20">
        <f>IF(K102="","",IF(K102&lt;10000,INDEX('Responses'!$AN$2:$AN$501,K102),INDEX('Paper sign-ups'!$R$2:$R$101,K102-10000)))</f>
        <v/>
      </c>
      <c r="G102" s="18">
        <f>IF(K102="","",IF(K102&lt;10000,INDEX('Responses'!$AO$2:$AO$501,K102),INDEX('Paper sign-ups'!$S$2:$S$101,K102-10000)))</f>
        <v/>
      </c>
      <c r="H102" s="19">
        <f>IF(K102="","",IF(K102&lt;10000,INDEX('Responses'!$AI$2:$AI$501,K102),INDEX('Paper sign-ups'!$M$2:$M$101,K102-10000)))</f>
        <v/>
      </c>
      <c r="I102" s="21">
        <f>IF(K102="","",IF(K102&lt;10000,INDEX('Responses'!$AR$2:$AR$501,K102),INDEX('Paper sign-ups'!$V$2:$V$101,K102-10000)))</f>
        <v/>
      </c>
      <c r="J102" s="18">
        <f>IF(K102="","",IF(K102&lt;10000,"Online form","Paper"))</f>
        <v/>
      </c>
      <c r="K102" s="22">
        <f>IF(ISNUMBER(MATCH(97,'Responses'!$AV$2:$AV$501,0)),MATCH(97,'Responses'!$AV$2:$AV$501,0),IF(ISNUMBER(MATCH(97,'Paper sign-ups'!$Z$2:$Z$101,0)),10000+MATCH(97,'Paper sign-ups'!$Z$2:$Z$101,0),""))</f>
        <v/>
      </c>
    </row>
    <row r="103">
      <c r="A103" s="18">
        <f>IF(K103="","",98)</f>
        <v/>
      </c>
      <c r="B103" s="10">
        <f>IF(K103="","",IF(K103&lt;10000,INDEX('Responses'!$AE$2:$AE$501,K103),INDEX('Paper sign-ups'!$I$2:$I$101,K103-10000)))</f>
        <v/>
      </c>
      <c r="C103" s="19">
        <f>IF(K103="","",IF(K103&lt;10000,INDEX('Responses'!$AF$2:$AF$501,K103),INDEX('Paper sign-ups'!$J$2:$J$101,K103-10000)))</f>
        <v/>
      </c>
      <c r="D103" s="18">
        <f>IF(K103="","",IF(K103&lt;10000,INDEX('Responses'!$AH$2:$AH$501,K103),INDEX('Paper sign-ups'!$L$2:$L$101,K103-10000)))</f>
        <v/>
      </c>
      <c r="E103" s="20">
        <f>IF(K103="","",IF(K103&lt;10000,INDEX('Responses'!$AL$2:$AL$501,K103),INDEX('Paper sign-ups'!$P$2:$P$101,K103-10000)))</f>
        <v/>
      </c>
      <c r="F103" s="20">
        <f>IF(K103="","",IF(K103&lt;10000,INDEX('Responses'!$AN$2:$AN$501,K103),INDEX('Paper sign-ups'!$R$2:$R$101,K103-10000)))</f>
        <v/>
      </c>
      <c r="G103" s="18">
        <f>IF(K103="","",IF(K103&lt;10000,INDEX('Responses'!$AO$2:$AO$501,K103),INDEX('Paper sign-ups'!$S$2:$S$101,K103-10000)))</f>
        <v/>
      </c>
      <c r="H103" s="19">
        <f>IF(K103="","",IF(K103&lt;10000,INDEX('Responses'!$AI$2:$AI$501,K103),INDEX('Paper sign-ups'!$M$2:$M$101,K103-10000)))</f>
        <v/>
      </c>
      <c r="I103" s="21">
        <f>IF(K103="","",IF(K103&lt;10000,INDEX('Responses'!$AR$2:$AR$501,K103),INDEX('Paper sign-ups'!$V$2:$V$101,K103-10000)))</f>
        <v/>
      </c>
      <c r="J103" s="18">
        <f>IF(K103="","",IF(K103&lt;10000,"Online form","Paper"))</f>
        <v/>
      </c>
      <c r="K103" s="22">
        <f>IF(ISNUMBER(MATCH(98,'Responses'!$AV$2:$AV$501,0)),MATCH(98,'Responses'!$AV$2:$AV$501,0),IF(ISNUMBER(MATCH(98,'Paper sign-ups'!$Z$2:$Z$101,0)),10000+MATCH(98,'Paper sign-ups'!$Z$2:$Z$101,0),""))</f>
        <v/>
      </c>
    </row>
    <row r="104">
      <c r="A104" s="18">
        <f>IF(K104="","",99)</f>
        <v/>
      </c>
      <c r="B104" s="10">
        <f>IF(K104="","",IF(K104&lt;10000,INDEX('Responses'!$AE$2:$AE$501,K104),INDEX('Paper sign-ups'!$I$2:$I$101,K104-10000)))</f>
        <v/>
      </c>
      <c r="C104" s="19">
        <f>IF(K104="","",IF(K104&lt;10000,INDEX('Responses'!$AF$2:$AF$501,K104),INDEX('Paper sign-ups'!$J$2:$J$101,K104-10000)))</f>
        <v/>
      </c>
      <c r="D104" s="18">
        <f>IF(K104="","",IF(K104&lt;10000,INDEX('Responses'!$AH$2:$AH$501,K104),INDEX('Paper sign-ups'!$L$2:$L$101,K104-10000)))</f>
        <v/>
      </c>
      <c r="E104" s="20">
        <f>IF(K104="","",IF(K104&lt;10000,INDEX('Responses'!$AL$2:$AL$501,K104),INDEX('Paper sign-ups'!$P$2:$P$101,K104-10000)))</f>
        <v/>
      </c>
      <c r="F104" s="20">
        <f>IF(K104="","",IF(K104&lt;10000,INDEX('Responses'!$AN$2:$AN$501,K104),INDEX('Paper sign-ups'!$R$2:$R$101,K104-10000)))</f>
        <v/>
      </c>
      <c r="G104" s="18">
        <f>IF(K104="","",IF(K104&lt;10000,INDEX('Responses'!$AO$2:$AO$501,K104),INDEX('Paper sign-ups'!$S$2:$S$101,K104-10000)))</f>
        <v/>
      </c>
      <c r="H104" s="19">
        <f>IF(K104="","",IF(K104&lt;10000,INDEX('Responses'!$AI$2:$AI$501,K104),INDEX('Paper sign-ups'!$M$2:$M$101,K104-10000)))</f>
        <v/>
      </c>
      <c r="I104" s="21">
        <f>IF(K104="","",IF(K104&lt;10000,INDEX('Responses'!$AR$2:$AR$501,K104),INDEX('Paper sign-ups'!$V$2:$V$101,K104-10000)))</f>
        <v/>
      </c>
      <c r="J104" s="18">
        <f>IF(K104="","",IF(K104&lt;10000,"Online form","Paper"))</f>
        <v/>
      </c>
      <c r="K104" s="22">
        <f>IF(ISNUMBER(MATCH(99,'Responses'!$AV$2:$AV$501,0)),MATCH(99,'Responses'!$AV$2:$AV$501,0),IF(ISNUMBER(MATCH(99,'Paper sign-ups'!$Z$2:$Z$101,0)),10000+MATCH(99,'Paper sign-ups'!$Z$2:$Z$101,0),""))</f>
        <v/>
      </c>
    </row>
    <row r="105">
      <c r="A105" s="18">
        <f>IF(K105="","",100)</f>
        <v/>
      </c>
      <c r="B105" s="10">
        <f>IF(K105="","",IF(K105&lt;10000,INDEX('Responses'!$AE$2:$AE$501,K105),INDEX('Paper sign-ups'!$I$2:$I$101,K105-10000)))</f>
        <v/>
      </c>
      <c r="C105" s="19">
        <f>IF(K105="","",IF(K105&lt;10000,INDEX('Responses'!$AF$2:$AF$501,K105),INDEX('Paper sign-ups'!$J$2:$J$101,K105-10000)))</f>
        <v/>
      </c>
      <c r="D105" s="18">
        <f>IF(K105="","",IF(K105&lt;10000,INDEX('Responses'!$AH$2:$AH$501,K105),INDEX('Paper sign-ups'!$L$2:$L$101,K105-10000)))</f>
        <v/>
      </c>
      <c r="E105" s="20">
        <f>IF(K105="","",IF(K105&lt;10000,INDEX('Responses'!$AL$2:$AL$501,K105),INDEX('Paper sign-ups'!$P$2:$P$101,K105-10000)))</f>
        <v/>
      </c>
      <c r="F105" s="20">
        <f>IF(K105="","",IF(K105&lt;10000,INDEX('Responses'!$AN$2:$AN$501,K105),INDEX('Paper sign-ups'!$R$2:$R$101,K105-10000)))</f>
        <v/>
      </c>
      <c r="G105" s="18">
        <f>IF(K105="","",IF(K105&lt;10000,INDEX('Responses'!$AO$2:$AO$501,K105),INDEX('Paper sign-ups'!$S$2:$S$101,K105-10000)))</f>
        <v/>
      </c>
      <c r="H105" s="19">
        <f>IF(K105="","",IF(K105&lt;10000,INDEX('Responses'!$AI$2:$AI$501,K105),INDEX('Paper sign-ups'!$M$2:$M$101,K105-10000)))</f>
        <v/>
      </c>
      <c r="I105" s="21">
        <f>IF(K105="","",IF(K105&lt;10000,INDEX('Responses'!$AR$2:$AR$501,K105),INDEX('Paper sign-ups'!$V$2:$V$101,K105-10000)))</f>
        <v/>
      </c>
      <c r="J105" s="18">
        <f>IF(K105="","",IF(K105&lt;10000,"Online form","Paper"))</f>
        <v/>
      </c>
      <c r="K105" s="22">
        <f>IF(ISNUMBER(MATCH(100,'Responses'!$AV$2:$AV$501,0)),MATCH(100,'Responses'!$AV$2:$AV$501,0),IF(ISNUMBER(MATCH(100,'Paper sign-ups'!$Z$2:$Z$101,0)),10000+MATCH(100,'Paper sign-ups'!$Z$2:$Z$101,0),""))</f>
        <v/>
      </c>
    </row>
    <row r="106">
      <c r="A106" s="18">
        <f>IF(K106="","",101)</f>
        <v/>
      </c>
      <c r="B106" s="10">
        <f>IF(K106="","",IF(K106&lt;10000,INDEX('Responses'!$AE$2:$AE$501,K106),INDEX('Paper sign-ups'!$I$2:$I$101,K106-10000)))</f>
        <v/>
      </c>
      <c r="C106" s="19">
        <f>IF(K106="","",IF(K106&lt;10000,INDEX('Responses'!$AF$2:$AF$501,K106),INDEX('Paper sign-ups'!$J$2:$J$101,K106-10000)))</f>
        <v/>
      </c>
      <c r="D106" s="18">
        <f>IF(K106="","",IF(K106&lt;10000,INDEX('Responses'!$AH$2:$AH$501,K106),INDEX('Paper sign-ups'!$L$2:$L$101,K106-10000)))</f>
        <v/>
      </c>
      <c r="E106" s="20">
        <f>IF(K106="","",IF(K106&lt;10000,INDEX('Responses'!$AL$2:$AL$501,K106),INDEX('Paper sign-ups'!$P$2:$P$101,K106-10000)))</f>
        <v/>
      </c>
      <c r="F106" s="20">
        <f>IF(K106="","",IF(K106&lt;10000,INDEX('Responses'!$AN$2:$AN$501,K106),INDEX('Paper sign-ups'!$R$2:$R$101,K106-10000)))</f>
        <v/>
      </c>
      <c r="G106" s="18">
        <f>IF(K106="","",IF(K106&lt;10000,INDEX('Responses'!$AO$2:$AO$501,K106),INDEX('Paper sign-ups'!$S$2:$S$101,K106-10000)))</f>
        <v/>
      </c>
      <c r="H106" s="19">
        <f>IF(K106="","",IF(K106&lt;10000,INDEX('Responses'!$AI$2:$AI$501,K106),INDEX('Paper sign-ups'!$M$2:$M$101,K106-10000)))</f>
        <v/>
      </c>
      <c r="I106" s="21">
        <f>IF(K106="","",IF(K106&lt;10000,INDEX('Responses'!$AR$2:$AR$501,K106),INDEX('Paper sign-ups'!$V$2:$V$101,K106-10000)))</f>
        <v/>
      </c>
      <c r="J106" s="18">
        <f>IF(K106="","",IF(K106&lt;10000,"Online form","Paper"))</f>
        <v/>
      </c>
      <c r="K106" s="22">
        <f>IF(ISNUMBER(MATCH(101,'Responses'!$AV$2:$AV$501,0)),MATCH(101,'Responses'!$AV$2:$AV$501,0),IF(ISNUMBER(MATCH(101,'Paper sign-ups'!$Z$2:$Z$101,0)),10000+MATCH(101,'Paper sign-ups'!$Z$2:$Z$101,0),""))</f>
        <v/>
      </c>
    </row>
    <row r="107">
      <c r="A107" s="18">
        <f>IF(K107="","",102)</f>
        <v/>
      </c>
      <c r="B107" s="10">
        <f>IF(K107="","",IF(K107&lt;10000,INDEX('Responses'!$AE$2:$AE$501,K107),INDEX('Paper sign-ups'!$I$2:$I$101,K107-10000)))</f>
        <v/>
      </c>
      <c r="C107" s="19">
        <f>IF(K107="","",IF(K107&lt;10000,INDEX('Responses'!$AF$2:$AF$501,K107),INDEX('Paper sign-ups'!$J$2:$J$101,K107-10000)))</f>
        <v/>
      </c>
      <c r="D107" s="18">
        <f>IF(K107="","",IF(K107&lt;10000,INDEX('Responses'!$AH$2:$AH$501,K107),INDEX('Paper sign-ups'!$L$2:$L$101,K107-10000)))</f>
        <v/>
      </c>
      <c r="E107" s="20">
        <f>IF(K107="","",IF(K107&lt;10000,INDEX('Responses'!$AL$2:$AL$501,K107),INDEX('Paper sign-ups'!$P$2:$P$101,K107-10000)))</f>
        <v/>
      </c>
      <c r="F107" s="20">
        <f>IF(K107="","",IF(K107&lt;10000,INDEX('Responses'!$AN$2:$AN$501,K107),INDEX('Paper sign-ups'!$R$2:$R$101,K107-10000)))</f>
        <v/>
      </c>
      <c r="G107" s="18">
        <f>IF(K107="","",IF(K107&lt;10000,INDEX('Responses'!$AO$2:$AO$501,K107),INDEX('Paper sign-ups'!$S$2:$S$101,K107-10000)))</f>
        <v/>
      </c>
      <c r="H107" s="19">
        <f>IF(K107="","",IF(K107&lt;10000,INDEX('Responses'!$AI$2:$AI$501,K107),INDEX('Paper sign-ups'!$M$2:$M$101,K107-10000)))</f>
        <v/>
      </c>
      <c r="I107" s="21">
        <f>IF(K107="","",IF(K107&lt;10000,INDEX('Responses'!$AR$2:$AR$501,K107),INDEX('Paper sign-ups'!$V$2:$V$101,K107-10000)))</f>
        <v/>
      </c>
      <c r="J107" s="18">
        <f>IF(K107="","",IF(K107&lt;10000,"Online form","Paper"))</f>
        <v/>
      </c>
      <c r="K107" s="22">
        <f>IF(ISNUMBER(MATCH(102,'Responses'!$AV$2:$AV$501,0)),MATCH(102,'Responses'!$AV$2:$AV$501,0),IF(ISNUMBER(MATCH(102,'Paper sign-ups'!$Z$2:$Z$101,0)),10000+MATCH(102,'Paper sign-ups'!$Z$2:$Z$101,0),""))</f>
        <v/>
      </c>
    </row>
    <row r="108">
      <c r="A108" s="18">
        <f>IF(K108="","",103)</f>
        <v/>
      </c>
      <c r="B108" s="10">
        <f>IF(K108="","",IF(K108&lt;10000,INDEX('Responses'!$AE$2:$AE$501,K108),INDEX('Paper sign-ups'!$I$2:$I$101,K108-10000)))</f>
        <v/>
      </c>
      <c r="C108" s="19">
        <f>IF(K108="","",IF(K108&lt;10000,INDEX('Responses'!$AF$2:$AF$501,K108),INDEX('Paper sign-ups'!$J$2:$J$101,K108-10000)))</f>
        <v/>
      </c>
      <c r="D108" s="18">
        <f>IF(K108="","",IF(K108&lt;10000,INDEX('Responses'!$AH$2:$AH$501,K108),INDEX('Paper sign-ups'!$L$2:$L$101,K108-10000)))</f>
        <v/>
      </c>
      <c r="E108" s="20">
        <f>IF(K108="","",IF(K108&lt;10000,INDEX('Responses'!$AL$2:$AL$501,K108),INDEX('Paper sign-ups'!$P$2:$P$101,K108-10000)))</f>
        <v/>
      </c>
      <c r="F108" s="20">
        <f>IF(K108="","",IF(K108&lt;10000,INDEX('Responses'!$AN$2:$AN$501,K108),INDEX('Paper sign-ups'!$R$2:$R$101,K108-10000)))</f>
        <v/>
      </c>
      <c r="G108" s="18">
        <f>IF(K108="","",IF(K108&lt;10000,INDEX('Responses'!$AO$2:$AO$501,K108),INDEX('Paper sign-ups'!$S$2:$S$101,K108-10000)))</f>
        <v/>
      </c>
      <c r="H108" s="19">
        <f>IF(K108="","",IF(K108&lt;10000,INDEX('Responses'!$AI$2:$AI$501,K108),INDEX('Paper sign-ups'!$M$2:$M$101,K108-10000)))</f>
        <v/>
      </c>
      <c r="I108" s="21">
        <f>IF(K108="","",IF(K108&lt;10000,INDEX('Responses'!$AR$2:$AR$501,K108),INDEX('Paper sign-ups'!$V$2:$V$101,K108-10000)))</f>
        <v/>
      </c>
      <c r="J108" s="18">
        <f>IF(K108="","",IF(K108&lt;10000,"Online form","Paper"))</f>
        <v/>
      </c>
      <c r="K108" s="22">
        <f>IF(ISNUMBER(MATCH(103,'Responses'!$AV$2:$AV$501,0)),MATCH(103,'Responses'!$AV$2:$AV$501,0),IF(ISNUMBER(MATCH(103,'Paper sign-ups'!$Z$2:$Z$101,0)),10000+MATCH(103,'Paper sign-ups'!$Z$2:$Z$101,0),""))</f>
        <v/>
      </c>
    </row>
    <row r="109">
      <c r="A109" s="18">
        <f>IF(K109="","",104)</f>
        <v/>
      </c>
      <c r="B109" s="10">
        <f>IF(K109="","",IF(K109&lt;10000,INDEX('Responses'!$AE$2:$AE$501,K109),INDEX('Paper sign-ups'!$I$2:$I$101,K109-10000)))</f>
        <v/>
      </c>
      <c r="C109" s="19">
        <f>IF(K109="","",IF(K109&lt;10000,INDEX('Responses'!$AF$2:$AF$501,K109),INDEX('Paper sign-ups'!$J$2:$J$101,K109-10000)))</f>
        <v/>
      </c>
      <c r="D109" s="18">
        <f>IF(K109="","",IF(K109&lt;10000,INDEX('Responses'!$AH$2:$AH$501,K109),INDEX('Paper sign-ups'!$L$2:$L$101,K109-10000)))</f>
        <v/>
      </c>
      <c r="E109" s="20">
        <f>IF(K109="","",IF(K109&lt;10000,INDEX('Responses'!$AL$2:$AL$501,K109),INDEX('Paper sign-ups'!$P$2:$P$101,K109-10000)))</f>
        <v/>
      </c>
      <c r="F109" s="20">
        <f>IF(K109="","",IF(K109&lt;10000,INDEX('Responses'!$AN$2:$AN$501,K109),INDEX('Paper sign-ups'!$R$2:$R$101,K109-10000)))</f>
        <v/>
      </c>
      <c r="G109" s="18">
        <f>IF(K109="","",IF(K109&lt;10000,INDEX('Responses'!$AO$2:$AO$501,K109),INDEX('Paper sign-ups'!$S$2:$S$101,K109-10000)))</f>
        <v/>
      </c>
      <c r="H109" s="19">
        <f>IF(K109="","",IF(K109&lt;10000,INDEX('Responses'!$AI$2:$AI$501,K109),INDEX('Paper sign-ups'!$M$2:$M$101,K109-10000)))</f>
        <v/>
      </c>
      <c r="I109" s="21">
        <f>IF(K109="","",IF(K109&lt;10000,INDEX('Responses'!$AR$2:$AR$501,K109),INDEX('Paper sign-ups'!$V$2:$V$101,K109-10000)))</f>
        <v/>
      </c>
      <c r="J109" s="18">
        <f>IF(K109="","",IF(K109&lt;10000,"Online form","Paper"))</f>
        <v/>
      </c>
      <c r="K109" s="22">
        <f>IF(ISNUMBER(MATCH(104,'Responses'!$AV$2:$AV$501,0)),MATCH(104,'Responses'!$AV$2:$AV$501,0),IF(ISNUMBER(MATCH(104,'Paper sign-ups'!$Z$2:$Z$101,0)),10000+MATCH(104,'Paper sign-ups'!$Z$2:$Z$101,0),""))</f>
        <v/>
      </c>
    </row>
    <row r="110">
      <c r="A110" s="18">
        <f>IF(K110="","",105)</f>
        <v/>
      </c>
      <c r="B110" s="10">
        <f>IF(K110="","",IF(K110&lt;10000,INDEX('Responses'!$AE$2:$AE$501,K110),INDEX('Paper sign-ups'!$I$2:$I$101,K110-10000)))</f>
        <v/>
      </c>
      <c r="C110" s="19">
        <f>IF(K110="","",IF(K110&lt;10000,INDEX('Responses'!$AF$2:$AF$501,K110),INDEX('Paper sign-ups'!$J$2:$J$101,K110-10000)))</f>
        <v/>
      </c>
      <c r="D110" s="18">
        <f>IF(K110="","",IF(K110&lt;10000,INDEX('Responses'!$AH$2:$AH$501,K110),INDEX('Paper sign-ups'!$L$2:$L$101,K110-10000)))</f>
        <v/>
      </c>
      <c r="E110" s="20">
        <f>IF(K110="","",IF(K110&lt;10000,INDEX('Responses'!$AL$2:$AL$501,K110),INDEX('Paper sign-ups'!$P$2:$P$101,K110-10000)))</f>
        <v/>
      </c>
      <c r="F110" s="20">
        <f>IF(K110="","",IF(K110&lt;10000,INDEX('Responses'!$AN$2:$AN$501,K110),INDEX('Paper sign-ups'!$R$2:$R$101,K110-10000)))</f>
        <v/>
      </c>
      <c r="G110" s="18">
        <f>IF(K110="","",IF(K110&lt;10000,INDEX('Responses'!$AO$2:$AO$501,K110),INDEX('Paper sign-ups'!$S$2:$S$101,K110-10000)))</f>
        <v/>
      </c>
      <c r="H110" s="19">
        <f>IF(K110="","",IF(K110&lt;10000,INDEX('Responses'!$AI$2:$AI$501,K110),INDEX('Paper sign-ups'!$M$2:$M$101,K110-10000)))</f>
        <v/>
      </c>
      <c r="I110" s="21">
        <f>IF(K110="","",IF(K110&lt;10000,INDEX('Responses'!$AR$2:$AR$501,K110),INDEX('Paper sign-ups'!$V$2:$V$101,K110-10000)))</f>
        <v/>
      </c>
      <c r="J110" s="18">
        <f>IF(K110="","",IF(K110&lt;10000,"Online form","Paper"))</f>
        <v/>
      </c>
      <c r="K110" s="22">
        <f>IF(ISNUMBER(MATCH(105,'Responses'!$AV$2:$AV$501,0)),MATCH(105,'Responses'!$AV$2:$AV$501,0),IF(ISNUMBER(MATCH(105,'Paper sign-ups'!$Z$2:$Z$101,0)),10000+MATCH(105,'Paper sign-ups'!$Z$2:$Z$101,0),""))</f>
        <v/>
      </c>
    </row>
    <row r="111">
      <c r="A111" s="18">
        <f>IF(K111="","",106)</f>
        <v/>
      </c>
      <c r="B111" s="10">
        <f>IF(K111="","",IF(K111&lt;10000,INDEX('Responses'!$AE$2:$AE$501,K111),INDEX('Paper sign-ups'!$I$2:$I$101,K111-10000)))</f>
        <v/>
      </c>
      <c r="C111" s="19">
        <f>IF(K111="","",IF(K111&lt;10000,INDEX('Responses'!$AF$2:$AF$501,K111),INDEX('Paper sign-ups'!$J$2:$J$101,K111-10000)))</f>
        <v/>
      </c>
      <c r="D111" s="18">
        <f>IF(K111="","",IF(K111&lt;10000,INDEX('Responses'!$AH$2:$AH$501,K111),INDEX('Paper sign-ups'!$L$2:$L$101,K111-10000)))</f>
        <v/>
      </c>
      <c r="E111" s="20">
        <f>IF(K111="","",IF(K111&lt;10000,INDEX('Responses'!$AL$2:$AL$501,K111),INDEX('Paper sign-ups'!$P$2:$P$101,K111-10000)))</f>
        <v/>
      </c>
      <c r="F111" s="20">
        <f>IF(K111="","",IF(K111&lt;10000,INDEX('Responses'!$AN$2:$AN$501,K111),INDEX('Paper sign-ups'!$R$2:$R$101,K111-10000)))</f>
        <v/>
      </c>
      <c r="G111" s="18">
        <f>IF(K111="","",IF(K111&lt;10000,INDEX('Responses'!$AO$2:$AO$501,K111),INDEX('Paper sign-ups'!$S$2:$S$101,K111-10000)))</f>
        <v/>
      </c>
      <c r="H111" s="19">
        <f>IF(K111="","",IF(K111&lt;10000,INDEX('Responses'!$AI$2:$AI$501,K111),INDEX('Paper sign-ups'!$M$2:$M$101,K111-10000)))</f>
        <v/>
      </c>
      <c r="I111" s="21">
        <f>IF(K111="","",IF(K111&lt;10000,INDEX('Responses'!$AR$2:$AR$501,K111),INDEX('Paper sign-ups'!$V$2:$V$101,K111-10000)))</f>
        <v/>
      </c>
      <c r="J111" s="18">
        <f>IF(K111="","",IF(K111&lt;10000,"Online form","Paper"))</f>
        <v/>
      </c>
      <c r="K111" s="22">
        <f>IF(ISNUMBER(MATCH(106,'Responses'!$AV$2:$AV$501,0)),MATCH(106,'Responses'!$AV$2:$AV$501,0),IF(ISNUMBER(MATCH(106,'Paper sign-ups'!$Z$2:$Z$101,0)),10000+MATCH(106,'Paper sign-ups'!$Z$2:$Z$101,0),""))</f>
        <v/>
      </c>
    </row>
    <row r="112">
      <c r="A112" s="18">
        <f>IF(K112="","",107)</f>
        <v/>
      </c>
      <c r="B112" s="10">
        <f>IF(K112="","",IF(K112&lt;10000,INDEX('Responses'!$AE$2:$AE$501,K112),INDEX('Paper sign-ups'!$I$2:$I$101,K112-10000)))</f>
        <v/>
      </c>
      <c r="C112" s="19">
        <f>IF(K112="","",IF(K112&lt;10000,INDEX('Responses'!$AF$2:$AF$501,K112),INDEX('Paper sign-ups'!$J$2:$J$101,K112-10000)))</f>
        <v/>
      </c>
      <c r="D112" s="18">
        <f>IF(K112="","",IF(K112&lt;10000,INDEX('Responses'!$AH$2:$AH$501,K112),INDEX('Paper sign-ups'!$L$2:$L$101,K112-10000)))</f>
        <v/>
      </c>
      <c r="E112" s="20">
        <f>IF(K112="","",IF(K112&lt;10000,INDEX('Responses'!$AL$2:$AL$501,K112),INDEX('Paper sign-ups'!$P$2:$P$101,K112-10000)))</f>
        <v/>
      </c>
      <c r="F112" s="20">
        <f>IF(K112="","",IF(K112&lt;10000,INDEX('Responses'!$AN$2:$AN$501,K112),INDEX('Paper sign-ups'!$R$2:$R$101,K112-10000)))</f>
        <v/>
      </c>
      <c r="G112" s="18">
        <f>IF(K112="","",IF(K112&lt;10000,INDEX('Responses'!$AO$2:$AO$501,K112),INDEX('Paper sign-ups'!$S$2:$S$101,K112-10000)))</f>
        <v/>
      </c>
      <c r="H112" s="19">
        <f>IF(K112="","",IF(K112&lt;10000,INDEX('Responses'!$AI$2:$AI$501,K112),INDEX('Paper sign-ups'!$M$2:$M$101,K112-10000)))</f>
        <v/>
      </c>
      <c r="I112" s="21">
        <f>IF(K112="","",IF(K112&lt;10000,INDEX('Responses'!$AR$2:$AR$501,K112),INDEX('Paper sign-ups'!$V$2:$V$101,K112-10000)))</f>
        <v/>
      </c>
      <c r="J112" s="18">
        <f>IF(K112="","",IF(K112&lt;10000,"Online form","Paper"))</f>
        <v/>
      </c>
      <c r="K112" s="22">
        <f>IF(ISNUMBER(MATCH(107,'Responses'!$AV$2:$AV$501,0)),MATCH(107,'Responses'!$AV$2:$AV$501,0),IF(ISNUMBER(MATCH(107,'Paper sign-ups'!$Z$2:$Z$101,0)),10000+MATCH(107,'Paper sign-ups'!$Z$2:$Z$101,0),""))</f>
        <v/>
      </c>
    </row>
    <row r="113">
      <c r="A113" s="18">
        <f>IF(K113="","",108)</f>
        <v/>
      </c>
      <c r="B113" s="10">
        <f>IF(K113="","",IF(K113&lt;10000,INDEX('Responses'!$AE$2:$AE$501,K113),INDEX('Paper sign-ups'!$I$2:$I$101,K113-10000)))</f>
        <v/>
      </c>
      <c r="C113" s="19">
        <f>IF(K113="","",IF(K113&lt;10000,INDEX('Responses'!$AF$2:$AF$501,K113),INDEX('Paper sign-ups'!$J$2:$J$101,K113-10000)))</f>
        <v/>
      </c>
      <c r="D113" s="18">
        <f>IF(K113="","",IF(K113&lt;10000,INDEX('Responses'!$AH$2:$AH$501,K113),INDEX('Paper sign-ups'!$L$2:$L$101,K113-10000)))</f>
        <v/>
      </c>
      <c r="E113" s="20">
        <f>IF(K113="","",IF(K113&lt;10000,INDEX('Responses'!$AL$2:$AL$501,K113),INDEX('Paper sign-ups'!$P$2:$P$101,K113-10000)))</f>
        <v/>
      </c>
      <c r="F113" s="20">
        <f>IF(K113="","",IF(K113&lt;10000,INDEX('Responses'!$AN$2:$AN$501,K113),INDEX('Paper sign-ups'!$R$2:$R$101,K113-10000)))</f>
        <v/>
      </c>
      <c r="G113" s="18">
        <f>IF(K113="","",IF(K113&lt;10000,INDEX('Responses'!$AO$2:$AO$501,K113),INDEX('Paper sign-ups'!$S$2:$S$101,K113-10000)))</f>
        <v/>
      </c>
      <c r="H113" s="19">
        <f>IF(K113="","",IF(K113&lt;10000,INDEX('Responses'!$AI$2:$AI$501,K113),INDEX('Paper sign-ups'!$M$2:$M$101,K113-10000)))</f>
        <v/>
      </c>
      <c r="I113" s="21">
        <f>IF(K113="","",IF(K113&lt;10000,INDEX('Responses'!$AR$2:$AR$501,K113),INDEX('Paper sign-ups'!$V$2:$V$101,K113-10000)))</f>
        <v/>
      </c>
      <c r="J113" s="18">
        <f>IF(K113="","",IF(K113&lt;10000,"Online form","Paper"))</f>
        <v/>
      </c>
      <c r="K113" s="22">
        <f>IF(ISNUMBER(MATCH(108,'Responses'!$AV$2:$AV$501,0)),MATCH(108,'Responses'!$AV$2:$AV$501,0),IF(ISNUMBER(MATCH(108,'Paper sign-ups'!$Z$2:$Z$101,0)),10000+MATCH(108,'Paper sign-ups'!$Z$2:$Z$101,0),""))</f>
        <v/>
      </c>
    </row>
    <row r="114">
      <c r="A114" s="18">
        <f>IF(K114="","",109)</f>
        <v/>
      </c>
      <c r="B114" s="10">
        <f>IF(K114="","",IF(K114&lt;10000,INDEX('Responses'!$AE$2:$AE$501,K114),INDEX('Paper sign-ups'!$I$2:$I$101,K114-10000)))</f>
        <v/>
      </c>
      <c r="C114" s="19">
        <f>IF(K114="","",IF(K114&lt;10000,INDEX('Responses'!$AF$2:$AF$501,K114),INDEX('Paper sign-ups'!$J$2:$J$101,K114-10000)))</f>
        <v/>
      </c>
      <c r="D114" s="18">
        <f>IF(K114="","",IF(K114&lt;10000,INDEX('Responses'!$AH$2:$AH$501,K114),INDEX('Paper sign-ups'!$L$2:$L$101,K114-10000)))</f>
        <v/>
      </c>
      <c r="E114" s="20">
        <f>IF(K114="","",IF(K114&lt;10000,INDEX('Responses'!$AL$2:$AL$501,K114),INDEX('Paper sign-ups'!$P$2:$P$101,K114-10000)))</f>
        <v/>
      </c>
      <c r="F114" s="20">
        <f>IF(K114="","",IF(K114&lt;10000,INDEX('Responses'!$AN$2:$AN$501,K114),INDEX('Paper sign-ups'!$R$2:$R$101,K114-10000)))</f>
        <v/>
      </c>
      <c r="G114" s="18">
        <f>IF(K114="","",IF(K114&lt;10000,INDEX('Responses'!$AO$2:$AO$501,K114),INDEX('Paper sign-ups'!$S$2:$S$101,K114-10000)))</f>
        <v/>
      </c>
      <c r="H114" s="19">
        <f>IF(K114="","",IF(K114&lt;10000,INDEX('Responses'!$AI$2:$AI$501,K114),INDEX('Paper sign-ups'!$M$2:$M$101,K114-10000)))</f>
        <v/>
      </c>
      <c r="I114" s="21">
        <f>IF(K114="","",IF(K114&lt;10000,INDEX('Responses'!$AR$2:$AR$501,K114),INDEX('Paper sign-ups'!$V$2:$V$101,K114-10000)))</f>
        <v/>
      </c>
      <c r="J114" s="18">
        <f>IF(K114="","",IF(K114&lt;10000,"Online form","Paper"))</f>
        <v/>
      </c>
      <c r="K114" s="22">
        <f>IF(ISNUMBER(MATCH(109,'Responses'!$AV$2:$AV$501,0)),MATCH(109,'Responses'!$AV$2:$AV$501,0),IF(ISNUMBER(MATCH(109,'Paper sign-ups'!$Z$2:$Z$101,0)),10000+MATCH(109,'Paper sign-ups'!$Z$2:$Z$101,0),""))</f>
        <v/>
      </c>
    </row>
    <row r="115">
      <c r="A115" s="18">
        <f>IF(K115="","",110)</f>
        <v/>
      </c>
      <c r="B115" s="10">
        <f>IF(K115="","",IF(K115&lt;10000,INDEX('Responses'!$AE$2:$AE$501,K115),INDEX('Paper sign-ups'!$I$2:$I$101,K115-10000)))</f>
        <v/>
      </c>
      <c r="C115" s="19">
        <f>IF(K115="","",IF(K115&lt;10000,INDEX('Responses'!$AF$2:$AF$501,K115),INDEX('Paper sign-ups'!$J$2:$J$101,K115-10000)))</f>
        <v/>
      </c>
      <c r="D115" s="18">
        <f>IF(K115="","",IF(K115&lt;10000,INDEX('Responses'!$AH$2:$AH$501,K115),INDEX('Paper sign-ups'!$L$2:$L$101,K115-10000)))</f>
        <v/>
      </c>
      <c r="E115" s="20">
        <f>IF(K115="","",IF(K115&lt;10000,INDEX('Responses'!$AL$2:$AL$501,K115),INDEX('Paper sign-ups'!$P$2:$P$101,K115-10000)))</f>
        <v/>
      </c>
      <c r="F115" s="20">
        <f>IF(K115="","",IF(K115&lt;10000,INDEX('Responses'!$AN$2:$AN$501,K115),INDEX('Paper sign-ups'!$R$2:$R$101,K115-10000)))</f>
        <v/>
      </c>
      <c r="G115" s="18">
        <f>IF(K115="","",IF(K115&lt;10000,INDEX('Responses'!$AO$2:$AO$501,K115),INDEX('Paper sign-ups'!$S$2:$S$101,K115-10000)))</f>
        <v/>
      </c>
      <c r="H115" s="19">
        <f>IF(K115="","",IF(K115&lt;10000,INDEX('Responses'!$AI$2:$AI$501,K115),INDEX('Paper sign-ups'!$M$2:$M$101,K115-10000)))</f>
        <v/>
      </c>
      <c r="I115" s="21">
        <f>IF(K115="","",IF(K115&lt;10000,INDEX('Responses'!$AR$2:$AR$501,K115),INDEX('Paper sign-ups'!$V$2:$V$101,K115-10000)))</f>
        <v/>
      </c>
      <c r="J115" s="18">
        <f>IF(K115="","",IF(K115&lt;10000,"Online form","Paper"))</f>
        <v/>
      </c>
      <c r="K115" s="22">
        <f>IF(ISNUMBER(MATCH(110,'Responses'!$AV$2:$AV$501,0)),MATCH(110,'Responses'!$AV$2:$AV$501,0),IF(ISNUMBER(MATCH(110,'Paper sign-ups'!$Z$2:$Z$101,0)),10000+MATCH(110,'Paper sign-ups'!$Z$2:$Z$101,0),""))</f>
        <v/>
      </c>
    </row>
    <row r="116">
      <c r="A116" s="18">
        <f>IF(K116="","",111)</f>
        <v/>
      </c>
      <c r="B116" s="10">
        <f>IF(K116="","",IF(K116&lt;10000,INDEX('Responses'!$AE$2:$AE$501,K116),INDEX('Paper sign-ups'!$I$2:$I$101,K116-10000)))</f>
        <v/>
      </c>
      <c r="C116" s="19">
        <f>IF(K116="","",IF(K116&lt;10000,INDEX('Responses'!$AF$2:$AF$501,K116),INDEX('Paper sign-ups'!$J$2:$J$101,K116-10000)))</f>
        <v/>
      </c>
      <c r="D116" s="18">
        <f>IF(K116="","",IF(K116&lt;10000,INDEX('Responses'!$AH$2:$AH$501,K116),INDEX('Paper sign-ups'!$L$2:$L$101,K116-10000)))</f>
        <v/>
      </c>
      <c r="E116" s="20">
        <f>IF(K116="","",IF(K116&lt;10000,INDEX('Responses'!$AL$2:$AL$501,K116),INDEX('Paper sign-ups'!$P$2:$P$101,K116-10000)))</f>
        <v/>
      </c>
      <c r="F116" s="20">
        <f>IF(K116="","",IF(K116&lt;10000,INDEX('Responses'!$AN$2:$AN$501,K116),INDEX('Paper sign-ups'!$R$2:$R$101,K116-10000)))</f>
        <v/>
      </c>
      <c r="G116" s="18">
        <f>IF(K116="","",IF(K116&lt;10000,INDEX('Responses'!$AO$2:$AO$501,K116),INDEX('Paper sign-ups'!$S$2:$S$101,K116-10000)))</f>
        <v/>
      </c>
      <c r="H116" s="19">
        <f>IF(K116="","",IF(K116&lt;10000,INDEX('Responses'!$AI$2:$AI$501,K116),INDEX('Paper sign-ups'!$M$2:$M$101,K116-10000)))</f>
        <v/>
      </c>
      <c r="I116" s="21">
        <f>IF(K116="","",IF(K116&lt;10000,INDEX('Responses'!$AR$2:$AR$501,K116),INDEX('Paper sign-ups'!$V$2:$V$101,K116-10000)))</f>
        <v/>
      </c>
      <c r="J116" s="18">
        <f>IF(K116="","",IF(K116&lt;10000,"Online form","Paper"))</f>
        <v/>
      </c>
      <c r="K116" s="22">
        <f>IF(ISNUMBER(MATCH(111,'Responses'!$AV$2:$AV$501,0)),MATCH(111,'Responses'!$AV$2:$AV$501,0),IF(ISNUMBER(MATCH(111,'Paper sign-ups'!$Z$2:$Z$101,0)),10000+MATCH(111,'Paper sign-ups'!$Z$2:$Z$101,0),""))</f>
        <v/>
      </c>
    </row>
    <row r="117">
      <c r="A117" s="18">
        <f>IF(K117="","",112)</f>
        <v/>
      </c>
      <c r="B117" s="10">
        <f>IF(K117="","",IF(K117&lt;10000,INDEX('Responses'!$AE$2:$AE$501,K117),INDEX('Paper sign-ups'!$I$2:$I$101,K117-10000)))</f>
        <v/>
      </c>
      <c r="C117" s="19">
        <f>IF(K117="","",IF(K117&lt;10000,INDEX('Responses'!$AF$2:$AF$501,K117),INDEX('Paper sign-ups'!$J$2:$J$101,K117-10000)))</f>
        <v/>
      </c>
      <c r="D117" s="18">
        <f>IF(K117="","",IF(K117&lt;10000,INDEX('Responses'!$AH$2:$AH$501,K117),INDEX('Paper sign-ups'!$L$2:$L$101,K117-10000)))</f>
        <v/>
      </c>
      <c r="E117" s="20">
        <f>IF(K117="","",IF(K117&lt;10000,INDEX('Responses'!$AL$2:$AL$501,K117),INDEX('Paper sign-ups'!$P$2:$P$101,K117-10000)))</f>
        <v/>
      </c>
      <c r="F117" s="20">
        <f>IF(K117="","",IF(K117&lt;10000,INDEX('Responses'!$AN$2:$AN$501,K117),INDEX('Paper sign-ups'!$R$2:$R$101,K117-10000)))</f>
        <v/>
      </c>
      <c r="G117" s="18">
        <f>IF(K117="","",IF(K117&lt;10000,INDEX('Responses'!$AO$2:$AO$501,K117),INDEX('Paper sign-ups'!$S$2:$S$101,K117-10000)))</f>
        <v/>
      </c>
      <c r="H117" s="19">
        <f>IF(K117="","",IF(K117&lt;10000,INDEX('Responses'!$AI$2:$AI$501,K117),INDEX('Paper sign-ups'!$M$2:$M$101,K117-10000)))</f>
        <v/>
      </c>
      <c r="I117" s="21">
        <f>IF(K117="","",IF(K117&lt;10000,INDEX('Responses'!$AR$2:$AR$501,K117),INDEX('Paper sign-ups'!$V$2:$V$101,K117-10000)))</f>
        <v/>
      </c>
      <c r="J117" s="18">
        <f>IF(K117="","",IF(K117&lt;10000,"Online form","Paper"))</f>
        <v/>
      </c>
      <c r="K117" s="22">
        <f>IF(ISNUMBER(MATCH(112,'Responses'!$AV$2:$AV$501,0)),MATCH(112,'Responses'!$AV$2:$AV$501,0),IF(ISNUMBER(MATCH(112,'Paper sign-ups'!$Z$2:$Z$101,0)),10000+MATCH(112,'Paper sign-ups'!$Z$2:$Z$101,0),""))</f>
        <v/>
      </c>
    </row>
    <row r="118">
      <c r="A118" s="18">
        <f>IF(K118="","",113)</f>
        <v/>
      </c>
      <c r="B118" s="10">
        <f>IF(K118="","",IF(K118&lt;10000,INDEX('Responses'!$AE$2:$AE$501,K118),INDEX('Paper sign-ups'!$I$2:$I$101,K118-10000)))</f>
        <v/>
      </c>
      <c r="C118" s="19">
        <f>IF(K118="","",IF(K118&lt;10000,INDEX('Responses'!$AF$2:$AF$501,K118),INDEX('Paper sign-ups'!$J$2:$J$101,K118-10000)))</f>
        <v/>
      </c>
      <c r="D118" s="18">
        <f>IF(K118="","",IF(K118&lt;10000,INDEX('Responses'!$AH$2:$AH$501,K118),INDEX('Paper sign-ups'!$L$2:$L$101,K118-10000)))</f>
        <v/>
      </c>
      <c r="E118" s="20">
        <f>IF(K118="","",IF(K118&lt;10000,INDEX('Responses'!$AL$2:$AL$501,K118),INDEX('Paper sign-ups'!$P$2:$P$101,K118-10000)))</f>
        <v/>
      </c>
      <c r="F118" s="20">
        <f>IF(K118="","",IF(K118&lt;10000,INDEX('Responses'!$AN$2:$AN$501,K118),INDEX('Paper sign-ups'!$R$2:$R$101,K118-10000)))</f>
        <v/>
      </c>
      <c r="G118" s="18">
        <f>IF(K118="","",IF(K118&lt;10000,INDEX('Responses'!$AO$2:$AO$501,K118),INDEX('Paper sign-ups'!$S$2:$S$101,K118-10000)))</f>
        <v/>
      </c>
      <c r="H118" s="19">
        <f>IF(K118="","",IF(K118&lt;10000,INDEX('Responses'!$AI$2:$AI$501,K118),INDEX('Paper sign-ups'!$M$2:$M$101,K118-10000)))</f>
        <v/>
      </c>
      <c r="I118" s="21">
        <f>IF(K118="","",IF(K118&lt;10000,INDEX('Responses'!$AR$2:$AR$501,K118),INDEX('Paper sign-ups'!$V$2:$V$101,K118-10000)))</f>
        <v/>
      </c>
      <c r="J118" s="18">
        <f>IF(K118="","",IF(K118&lt;10000,"Online form","Paper"))</f>
        <v/>
      </c>
      <c r="K118" s="22">
        <f>IF(ISNUMBER(MATCH(113,'Responses'!$AV$2:$AV$501,0)),MATCH(113,'Responses'!$AV$2:$AV$501,0),IF(ISNUMBER(MATCH(113,'Paper sign-ups'!$Z$2:$Z$101,0)),10000+MATCH(113,'Paper sign-ups'!$Z$2:$Z$101,0),""))</f>
        <v/>
      </c>
    </row>
    <row r="119">
      <c r="A119" s="18">
        <f>IF(K119="","",114)</f>
        <v/>
      </c>
      <c r="B119" s="10">
        <f>IF(K119="","",IF(K119&lt;10000,INDEX('Responses'!$AE$2:$AE$501,K119),INDEX('Paper sign-ups'!$I$2:$I$101,K119-10000)))</f>
        <v/>
      </c>
      <c r="C119" s="19">
        <f>IF(K119="","",IF(K119&lt;10000,INDEX('Responses'!$AF$2:$AF$501,K119),INDEX('Paper sign-ups'!$J$2:$J$101,K119-10000)))</f>
        <v/>
      </c>
      <c r="D119" s="18">
        <f>IF(K119="","",IF(K119&lt;10000,INDEX('Responses'!$AH$2:$AH$501,K119),INDEX('Paper sign-ups'!$L$2:$L$101,K119-10000)))</f>
        <v/>
      </c>
      <c r="E119" s="20">
        <f>IF(K119="","",IF(K119&lt;10000,INDEX('Responses'!$AL$2:$AL$501,K119),INDEX('Paper sign-ups'!$P$2:$P$101,K119-10000)))</f>
        <v/>
      </c>
      <c r="F119" s="20">
        <f>IF(K119="","",IF(K119&lt;10000,INDEX('Responses'!$AN$2:$AN$501,K119),INDEX('Paper sign-ups'!$R$2:$R$101,K119-10000)))</f>
        <v/>
      </c>
      <c r="G119" s="18">
        <f>IF(K119="","",IF(K119&lt;10000,INDEX('Responses'!$AO$2:$AO$501,K119),INDEX('Paper sign-ups'!$S$2:$S$101,K119-10000)))</f>
        <v/>
      </c>
      <c r="H119" s="19">
        <f>IF(K119="","",IF(K119&lt;10000,INDEX('Responses'!$AI$2:$AI$501,K119),INDEX('Paper sign-ups'!$M$2:$M$101,K119-10000)))</f>
        <v/>
      </c>
      <c r="I119" s="21">
        <f>IF(K119="","",IF(K119&lt;10000,INDEX('Responses'!$AR$2:$AR$501,K119),INDEX('Paper sign-ups'!$V$2:$V$101,K119-10000)))</f>
        <v/>
      </c>
      <c r="J119" s="18">
        <f>IF(K119="","",IF(K119&lt;10000,"Online form","Paper"))</f>
        <v/>
      </c>
      <c r="K119" s="22">
        <f>IF(ISNUMBER(MATCH(114,'Responses'!$AV$2:$AV$501,0)),MATCH(114,'Responses'!$AV$2:$AV$501,0),IF(ISNUMBER(MATCH(114,'Paper sign-ups'!$Z$2:$Z$101,0)),10000+MATCH(114,'Paper sign-ups'!$Z$2:$Z$101,0),""))</f>
        <v/>
      </c>
    </row>
    <row r="120">
      <c r="A120" s="18">
        <f>IF(K120="","",115)</f>
        <v/>
      </c>
      <c r="B120" s="10">
        <f>IF(K120="","",IF(K120&lt;10000,INDEX('Responses'!$AE$2:$AE$501,K120),INDEX('Paper sign-ups'!$I$2:$I$101,K120-10000)))</f>
        <v/>
      </c>
      <c r="C120" s="19">
        <f>IF(K120="","",IF(K120&lt;10000,INDEX('Responses'!$AF$2:$AF$501,K120),INDEX('Paper sign-ups'!$J$2:$J$101,K120-10000)))</f>
        <v/>
      </c>
      <c r="D120" s="18">
        <f>IF(K120="","",IF(K120&lt;10000,INDEX('Responses'!$AH$2:$AH$501,K120),INDEX('Paper sign-ups'!$L$2:$L$101,K120-10000)))</f>
        <v/>
      </c>
      <c r="E120" s="20">
        <f>IF(K120="","",IF(K120&lt;10000,INDEX('Responses'!$AL$2:$AL$501,K120),INDEX('Paper sign-ups'!$P$2:$P$101,K120-10000)))</f>
        <v/>
      </c>
      <c r="F120" s="20">
        <f>IF(K120="","",IF(K120&lt;10000,INDEX('Responses'!$AN$2:$AN$501,K120),INDEX('Paper sign-ups'!$R$2:$R$101,K120-10000)))</f>
        <v/>
      </c>
      <c r="G120" s="18">
        <f>IF(K120="","",IF(K120&lt;10000,INDEX('Responses'!$AO$2:$AO$501,K120),INDEX('Paper sign-ups'!$S$2:$S$101,K120-10000)))</f>
        <v/>
      </c>
      <c r="H120" s="19">
        <f>IF(K120="","",IF(K120&lt;10000,INDEX('Responses'!$AI$2:$AI$501,K120),INDEX('Paper sign-ups'!$M$2:$M$101,K120-10000)))</f>
        <v/>
      </c>
      <c r="I120" s="21">
        <f>IF(K120="","",IF(K120&lt;10000,INDEX('Responses'!$AR$2:$AR$501,K120),INDEX('Paper sign-ups'!$V$2:$V$101,K120-10000)))</f>
        <v/>
      </c>
      <c r="J120" s="18">
        <f>IF(K120="","",IF(K120&lt;10000,"Online form","Paper"))</f>
        <v/>
      </c>
      <c r="K120" s="22">
        <f>IF(ISNUMBER(MATCH(115,'Responses'!$AV$2:$AV$501,0)),MATCH(115,'Responses'!$AV$2:$AV$501,0),IF(ISNUMBER(MATCH(115,'Paper sign-ups'!$Z$2:$Z$101,0)),10000+MATCH(115,'Paper sign-ups'!$Z$2:$Z$101,0),""))</f>
        <v/>
      </c>
    </row>
    <row r="121">
      <c r="A121" s="18">
        <f>IF(K121="","",116)</f>
        <v/>
      </c>
      <c r="B121" s="10">
        <f>IF(K121="","",IF(K121&lt;10000,INDEX('Responses'!$AE$2:$AE$501,K121),INDEX('Paper sign-ups'!$I$2:$I$101,K121-10000)))</f>
        <v/>
      </c>
      <c r="C121" s="19">
        <f>IF(K121="","",IF(K121&lt;10000,INDEX('Responses'!$AF$2:$AF$501,K121),INDEX('Paper sign-ups'!$J$2:$J$101,K121-10000)))</f>
        <v/>
      </c>
      <c r="D121" s="18">
        <f>IF(K121="","",IF(K121&lt;10000,INDEX('Responses'!$AH$2:$AH$501,K121),INDEX('Paper sign-ups'!$L$2:$L$101,K121-10000)))</f>
        <v/>
      </c>
      <c r="E121" s="20">
        <f>IF(K121="","",IF(K121&lt;10000,INDEX('Responses'!$AL$2:$AL$501,K121),INDEX('Paper sign-ups'!$P$2:$P$101,K121-10000)))</f>
        <v/>
      </c>
      <c r="F121" s="20">
        <f>IF(K121="","",IF(K121&lt;10000,INDEX('Responses'!$AN$2:$AN$501,K121),INDEX('Paper sign-ups'!$R$2:$R$101,K121-10000)))</f>
        <v/>
      </c>
      <c r="G121" s="18">
        <f>IF(K121="","",IF(K121&lt;10000,INDEX('Responses'!$AO$2:$AO$501,K121),INDEX('Paper sign-ups'!$S$2:$S$101,K121-10000)))</f>
        <v/>
      </c>
      <c r="H121" s="19">
        <f>IF(K121="","",IF(K121&lt;10000,INDEX('Responses'!$AI$2:$AI$501,K121),INDEX('Paper sign-ups'!$M$2:$M$101,K121-10000)))</f>
        <v/>
      </c>
      <c r="I121" s="21">
        <f>IF(K121="","",IF(K121&lt;10000,INDEX('Responses'!$AR$2:$AR$501,K121),INDEX('Paper sign-ups'!$V$2:$V$101,K121-10000)))</f>
        <v/>
      </c>
      <c r="J121" s="18">
        <f>IF(K121="","",IF(K121&lt;10000,"Online form","Paper"))</f>
        <v/>
      </c>
      <c r="K121" s="22">
        <f>IF(ISNUMBER(MATCH(116,'Responses'!$AV$2:$AV$501,0)),MATCH(116,'Responses'!$AV$2:$AV$501,0),IF(ISNUMBER(MATCH(116,'Paper sign-ups'!$Z$2:$Z$101,0)),10000+MATCH(116,'Paper sign-ups'!$Z$2:$Z$101,0),""))</f>
        <v/>
      </c>
    </row>
    <row r="122">
      <c r="A122" s="18">
        <f>IF(K122="","",117)</f>
        <v/>
      </c>
      <c r="B122" s="10">
        <f>IF(K122="","",IF(K122&lt;10000,INDEX('Responses'!$AE$2:$AE$501,K122),INDEX('Paper sign-ups'!$I$2:$I$101,K122-10000)))</f>
        <v/>
      </c>
      <c r="C122" s="19">
        <f>IF(K122="","",IF(K122&lt;10000,INDEX('Responses'!$AF$2:$AF$501,K122),INDEX('Paper sign-ups'!$J$2:$J$101,K122-10000)))</f>
        <v/>
      </c>
      <c r="D122" s="18">
        <f>IF(K122="","",IF(K122&lt;10000,INDEX('Responses'!$AH$2:$AH$501,K122),INDEX('Paper sign-ups'!$L$2:$L$101,K122-10000)))</f>
        <v/>
      </c>
      <c r="E122" s="20">
        <f>IF(K122="","",IF(K122&lt;10000,INDEX('Responses'!$AL$2:$AL$501,K122),INDEX('Paper sign-ups'!$P$2:$P$101,K122-10000)))</f>
        <v/>
      </c>
      <c r="F122" s="20">
        <f>IF(K122="","",IF(K122&lt;10000,INDEX('Responses'!$AN$2:$AN$501,K122),INDEX('Paper sign-ups'!$R$2:$R$101,K122-10000)))</f>
        <v/>
      </c>
      <c r="G122" s="18">
        <f>IF(K122="","",IF(K122&lt;10000,INDEX('Responses'!$AO$2:$AO$501,K122),INDEX('Paper sign-ups'!$S$2:$S$101,K122-10000)))</f>
        <v/>
      </c>
      <c r="H122" s="19">
        <f>IF(K122="","",IF(K122&lt;10000,INDEX('Responses'!$AI$2:$AI$501,K122),INDEX('Paper sign-ups'!$M$2:$M$101,K122-10000)))</f>
        <v/>
      </c>
      <c r="I122" s="21">
        <f>IF(K122="","",IF(K122&lt;10000,INDEX('Responses'!$AR$2:$AR$501,K122),INDEX('Paper sign-ups'!$V$2:$V$101,K122-10000)))</f>
        <v/>
      </c>
      <c r="J122" s="18">
        <f>IF(K122="","",IF(K122&lt;10000,"Online form","Paper"))</f>
        <v/>
      </c>
      <c r="K122" s="22">
        <f>IF(ISNUMBER(MATCH(117,'Responses'!$AV$2:$AV$501,0)),MATCH(117,'Responses'!$AV$2:$AV$501,0),IF(ISNUMBER(MATCH(117,'Paper sign-ups'!$Z$2:$Z$101,0)),10000+MATCH(117,'Paper sign-ups'!$Z$2:$Z$101,0),""))</f>
        <v/>
      </c>
    </row>
    <row r="123">
      <c r="A123" s="18">
        <f>IF(K123="","",118)</f>
        <v/>
      </c>
      <c r="B123" s="10">
        <f>IF(K123="","",IF(K123&lt;10000,INDEX('Responses'!$AE$2:$AE$501,K123),INDEX('Paper sign-ups'!$I$2:$I$101,K123-10000)))</f>
        <v/>
      </c>
      <c r="C123" s="19">
        <f>IF(K123="","",IF(K123&lt;10000,INDEX('Responses'!$AF$2:$AF$501,K123),INDEX('Paper sign-ups'!$J$2:$J$101,K123-10000)))</f>
        <v/>
      </c>
      <c r="D123" s="18">
        <f>IF(K123="","",IF(K123&lt;10000,INDEX('Responses'!$AH$2:$AH$501,K123),INDEX('Paper sign-ups'!$L$2:$L$101,K123-10000)))</f>
        <v/>
      </c>
      <c r="E123" s="20">
        <f>IF(K123="","",IF(K123&lt;10000,INDEX('Responses'!$AL$2:$AL$501,K123),INDEX('Paper sign-ups'!$P$2:$P$101,K123-10000)))</f>
        <v/>
      </c>
      <c r="F123" s="20">
        <f>IF(K123="","",IF(K123&lt;10000,INDEX('Responses'!$AN$2:$AN$501,K123),INDEX('Paper sign-ups'!$R$2:$R$101,K123-10000)))</f>
        <v/>
      </c>
      <c r="G123" s="18">
        <f>IF(K123="","",IF(K123&lt;10000,INDEX('Responses'!$AO$2:$AO$501,K123),INDEX('Paper sign-ups'!$S$2:$S$101,K123-10000)))</f>
        <v/>
      </c>
      <c r="H123" s="19">
        <f>IF(K123="","",IF(K123&lt;10000,INDEX('Responses'!$AI$2:$AI$501,K123),INDEX('Paper sign-ups'!$M$2:$M$101,K123-10000)))</f>
        <v/>
      </c>
      <c r="I123" s="21">
        <f>IF(K123="","",IF(K123&lt;10000,INDEX('Responses'!$AR$2:$AR$501,K123),INDEX('Paper sign-ups'!$V$2:$V$101,K123-10000)))</f>
        <v/>
      </c>
      <c r="J123" s="18">
        <f>IF(K123="","",IF(K123&lt;10000,"Online form","Paper"))</f>
        <v/>
      </c>
      <c r="K123" s="22">
        <f>IF(ISNUMBER(MATCH(118,'Responses'!$AV$2:$AV$501,0)),MATCH(118,'Responses'!$AV$2:$AV$501,0),IF(ISNUMBER(MATCH(118,'Paper sign-ups'!$Z$2:$Z$101,0)),10000+MATCH(118,'Paper sign-ups'!$Z$2:$Z$101,0),""))</f>
        <v/>
      </c>
    </row>
    <row r="124">
      <c r="A124" s="18">
        <f>IF(K124="","",119)</f>
        <v/>
      </c>
      <c r="B124" s="10">
        <f>IF(K124="","",IF(K124&lt;10000,INDEX('Responses'!$AE$2:$AE$501,K124),INDEX('Paper sign-ups'!$I$2:$I$101,K124-10000)))</f>
        <v/>
      </c>
      <c r="C124" s="19">
        <f>IF(K124="","",IF(K124&lt;10000,INDEX('Responses'!$AF$2:$AF$501,K124),INDEX('Paper sign-ups'!$J$2:$J$101,K124-10000)))</f>
        <v/>
      </c>
      <c r="D124" s="18">
        <f>IF(K124="","",IF(K124&lt;10000,INDEX('Responses'!$AH$2:$AH$501,K124),INDEX('Paper sign-ups'!$L$2:$L$101,K124-10000)))</f>
        <v/>
      </c>
      <c r="E124" s="20">
        <f>IF(K124="","",IF(K124&lt;10000,INDEX('Responses'!$AL$2:$AL$501,K124),INDEX('Paper sign-ups'!$P$2:$P$101,K124-10000)))</f>
        <v/>
      </c>
      <c r="F124" s="20">
        <f>IF(K124="","",IF(K124&lt;10000,INDEX('Responses'!$AN$2:$AN$501,K124),INDEX('Paper sign-ups'!$R$2:$R$101,K124-10000)))</f>
        <v/>
      </c>
      <c r="G124" s="18">
        <f>IF(K124="","",IF(K124&lt;10000,INDEX('Responses'!$AO$2:$AO$501,K124),INDEX('Paper sign-ups'!$S$2:$S$101,K124-10000)))</f>
        <v/>
      </c>
      <c r="H124" s="19">
        <f>IF(K124="","",IF(K124&lt;10000,INDEX('Responses'!$AI$2:$AI$501,K124),INDEX('Paper sign-ups'!$M$2:$M$101,K124-10000)))</f>
        <v/>
      </c>
      <c r="I124" s="21">
        <f>IF(K124="","",IF(K124&lt;10000,INDEX('Responses'!$AR$2:$AR$501,K124),INDEX('Paper sign-ups'!$V$2:$V$101,K124-10000)))</f>
        <v/>
      </c>
      <c r="J124" s="18">
        <f>IF(K124="","",IF(K124&lt;10000,"Online form","Paper"))</f>
        <v/>
      </c>
      <c r="K124" s="22">
        <f>IF(ISNUMBER(MATCH(119,'Responses'!$AV$2:$AV$501,0)),MATCH(119,'Responses'!$AV$2:$AV$501,0),IF(ISNUMBER(MATCH(119,'Paper sign-ups'!$Z$2:$Z$101,0)),10000+MATCH(119,'Paper sign-ups'!$Z$2:$Z$101,0),""))</f>
        <v/>
      </c>
    </row>
    <row r="125">
      <c r="A125" s="18">
        <f>IF(K125="","",120)</f>
        <v/>
      </c>
      <c r="B125" s="10">
        <f>IF(K125="","",IF(K125&lt;10000,INDEX('Responses'!$AE$2:$AE$501,K125),INDEX('Paper sign-ups'!$I$2:$I$101,K125-10000)))</f>
        <v/>
      </c>
      <c r="C125" s="19">
        <f>IF(K125="","",IF(K125&lt;10000,INDEX('Responses'!$AF$2:$AF$501,K125),INDEX('Paper sign-ups'!$J$2:$J$101,K125-10000)))</f>
        <v/>
      </c>
      <c r="D125" s="18">
        <f>IF(K125="","",IF(K125&lt;10000,INDEX('Responses'!$AH$2:$AH$501,K125),INDEX('Paper sign-ups'!$L$2:$L$101,K125-10000)))</f>
        <v/>
      </c>
      <c r="E125" s="20">
        <f>IF(K125="","",IF(K125&lt;10000,INDEX('Responses'!$AL$2:$AL$501,K125),INDEX('Paper sign-ups'!$P$2:$P$101,K125-10000)))</f>
        <v/>
      </c>
      <c r="F125" s="20">
        <f>IF(K125="","",IF(K125&lt;10000,INDEX('Responses'!$AN$2:$AN$501,K125),INDEX('Paper sign-ups'!$R$2:$R$101,K125-10000)))</f>
        <v/>
      </c>
      <c r="G125" s="18">
        <f>IF(K125="","",IF(K125&lt;10000,INDEX('Responses'!$AO$2:$AO$501,K125),INDEX('Paper sign-ups'!$S$2:$S$101,K125-10000)))</f>
        <v/>
      </c>
      <c r="H125" s="19">
        <f>IF(K125="","",IF(K125&lt;10000,INDEX('Responses'!$AI$2:$AI$501,K125),INDEX('Paper sign-ups'!$M$2:$M$101,K125-10000)))</f>
        <v/>
      </c>
      <c r="I125" s="21">
        <f>IF(K125="","",IF(K125&lt;10000,INDEX('Responses'!$AR$2:$AR$501,K125),INDEX('Paper sign-ups'!$V$2:$V$101,K125-10000)))</f>
        <v/>
      </c>
      <c r="J125" s="18">
        <f>IF(K125="","",IF(K125&lt;10000,"Online form","Paper"))</f>
        <v/>
      </c>
      <c r="K125" s="22">
        <f>IF(ISNUMBER(MATCH(120,'Responses'!$AV$2:$AV$501,0)),MATCH(120,'Responses'!$AV$2:$AV$501,0),IF(ISNUMBER(MATCH(120,'Paper sign-ups'!$Z$2:$Z$101,0)),10000+MATCH(120,'Paper sign-ups'!$Z$2:$Z$101,0),""))</f>
        <v/>
      </c>
    </row>
    <row r="126">
      <c r="A126" s="18">
        <f>IF(K126="","",121)</f>
        <v/>
      </c>
      <c r="B126" s="10">
        <f>IF(K126="","",IF(K126&lt;10000,INDEX('Responses'!$AE$2:$AE$501,K126),INDEX('Paper sign-ups'!$I$2:$I$101,K126-10000)))</f>
        <v/>
      </c>
      <c r="C126" s="19">
        <f>IF(K126="","",IF(K126&lt;10000,INDEX('Responses'!$AF$2:$AF$501,K126),INDEX('Paper sign-ups'!$J$2:$J$101,K126-10000)))</f>
        <v/>
      </c>
      <c r="D126" s="18">
        <f>IF(K126="","",IF(K126&lt;10000,INDEX('Responses'!$AH$2:$AH$501,K126),INDEX('Paper sign-ups'!$L$2:$L$101,K126-10000)))</f>
        <v/>
      </c>
      <c r="E126" s="20">
        <f>IF(K126="","",IF(K126&lt;10000,INDEX('Responses'!$AL$2:$AL$501,K126),INDEX('Paper sign-ups'!$P$2:$P$101,K126-10000)))</f>
        <v/>
      </c>
      <c r="F126" s="20">
        <f>IF(K126="","",IF(K126&lt;10000,INDEX('Responses'!$AN$2:$AN$501,K126),INDEX('Paper sign-ups'!$R$2:$R$101,K126-10000)))</f>
        <v/>
      </c>
      <c r="G126" s="18">
        <f>IF(K126="","",IF(K126&lt;10000,INDEX('Responses'!$AO$2:$AO$501,K126),INDEX('Paper sign-ups'!$S$2:$S$101,K126-10000)))</f>
        <v/>
      </c>
      <c r="H126" s="19">
        <f>IF(K126="","",IF(K126&lt;10000,INDEX('Responses'!$AI$2:$AI$501,K126),INDEX('Paper sign-ups'!$M$2:$M$101,K126-10000)))</f>
        <v/>
      </c>
      <c r="I126" s="21">
        <f>IF(K126="","",IF(K126&lt;10000,INDEX('Responses'!$AR$2:$AR$501,K126),INDEX('Paper sign-ups'!$V$2:$V$101,K126-10000)))</f>
        <v/>
      </c>
      <c r="J126" s="18">
        <f>IF(K126="","",IF(K126&lt;10000,"Online form","Paper"))</f>
        <v/>
      </c>
      <c r="K126" s="22">
        <f>IF(ISNUMBER(MATCH(121,'Responses'!$AV$2:$AV$501,0)),MATCH(121,'Responses'!$AV$2:$AV$501,0),IF(ISNUMBER(MATCH(121,'Paper sign-ups'!$Z$2:$Z$101,0)),10000+MATCH(121,'Paper sign-ups'!$Z$2:$Z$101,0),""))</f>
        <v/>
      </c>
    </row>
    <row r="127">
      <c r="A127" s="18">
        <f>IF(K127="","",122)</f>
        <v/>
      </c>
      <c r="B127" s="10">
        <f>IF(K127="","",IF(K127&lt;10000,INDEX('Responses'!$AE$2:$AE$501,K127),INDEX('Paper sign-ups'!$I$2:$I$101,K127-10000)))</f>
        <v/>
      </c>
      <c r="C127" s="19">
        <f>IF(K127="","",IF(K127&lt;10000,INDEX('Responses'!$AF$2:$AF$501,K127),INDEX('Paper sign-ups'!$J$2:$J$101,K127-10000)))</f>
        <v/>
      </c>
      <c r="D127" s="18">
        <f>IF(K127="","",IF(K127&lt;10000,INDEX('Responses'!$AH$2:$AH$501,K127),INDEX('Paper sign-ups'!$L$2:$L$101,K127-10000)))</f>
        <v/>
      </c>
      <c r="E127" s="20">
        <f>IF(K127="","",IF(K127&lt;10000,INDEX('Responses'!$AL$2:$AL$501,K127),INDEX('Paper sign-ups'!$P$2:$P$101,K127-10000)))</f>
        <v/>
      </c>
      <c r="F127" s="20">
        <f>IF(K127="","",IF(K127&lt;10000,INDEX('Responses'!$AN$2:$AN$501,K127),INDEX('Paper sign-ups'!$R$2:$R$101,K127-10000)))</f>
        <v/>
      </c>
      <c r="G127" s="18">
        <f>IF(K127="","",IF(K127&lt;10000,INDEX('Responses'!$AO$2:$AO$501,K127),INDEX('Paper sign-ups'!$S$2:$S$101,K127-10000)))</f>
        <v/>
      </c>
      <c r="H127" s="19">
        <f>IF(K127="","",IF(K127&lt;10000,INDEX('Responses'!$AI$2:$AI$501,K127),INDEX('Paper sign-ups'!$M$2:$M$101,K127-10000)))</f>
        <v/>
      </c>
      <c r="I127" s="21">
        <f>IF(K127="","",IF(K127&lt;10000,INDEX('Responses'!$AR$2:$AR$501,K127),INDEX('Paper sign-ups'!$V$2:$V$101,K127-10000)))</f>
        <v/>
      </c>
      <c r="J127" s="18">
        <f>IF(K127="","",IF(K127&lt;10000,"Online form","Paper"))</f>
        <v/>
      </c>
      <c r="K127" s="22">
        <f>IF(ISNUMBER(MATCH(122,'Responses'!$AV$2:$AV$501,0)),MATCH(122,'Responses'!$AV$2:$AV$501,0),IF(ISNUMBER(MATCH(122,'Paper sign-ups'!$Z$2:$Z$101,0)),10000+MATCH(122,'Paper sign-ups'!$Z$2:$Z$101,0),""))</f>
        <v/>
      </c>
    </row>
    <row r="128">
      <c r="A128" s="18">
        <f>IF(K128="","",123)</f>
        <v/>
      </c>
      <c r="B128" s="10">
        <f>IF(K128="","",IF(K128&lt;10000,INDEX('Responses'!$AE$2:$AE$501,K128),INDEX('Paper sign-ups'!$I$2:$I$101,K128-10000)))</f>
        <v/>
      </c>
      <c r="C128" s="19">
        <f>IF(K128="","",IF(K128&lt;10000,INDEX('Responses'!$AF$2:$AF$501,K128),INDEX('Paper sign-ups'!$J$2:$J$101,K128-10000)))</f>
        <v/>
      </c>
      <c r="D128" s="18">
        <f>IF(K128="","",IF(K128&lt;10000,INDEX('Responses'!$AH$2:$AH$501,K128),INDEX('Paper sign-ups'!$L$2:$L$101,K128-10000)))</f>
        <v/>
      </c>
      <c r="E128" s="20">
        <f>IF(K128="","",IF(K128&lt;10000,INDEX('Responses'!$AL$2:$AL$501,K128),INDEX('Paper sign-ups'!$P$2:$P$101,K128-10000)))</f>
        <v/>
      </c>
      <c r="F128" s="20">
        <f>IF(K128="","",IF(K128&lt;10000,INDEX('Responses'!$AN$2:$AN$501,K128),INDEX('Paper sign-ups'!$R$2:$R$101,K128-10000)))</f>
        <v/>
      </c>
      <c r="G128" s="18">
        <f>IF(K128="","",IF(K128&lt;10000,INDEX('Responses'!$AO$2:$AO$501,K128),INDEX('Paper sign-ups'!$S$2:$S$101,K128-10000)))</f>
        <v/>
      </c>
      <c r="H128" s="19">
        <f>IF(K128="","",IF(K128&lt;10000,INDEX('Responses'!$AI$2:$AI$501,K128),INDEX('Paper sign-ups'!$M$2:$M$101,K128-10000)))</f>
        <v/>
      </c>
      <c r="I128" s="21">
        <f>IF(K128="","",IF(K128&lt;10000,INDEX('Responses'!$AR$2:$AR$501,K128),INDEX('Paper sign-ups'!$V$2:$V$101,K128-10000)))</f>
        <v/>
      </c>
      <c r="J128" s="18">
        <f>IF(K128="","",IF(K128&lt;10000,"Online form","Paper"))</f>
        <v/>
      </c>
      <c r="K128" s="22">
        <f>IF(ISNUMBER(MATCH(123,'Responses'!$AV$2:$AV$501,0)),MATCH(123,'Responses'!$AV$2:$AV$501,0),IF(ISNUMBER(MATCH(123,'Paper sign-ups'!$Z$2:$Z$101,0)),10000+MATCH(123,'Paper sign-ups'!$Z$2:$Z$101,0),""))</f>
        <v/>
      </c>
    </row>
    <row r="129">
      <c r="A129" s="18">
        <f>IF(K129="","",124)</f>
        <v/>
      </c>
      <c r="B129" s="10">
        <f>IF(K129="","",IF(K129&lt;10000,INDEX('Responses'!$AE$2:$AE$501,K129),INDEX('Paper sign-ups'!$I$2:$I$101,K129-10000)))</f>
        <v/>
      </c>
      <c r="C129" s="19">
        <f>IF(K129="","",IF(K129&lt;10000,INDEX('Responses'!$AF$2:$AF$501,K129),INDEX('Paper sign-ups'!$J$2:$J$101,K129-10000)))</f>
        <v/>
      </c>
      <c r="D129" s="18">
        <f>IF(K129="","",IF(K129&lt;10000,INDEX('Responses'!$AH$2:$AH$501,K129),INDEX('Paper sign-ups'!$L$2:$L$101,K129-10000)))</f>
        <v/>
      </c>
      <c r="E129" s="20">
        <f>IF(K129="","",IF(K129&lt;10000,INDEX('Responses'!$AL$2:$AL$501,K129),INDEX('Paper sign-ups'!$P$2:$P$101,K129-10000)))</f>
        <v/>
      </c>
      <c r="F129" s="20">
        <f>IF(K129="","",IF(K129&lt;10000,INDEX('Responses'!$AN$2:$AN$501,K129),INDEX('Paper sign-ups'!$R$2:$R$101,K129-10000)))</f>
        <v/>
      </c>
      <c r="G129" s="18">
        <f>IF(K129="","",IF(K129&lt;10000,INDEX('Responses'!$AO$2:$AO$501,K129),INDEX('Paper sign-ups'!$S$2:$S$101,K129-10000)))</f>
        <v/>
      </c>
      <c r="H129" s="19">
        <f>IF(K129="","",IF(K129&lt;10000,INDEX('Responses'!$AI$2:$AI$501,K129),INDEX('Paper sign-ups'!$M$2:$M$101,K129-10000)))</f>
        <v/>
      </c>
      <c r="I129" s="21">
        <f>IF(K129="","",IF(K129&lt;10000,INDEX('Responses'!$AR$2:$AR$501,K129),INDEX('Paper sign-ups'!$V$2:$V$101,K129-10000)))</f>
        <v/>
      </c>
      <c r="J129" s="18">
        <f>IF(K129="","",IF(K129&lt;10000,"Online form","Paper"))</f>
        <v/>
      </c>
      <c r="K129" s="22">
        <f>IF(ISNUMBER(MATCH(124,'Responses'!$AV$2:$AV$501,0)),MATCH(124,'Responses'!$AV$2:$AV$501,0),IF(ISNUMBER(MATCH(124,'Paper sign-ups'!$Z$2:$Z$101,0)),10000+MATCH(124,'Paper sign-ups'!$Z$2:$Z$101,0),""))</f>
        <v/>
      </c>
    </row>
    <row r="130">
      <c r="A130" s="18">
        <f>IF(K130="","",125)</f>
        <v/>
      </c>
      <c r="B130" s="10">
        <f>IF(K130="","",IF(K130&lt;10000,INDEX('Responses'!$AE$2:$AE$501,K130),INDEX('Paper sign-ups'!$I$2:$I$101,K130-10000)))</f>
        <v/>
      </c>
      <c r="C130" s="19">
        <f>IF(K130="","",IF(K130&lt;10000,INDEX('Responses'!$AF$2:$AF$501,K130),INDEX('Paper sign-ups'!$J$2:$J$101,K130-10000)))</f>
        <v/>
      </c>
      <c r="D130" s="18">
        <f>IF(K130="","",IF(K130&lt;10000,INDEX('Responses'!$AH$2:$AH$501,K130),INDEX('Paper sign-ups'!$L$2:$L$101,K130-10000)))</f>
        <v/>
      </c>
      <c r="E130" s="20">
        <f>IF(K130="","",IF(K130&lt;10000,INDEX('Responses'!$AL$2:$AL$501,K130),INDEX('Paper sign-ups'!$P$2:$P$101,K130-10000)))</f>
        <v/>
      </c>
      <c r="F130" s="20">
        <f>IF(K130="","",IF(K130&lt;10000,INDEX('Responses'!$AN$2:$AN$501,K130),INDEX('Paper sign-ups'!$R$2:$R$101,K130-10000)))</f>
        <v/>
      </c>
      <c r="G130" s="18">
        <f>IF(K130="","",IF(K130&lt;10000,INDEX('Responses'!$AO$2:$AO$501,K130),INDEX('Paper sign-ups'!$S$2:$S$101,K130-10000)))</f>
        <v/>
      </c>
      <c r="H130" s="19">
        <f>IF(K130="","",IF(K130&lt;10000,INDEX('Responses'!$AI$2:$AI$501,K130),INDEX('Paper sign-ups'!$M$2:$M$101,K130-10000)))</f>
        <v/>
      </c>
      <c r="I130" s="21">
        <f>IF(K130="","",IF(K130&lt;10000,INDEX('Responses'!$AR$2:$AR$501,K130),INDEX('Paper sign-ups'!$V$2:$V$101,K130-10000)))</f>
        <v/>
      </c>
      <c r="J130" s="18">
        <f>IF(K130="","",IF(K130&lt;10000,"Online form","Paper"))</f>
        <v/>
      </c>
      <c r="K130" s="22">
        <f>IF(ISNUMBER(MATCH(125,'Responses'!$AV$2:$AV$501,0)),MATCH(125,'Responses'!$AV$2:$AV$501,0),IF(ISNUMBER(MATCH(125,'Paper sign-ups'!$Z$2:$Z$101,0)),10000+MATCH(125,'Paper sign-ups'!$Z$2:$Z$101,0),""))</f>
        <v/>
      </c>
    </row>
    <row r="131">
      <c r="A131" s="18">
        <f>IF(K131="","",126)</f>
        <v/>
      </c>
      <c r="B131" s="10">
        <f>IF(K131="","",IF(K131&lt;10000,INDEX('Responses'!$AE$2:$AE$501,K131),INDEX('Paper sign-ups'!$I$2:$I$101,K131-10000)))</f>
        <v/>
      </c>
      <c r="C131" s="19">
        <f>IF(K131="","",IF(K131&lt;10000,INDEX('Responses'!$AF$2:$AF$501,K131),INDEX('Paper sign-ups'!$J$2:$J$101,K131-10000)))</f>
        <v/>
      </c>
      <c r="D131" s="18">
        <f>IF(K131="","",IF(K131&lt;10000,INDEX('Responses'!$AH$2:$AH$501,K131),INDEX('Paper sign-ups'!$L$2:$L$101,K131-10000)))</f>
        <v/>
      </c>
      <c r="E131" s="20">
        <f>IF(K131="","",IF(K131&lt;10000,INDEX('Responses'!$AL$2:$AL$501,K131),INDEX('Paper sign-ups'!$P$2:$P$101,K131-10000)))</f>
        <v/>
      </c>
      <c r="F131" s="20">
        <f>IF(K131="","",IF(K131&lt;10000,INDEX('Responses'!$AN$2:$AN$501,K131),INDEX('Paper sign-ups'!$R$2:$R$101,K131-10000)))</f>
        <v/>
      </c>
      <c r="G131" s="18">
        <f>IF(K131="","",IF(K131&lt;10000,INDEX('Responses'!$AO$2:$AO$501,K131),INDEX('Paper sign-ups'!$S$2:$S$101,K131-10000)))</f>
        <v/>
      </c>
      <c r="H131" s="19">
        <f>IF(K131="","",IF(K131&lt;10000,INDEX('Responses'!$AI$2:$AI$501,K131),INDEX('Paper sign-ups'!$M$2:$M$101,K131-10000)))</f>
        <v/>
      </c>
      <c r="I131" s="21">
        <f>IF(K131="","",IF(K131&lt;10000,INDEX('Responses'!$AR$2:$AR$501,K131),INDEX('Paper sign-ups'!$V$2:$V$101,K131-10000)))</f>
        <v/>
      </c>
      <c r="J131" s="18">
        <f>IF(K131="","",IF(K131&lt;10000,"Online form","Paper"))</f>
        <v/>
      </c>
      <c r="K131" s="22">
        <f>IF(ISNUMBER(MATCH(126,'Responses'!$AV$2:$AV$501,0)),MATCH(126,'Responses'!$AV$2:$AV$501,0),IF(ISNUMBER(MATCH(126,'Paper sign-ups'!$Z$2:$Z$101,0)),10000+MATCH(126,'Paper sign-ups'!$Z$2:$Z$101,0),""))</f>
        <v/>
      </c>
    </row>
    <row r="132">
      <c r="A132" s="18">
        <f>IF(K132="","",127)</f>
        <v/>
      </c>
      <c r="B132" s="10">
        <f>IF(K132="","",IF(K132&lt;10000,INDEX('Responses'!$AE$2:$AE$501,K132),INDEX('Paper sign-ups'!$I$2:$I$101,K132-10000)))</f>
        <v/>
      </c>
      <c r="C132" s="19">
        <f>IF(K132="","",IF(K132&lt;10000,INDEX('Responses'!$AF$2:$AF$501,K132),INDEX('Paper sign-ups'!$J$2:$J$101,K132-10000)))</f>
        <v/>
      </c>
      <c r="D132" s="18">
        <f>IF(K132="","",IF(K132&lt;10000,INDEX('Responses'!$AH$2:$AH$501,K132),INDEX('Paper sign-ups'!$L$2:$L$101,K132-10000)))</f>
        <v/>
      </c>
      <c r="E132" s="20">
        <f>IF(K132="","",IF(K132&lt;10000,INDEX('Responses'!$AL$2:$AL$501,K132),INDEX('Paper sign-ups'!$P$2:$P$101,K132-10000)))</f>
        <v/>
      </c>
      <c r="F132" s="20">
        <f>IF(K132="","",IF(K132&lt;10000,INDEX('Responses'!$AN$2:$AN$501,K132),INDEX('Paper sign-ups'!$R$2:$R$101,K132-10000)))</f>
        <v/>
      </c>
      <c r="G132" s="18">
        <f>IF(K132="","",IF(K132&lt;10000,INDEX('Responses'!$AO$2:$AO$501,K132),INDEX('Paper sign-ups'!$S$2:$S$101,K132-10000)))</f>
        <v/>
      </c>
      <c r="H132" s="19">
        <f>IF(K132="","",IF(K132&lt;10000,INDEX('Responses'!$AI$2:$AI$501,K132),INDEX('Paper sign-ups'!$M$2:$M$101,K132-10000)))</f>
        <v/>
      </c>
      <c r="I132" s="21">
        <f>IF(K132="","",IF(K132&lt;10000,INDEX('Responses'!$AR$2:$AR$501,K132),INDEX('Paper sign-ups'!$V$2:$V$101,K132-10000)))</f>
        <v/>
      </c>
      <c r="J132" s="18">
        <f>IF(K132="","",IF(K132&lt;10000,"Online form","Paper"))</f>
        <v/>
      </c>
      <c r="K132" s="22">
        <f>IF(ISNUMBER(MATCH(127,'Responses'!$AV$2:$AV$501,0)),MATCH(127,'Responses'!$AV$2:$AV$501,0),IF(ISNUMBER(MATCH(127,'Paper sign-ups'!$Z$2:$Z$101,0)),10000+MATCH(127,'Paper sign-ups'!$Z$2:$Z$101,0),""))</f>
        <v/>
      </c>
    </row>
    <row r="133">
      <c r="A133" s="18">
        <f>IF(K133="","",128)</f>
        <v/>
      </c>
      <c r="B133" s="10">
        <f>IF(K133="","",IF(K133&lt;10000,INDEX('Responses'!$AE$2:$AE$501,K133),INDEX('Paper sign-ups'!$I$2:$I$101,K133-10000)))</f>
        <v/>
      </c>
      <c r="C133" s="19">
        <f>IF(K133="","",IF(K133&lt;10000,INDEX('Responses'!$AF$2:$AF$501,K133),INDEX('Paper sign-ups'!$J$2:$J$101,K133-10000)))</f>
        <v/>
      </c>
      <c r="D133" s="18">
        <f>IF(K133="","",IF(K133&lt;10000,INDEX('Responses'!$AH$2:$AH$501,K133),INDEX('Paper sign-ups'!$L$2:$L$101,K133-10000)))</f>
        <v/>
      </c>
      <c r="E133" s="20">
        <f>IF(K133="","",IF(K133&lt;10000,INDEX('Responses'!$AL$2:$AL$501,K133),INDEX('Paper sign-ups'!$P$2:$P$101,K133-10000)))</f>
        <v/>
      </c>
      <c r="F133" s="20">
        <f>IF(K133="","",IF(K133&lt;10000,INDEX('Responses'!$AN$2:$AN$501,K133),INDEX('Paper sign-ups'!$R$2:$R$101,K133-10000)))</f>
        <v/>
      </c>
      <c r="G133" s="18">
        <f>IF(K133="","",IF(K133&lt;10000,INDEX('Responses'!$AO$2:$AO$501,K133),INDEX('Paper sign-ups'!$S$2:$S$101,K133-10000)))</f>
        <v/>
      </c>
      <c r="H133" s="19">
        <f>IF(K133="","",IF(K133&lt;10000,INDEX('Responses'!$AI$2:$AI$501,K133),INDEX('Paper sign-ups'!$M$2:$M$101,K133-10000)))</f>
        <v/>
      </c>
      <c r="I133" s="21">
        <f>IF(K133="","",IF(K133&lt;10000,INDEX('Responses'!$AR$2:$AR$501,K133),INDEX('Paper sign-ups'!$V$2:$V$101,K133-10000)))</f>
        <v/>
      </c>
      <c r="J133" s="18">
        <f>IF(K133="","",IF(K133&lt;10000,"Online form","Paper"))</f>
        <v/>
      </c>
      <c r="K133" s="22">
        <f>IF(ISNUMBER(MATCH(128,'Responses'!$AV$2:$AV$501,0)),MATCH(128,'Responses'!$AV$2:$AV$501,0),IF(ISNUMBER(MATCH(128,'Paper sign-ups'!$Z$2:$Z$101,0)),10000+MATCH(128,'Paper sign-ups'!$Z$2:$Z$101,0),""))</f>
        <v/>
      </c>
    </row>
    <row r="134">
      <c r="A134" s="18">
        <f>IF(K134="","",129)</f>
        <v/>
      </c>
      <c r="B134" s="10">
        <f>IF(K134="","",IF(K134&lt;10000,INDEX('Responses'!$AE$2:$AE$501,K134),INDEX('Paper sign-ups'!$I$2:$I$101,K134-10000)))</f>
        <v/>
      </c>
      <c r="C134" s="19">
        <f>IF(K134="","",IF(K134&lt;10000,INDEX('Responses'!$AF$2:$AF$501,K134),INDEX('Paper sign-ups'!$J$2:$J$101,K134-10000)))</f>
        <v/>
      </c>
      <c r="D134" s="18">
        <f>IF(K134="","",IF(K134&lt;10000,INDEX('Responses'!$AH$2:$AH$501,K134),INDEX('Paper sign-ups'!$L$2:$L$101,K134-10000)))</f>
        <v/>
      </c>
      <c r="E134" s="20">
        <f>IF(K134="","",IF(K134&lt;10000,INDEX('Responses'!$AL$2:$AL$501,K134),INDEX('Paper sign-ups'!$P$2:$P$101,K134-10000)))</f>
        <v/>
      </c>
      <c r="F134" s="20">
        <f>IF(K134="","",IF(K134&lt;10000,INDEX('Responses'!$AN$2:$AN$501,K134),INDEX('Paper sign-ups'!$R$2:$R$101,K134-10000)))</f>
        <v/>
      </c>
      <c r="G134" s="18">
        <f>IF(K134="","",IF(K134&lt;10000,INDEX('Responses'!$AO$2:$AO$501,K134),INDEX('Paper sign-ups'!$S$2:$S$101,K134-10000)))</f>
        <v/>
      </c>
      <c r="H134" s="19">
        <f>IF(K134="","",IF(K134&lt;10000,INDEX('Responses'!$AI$2:$AI$501,K134),INDEX('Paper sign-ups'!$M$2:$M$101,K134-10000)))</f>
        <v/>
      </c>
      <c r="I134" s="21">
        <f>IF(K134="","",IF(K134&lt;10000,INDEX('Responses'!$AR$2:$AR$501,K134),INDEX('Paper sign-ups'!$V$2:$V$101,K134-10000)))</f>
        <v/>
      </c>
      <c r="J134" s="18">
        <f>IF(K134="","",IF(K134&lt;10000,"Online form","Paper"))</f>
        <v/>
      </c>
      <c r="K134" s="22">
        <f>IF(ISNUMBER(MATCH(129,'Responses'!$AV$2:$AV$501,0)),MATCH(129,'Responses'!$AV$2:$AV$501,0),IF(ISNUMBER(MATCH(129,'Paper sign-ups'!$Z$2:$Z$101,0)),10000+MATCH(129,'Paper sign-ups'!$Z$2:$Z$101,0),""))</f>
        <v/>
      </c>
    </row>
    <row r="135">
      <c r="A135" s="18">
        <f>IF(K135="","",130)</f>
        <v/>
      </c>
      <c r="B135" s="10">
        <f>IF(K135="","",IF(K135&lt;10000,INDEX('Responses'!$AE$2:$AE$501,K135),INDEX('Paper sign-ups'!$I$2:$I$101,K135-10000)))</f>
        <v/>
      </c>
      <c r="C135" s="19">
        <f>IF(K135="","",IF(K135&lt;10000,INDEX('Responses'!$AF$2:$AF$501,K135),INDEX('Paper sign-ups'!$J$2:$J$101,K135-10000)))</f>
        <v/>
      </c>
      <c r="D135" s="18">
        <f>IF(K135="","",IF(K135&lt;10000,INDEX('Responses'!$AH$2:$AH$501,K135),INDEX('Paper sign-ups'!$L$2:$L$101,K135-10000)))</f>
        <v/>
      </c>
      <c r="E135" s="20">
        <f>IF(K135="","",IF(K135&lt;10000,INDEX('Responses'!$AL$2:$AL$501,K135),INDEX('Paper sign-ups'!$P$2:$P$101,K135-10000)))</f>
        <v/>
      </c>
      <c r="F135" s="20">
        <f>IF(K135="","",IF(K135&lt;10000,INDEX('Responses'!$AN$2:$AN$501,K135),INDEX('Paper sign-ups'!$R$2:$R$101,K135-10000)))</f>
        <v/>
      </c>
      <c r="G135" s="18">
        <f>IF(K135="","",IF(K135&lt;10000,INDEX('Responses'!$AO$2:$AO$501,K135),INDEX('Paper sign-ups'!$S$2:$S$101,K135-10000)))</f>
        <v/>
      </c>
      <c r="H135" s="19">
        <f>IF(K135="","",IF(K135&lt;10000,INDEX('Responses'!$AI$2:$AI$501,K135),INDEX('Paper sign-ups'!$M$2:$M$101,K135-10000)))</f>
        <v/>
      </c>
      <c r="I135" s="21">
        <f>IF(K135="","",IF(K135&lt;10000,INDEX('Responses'!$AR$2:$AR$501,K135),INDEX('Paper sign-ups'!$V$2:$V$101,K135-10000)))</f>
        <v/>
      </c>
      <c r="J135" s="18">
        <f>IF(K135="","",IF(K135&lt;10000,"Online form","Paper"))</f>
        <v/>
      </c>
      <c r="K135" s="22">
        <f>IF(ISNUMBER(MATCH(130,'Responses'!$AV$2:$AV$501,0)),MATCH(130,'Responses'!$AV$2:$AV$501,0),IF(ISNUMBER(MATCH(130,'Paper sign-ups'!$Z$2:$Z$101,0)),10000+MATCH(130,'Paper sign-ups'!$Z$2:$Z$101,0),""))</f>
        <v/>
      </c>
    </row>
    <row r="136">
      <c r="A136" s="18">
        <f>IF(K136="","",131)</f>
        <v/>
      </c>
      <c r="B136" s="10">
        <f>IF(K136="","",IF(K136&lt;10000,INDEX('Responses'!$AE$2:$AE$501,K136),INDEX('Paper sign-ups'!$I$2:$I$101,K136-10000)))</f>
        <v/>
      </c>
      <c r="C136" s="19">
        <f>IF(K136="","",IF(K136&lt;10000,INDEX('Responses'!$AF$2:$AF$501,K136),INDEX('Paper sign-ups'!$J$2:$J$101,K136-10000)))</f>
        <v/>
      </c>
      <c r="D136" s="18">
        <f>IF(K136="","",IF(K136&lt;10000,INDEX('Responses'!$AH$2:$AH$501,K136),INDEX('Paper sign-ups'!$L$2:$L$101,K136-10000)))</f>
        <v/>
      </c>
      <c r="E136" s="20">
        <f>IF(K136="","",IF(K136&lt;10000,INDEX('Responses'!$AL$2:$AL$501,K136),INDEX('Paper sign-ups'!$P$2:$P$101,K136-10000)))</f>
        <v/>
      </c>
      <c r="F136" s="20">
        <f>IF(K136="","",IF(K136&lt;10000,INDEX('Responses'!$AN$2:$AN$501,K136),INDEX('Paper sign-ups'!$R$2:$R$101,K136-10000)))</f>
        <v/>
      </c>
      <c r="G136" s="18">
        <f>IF(K136="","",IF(K136&lt;10000,INDEX('Responses'!$AO$2:$AO$501,K136),INDEX('Paper sign-ups'!$S$2:$S$101,K136-10000)))</f>
        <v/>
      </c>
      <c r="H136" s="19">
        <f>IF(K136="","",IF(K136&lt;10000,INDEX('Responses'!$AI$2:$AI$501,K136),INDEX('Paper sign-ups'!$M$2:$M$101,K136-10000)))</f>
        <v/>
      </c>
      <c r="I136" s="21">
        <f>IF(K136="","",IF(K136&lt;10000,INDEX('Responses'!$AR$2:$AR$501,K136),INDEX('Paper sign-ups'!$V$2:$V$101,K136-10000)))</f>
        <v/>
      </c>
      <c r="J136" s="18">
        <f>IF(K136="","",IF(K136&lt;10000,"Online form","Paper"))</f>
        <v/>
      </c>
      <c r="K136" s="22">
        <f>IF(ISNUMBER(MATCH(131,'Responses'!$AV$2:$AV$501,0)),MATCH(131,'Responses'!$AV$2:$AV$501,0),IF(ISNUMBER(MATCH(131,'Paper sign-ups'!$Z$2:$Z$101,0)),10000+MATCH(131,'Paper sign-ups'!$Z$2:$Z$101,0),""))</f>
        <v/>
      </c>
    </row>
    <row r="137">
      <c r="A137" s="18">
        <f>IF(K137="","",132)</f>
        <v/>
      </c>
      <c r="B137" s="10">
        <f>IF(K137="","",IF(K137&lt;10000,INDEX('Responses'!$AE$2:$AE$501,K137),INDEX('Paper sign-ups'!$I$2:$I$101,K137-10000)))</f>
        <v/>
      </c>
      <c r="C137" s="19">
        <f>IF(K137="","",IF(K137&lt;10000,INDEX('Responses'!$AF$2:$AF$501,K137),INDEX('Paper sign-ups'!$J$2:$J$101,K137-10000)))</f>
        <v/>
      </c>
      <c r="D137" s="18">
        <f>IF(K137="","",IF(K137&lt;10000,INDEX('Responses'!$AH$2:$AH$501,K137),INDEX('Paper sign-ups'!$L$2:$L$101,K137-10000)))</f>
        <v/>
      </c>
      <c r="E137" s="20">
        <f>IF(K137="","",IF(K137&lt;10000,INDEX('Responses'!$AL$2:$AL$501,K137),INDEX('Paper sign-ups'!$P$2:$P$101,K137-10000)))</f>
        <v/>
      </c>
      <c r="F137" s="20">
        <f>IF(K137="","",IF(K137&lt;10000,INDEX('Responses'!$AN$2:$AN$501,K137),INDEX('Paper sign-ups'!$R$2:$R$101,K137-10000)))</f>
        <v/>
      </c>
      <c r="G137" s="18">
        <f>IF(K137="","",IF(K137&lt;10000,INDEX('Responses'!$AO$2:$AO$501,K137),INDEX('Paper sign-ups'!$S$2:$S$101,K137-10000)))</f>
        <v/>
      </c>
      <c r="H137" s="19">
        <f>IF(K137="","",IF(K137&lt;10000,INDEX('Responses'!$AI$2:$AI$501,K137),INDEX('Paper sign-ups'!$M$2:$M$101,K137-10000)))</f>
        <v/>
      </c>
      <c r="I137" s="21">
        <f>IF(K137="","",IF(K137&lt;10000,INDEX('Responses'!$AR$2:$AR$501,K137),INDEX('Paper sign-ups'!$V$2:$V$101,K137-10000)))</f>
        <v/>
      </c>
      <c r="J137" s="18">
        <f>IF(K137="","",IF(K137&lt;10000,"Online form","Paper"))</f>
        <v/>
      </c>
      <c r="K137" s="22">
        <f>IF(ISNUMBER(MATCH(132,'Responses'!$AV$2:$AV$501,0)),MATCH(132,'Responses'!$AV$2:$AV$501,0),IF(ISNUMBER(MATCH(132,'Paper sign-ups'!$Z$2:$Z$101,0)),10000+MATCH(132,'Paper sign-ups'!$Z$2:$Z$101,0),""))</f>
        <v/>
      </c>
    </row>
    <row r="138">
      <c r="A138" s="18">
        <f>IF(K138="","",133)</f>
        <v/>
      </c>
      <c r="B138" s="10">
        <f>IF(K138="","",IF(K138&lt;10000,INDEX('Responses'!$AE$2:$AE$501,K138),INDEX('Paper sign-ups'!$I$2:$I$101,K138-10000)))</f>
        <v/>
      </c>
      <c r="C138" s="19">
        <f>IF(K138="","",IF(K138&lt;10000,INDEX('Responses'!$AF$2:$AF$501,K138),INDEX('Paper sign-ups'!$J$2:$J$101,K138-10000)))</f>
        <v/>
      </c>
      <c r="D138" s="18">
        <f>IF(K138="","",IF(K138&lt;10000,INDEX('Responses'!$AH$2:$AH$501,K138),INDEX('Paper sign-ups'!$L$2:$L$101,K138-10000)))</f>
        <v/>
      </c>
      <c r="E138" s="20">
        <f>IF(K138="","",IF(K138&lt;10000,INDEX('Responses'!$AL$2:$AL$501,K138),INDEX('Paper sign-ups'!$P$2:$P$101,K138-10000)))</f>
        <v/>
      </c>
      <c r="F138" s="20">
        <f>IF(K138="","",IF(K138&lt;10000,INDEX('Responses'!$AN$2:$AN$501,K138),INDEX('Paper sign-ups'!$R$2:$R$101,K138-10000)))</f>
        <v/>
      </c>
      <c r="G138" s="18">
        <f>IF(K138="","",IF(K138&lt;10000,INDEX('Responses'!$AO$2:$AO$501,K138),INDEX('Paper sign-ups'!$S$2:$S$101,K138-10000)))</f>
        <v/>
      </c>
      <c r="H138" s="19">
        <f>IF(K138="","",IF(K138&lt;10000,INDEX('Responses'!$AI$2:$AI$501,K138),INDEX('Paper sign-ups'!$M$2:$M$101,K138-10000)))</f>
        <v/>
      </c>
      <c r="I138" s="21">
        <f>IF(K138="","",IF(K138&lt;10000,INDEX('Responses'!$AR$2:$AR$501,K138),INDEX('Paper sign-ups'!$V$2:$V$101,K138-10000)))</f>
        <v/>
      </c>
      <c r="J138" s="18">
        <f>IF(K138="","",IF(K138&lt;10000,"Online form","Paper"))</f>
        <v/>
      </c>
      <c r="K138" s="22">
        <f>IF(ISNUMBER(MATCH(133,'Responses'!$AV$2:$AV$501,0)),MATCH(133,'Responses'!$AV$2:$AV$501,0),IF(ISNUMBER(MATCH(133,'Paper sign-ups'!$Z$2:$Z$101,0)),10000+MATCH(133,'Paper sign-ups'!$Z$2:$Z$101,0),""))</f>
        <v/>
      </c>
    </row>
    <row r="139">
      <c r="A139" s="18">
        <f>IF(K139="","",134)</f>
        <v/>
      </c>
      <c r="B139" s="10">
        <f>IF(K139="","",IF(K139&lt;10000,INDEX('Responses'!$AE$2:$AE$501,K139),INDEX('Paper sign-ups'!$I$2:$I$101,K139-10000)))</f>
        <v/>
      </c>
      <c r="C139" s="19">
        <f>IF(K139="","",IF(K139&lt;10000,INDEX('Responses'!$AF$2:$AF$501,K139),INDEX('Paper sign-ups'!$J$2:$J$101,K139-10000)))</f>
        <v/>
      </c>
      <c r="D139" s="18">
        <f>IF(K139="","",IF(K139&lt;10000,INDEX('Responses'!$AH$2:$AH$501,K139),INDEX('Paper sign-ups'!$L$2:$L$101,K139-10000)))</f>
        <v/>
      </c>
      <c r="E139" s="20">
        <f>IF(K139="","",IF(K139&lt;10000,INDEX('Responses'!$AL$2:$AL$501,K139),INDEX('Paper sign-ups'!$P$2:$P$101,K139-10000)))</f>
        <v/>
      </c>
      <c r="F139" s="20">
        <f>IF(K139="","",IF(K139&lt;10000,INDEX('Responses'!$AN$2:$AN$501,K139),INDEX('Paper sign-ups'!$R$2:$R$101,K139-10000)))</f>
        <v/>
      </c>
      <c r="G139" s="18">
        <f>IF(K139="","",IF(K139&lt;10000,INDEX('Responses'!$AO$2:$AO$501,K139),INDEX('Paper sign-ups'!$S$2:$S$101,K139-10000)))</f>
        <v/>
      </c>
      <c r="H139" s="19">
        <f>IF(K139="","",IF(K139&lt;10000,INDEX('Responses'!$AI$2:$AI$501,K139),INDEX('Paper sign-ups'!$M$2:$M$101,K139-10000)))</f>
        <v/>
      </c>
      <c r="I139" s="21">
        <f>IF(K139="","",IF(K139&lt;10000,INDEX('Responses'!$AR$2:$AR$501,K139),INDEX('Paper sign-ups'!$V$2:$V$101,K139-10000)))</f>
        <v/>
      </c>
      <c r="J139" s="18">
        <f>IF(K139="","",IF(K139&lt;10000,"Online form","Paper"))</f>
        <v/>
      </c>
      <c r="K139" s="22">
        <f>IF(ISNUMBER(MATCH(134,'Responses'!$AV$2:$AV$501,0)),MATCH(134,'Responses'!$AV$2:$AV$501,0),IF(ISNUMBER(MATCH(134,'Paper sign-ups'!$Z$2:$Z$101,0)),10000+MATCH(134,'Paper sign-ups'!$Z$2:$Z$101,0),""))</f>
        <v/>
      </c>
    </row>
    <row r="140">
      <c r="A140" s="18">
        <f>IF(K140="","",135)</f>
        <v/>
      </c>
      <c r="B140" s="10">
        <f>IF(K140="","",IF(K140&lt;10000,INDEX('Responses'!$AE$2:$AE$501,K140),INDEX('Paper sign-ups'!$I$2:$I$101,K140-10000)))</f>
        <v/>
      </c>
      <c r="C140" s="19">
        <f>IF(K140="","",IF(K140&lt;10000,INDEX('Responses'!$AF$2:$AF$501,K140),INDEX('Paper sign-ups'!$J$2:$J$101,K140-10000)))</f>
        <v/>
      </c>
      <c r="D140" s="18">
        <f>IF(K140="","",IF(K140&lt;10000,INDEX('Responses'!$AH$2:$AH$501,K140),INDEX('Paper sign-ups'!$L$2:$L$101,K140-10000)))</f>
        <v/>
      </c>
      <c r="E140" s="20">
        <f>IF(K140="","",IF(K140&lt;10000,INDEX('Responses'!$AL$2:$AL$501,K140),INDEX('Paper sign-ups'!$P$2:$P$101,K140-10000)))</f>
        <v/>
      </c>
      <c r="F140" s="20">
        <f>IF(K140="","",IF(K140&lt;10000,INDEX('Responses'!$AN$2:$AN$501,K140),INDEX('Paper sign-ups'!$R$2:$R$101,K140-10000)))</f>
        <v/>
      </c>
      <c r="G140" s="18">
        <f>IF(K140="","",IF(K140&lt;10000,INDEX('Responses'!$AO$2:$AO$501,K140),INDEX('Paper sign-ups'!$S$2:$S$101,K140-10000)))</f>
        <v/>
      </c>
      <c r="H140" s="19">
        <f>IF(K140="","",IF(K140&lt;10000,INDEX('Responses'!$AI$2:$AI$501,K140),INDEX('Paper sign-ups'!$M$2:$M$101,K140-10000)))</f>
        <v/>
      </c>
      <c r="I140" s="21">
        <f>IF(K140="","",IF(K140&lt;10000,INDEX('Responses'!$AR$2:$AR$501,K140),INDEX('Paper sign-ups'!$V$2:$V$101,K140-10000)))</f>
        <v/>
      </c>
      <c r="J140" s="18">
        <f>IF(K140="","",IF(K140&lt;10000,"Online form","Paper"))</f>
        <v/>
      </c>
      <c r="K140" s="22">
        <f>IF(ISNUMBER(MATCH(135,'Responses'!$AV$2:$AV$501,0)),MATCH(135,'Responses'!$AV$2:$AV$501,0),IF(ISNUMBER(MATCH(135,'Paper sign-ups'!$Z$2:$Z$101,0)),10000+MATCH(135,'Paper sign-ups'!$Z$2:$Z$101,0),""))</f>
        <v/>
      </c>
    </row>
    <row r="141">
      <c r="A141" s="18">
        <f>IF(K141="","",136)</f>
        <v/>
      </c>
      <c r="B141" s="10">
        <f>IF(K141="","",IF(K141&lt;10000,INDEX('Responses'!$AE$2:$AE$501,K141),INDEX('Paper sign-ups'!$I$2:$I$101,K141-10000)))</f>
        <v/>
      </c>
      <c r="C141" s="19">
        <f>IF(K141="","",IF(K141&lt;10000,INDEX('Responses'!$AF$2:$AF$501,K141),INDEX('Paper sign-ups'!$J$2:$J$101,K141-10000)))</f>
        <v/>
      </c>
      <c r="D141" s="18">
        <f>IF(K141="","",IF(K141&lt;10000,INDEX('Responses'!$AH$2:$AH$501,K141),INDEX('Paper sign-ups'!$L$2:$L$101,K141-10000)))</f>
        <v/>
      </c>
      <c r="E141" s="20">
        <f>IF(K141="","",IF(K141&lt;10000,INDEX('Responses'!$AL$2:$AL$501,K141),INDEX('Paper sign-ups'!$P$2:$P$101,K141-10000)))</f>
        <v/>
      </c>
      <c r="F141" s="20">
        <f>IF(K141="","",IF(K141&lt;10000,INDEX('Responses'!$AN$2:$AN$501,K141),INDEX('Paper sign-ups'!$R$2:$R$101,K141-10000)))</f>
        <v/>
      </c>
      <c r="G141" s="18">
        <f>IF(K141="","",IF(K141&lt;10000,INDEX('Responses'!$AO$2:$AO$501,K141),INDEX('Paper sign-ups'!$S$2:$S$101,K141-10000)))</f>
        <v/>
      </c>
      <c r="H141" s="19">
        <f>IF(K141="","",IF(K141&lt;10000,INDEX('Responses'!$AI$2:$AI$501,K141),INDEX('Paper sign-ups'!$M$2:$M$101,K141-10000)))</f>
        <v/>
      </c>
      <c r="I141" s="21">
        <f>IF(K141="","",IF(K141&lt;10000,INDEX('Responses'!$AR$2:$AR$501,K141),INDEX('Paper sign-ups'!$V$2:$V$101,K141-10000)))</f>
        <v/>
      </c>
      <c r="J141" s="18">
        <f>IF(K141="","",IF(K141&lt;10000,"Online form","Paper"))</f>
        <v/>
      </c>
      <c r="K141" s="22">
        <f>IF(ISNUMBER(MATCH(136,'Responses'!$AV$2:$AV$501,0)),MATCH(136,'Responses'!$AV$2:$AV$501,0),IF(ISNUMBER(MATCH(136,'Paper sign-ups'!$Z$2:$Z$101,0)),10000+MATCH(136,'Paper sign-ups'!$Z$2:$Z$101,0),""))</f>
        <v/>
      </c>
    </row>
    <row r="142">
      <c r="A142" s="18">
        <f>IF(K142="","",137)</f>
        <v/>
      </c>
      <c r="B142" s="10">
        <f>IF(K142="","",IF(K142&lt;10000,INDEX('Responses'!$AE$2:$AE$501,K142),INDEX('Paper sign-ups'!$I$2:$I$101,K142-10000)))</f>
        <v/>
      </c>
      <c r="C142" s="19">
        <f>IF(K142="","",IF(K142&lt;10000,INDEX('Responses'!$AF$2:$AF$501,K142),INDEX('Paper sign-ups'!$J$2:$J$101,K142-10000)))</f>
        <v/>
      </c>
      <c r="D142" s="18">
        <f>IF(K142="","",IF(K142&lt;10000,INDEX('Responses'!$AH$2:$AH$501,K142),INDEX('Paper sign-ups'!$L$2:$L$101,K142-10000)))</f>
        <v/>
      </c>
      <c r="E142" s="20">
        <f>IF(K142="","",IF(K142&lt;10000,INDEX('Responses'!$AL$2:$AL$501,K142),INDEX('Paper sign-ups'!$P$2:$P$101,K142-10000)))</f>
        <v/>
      </c>
      <c r="F142" s="20">
        <f>IF(K142="","",IF(K142&lt;10000,INDEX('Responses'!$AN$2:$AN$501,K142),INDEX('Paper sign-ups'!$R$2:$R$101,K142-10000)))</f>
        <v/>
      </c>
      <c r="G142" s="18">
        <f>IF(K142="","",IF(K142&lt;10000,INDEX('Responses'!$AO$2:$AO$501,K142),INDEX('Paper sign-ups'!$S$2:$S$101,K142-10000)))</f>
        <v/>
      </c>
      <c r="H142" s="19">
        <f>IF(K142="","",IF(K142&lt;10000,INDEX('Responses'!$AI$2:$AI$501,K142),INDEX('Paper sign-ups'!$M$2:$M$101,K142-10000)))</f>
        <v/>
      </c>
      <c r="I142" s="21">
        <f>IF(K142="","",IF(K142&lt;10000,INDEX('Responses'!$AR$2:$AR$501,K142),INDEX('Paper sign-ups'!$V$2:$V$101,K142-10000)))</f>
        <v/>
      </c>
      <c r="J142" s="18">
        <f>IF(K142="","",IF(K142&lt;10000,"Online form","Paper"))</f>
        <v/>
      </c>
      <c r="K142" s="22">
        <f>IF(ISNUMBER(MATCH(137,'Responses'!$AV$2:$AV$501,0)),MATCH(137,'Responses'!$AV$2:$AV$501,0),IF(ISNUMBER(MATCH(137,'Paper sign-ups'!$Z$2:$Z$101,0)),10000+MATCH(137,'Paper sign-ups'!$Z$2:$Z$101,0),""))</f>
        <v/>
      </c>
    </row>
    <row r="143">
      <c r="A143" s="18">
        <f>IF(K143="","",138)</f>
        <v/>
      </c>
      <c r="B143" s="10">
        <f>IF(K143="","",IF(K143&lt;10000,INDEX('Responses'!$AE$2:$AE$501,K143),INDEX('Paper sign-ups'!$I$2:$I$101,K143-10000)))</f>
        <v/>
      </c>
      <c r="C143" s="19">
        <f>IF(K143="","",IF(K143&lt;10000,INDEX('Responses'!$AF$2:$AF$501,K143),INDEX('Paper sign-ups'!$J$2:$J$101,K143-10000)))</f>
        <v/>
      </c>
      <c r="D143" s="18">
        <f>IF(K143="","",IF(K143&lt;10000,INDEX('Responses'!$AH$2:$AH$501,K143),INDEX('Paper sign-ups'!$L$2:$L$101,K143-10000)))</f>
        <v/>
      </c>
      <c r="E143" s="20">
        <f>IF(K143="","",IF(K143&lt;10000,INDEX('Responses'!$AL$2:$AL$501,K143),INDEX('Paper sign-ups'!$P$2:$P$101,K143-10000)))</f>
        <v/>
      </c>
      <c r="F143" s="20">
        <f>IF(K143="","",IF(K143&lt;10000,INDEX('Responses'!$AN$2:$AN$501,K143),INDEX('Paper sign-ups'!$R$2:$R$101,K143-10000)))</f>
        <v/>
      </c>
      <c r="G143" s="18">
        <f>IF(K143="","",IF(K143&lt;10000,INDEX('Responses'!$AO$2:$AO$501,K143),INDEX('Paper sign-ups'!$S$2:$S$101,K143-10000)))</f>
        <v/>
      </c>
      <c r="H143" s="19">
        <f>IF(K143="","",IF(K143&lt;10000,INDEX('Responses'!$AI$2:$AI$501,K143),INDEX('Paper sign-ups'!$M$2:$M$101,K143-10000)))</f>
        <v/>
      </c>
      <c r="I143" s="21">
        <f>IF(K143="","",IF(K143&lt;10000,INDEX('Responses'!$AR$2:$AR$501,K143),INDEX('Paper sign-ups'!$V$2:$V$101,K143-10000)))</f>
        <v/>
      </c>
      <c r="J143" s="18">
        <f>IF(K143="","",IF(K143&lt;10000,"Online form","Paper"))</f>
        <v/>
      </c>
      <c r="K143" s="22">
        <f>IF(ISNUMBER(MATCH(138,'Responses'!$AV$2:$AV$501,0)),MATCH(138,'Responses'!$AV$2:$AV$501,0),IF(ISNUMBER(MATCH(138,'Paper sign-ups'!$Z$2:$Z$101,0)),10000+MATCH(138,'Paper sign-ups'!$Z$2:$Z$101,0),""))</f>
        <v/>
      </c>
    </row>
    <row r="144">
      <c r="A144" s="18">
        <f>IF(K144="","",139)</f>
        <v/>
      </c>
      <c r="B144" s="10">
        <f>IF(K144="","",IF(K144&lt;10000,INDEX('Responses'!$AE$2:$AE$501,K144),INDEX('Paper sign-ups'!$I$2:$I$101,K144-10000)))</f>
        <v/>
      </c>
      <c r="C144" s="19">
        <f>IF(K144="","",IF(K144&lt;10000,INDEX('Responses'!$AF$2:$AF$501,K144),INDEX('Paper sign-ups'!$J$2:$J$101,K144-10000)))</f>
        <v/>
      </c>
      <c r="D144" s="18">
        <f>IF(K144="","",IF(K144&lt;10000,INDEX('Responses'!$AH$2:$AH$501,K144),INDEX('Paper sign-ups'!$L$2:$L$101,K144-10000)))</f>
        <v/>
      </c>
      <c r="E144" s="20">
        <f>IF(K144="","",IF(K144&lt;10000,INDEX('Responses'!$AL$2:$AL$501,K144),INDEX('Paper sign-ups'!$P$2:$P$101,K144-10000)))</f>
        <v/>
      </c>
      <c r="F144" s="20">
        <f>IF(K144="","",IF(K144&lt;10000,INDEX('Responses'!$AN$2:$AN$501,K144),INDEX('Paper sign-ups'!$R$2:$R$101,K144-10000)))</f>
        <v/>
      </c>
      <c r="G144" s="18">
        <f>IF(K144="","",IF(K144&lt;10000,INDEX('Responses'!$AO$2:$AO$501,K144),INDEX('Paper sign-ups'!$S$2:$S$101,K144-10000)))</f>
        <v/>
      </c>
      <c r="H144" s="19">
        <f>IF(K144="","",IF(K144&lt;10000,INDEX('Responses'!$AI$2:$AI$501,K144),INDEX('Paper sign-ups'!$M$2:$M$101,K144-10000)))</f>
        <v/>
      </c>
      <c r="I144" s="21">
        <f>IF(K144="","",IF(K144&lt;10000,INDEX('Responses'!$AR$2:$AR$501,K144),INDEX('Paper sign-ups'!$V$2:$V$101,K144-10000)))</f>
        <v/>
      </c>
      <c r="J144" s="18">
        <f>IF(K144="","",IF(K144&lt;10000,"Online form","Paper"))</f>
        <v/>
      </c>
      <c r="K144" s="22">
        <f>IF(ISNUMBER(MATCH(139,'Responses'!$AV$2:$AV$501,0)),MATCH(139,'Responses'!$AV$2:$AV$501,0),IF(ISNUMBER(MATCH(139,'Paper sign-ups'!$Z$2:$Z$101,0)),10000+MATCH(139,'Paper sign-ups'!$Z$2:$Z$101,0),""))</f>
        <v/>
      </c>
    </row>
    <row r="145">
      <c r="A145" s="18">
        <f>IF(K145="","",140)</f>
        <v/>
      </c>
      <c r="B145" s="10">
        <f>IF(K145="","",IF(K145&lt;10000,INDEX('Responses'!$AE$2:$AE$501,K145),INDEX('Paper sign-ups'!$I$2:$I$101,K145-10000)))</f>
        <v/>
      </c>
      <c r="C145" s="19">
        <f>IF(K145="","",IF(K145&lt;10000,INDEX('Responses'!$AF$2:$AF$501,K145),INDEX('Paper sign-ups'!$J$2:$J$101,K145-10000)))</f>
        <v/>
      </c>
      <c r="D145" s="18">
        <f>IF(K145="","",IF(K145&lt;10000,INDEX('Responses'!$AH$2:$AH$501,K145),INDEX('Paper sign-ups'!$L$2:$L$101,K145-10000)))</f>
        <v/>
      </c>
      <c r="E145" s="20">
        <f>IF(K145="","",IF(K145&lt;10000,INDEX('Responses'!$AL$2:$AL$501,K145),INDEX('Paper sign-ups'!$P$2:$P$101,K145-10000)))</f>
        <v/>
      </c>
      <c r="F145" s="20">
        <f>IF(K145="","",IF(K145&lt;10000,INDEX('Responses'!$AN$2:$AN$501,K145),INDEX('Paper sign-ups'!$R$2:$R$101,K145-10000)))</f>
        <v/>
      </c>
      <c r="G145" s="18">
        <f>IF(K145="","",IF(K145&lt;10000,INDEX('Responses'!$AO$2:$AO$501,K145),INDEX('Paper sign-ups'!$S$2:$S$101,K145-10000)))</f>
        <v/>
      </c>
      <c r="H145" s="19">
        <f>IF(K145="","",IF(K145&lt;10000,INDEX('Responses'!$AI$2:$AI$501,K145),INDEX('Paper sign-ups'!$M$2:$M$101,K145-10000)))</f>
        <v/>
      </c>
      <c r="I145" s="21">
        <f>IF(K145="","",IF(K145&lt;10000,INDEX('Responses'!$AR$2:$AR$501,K145),INDEX('Paper sign-ups'!$V$2:$V$101,K145-10000)))</f>
        <v/>
      </c>
      <c r="J145" s="18">
        <f>IF(K145="","",IF(K145&lt;10000,"Online form","Paper"))</f>
        <v/>
      </c>
      <c r="K145" s="22">
        <f>IF(ISNUMBER(MATCH(140,'Responses'!$AV$2:$AV$501,0)),MATCH(140,'Responses'!$AV$2:$AV$501,0),IF(ISNUMBER(MATCH(140,'Paper sign-ups'!$Z$2:$Z$101,0)),10000+MATCH(140,'Paper sign-ups'!$Z$2:$Z$101,0),""))</f>
        <v/>
      </c>
    </row>
    <row r="146">
      <c r="A146" s="18">
        <f>IF(K146="","",141)</f>
        <v/>
      </c>
      <c r="B146" s="10">
        <f>IF(K146="","",IF(K146&lt;10000,INDEX('Responses'!$AE$2:$AE$501,K146),INDEX('Paper sign-ups'!$I$2:$I$101,K146-10000)))</f>
        <v/>
      </c>
      <c r="C146" s="19">
        <f>IF(K146="","",IF(K146&lt;10000,INDEX('Responses'!$AF$2:$AF$501,K146),INDEX('Paper sign-ups'!$J$2:$J$101,K146-10000)))</f>
        <v/>
      </c>
      <c r="D146" s="18">
        <f>IF(K146="","",IF(K146&lt;10000,INDEX('Responses'!$AH$2:$AH$501,K146),INDEX('Paper sign-ups'!$L$2:$L$101,K146-10000)))</f>
        <v/>
      </c>
      <c r="E146" s="20">
        <f>IF(K146="","",IF(K146&lt;10000,INDEX('Responses'!$AL$2:$AL$501,K146),INDEX('Paper sign-ups'!$P$2:$P$101,K146-10000)))</f>
        <v/>
      </c>
      <c r="F146" s="20">
        <f>IF(K146="","",IF(K146&lt;10000,INDEX('Responses'!$AN$2:$AN$501,K146),INDEX('Paper sign-ups'!$R$2:$R$101,K146-10000)))</f>
        <v/>
      </c>
      <c r="G146" s="18">
        <f>IF(K146="","",IF(K146&lt;10000,INDEX('Responses'!$AO$2:$AO$501,K146),INDEX('Paper sign-ups'!$S$2:$S$101,K146-10000)))</f>
        <v/>
      </c>
      <c r="H146" s="19">
        <f>IF(K146="","",IF(K146&lt;10000,INDEX('Responses'!$AI$2:$AI$501,K146),INDEX('Paper sign-ups'!$M$2:$M$101,K146-10000)))</f>
        <v/>
      </c>
      <c r="I146" s="21">
        <f>IF(K146="","",IF(K146&lt;10000,INDEX('Responses'!$AR$2:$AR$501,K146),INDEX('Paper sign-ups'!$V$2:$V$101,K146-10000)))</f>
        <v/>
      </c>
      <c r="J146" s="18">
        <f>IF(K146="","",IF(K146&lt;10000,"Online form","Paper"))</f>
        <v/>
      </c>
      <c r="K146" s="22">
        <f>IF(ISNUMBER(MATCH(141,'Responses'!$AV$2:$AV$501,0)),MATCH(141,'Responses'!$AV$2:$AV$501,0),IF(ISNUMBER(MATCH(141,'Paper sign-ups'!$Z$2:$Z$101,0)),10000+MATCH(141,'Paper sign-ups'!$Z$2:$Z$101,0),""))</f>
        <v/>
      </c>
    </row>
    <row r="147">
      <c r="A147" s="18">
        <f>IF(K147="","",142)</f>
        <v/>
      </c>
      <c r="B147" s="10">
        <f>IF(K147="","",IF(K147&lt;10000,INDEX('Responses'!$AE$2:$AE$501,K147),INDEX('Paper sign-ups'!$I$2:$I$101,K147-10000)))</f>
        <v/>
      </c>
      <c r="C147" s="19">
        <f>IF(K147="","",IF(K147&lt;10000,INDEX('Responses'!$AF$2:$AF$501,K147),INDEX('Paper sign-ups'!$J$2:$J$101,K147-10000)))</f>
        <v/>
      </c>
      <c r="D147" s="18">
        <f>IF(K147="","",IF(K147&lt;10000,INDEX('Responses'!$AH$2:$AH$501,K147),INDEX('Paper sign-ups'!$L$2:$L$101,K147-10000)))</f>
        <v/>
      </c>
      <c r="E147" s="20">
        <f>IF(K147="","",IF(K147&lt;10000,INDEX('Responses'!$AL$2:$AL$501,K147),INDEX('Paper sign-ups'!$P$2:$P$101,K147-10000)))</f>
        <v/>
      </c>
      <c r="F147" s="20">
        <f>IF(K147="","",IF(K147&lt;10000,INDEX('Responses'!$AN$2:$AN$501,K147),INDEX('Paper sign-ups'!$R$2:$R$101,K147-10000)))</f>
        <v/>
      </c>
      <c r="G147" s="18">
        <f>IF(K147="","",IF(K147&lt;10000,INDEX('Responses'!$AO$2:$AO$501,K147),INDEX('Paper sign-ups'!$S$2:$S$101,K147-10000)))</f>
        <v/>
      </c>
      <c r="H147" s="19">
        <f>IF(K147="","",IF(K147&lt;10000,INDEX('Responses'!$AI$2:$AI$501,K147),INDEX('Paper sign-ups'!$M$2:$M$101,K147-10000)))</f>
        <v/>
      </c>
      <c r="I147" s="21">
        <f>IF(K147="","",IF(K147&lt;10000,INDEX('Responses'!$AR$2:$AR$501,K147),INDEX('Paper sign-ups'!$V$2:$V$101,K147-10000)))</f>
        <v/>
      </c>
      <c r="J147" s="18">
        <f>IF(K147="","",IF(K147&lt;10000,"Online form","Paper"))</f>
        <v/>
      </c>
      <c r="K147" s="22">
        <f>IF(ISNUMBER(MATCH(142,'Responses'!$AV$2:$AV$501,0)),MATCH(142,'Responses'!$AV$2:$AV$501,0),IF(ISNUMBER(MATCH(142,'Paper sign-ups'!$Z$2:$Z$101,0)),10000+MATCH(142,'Paper sign-ups'!$Z$2:$Z$101,0),""))</f>
        <v/>
      </c>
    </row>
    <row r="148">
      <c r="A148" s="18">
        <f>IF(K148="","",143)</f>
        <v/>
      </c>
      <c r="B148" s="10">
        <f>IF(K148="","",IF(K148&lt;10000,INDEX('Responses'!$AE$2:$AE$501,K148),INDEX('Paper sign-ups'!$I$2:$I$101,K148-10000)))</f>
        <v/>
      </c>
      <c r="C148" s="19">
        <f>IF(K148="","",IF(K148&lt;10000,INDEX('Responses'!$AF$2:$AF$501,K148),INDEX('Paper sign-ups'!$J$2:$J$101,K148-10000)))</f>
        <v/>
      </c>
      <c r="D148" s="18">
        <f>IF(K148="","",IF(K148&lt;10000,INDEX('Responses'!$AH$2:$AH$501,K148),INDEX('Paper sign-ups'!$L$2:$L$101,K148-10000)))</f>
        <v/>
      </c>
      <c r="E148" s="20">
        <f>IF(K148="","",IF(K148&lt;10000,INDEX('Responses'!$AL$2:$AL$501,K148),INDEX('Paper sign-ups'!$P$2:$P$101,K148-10000)))</f>
        <v/>
      </c>
      <c r="F148" s="20">
        <f>IF(K148="","",IF(K148&lt;10000,INDEX('Responses'!$AN$2:$AN$501,K148),INDEX('Paper sign-ups'!$R$2:$R$101,K148-10000)))</f>
        <v/>
      </c>
      <c r="G148" s="18">
        <f>IF(K148="","",IF(K148&lt;10000,INDEX('Responses'!$AO$2:$AO$501,K148),INDEX('Paper sign-ups'!$S$2:$S$101,K148-10000)))</f>
        <v/>
      </c>
      <c r="H148" s="19">
        <f>IF(K148="","",IF(K148&lt;10000,INDEX('Responses'!$AI$2:$AI$501,K148),INDEX('Paper sign-ups'!$M$2:$M$101,K148-10000)))</f>
        <v/>
      </c>
      <c r="I148" s="21">
        <f>IF(K148="","",IF(K148&lt;10000,INDEX('Responses'!$AR$2:$AR$501,K148),INDEX('Paper sign-ups'!$V$2:$V$101,K148-10000)))</f>
        <v/>
      </c>
      <c r="J148" s="18">
        <f>IF(K148="","",IF(K148&lt;10000,"Online form","Paper"))</f>
        <v/>
      </c>
      <c r="K148" s="22">
        <f>IF(ISNUMBER(MATCH(143,'Responses'!$AV$2:$AV$501,0)),MATCH(143,'Responses'!$AV$2:$AV$501,0),IF(ISNUMBER(MATCH(143,'Paper sign-ups'!$Z$2:$Z$101,0)),10000+MATCH(143,'Paper sign-ups'!$Z$2:$Z$101,0),""))</f>
        <v/>
      </c>
    </row>
    <row r="149">
      <c r="A149" s="18">
        <f>IF(K149="","",144)</f>
        <v/>
      </c>
      <c r="B149" s="10">
        <f>IF(K149="","",IF(K149&lt;10000,INDEX('Responses'!$AE$2:$AE$501,K149),INDEX('Paper sign-ups'!$I$2:$I$101,K149-10000)))</f>
        <v/>
      </c>
      <c r="C149" s="19">
        <f>IF(K149="","",IF(K149&lt;10000,INDEX('Responses'!$AF$2:$AF$501,K149),INDEX('Paper sign-ups'!$J$2:$J$101,K149-10000)))</f>
        <v/>
      </c>
      <c r="D149" s="18">
        <f>IF(K149="","",IF(K149&lt;10000,INDEX('Responses'!$AH$2:$AH$501,K149),INDEX('Paper sign-ups'!$L$2:$L$101,K149-10000)))</f>
        <v/>
      </c>
      <c r="E149" s="20">
        <f>IF(K149="","",IF(K149&lt;10000,INDEX('Responses'!$AL$2:$AL$501,K149),INDEX('Paper sign-ups'!$P$2:$P$101,K149-10000)))</f>
        <v/>
      </c>
      <c r="F149" s="20">
        <f>IF(K149="","",IF(K149&lt;10000,INDEX('Responses'!$AN$2:$AN$501,K149),INDEX('Paper sign-ups'!$R$2:$R$101,K149-10000)))</f>
        <v/>
      </c>
      <c r="G149" s="18">
        <f>IF(K149="","",IF(K149&lt;10000,INDEX('Responses'!$AO$2:$AO$501,K149),INDEX('Paper sign-ups'!$S$2:$S$101,K149-10000)))</f>
        <v/>
      </c>
      <c r="H149" s="19">
        <f>IF(K149="","",IF(K149&lt;10000,INDEX('Responses'!$AI$2:$AI$501,K149),INDEX('Paper sign-ups'!$M$2:$M$101,K149-10000)))</f>
        <v/>
      </c>
      <c r="I149" s="21">
        <f>IF(K149="","",IF(K149&lt;10000,INDEX('Responses'!$AR$2:$AR$501,K149),INDEX('Paper sign-ups'!$V$2:$V$101,K149-10000)))</f>
        <v/>
      </c>
      <c r="J149" s="18">
        <f>IF(K149="","",IF(K149&lt;10000,"Online form","Paper"))</f>
        <v/>
      </c>
      <c r="K149" s="22">
        <f>IF(ISNUMBER(MATCH(144,'Responses'!$AV$2:$AV$501,0)),MATCH(144,'Responses'!$AV$2:$AV$501,0),IF(ISNUMBER(MATCH(144,'Paper sign-ups'!$Z$2:$Z$101,0)),10000+MATCH(144,'Paper sign-ups'!$Z$2:$Z$101,0),""))</f>
        <v/>
      </c>
    </row>
    <row r="150">
      <c r="A150" s="18">
        <f>IF(K150="","",145)</f>
        <v/>
      </c>
      <c r="B150" s="10">
        <f>IF(K150="","",IF(K150&lt;10000,INDEX('Responses'!$AE$2:$AE$501,K150),INDEX('Paper sign-ups'!$I$2:$I$101,K150-10000)))</f>
        <v/>
      </c>
      <c r="C150" s="19">
        <f>IF(K150="","",IF(K150&lt;10000,INDEX('Responses'!$AF$2:$AF$501,K150),INDEX('Paper sign-ups'!$J$2:$J$101,K150-10000)))</f>
        <v/>
      </c>
      <c r="D150" s="18">
        <f>IF(K150="","",IF(K150&lt;10000,INDEX('Responses'!$AH$2:$AH$501,K150),INDEX('Paper sign-ups'!$L$2:$L$101,K150-10000)))</f>
        <v/>
      </c>
      <c r="E150" s="20">
        <f>IF(K150="","",IF(K150&lt;10000,INDEX('Responses'!$AL$2:$AL$501,K150),INDEX('Paper sign-ups'!$P$2:$P$101,K150-10000)))</f>
        <v/>
      </c>
      <c r="F150" s="20">
        <f>IF(K150="","",IF(K150&lt;10000,INDEX('Responses'!$AN$2:$AN$501,K150),INDEX('Paper sign-ups'!$R$2:$R$101,K150-10000)))</f>
        <v/>
      </c>
      <c r="G150" s="18">
        <f>IF(K150="","",IF(K150&lt;10000,INDEX('Responses'!$AO$2:$AO$501,K150),INDEX('Paper sign-ups'!$S$2:$S$101,K150-10000)))</f>
        <v/>
      </c>
      <c r="H150" s="19">
        <f>IF(K150="","",IF(K150&lt;10000,INDEX('Responses'!$AI$2:$AI$501,K150),INDEX('Paper sign-ups'!$M$2:$M$101,K150-10000)))</f>
        <v/>
      </c>
      <c r="I150" s="21">
        <f>IF(K150="","",IF(K150&lt;10000,INDEX('Responses'!$AR$2:$AR$501,K150),INDEX('Paper sign-ups'!$V$2:$V$101,K150-10000)))</f>
        <v/>
      </c>
      <c r="J150" s="18">
        <f>IF(K150="","",IF(K150&lt;10000,"Online form","Paper"))</f>
        <v/>
      </c>
      <c r="K150" s="22">
        <f>IF(ISNUMBER(MATCH(145,'Responses'!$AV$2:$AV$501,0)),MATCH(145,'Responses'!$AV$2:$AV$501,0),IF(ISNUMBER(MATCH(145,'Paper sign-ups'!$Z$2:$Z$101,0)),10000+MATCH(145,'Paper sign-ups'!$Z$2:$Z$101,0),""))</f>
        <v/>
      </c>
    </row>
    <row r="151">
      <c r="A151" s="18">
        <f>IF(K151="","",146)</f>
        <v/>
      </c>
      <c r="B151" s="10">
        <f>IF(K151="","",IF(K151&lt;10000,INDEX('Responses'!$AE$2:$AE$501,K151),INDEX('Paper sign-ups'!$I$2:$I$101,K151-10000)))</f>
        <v/>
      </c>
      <c r="C151" s="19">
        <f>IF(K151="","",IF(K151&lt;10000,INDEX('Responses'!$AF$2:$AF$501,K151),INDEX('Paper sign-ups'!$J$2:$J$101,K151-10000)))</f>
        <v/>
      </c>
      <c r="D151" s="18">
        <f>IF(K151="","",IF(K151&lt;10000,INDEX('Responses'!$AH$2:$AH$501,K151),INDEX('Paper sign-ups'!$L$2:$L$101,K151-10000)))</f>
        <v/>
      </c>
      <c r="E151" s="20">
        <f>IF(K151="","",IF(K151&lt;10000,INDEX('Responses'!$AL$2:$AL$501,K151),INDEX('Paper sign-ups'!$P$2:$P$101,K151-10000)))</f>
        <v/>
      </c>
      <c r="F151" s="20">
        <f>IF(K151="","",IF(K151&lt;10000,INDEX('Responses'!$AN$2:$AN$501,K151),INDEX('Paper sign-ups'!$R$2:$R$101,K151-10000)))</f>
        <v/>
      </c>
      <c r="G151" s="18">
        <f>IF(K151="","",IF(K151&lt;10000,INDEX('Responses'!$AO$2:$AO$501,K151),INDEX('Paper sign-ups'!$S$2:$S$101,K151-10000)))</f>
        <v/>
      </c>
      <c r="H151" s="19">
        <f>IF(K151="","",IF(K151&lt;10000,INDEX('Responses'!$AI$2:$AI$501,K151),INDEX('Paper sign-ups'!$M$2:$M$101,K151-10000)))</f>
        <v/>
      </c>
      <c r="I151" s="21">
        <f>IF(K151="","",IF(K151&lt;10000,INDEX('Responses'!$AR$2:$AR$501,K151),INDEX('Paper sign-ups'!$V$2:$V$101,K151-10000)))</f>
        <v/>
      </c>
      <c r="J151" s="18">
        <f>IF(K151="","",IF(K151&lt;10000,"Online form","Paper"))</f>
        <v/>
      </c>
      <c r="K151" s="22">
        <f>IF(ISNUMBER(MATCH(146,'Responses'!$AV$2:$AV$501,0)),MATCH(146,'Responses'!$AV$2:$AV$501,0),IF(ISNUMBER(MATCH(146,'Paper sign-ups'!$Z$2:$Z$101,0)),10000+MATCH(146,'Paper sign-ups'!$Z$2:$Z$101,0),""))</f>
        <v/>
      </c>
    </row>
    <row r="152">
      <c r="A152" s="18">
        <f>IF(K152="","",147)</f>
        <v/>
      </c>
      <c r="B152" s="10">
        <f>IF(K152="","",IF(K152&lt;10000,INDEX('Responses'!$AE$2:$AE$501,K152),INDEX('Paper sign-ups'!$I$2:$I$101,K152-10000)))</f>
        <v/>
      </c>
      <c r="C152" s="19">
        <f>IF(K152="","",IF(K152&lt;10000,INDEX('Responses'!$AF$2:$AF$501,K152),INDEX('Paper sign-ups'!$J$2:$J$101,K152-10000)))</f>
        <v/>
      </c>
      <c r="D152" s="18">
        <f>IF(K152="","",IF(K152&lt;10000,INDEX('Responses'!$AH$2:$AH$501,K152),INDEX('Paper sign-ups'!$L$2:$L$101,K152-10000)))</f>
        <v/>
      </c>
      <c r="E152" s="20">
        <f>IF(K152="","",IF(K152&lt;10000,INDEX('Responses'!$AL$2:$AL$501,K152),INDEX('Paper sign-ups'!$P$2:$P$101,K152-10000)))</f>
        <v/>
      </c>
      <c r="F152" s="20">
        <f>IF(K152="","",IF(K152&lt;10000,INDEX('Responses'!$AN$2:$AN$501,K152),INDEX('Paper sign-ups'!$R$2:$R$101,K152-10000)))</f>
        <v/>
      </c>
      <c r="G152" s="18">
        <f>IF(K152="","",IF(K152&lt;10000,INDEX('Responses'!$AO$2:$AO$501,K152),INDEX('Paper sign-ups'!$S$2:$S$101,K152-10000)))</f>
        <v/>
      </c>
      <c r="H152" s="19">
        <f>IF(K152="","",IF(K152&lt;10000,INDEX('Responses'!$AI$2:$AI$501,K152),INDEX('Paper sign-ups'!$M$2:$M$101,K152-10000)))</f>
        <v/>
      </c>
      <c r="I152" s="21">
        <f>IF(K152="","",IF(K152&lt;10000,INDEX('Responses'!$AR$2:$AR$501,K152),INDEX('Paper sign-ups'!$V$2:$V$101,K152-10000)))</f>
        <v/>
      </c>
      <c r="J152" s="18">
        <f>IF(K152="","",IF(K152&lt;10000,"Online form","Paper"))</f>
        <v/>
      </c>
      <c r="K152" s="22">
        <f>IF(ISNUMBER(MATCH(147,'Responses'!$AV$2:$AV$501,0)),MATCH(147,'Responses'!$AV$2:$AV$501,0),IF(ISNUMBER(MATCH(147,'Paper sign-ups'!$Z$2:$Z$101,0)),10000+MATCH(147,'Paper sign-ups'!$Z$2:$Z$101,0),""))</f>
        <v/>
      </c>
    </row>
    <row r="153">
      <c r="A153" s="18">
        <f>IF(K153="","",148)</f>
        <v/>
      </c>
      <c r="B153" s="10">
        <f>IF(K153="","",IF(K153&lt;10000,INDEX('Responses'!$AE$2:$AE$501,K153),INDEX('Paper sign-ups'!$I$2:$I$101,K153-10000)))</f>
        <v/>
      </c>
      <c r="C153" s="19">
        <f>IF(K153="","",IF(K153&lt;10000,INDEX('Responses'!$AF$2:$AF$501,K153),INDEX('Paper sign-ups'!$J$2:$J$101,K153-10000)))</f>
        <v/>
      </c>
      <c r="D153" s="18">
        <f>IF(K153="","",IF(K153&lt;10000,INDEX('Responses'!$AH$2:$AH$501,K153),INDEX('Paper sign-ups'!$L$2:$L$101,K153-10000)))</f>
        <v/>
      </c>
      <c r="E153" s="20">
        <f>IF(K153="","",IF(K153&lt;10000,INDEX('Responses'!$AL$2:$AL$501,K153),INDEX('Paper sign-ups'!$P$2:$P$101,K153-10000)))</f>
        <v/>
      </c>
      <c r="F153" s="20">
        <f>IF(K153="","",IF(K153&lt;10000,INDEX('Responses'!$AN$2:$AN$501,K153),INDEX('Paper sign-ups'!$R$2:$R$101,K153-10000)))</f>
        <v/>
      </c>
      <c r="G153" s="18">
        <f>IF(K153="","",IF(K153&lt;10000,INDEX('Responses'!$AO$2:$AO$501,K153),INDEX('Paper sign-ups'!$S$2:$S$101,K153-10000)))</f>
        <v/>
      </c>
      <c r="H153" s="19">
        <f>IF(K153="","",IF(K153&lt;10000,INDEX('Responses'!$AI$2:$AI$501,K153),INDEX('Paper sign-ups'!$M$2:$M$101,K153-10000)))</f>
        <v/>
      </c>
      <c r="I153" s="21">
        <f>IF(K153="","",IF(K153&lt;10000,INDEX('Responses'!$AR$2:$AR$501,K153),INDEX('Paper sign-ups'!$V$2:$V$101,K153-10000)))</f>
        <v/>
      </c>
      <c r="J153" s="18">
        <f>IF(K153="","",IF(K153&lt;10000,"Online form","Paper"))</f>
        <v/>
      </c>
      <c r="K153" s="22">
        <f>IF(ISNUMBER(MATCH(148,'Responses'!$AV$2:$AV$501,0)),MATCH(148,'Responses'!$AV$2:$AV$501,0),IF(ISNUMBER(MATCH(148,'Paper sign-ups'!$Z$2:$Z$101,0)),10000+MATCH(148,'Paper sign-ups'!$Z$2:$Z$101,0),""))</f>
        <v/>
      </c>
    </row>
    <row r="154">
      <c r="A154" s="18">
        <f>IF(K154="","",149)</f>
        <v/>
      </c>
      <c r="B154" s="10">
        <f>IF(K154="","",IF(K154&lt;10000,INDEX('Responses'!$AE$2:$AE$501,K154),INDEX('Paper sign-ups'!$I$2:$I$101,K154-10000)))</f>
        <v/>
      </c>
      <c r="C154" s="19">
        <f>IF(K154="","",IF(K154&lt;10000,INDEX('Responses'!$AF$2:$AF$501,K154),INDEX('Paper sign-ups'!$J$2:$J$101,K154-10000)))</f>
        <v/>
      </c>
      <c r="D154" s="18">
        <f>IF(K154="","",IF(K154&lt;10000,INDEX('Responses'!$AH$2:$AH$501,K154),INDEX('Paper sign-ups'!$L$2:$L$101,K154-10000)))</f>
        <v/>
      </c>
      <c r="E154" s="20">
        <f>IF(K154="","",IF(K154&lt;10000,INDEX('Responses'!$AL$2:$AL$501,K154),INDEX('Paper sign-ups'!$P$2:$P$101,K154-10000)))</f>
        <v/>
      </c>
      <c r="F154" s="20">
        <f>IF(K154="","",IF(K154&lt;10000,INDEX('Responses'!$AN$2:$AN$501,K154),INDEX('Paper sign-ups'!$R$2:$R$101,K154-10000)))</f>
        <v/>
      </c>
      <c r="G154" s="18">
        <f>IF(K154="","",IF(K154&lt;10000,INDEX('Responses'!$AO$2:$AO$501,K154),INDEX('Paper sign-ups'!$S$2:$S$101,K154-10000)))</f>
        <v/>
      </c>
      <c r="H154" s="19">
        <f>IF(K154="","",IF(K154&lt;10000,INDEX('Responses'!$AI$2:$AI$501,K154),INDEX('Paper sign-ups'!$M$2:$M$101,K154-10000)))</f>
        <v/>
      </c>
      <c r="I154" s="21">
        <f>IF(K154="","",IF(K154&lt;10000,INDEX('Responses'!$AR$2:$AR$501,K154),INDEX('Paper sign-ups'!$V$2:$V$101,K154-10000)))</f>
        <v/>
      </c>
      <c r="J154" s="18">
        <f>IF(K154="","",IF(K154&lt;10000,"Online form","Paper"))</f>
        <v/>
      </c>
      <c r="K154" s="22">
        <f>IF(ISNUMBER(MATCH(149,'Responses'!$AV$2:$AV$501,0)),MATCH(149,'Responses'!$AV$2:$AV$501,0),IF(ISNUMBER(MATCH(149,'Paper sign-ups'!$Z$2:$Z$101,0)),10000+MATCH(149,'Paper sign-ups'!$Z$2:$Z$101,0),""))</f>
        <v/>
      </c>
    </row>
    <row r="155">
      <c r="A155" s="18">
        <f>IF(K155="","",150)</f>
        <v/>
      </c>
      <c r="B155" s="10">
        <f>IF(K155="","",IF(K155&lt;10000,INDEX('Responses'!$AE$2:$AE$501,K155),INDEX('Paper sign-ups'!$I$2:$I$101,K155-10000)))</f>
        <v/>
      </c>
      <c r="C155" s="19">
        <f>IF(K155="","",IF(K155&lt;10000,INDEX('Responses'!$AF$2:$AF$501,K155),INDEX('Paper sign-ups'!$J$2:$J$101,K155-10000)))</f>
        <v/>
      </c>
      <c r="D155" s="18">
        <f>IF(K155="","",IF(K155&lt;10000,INDEX('Responses'!$AH$2:$AH$501,K155),INDEX('Paper sign-ups'!$L$2:$L$101,K155-10000)))</f>
        <v/>
      </c>
      <c r="E155" s="20">
        <f>IF(K155="","",IF(K155&lt;10000,INDEX('Responses'!$AL$2:$AL$501,K155),INDEX('Paper sign-ups'!$P$2:$P$101,K155-10000)))</f>
        <v/>
      </c>
      <c r="F155" s="20">
        <f>IF(K155="","",IF(K155&lt;10000,INDEX('Responses'!$AN$2:$AN$501,K155),INDEX('Paper sign-ups'!$R$2:$R$101,K155-10000)))</f>
        <v/>
      </c>
      <c r="G155" s="18">
        <f>IF(K155="","",IF(K155&lt;10000,INDEX('Responses'!$AO$2:$AO$501,K155),INDEX('Paper sign-ups'!$S$2:$S$101,K155-10000)))</f>
        <v/>
      </c>
      <c r="H155" s="19">
        <f>IF(K155="","",IF(K155&lt;10000,INDEX('Responses'!$AI$2:$AI$501,K155),INDEX('Paper sign-ups'!$M$2:$M$101,K155-10000)))</f>
        <v/>
      </c>
      <c r="I155" s="21">
        <f>IF(K155="","",IF(K155&lt;10000,INDEX('Responses'!$AR$2:$AR$501,K155),INDEX('Paper sign-ups'!$V$2:$V$101,K155-10000)))</f>
        <v/>
      </c>
      <c r="J155" s="18">
        <f>IF(K155="","",IF(K155&lt;10000,"Online form","Paper"))</f>
        <v/>
      </c>
      <c r="K155" s="22">
        <f>IF(ISNUMBER(MATCH(150,'Responses'!$AV$2:$AV$501,0)),MATCH(150,'Responses'!$AV$2:$AV$501,0),IF(ISNUMBER(MATCH(150,'Paper sign-ups'!$Z$2:$Z$101,0)),10000+MATCH(150,'Paper sign-ups'!$Z$2:$Z$101,0),""))</f>
        <v/>
      </c>
    </row>
    <row r="156">
      <c r="A156" s="18">
        <f>IF(K156="","",151)</f>
        <v/>
      </c>
      <c r="B156" s="10">
        <f>IF(K156="","",IF(K156&lt;10000,INDEX('Responses'!$AE$2:$AE$501,K156),INDEX('Paper sign-ups'!$I$2:$I$101,K156-10000)))</f>
        <v/>
      </c>
      <c r="C156" s="19">
        <f>IF(K156="","",IF(K156&lt;10000,INDEX('Responses'!$AF$2:$AF$501,K156),INDEX('Paper sign-ups'!$J$2:$J$101,K156-10000)))</f>
        <v/>
      </c>
      <c r="D156" s="18">
        <f>IF(K156="","",IF(K156&lt;10000,INDEX('Responses'!$AH$2:$AH$501,K156),INDEX('Paper sign-ups'!$L$2:$L$101,K156-10000)))</f>
        <v/>
      </c>
      <c r="E156" s="20">
        <f>IF(K156="","",IF(K156&lt;10000,INDEX('Responses'!$AL$2:$AL$501,K156),INDEX('Paper sign-ups'!$P$2:$P$101,K156-10000)))</f>
        <v/>
      </c>
      <c r="F156" s="20">
        <f>IF(K156="","",IF(K156&lt;10000,INDEX('Responses'!$AN$2:$AN$501,K156),INDEX('Paper sign-ups'!$R$2:$R$101,K156-10000)))</f>
        <v/>
      </c>
      <c r="G156" s="18">
        <f>IF(K156="","",IF(K156&lt;10000,INDEX('Responses'!$AO$2:$AO$501,K156),INDEX('Paper sign-ups'!$S$2:$S$101,K156-10000)))</f>
        <v/>
      </c>
      <c r="H156" s="19">
        <f>IF(K156="","",IF(K156&lt;10000,INDEX('Responses'!$AI$2:$AI$501,K156),INDEX('Paper sign-ups'!$M$2:$M$101,K156-10000)))</f>
        <v/>
      </c>
      <c r="I156" s="21">
        <f>IF(K156="","",IF(K156&lt;10000,INDEX('Responses'!$AR$2:$AR$501,K156),INDEX('Paper sign-ups'!$V$2:$V$101,K156-10000)))</f>
        <v/>
      </c>
      <c r="J156" s="18">
        <f>IF(K156="","",IF(K156&lt;10000,"Online form","Paper"))</f>
        <v/>
      </c>
      <c r="K156" s="22">
        <f>IF(ISNUMBER(MATCH(151,'Responses'!$AV$2:$AV$501,0)),MATCH(151,'Responses'!$AV$2:$AV$501,0),IF(ISNUMBER(MATCH(151,'Paper sign-ups'!$Z$2:$Z$101,0)),10000+MATCH(151,'Paper sign-ups'!$Z$2:$Z$101,0),""))</f>
        <v/>
      </c>
    </row>
    <row r="157">
      <c r="A157" s="18">
        <f>IF(K157="","",152)</f>
        <v/>
      </c>
      <c r="B157" s="10">
        <f>IF(K157="","",IF(K157&lt;10000,INDEX('Responses'!$AE$2:$AE$501,K157),INDEX('Paper sign-ups'!$I$2:$I$101,K157-10000)))</f>
        <v/>
      </c>
      <c r="C157" s="19">
        <f>IF(K157="","",IF(K157&lt;10000,INDEX('Responses'!$AF$2:$AF$501,K157),INDEX('Paper sign-ups'!$J$2:$J$101,K157-10000)))</f>
        <v/>
      </c>
      <c r="D157" s="18">
        <f>IF(K157="","",IF(K157&lt;10000,INDEX('Responses'!$AH$2:$AH$501,K157),INDEX('Paper sign-ups'!$L$2:$L$101,K157-10000)))</f>
        <v/>
      </c>
      <c r="E157" s="20">
        <f>IF(K157="","",IF(K157&lt;10000,INDEX('Responses'!$AL$2:$AL$501,K157),INDEX('Paper sign-ups'!$P$2:$P$101,K157-10000)))</f>
        <v/>
      </c>
      <c r="F157" s="20">
        <f>IF(K157="","",IF(K157&lt;10000,INDEX('Responses'!$AN$2:$AN$501,K157),INDEX('Paper sign-ups'!$R$2:$R$101,K157-10000)))</f>
        <v/>
      </c>
      <c r="G157" s="18">
        <f>IF(K157="","",IF(K157&lt;10000,INDEX('Responses'!$AO$2:$AO$501,K157),INDEX('Paper sign-ups'!$S$2:$S$101,K157-10000)))</f>
        <v/>
      </c>
      <c r="H157" s="19">
        <f>IF(K157="","",IF(K157&lt;10000,INDEX('Responses'!$AI$2:$AI$501,K157),INDEX('Paper sign-ups'!$M$2:$M$101,K157-10000)))</f>
        <v/>
      </c>
      <c r="I157" s="21">
        <f>IF(K157="","",IF(K157&lt;10000,INDEX('Responses'!$AR$2:$AR$501,K157),INDEX('Paper sign-ups'!$V$2:$V$101,K157-10000)))</f>
        <v/>
      </c>
      <c r="J157" s="18">
        <f>IF(K157="","",IF(K157&lt;10000,"Online form","Paper"))</f>
        <v/>
      </c>
      <c r="K157" s="22">
        <f>IF(ISNUMBER(MATCH(152,'Responses'!$AV$2:$AV$501,0)),MATCH(152,'Responses'!$AV$2:$AV$501,0),IF(ISNUMBER(MATCH(152,'Paper sign-ups'!$Z$2:$Z$101,0)),10000+MATCH(152,'Paper sign-ups'!$Z$2:$Z$101,0),""))</f>
        <v/>
      </c>
    </row>
    <row r="158">
      <c r="A158" s="18">
        <f>IF(K158="","",153)</f>
        <v/>
      </c>
      <c r="B158" s="10">
        <f>IF(K158="","",IF(K158&lt;10000,INDEX('Responses'!$AE$2:$AE$501,K158),INDEX('Paper sign-ups'!$I$2:$I$101,K158-10000)))</f>
        <v/>
      </c>
      <c r="C158" s="19">
        <f>IF(K158="","",IF(K158&lt;10000,INDEX('Responses'!$AF$2:$AF$501,K158),INDEX('Paper sign-ups'!$J$2:$J$101,K158-10000)))</f>
        <v/>
      </c>
      <c r="D158" s="18">
        <f>IF(K158="","",IF(K158&lt;10000,INDEX('Responses'!$AH$2:$AH$501,K158),INDEX('Paper sign-ups'!$L$2:$L$101,K158-10000)))</f>
        <v/>
      </c>
      <c r="E158" s="20">
        <f>IF(K158="","",IF(K158&lt;10000,INDEX('Responses'!$AL$2:$AL$501,K158),INDEX('Paper sign-ups'!$P$2:$P$101,K158-10000)))</f>
        <v/>
      </c>
      <c r="F158" s="20">
        <f>IF(K158="","",IF(K158&lt;10000,INDEX('Responses'!$AN$2:$AN$501,K158),INDEX('Paper sign-ups'!$R$2:$R$101,K158-10000)))</f>
        <v/>
      </c>
      <c r="G158" s="18">
        <f>IF(K158="","",IF(K158&lt;10000,INDEX('Responses'!$AO$2:$AO$501,K158),INDEX('Paper sign-ups'!$S$2:$S$101,K158-10000)))</f>
        <v/>
      </c>
      <c r="H158" s="19">
        <f>IF(K158="","",IF(K158&lt;10000,INDEX('Responses'!$AI$2:$AI$501,K158),INDEX('Paper sign-ups'!$M$2:$M$101,K158-10000)))</f>
        <v/>
      </c>
      <c r="I158" s="21">
        <f>IF(K158="","",IF(K158&lt;10000,INDEX('Responses'!$AR$2:$AR$501,K158),INDEX('Paper sign-ups'!$V$2:$V$101,K158-10000)))</f>
        <v/>
      </c>
      <c r="J158" s="18">
        <f>IF(K158="","",IF(K158&lt;10000,"Online form","Paper"))</f>
        <v/>
      </c>
      <c r="K158" s="22">
        <f>IF(ISNUMBER(MATCH(153,'Responses'!$AV$2:$AV$501,0)),MATCH(153,'Responses'!$AV$2:$AV$501,0),IF(ISNUMBER(MATCH(153,'Paper sign-ups'!$Z$2:$Z$101,0)),10000+MATCH(153,'Paper sign-ups'!$Z$2:$Z$101,0),""))</f>
        <v/>
      </c>
    </row>
    <row r="159">
      <c r="A159" s="18">
        <f>IF(K159="","",154)</f>
        <v/>
      </c>
      <c r="B159" s="10">
        <f>IF(K159="","",IF(K159&lt;10000,INDEX('Responses'!$AE$2:$AE$501,K159),INDEX('Paper sign-ups'!$I$2:$I$101,K159-10000)))</f>
        <v/>
      </c>
      <c r="C159" s="19">
        <f>IF(K159="","",IF(K159&lt;10000,INDEX('Responses'!$AF$2:$AF$501,K159),INDEX('Paper sign-ups'!$J$2:$J$101,K159-10000)))</f>
        <v/>
      </c>
      <c r="D159" s="18">
        <f>IF(K159="","",IF(K159&lt;10000,INDEX('Responses'!$AH$2:$AH$501,K159),INDEX('Paper sign-ups'!$L$2:$L$101,K159-10000)))</f>
        <v/>
      </c>
      <c r="E159" s="20">
        <f>IF(K159="","",IF(K159&lt;10000,INDEX('Responses'!$AL$2:$AL$501,K159),INDEX('Paper sign-ups'!$P$2:$P$101,K159-10000)))</f>
        <v/>
      </c>
      <c r="F159" s="20">
        <f>IF(K159="","",IF(K159&lt;10000,INDEX('Responses'!$AN$2:$AN$501,K159),INDEX('Paper sign-ups'!$R$2:$R$101,K159-10000)))</f>
        <v/>
      </c>
      <c r="G159" s="18">
        <f>IF(K159="","",IF(K159&lt;10000,INDEX('Responses'!$AO$2:$AO$501,K159),INDEX('Paper sign-ups'!$S$2:$S$101,K159-10000)))</f>
        <v/>
      </c>
      <c r="H159" s="19">
        <f>IF(K159="","",IF(K159&lt;10000,INDEX('Responses'!$AI$2:$AI$501,K159),INDEX('Paper sign-ups'!$M$2:$M$101,K159-10000)))</f>
        <v/>
      </c>
      <c r="I159" s="21">
        <f>IF(K159="","",IF(K159&lt;10000,INDEX('Responses'!$AR$2:$AR$501,K159),INDEX('Paper sign-ups'!$V$2:$V$101,K159-10000)))</f>
        <v/>
      </c>
      <c r="J159" s="18">
        <f>IF(K159="","",IF(K159&lt;10000,"Online form","Paper"))</f>
        <v/>
      </c>
      <c r="K159" s="22">
        <f>IF(ISNUMBER(MATCH(154,'Responses'!$AV$2:$AV$501,0)),MATCH(154,'Responses'!$AV$2:$AV$501,0),IF(ISNUMBER(MATCH(154,'Paper sign-ups'!$Z$2:$Z$101,0)),10000+MATCH(154,'Paper sign-ups'!$Z$2:$Z$101,0),""))</f>
        <v/>
      </c>
    </row>
    <row r="160">
      <c r="A160" s="18">
        <f>IF(K160="","",155)</f>
        <v/>
      </c>
      <c r="B160" s="10">
        <f>IF(K160="","",IF(K160&lt;10000,INDEX('Responses'!$AE$2:$AE$501,K160),INDEX('Paper sign-ups'!$I$2:$I$101,K160-10000)))</f>
        <v/>
      </c>
      <c r="C160" s="19">
        <f>IF(K160="","",IF(K160&lt;10000,INDEX('Responses'!$AF$2:$AF$501,K160),INDEX('Paper sign-ups'!$J$2:$J$101,K160-10000)))</f>
        <v/>
      </c>
      <c r="D160" s="18">
        <f>IF(K160="","",IF(K160&lt;10000,INDEX('Responses'!$AH$2:$AH$501,K160),INDEX('Paper sign-ups'!$L$2:$L$101,K160-10000)))</f>
        <v/>
      </c>
      <c r="E160" s="20">
        <f>IF(K160="","",IF(K160&lt;10000,INDEX('Responses'!$AL$2:$AL$501,K160),INDEX('Paper sign-ups'!$P$2:$P$101,K160-10000)))</f>
        <v/>
      </c>
      <c r="F160" s="20">
        <f>IF(K160="","",IF(K160&lt;10000,INDEX('Responses'!$AN$2:$AN$501,K160),INDEX('Paper sign-ups'!$R$2:$R$101,K160-10000)))</f>
        <v/>
      </c>
      <c r="G160" s="18">
        <f>IF(K160="","",IF(K160&lt;10000,INDEX('Responses'!$AO$2:$AO$501,K160),INDEX('Paper sign-ups'!$S$2:$S$101,K160-10000)))</f>
        <v/>
      </c>
      <c r="H160" s="19">
        <f>IF(K160="","",IF(K160&lt;10000,INDEX('Responses'!$AI$2:$AI$501,K160),INDEX('Paper sign-ups'!$M$2:$M$101,K160-10000)))</f>
        <v/>
      </c>
      <c r="I160" s="21">
        <f>IF(K160="","",IF(K160&lt;10000,INDEX('Responses'!$AR$2:$AR$501,K160),INDEX('Paper sign-ups'!$V$2:$V$101,K160-10000)))</f>
        <v/>
      </c>
      <c r="J160" s="18">
        <f>IF(K160="","",IF(K160&lt;10000,"Online form","Paper"))</f>
        <v/>
      </c>
      <c r="K160" s="22">
        <f>IF(ISNUMBER(MATCH(155,'Responses'!$AV$2:$AV$501,0)),MATCH(155,'Responses'!$AV$2:$AV$501,0),IF(ISNUMBER(MATCH(155,'Paper sign-ups'!$Z$2:$Z$101,0)),10000+MATCH(155,'Paper sign-ups'!$Z$2:$Z$101,0),""))</f>
        <v/>
      </c>
    </row>
    <row r="161">
      <c r="A161" s="18">
        <f>IF(K161="","",156)</f>
        <v/>
      </c>
      <c r="B161" s="10">
        <f>IF(K161="","",IF(K161&lt;10000,INDEX('Responses'!$AE$2:$AE$501,K161),INDEX('Paper sign-ups'!$I$2:$I$101,K161-10000)))</f>
        <v/>
      </c>
      <c r="C161" s="19">
        <f>IF(K161="","",IF(K161&lt;10000,INDEX('Responses'!$AF$2:$AF$501,K161),INDEX('Paper sign-ups'!$J$2:$J$101,K161-10000)))</f>
        <v/>
      </c>
      <c r="D161" s="18">
        <f>IF(K161="","",IF(K161&lt;10000,INDEX('Responses'!$AH$2:$AH$501,K161),INDEX('Paper sign-ups'!$L$2:$L$101,K161-10000)))</f>
        <v/>
      </c>
      <c r="E161" s="20">
        <f>IF(K161="","",IF(K161&lt;10000,INDEX('Responses'!$AL$2:$AL$501,K161),INDEX('Paper sign-ups'!$P$2:$P$101,K161-10000)))</f>
        <v/>
      </c>
      <c r="F161" s="20">
        <f>IF(K161="","",IF(K161&lt;10000,INDEX('Responses'!$AN$2:$AN$501,K161),INDEX('Paper sign-ups'!$R$2:$R$101,K161-10000)))</f>
        <v/>
      </c>
      <c r="G161" s="18">
        <f>IF(K161="","",IF(K161&lt;10000,INDEX('Responses'!$AO$2:$AO$501,K161),INDEX('Paper sign-ups'!$S$2:$S$101,K161-10000)))</f>
        <v/>
      </c>
      <c r="H161" s="19">
        <f>IF(K161="","",IF(K161&lt;10000,INDEX('Responses'!$AI$2:$AI$501,K161),INDEX('Paper sign-ups'!$M$2:$M$101,K161-10000)))</f>
        <v/>
      </c>
      <c r="I161" s="21">
        <f>IF(K161="","",IF(K161&lt;10000,INDEX('Responses'!$AR$2:$AR$501,K161),INDEX('Paper sign-ups'!$V$2:$V$101,K161-10000)))</f>
        <v/>
      </c>
      <c r="J161" s="18">
        <f>IF(K161="","",IF(K161&lt;10000,"Online form","Paper"))</f>
        <v/>
      </c>
      <c r="K161" s="22">
        <f>IF(ISNUMBER(MATCH(156,'Responses'!$AV$2:$AV$501,0)),MATCH(156,'Responses'!$AV$2:$AV$501,0),IF(ISNUMBER(MATCH(156,'Paper sign-ups'!$Z$2:$Z$101,0)),10000+MATCH(156,'Paper sign-ups'!$Z$2:$Z$101,0),""))</f>
        <v/>
      </c>
    </row>
    <row r="162">
      <c r="A162" s="18">
        <f>IF(K162="","",157)</f>
        <v/>
      </c>
      <c r="B162" s="10">
        <f>IF(K162="","",IF(K162&lt;10000,INDEX('Responses'!$AE$2:$AE$501,K162),INDEX('Paper sign-ups'!$I$2:$I$101,K162-10000)))</f>
        <v/>
      </c>
      <c r="C162" s="19">
        <f>IF(K162="","",IF(K162&lt;10000,INDEX('Responses'!$AF$2:$AF$501,K162),INDEX('Paper sign-ups'!$J$2:$J$101,K162-10000)))</f>
        <v/>
      </c>
      <c r="D162" s="18">
        <f>IF(K162="","",IF(K162&lt;10000,INDEX('Responses'!$AH$2:$AH$501,K162),INDEX('Paper sign-ups'!$L$2:$L$101,K162-10000)))</f>
        <v/>
      </c>
      <c r="E162" s="20">
        <f>IF(K162="","",IF(K162&lt;10000,INDEX('Responses'!$AL$2:$AL$501,K162),INDEX('Paper sign-ups'!$P$2:$P$101,K162-10000)))</f>
        <v/>
      </c>
      <c r="F162" s="20">
        <f>IF(K162="","",IF(K162&lt;10000,INDEX('Responses'!$AN$2:$AN$501,K162),INDEX('Paper sign-ups'!$R$2:$R$101,K162-10000)))</f>
        <v/>
      </c>
      <c r="G162" s="18">
        <f>IF(K162="","",IF(K162&lt;10000,INDEX('Responses'!$AO$2:$AO$501,K162),INDEX('Paper sign-ups'!$S$2:$S$101,K162-10000)))</f>
        <v/>
      </c>
      <c r="H162" s="19">
        <f>IF(K162="","",IF(K162&lt;10000,INDEX('Responses'!$AI$2:$AI$501,K162),INDEX('Paper sign-ups'!$M$2:$M$101,K162-10000)))</f>
        <v/>
      </c>
      <c r="I162" s="21">
        <f>IF(K162="","",IF(K162&lt;10000,INDEX('Responses'!$AR$2:$AR$501,K162),INDEX('Paper sign-ups'!$V$2:$V$101,K162-10000)))</f>
        <v/>
      </c>
      <c r="J162" s="18">
        <f>IF(K162="","",IF(K162&lt;10000,"Online form","Paper"))</f>
        <v/>
      </c>
      <c r="K162" s="22">
        <f>IF(ISNUMBER(MATCH(157,'Responses'!$AV$2:$AV$501,0)),MATCH(157,'Responses'!$AV$2:$AV$501,0),IF(ISNUMBER(MATCH(157,'Paper sign-ups'!$Z$2:$Z$101,0)),10000+MATCH(157,'Paper sign-ups'!$Z$2:$Z$101,0),""))</f>
        <v/>
      </c>
    </row>
    <row r="163">
      <c r="A163" s="18">
        <f>IF(K163="","",158)</f>
        <v/>
      </c>
      <c r="B163" s="10">
        <f>IF(K163="","",IF(K163&lt;10000,INDEX('Responses'!$AE$2:$AE$501,K163),INDEX('Paper sign-ups'!$I$2:$I$101,K163-10000)))</f>
        <v/>
      </c>
      <c r="C163" s="19">
        <f>IF(K163="","",IF(K163&lt;10000,INDEX('Responses'!$AF$2:$AF$501,K163),INDEX('Paper sign-ups'!$J$2:$J$101,K163-10000)))</f>
        <v/>
      </c>
      <c r="D163" s="18">
        <f>IF(K163="","",IF(K163&lt;10000,INDEX('Responses'!$AH$2:$AH$501,K163),INDEX('Paper sign-ups'!$L$2:$L$101,K163-10000)))</f>
        <v/>
      </c>
      <c r="E163" s="20">
        <f>IF(K163="","",IF(K163&lt;10000,INDEX('Responses'!$AL$2:$AL$501,K163),INDEX('Paper sign-ups'!$P$2:$P$101,K163-10000)))</f>
        <v/>
      </c>
      <c r="F163" s="20">
        <f>IF(K163="","",IF(K163&lt;10000,INDEX('Responses'!$AN$2:$AN$501,K163),INDEX('Paper sign-ups'!$R$2:$R$101,K163-10000)))</f>
        <v/>
      </c>
      <c r="G163" s="18">
        <f>IF(K163="","",IF(K163&lt;10000,INDEX('Responses'!$AO$2:$AO$501,K163),INDEX('Paper sign-ups'!$S$2:$S$101,K163-10000)))</f>
        <v/>
      </c>
      <c r="H163" s="19">
        <f>IF(K163="","",IF(K163&lt;10000,INDEX('Responses'!$AI$2:$AI$501,K163),INDEX('Paper sign-ups'!$M$2:$M$101,K163-10000)))</f>
        <v/>
      </c>
      <c r="I163" s="21">
        <f>IF(K163="","",IF(K163&lt;10000,INDEX('Responses'!$AR$2:$AR$501,K163),INDEX('Paper sign-ups'!$V$2:$V$101,K163-10000)))</f>
        <v/>
      </c>
      <c r="J163" s="18">
        <f>IF(K163="","",IF(K163&lt;10000,"Online form","Paper"))</f>
        <v/>
      </c>
      <c r="K163" s="22">
        <f>IF(ISNUMBER(MATCH(158,'Responses'!$AV$2:$AV$501,0)),MATCH(158,'Responses'!$AV$2:$AV$501,0),IF(ISNUMBER(MATCH(158,'Paper sign-ups'!$Z$2:$Z$101,0)),10000+MATCH(158,'Paper sign-ups'!$Z$2:$Z$101,0),""))</f>
        <v/>
      </c>
    </row>
    <row r="164">
      <c r="A164" s="18">
        <f>IF(K164="","",159)</f>
        <v/>
      </c>
      <c r="B164" s="10">
        <f>IF(K164="","",IF(K164&lt;10000,INDEX('Responses'!$AE$2:$AE$501,K164),INDEX('Paper sign-ups'!$I$2:$I$101,K164-10000)))</f>
        <v/>
      </c>
      <c r="C164" s="19">
        <f>IF(K164="","",IF(K164&lt;10000,INDEX('Responses'!$AF$2:$AF$501,K164),INDEX('Paper sign-ups'!$J$2:$J$101,K164-10000)))</f>
        <v/>
      </c>
      <c r="D164" s="18">
        <f>IF(K164="","",IF(K164&lt;10000,INDEX('Responses'!$AH$2:$AH$501,K164),INDEX('Paper sign-ups'!$L$2:$L$101,K164-10000)))</f>
        <v/>
      </c>
      <c r="E164" s="20">
        <f>IF(K164="","",IF(K164&lt;10000,INDEX('Responses'!$AL$2:$AL$501,K164),INDEX('Paper sign-ups'!$P$2:$P$101,K164-10000)))</f>
        <v/>
      </c>
      <c r="F164" s="20">
        <f>IF(K164="","",IF(K164&lt;10000,INDEX('Responses'!$AN$2:$AN$501,K164),INDEX('Paper sign-ups'!$R$2:$R$101,K164-10000)))</f>
        <v/>
      </c>
      <c r="G164" s="18">
        <f>IF(K164="","",IF(K164&lt;10000,INDEX('Responses'!$AO$2:$AO$501,K164),INDEX('Paper sign-ups'!$S$2:$S$101,K164-10000)))</f>
        <v/>
      </c>
      <c r="H164" s="19">
        <f>IF(K164="","",IF(K164&lt;10000,INDEX('Responses'!$AI$2:$AI$501,K164),INDEX('Paper sign-ups'!$M$2:$M$101,K164-10000)))</f>
        <v/>
      </c>
      <c r="I164" s="21">
        <f>IF(K164="","",IF(K164&lt;10000,INDEX('Responses'!$AR$2:$AR$501,K164),INDEX('Paper sign-ups'!$V$2:$V$101,K164-10000)))</f>
        <v/>
      </c>
      <c r="J164" s="18">
        <f>IF(K164="","",IF(K164&lt;10000,"Online form","Paper"))</f>
        <v/>
      </c>
      <c r="K164" s="22">
        <f>IF(ISNUMBER(MATCH(159,'Responses'!$AV$2:$AV$501,0)),MATCH(159,'Responses'!$AV$2:$AV$501,0),IF(ISNUMBER(MATCH(159,'Paper sign-ups'!$Z$2:$Z$101,0)),10000+MATCH(159,'Paper sign-ups'!$Z$2:$Z$101,0),""))</f>
        <v/>
      </c>
    </row>
    <row r="165">
      <c r="A165" s="18">
        <f>IF(K165="","",160)</f>
        <v/>
      </c>
      <c r="B165" s="10">
        <f>IF(K165="","",IF(K165&lt;10000,INDEX('Responses'!$AE$2:$AE$501,K165),INDEX('Paper sign-ups'!$I$2:$I$101,K165-10000)))</f>
        <v/>
      </c>
      <c r="C165" s="19">
        <f>IF(K165="","",IF(K165&lt;10000,INDEX('Responses'!$AF$2:$AF$501,K165),INDEX('Paper sign-ups'!$J$2:$J$101,K165-10000)))</f>
        <v/>
      </c>
      <c r="D165" s="18">
        <f>IF(K165="","",IF(K165&lt;10000,INDEX('Responses'!$AH$2:$AH$501,K165),INDEX('Paper sign-ups'!$L$2:$L$101,K165-10000)))</f>
        <v/>
      </c>
      <c r="E165" s="20">
        <f>IF(K165="","",IF(K165&lt;10000,INDEX('Responses'!$AL$2:$AL$501,K165),INDEX('Paper sign-ups'!$P$2:$P$101,K165-10000)))</f>
        <v/>
      </c>
      <c r="F165" s="20">
        <f>IF(K165="","",IF(K165&lt;10000,INDEX('Responses'!$AN$2:$AN$501,K165),INDEX('Paper sign-ups'!$R$2:$R$101,K165-10000)))</f>
        <v/>
      </c>
      <c r="G165" s="18">
        <f>IF(K165="","",IF(K165&lt;10000,INDEX('Responses'!$AO$2:$AO$501,K165),INDEX('Paper sign-ups'!$S$2:$S$101,K165-10000)))</f>
        <v/>
      </c>
      <c r="H165" s="19">
        <f>IF(K165="","",IF(K165&lt;10000,INDEX('Responses'!$AI$2:$AI$501,K165),INDEX('Paper sign-ups'!$M$2:$M$101,K165-10000)))</f>
        <v/>
      </c>
      <c r="I165" s="21">
        <f>IF(K165="","",IF(K165&lt;10000,INDEX('Responses'!$AR$2:$AR$501,K165),INDEX('Paper sign-ups'!$V$2:$V$101,K165-10000)))</f>
        <v/>
      </c>
      <c r="J165" s="18">
        <f>IF(K165="","",IF(K165&lt;10000,"Online form","Paper"))</f>
        <v/>
      </c>
      <c r="K165" s="22">
        <f>IF(ISNUMBER(MATCH(160,'Responses'!$AV$2:$AV$501,0)),MATCH(160,'Responses'!$AV$2:$AV$501,0),IF(ISNUMBER(MATCH(160,'Paper sign-ups'!$Z$2:$Z$101,0)),10000+MATCH(160,'Paper sign-ups'!$Z$2:$Z$101,0),""))</f>
        <v/>
      </c>
    </row>
    <row r="166">
      <c r="A166" s="18">
        <f>IF(K166="","",161)</f>
        <v/>
      </c>
      <c r="B166" s="10">
        <f>IF(K166="","",IF(K166&lt;10000,INDEX('Responses'!$AE$2:$AE$501,K166),INDEX('Paper sign-ups'!$I$2:$I$101,K166-10000)))</f>
        <v/>
      </c>
      <c r="C166" s="19">
        <f>IF(K166="","",IF(K166&lt;10000,INDEX('Responses'!$AF$2:$AF$501,K166),INDEX('Paper sign-ups'!$J$2:$J$101,K166-10000)))</f>
        <v/>
      </c>
      <c r="D166" s="18">
        <f>IF(K166="","",IF(K166&lt;10000,INDEX('Responses'!$AH$2:$AH$501,K166),INDEX('Paper sign-ups'!$L$2:$L$101,K166-10000)))</f>
        <v/>
      </c>
      <c r="E166" s="20">
        <f>IF(K166="","",IF(K166&lt;10000,INDEX('Responses'!$AL$2:$AL$501,K166),INDEX('Paper sign-ups'!$P$2:$P$101,K166-10000)))</f>
        <v/>
      </c>
      <c r="F166" s="20">
        <f>IF(K166="","",IF(K166&lt;10000,INDEX('Responses'!$AN$2:$AN$501,K166),INDEX('Paper sign-ups'!$R$2:$R$101,K166-10000)))</f>
        <v/>
      </c>
      <c r="G166" s="18">
        <f>IF(K166="","",IF(K166&lt;10000,INDEX('Responses'!$AO$2:$AO$501,K166),INDEX('Paper sign-ups'!$S$2:$S$101,K166-10000)))</f>
        <v/>
      </c>
      <c r="H166" s="19">
        <f>IF(K166="","",IF(K166&lt;10000,INDEX('Responses'!$AI$2:$AI$501,K166),INDEX('Paper sign-ups'!$M$2:$M$101,K166-10000)))</f>
        <v/>
      </c>
      <c r="I166" s="21">
        <f>IF(K166="","",IF(K166&lt;10000,INDEX('Responses'!$AR$2:$AR$501,K166),INDEX('Paper sign-ups'!$V$2:$V$101,K166-10000)))</f>
        <v/>
      </c>
      <c r="J166" s="18">
        <f>IF(K166="","",IF(K166&lt;10000,"Online form","Paper"))</f>
        <v/>
      </c>
      <c r="K166" s="22">
        <f>IF(ISNUMBER(MATCH(161,'Responses'!$AV$2:$AV$501,0)),MATCH(161,'Responses'!$AV$2:$AV$501,0),IF(ISNUMBER(MATCH(161,'Paper sign-ups'!$Z$2:$Z$101,0)),10000+MATCH(161,'Paper sign-ups'!$Z$2:$Z$101,0),""))</f>
        <v/>
      </c>
    </row>
    <row r="167">
      <c r="A167" s="18">
        <f>IF(K167="","",162)</f>
        <v/>
      </c>
      <c r="B167" s="10">
        <f>IF(K167="","",IF(K167&lt;10000,INDEX('Responses'!$AE$2:$AE$501,K167),INDEX('Paper sign-ups'!$I$2:$I$101,K167-10000)))</f>
        <v/>
      </c>
      <c r="C167" s="19">
        <f>IF(K167="","",IF(K167&lt;10000,INDEX('Responses'!$AF$2:$AF$501,K167),INDEX('Paper sign-ups'!$J$2:$J$101,K167-10000)))</f>
        <v/>
      </c>
      <c r="D167" s="18">
        <f>IF(K167="","",IF(K167&lt;10000,INDEX('Responses'!$AH$2:$AH$501,K167),INDEX('Paper sign-ups'!$L$2:$L$101,K167-10000)))</f>
        <v/>
      </c>
      <c r="E167" s="20">
        <f>IF(K167="","",IF(K167&lt;10000,INDEX('Responses'!$AL$2:$AL$501,K167),INDEX('Paper sign-ups'!$P$2:$P$101,K167-10000)))</f>
        <v/>
      </c>
      <c r="F167" s="20">
        <f>IF(K167="","",IF(K167&lt;10000,INDEX('Responses'!$AN$2:$AN$501,K167),INDEX('Paper sign-ups'!$R$2:$R$101,K167-10000)))</f>
        <v/>
      </c>
      <c r="G167" s="18">
        <f>IF(K167="","",IF(K167&lt;10000,INDEX('Responses'!$AO$2:$AO$501,K167),INDEX('Paper sign-ups'!$S$2:$S$101,K167-10000)))</f>
        <v/>
      </c>
      <c r="H167" s="19">
        <f>IF(K167="","",IF(K167&lt;10000,INDEX('Responses'!$AI$2:$AI$501,K167),INDEX('Paper sign-ups'!$M$2:$M$101,K167-10000)))</f>
        <v/>
      </c>
      <c r="I167" s="21">
        <f>IF(K167="","",IF(K167&lt;10000,INDEX('Responses'!$AR$2:$AR$501,K167),INDEX('Paper sign-ups'!$V$2:$V$101,K167-10000)))</f>
        <v/>
      </c>
      <c r="J167" s="18">
        <f>IF(K167="","",IF(K167&lt;10000,"Online form","Paper"))</f>
        <v/>
      </c>
      <c r="K167" s="22">
        <f>IF(ISNUMBER(MATCH(162,'Responses'!$AV$2:$AV$501,0)),MATCH(162,'Responses'!$AV$2:$AV$501,0),IF(ISNUMBER(MATCH(162,'Paper sign-ups'!$Z$2:$Z$101,0)),10000+MATCH(162,'Paper sign-ups'!$Z$2:$Z$101,0),""))</f>
        <v/>
      </c>
    </row>
    <row r="168">
      <c r="A168" s="18">
        <f>IF(K168="","",163)</f>
        <v/>
      </c>
      <c r="B168" s="10">
        <f>IF(K168="","",IF(K168&lt;10000,INDEX('Responses'!$AE$2:$AE$501,K168),INDEX('Paper sign-ups'!$I$2:$I$101,K168-10000)))</f>
        <v/>
      </c>
      <c r="C168" s="19">
        <f>IF(K168="","",IF(K168&lt;10000,INDEX('Responses'!$AF$2:$AF$501,K168),INDEX('Paper sign-ups'!$J$2:$J$101,K168-10000)))</f>
        <v/>
      </c>
      <c r="D168" s="18">
        <f>IF(K168="","",IF(K168&lt;10000,INDEX('Responses'!$AH$2:$AH$501,K168),INDEX('Paper sign-ups'!$L$2:$L$101,K168-10000)))</f>
        <v/>
      </c>
      <c r="E168" s="20">
        <f>IF(K168="","",IF(K168&lt;10000,INDEX('Responses'!$AL$2:$AL$501,K168),INDEX('Paper sign-ups'!$P$2:$P$101,K168-10000)))</f>
        <v/>
      </c>
      <c r="F168" s="20">
        <f>IF(K168="","",IF(K168&lt;10000,INDEX('Responses'!$AN$2:$AN$501,K168),INDEX('Paper sign-ups'!$R$2:$R$101,K168-10000)))</f>
        <v/>
      </c>
      <c r="G168" s="18">
        <f>IF(K168="","",IF(K168&lt;10000,INDEX('Responses'!$AO$2:$AO$501,K168),INDEX('Paper sign-ups'!$S$2:$S$101,K168-10000)))</f>
        <v/>
      </c>
      <c r="H168" s="19">
        <f>IF(K168="","",IF(K168&lt;10000,INDEX('Responses'!$AI$2:$AI$501,K168),INDEX('Paper sign-ups'!$M$2:$M$101,K168-10000)))</f>
        <v/>
      </c>
      <c r="I168" s="21">
        <f>IF(K168="","",IF(K168&lt;10000,INDEX('Responses'!$AR$2:$AR$501,K168),INDEX('Paper sign-ups'!$V$2:$V$101,K168-10000)))</f>
        <v/>
      </c>
      <c r="J168" s="18">
        <f>IF(K168="","",IF(K168&lt;10000,"Online form","Paper"))</f>
        <v/>
      </c>
      <c r="K168" s="22">
        <f>IF(ISNUMBER(MATCH(163,'Responses'!$AV$2:$AV$501,0)),MATCH(163,'Responses'!$AV$2:$AV$501,0),IF(ISNUMBER(MATCH(163,'Paper sign-ups'!$Z$2:$Z$101,0)),10000+MATCH(163,'Paper sign-ups'!$Z$2:$Z$101,0),""))</f>
        <v/>
      </c>
    </row>
    <row r="169">
      <c r="A169" s="18">
        <f>IF(K169="","",164)</f>
        <v/>
      </c>
      <c r="B169" s="10">
        <f>IF(K169="","",IF(K169&lt;10000,INDEX('Responses'!$AE$2:$AE$501,K169),INDEX('Paper sign-ups'!$I$2:$I$101,K169-10000)))</f>
        <v/>
      </c>
      <c r="C169" s="19">
        <f>IF(K169="","",IF(K169&lt;10000,INDEX('Responses'!$AF$2:$AF$501,K169),INDEX('Paper sign-ups'!$J$2:$J$101,K169-10000)))</f>
        <v/>
      </c>
      <c r="D169" s="18">
        <f>IF(K169="","",IF(K169&lt;10000,INDEX('Responses'!$AH$2:$AH$501,K169),INDEX('Paper sign-ups'!$L$2:$L$101,K169-10000)))</f>
        <v/>
      </c>
      <c r="E169" s="20">
        <f>IF(K169="","",IF(K169&lt;10000,INDEX('Responses'!$AL$2:$AL$501,K169),INDEX('Paper sign-ups'!$P$2:$P$101,K169-10000)))</f>
        <v/>
      </c>
      <c r="F169" s="20">
        <f>IF(K169="","",IF(K169&lt;10000,INDEX('Responses'!$AN$2:$AN$501,K169),INDEX('Paper sign-ups'!$R$2:$R$101,K169-10000)))</f>
        <v/>
      </c>
      <c r="G169" s="18">
        <f>IF(K169="","",IF(K169&lt;10000,INDEX('Responses'!$AO$2:$AO$501,K169),INDEX('Paper sign-ups'!$S$2:$S$101,K169-10000)))</f>
        <v/>
      </c>
      <c r="H169" s="19">
        <f>IF(K169="","",IF(K169&lt;10000,INDEX('Responses'!$AI$2:$AI$501,K169),INDEX('Paper sign-ups'!$M$2:$M$101,K169-10000)))</f>
        <v/>
      </c>
      <c r="I169" s="21">
        <f>IF(K169="","",IF(K169&lt;10000,INDEX('Responses'!$AR$2:$AR$501,K169),INDEX('Paper sign-ups'!$V$2:$V$101,K169-10000)))</f>
        <v/>
      </c>
      <c r="J169" s="18">
        <f>IF(K169="","",IF(K169&lt;10000,"Online form","Paper"))</f>
        <v/>
      </c>
      <c r="K169" s="22">
        <f>IF(ISNUMBER(MATCH(164,'Responses'!$AV$2:$AV$501,0)),MATCH(164,'Responses'!$AV$2:$AV$501,0),IF(ISNUMBER(MATCH(164,'Paper sign-ups'!$Z$2:$Z$101,0)),10000+MATCH(164,'Paper sign-ups'!$Z$2:$Z$101,0),""))</f>
        <v/>
      </c>
    </row>
    <row r="170">
      <c r="A170" s="18">
        <f>IF(K170="","",165)</f>
        <v/>
      </c>
      <c r="B170" s="10">
        <f>IF(K170="","",IF(K170&lt;10000,INDEX('Responses'!$AE$2:$AE$501,K170),INDEX('Paper sign-ups'!$I$2:$I$101,K170-10000)))</f>
        <v/>
      </c>
      <c r="C170" s="19">
        <f>IF(K170="","",IF(K170&lt;10000,INDEX('Responses'!$AF$2:$AF$501,K170),INDEX('Paper sign-ups'!$J$2:$J$101,K170-10000)))</f>
        <v/>
      </c>
      <c r="D170" s="18">
        <f>IF(K170="","",IF(K170&lt;10000,INDEX('Responses'!$AH$2:$AH$501,K170),INDEX('Paper sign-ups'!$L$2:$L$101,K170-10000)))</f>
        <v/>
      </c>
      <c r="E170" s="20">
        <f>IF(K170="","",IF(K170&lt;10000,INDEX('Responses'!$AL$2:$AL$501,K170),INDEX('Paper sign-ups'!$P$2:$P$101,K170-10000)))</f>
        <v/>
      </c>
      <c r="F170" s="20">
        <f>IF(K170="","",IF(K170&lt;10000,INDEX('Responses'!$AN$2:$AN$501,K170),INDEX('Paper sign-ups'!$R$2:$R$101,K170-10000)))</f>
        <v/>
      </c>
      <c r="G170" s="18">
        <f>IF(K170="","",IF(K170&lt;10000,INDEX('Responses'!$AO$2:$AO$501,K170),INDEX('Paper sign-ups'!$S$2:$S$101,K170-10000)))</f>
        <v/>
      </c>
      <c r="H170" s="19">
        <f>IF(K170="","",IF(K170&lt;10000,INDEX('Responses'!$AI$2:$AI$501,K170),INDEX('Paper sign-ups'!$M$2:$M$101,K170-10000)))</f>
        <v/>
      </c>
      <c r="I170" s="21">
        <f>IF(K170="","",IF(K170&lt;10000,INDEX('Responses'!$AR$2:$AR$501,K170),INDEX('Paper sign-ups'!$V$2:$V$101,K170-10000)))</f>
        <v/>
      </c>
      <c r="J170" s="18">
        <f>IF(K170="","",IF(K170&lt;10000,"Online form","Paper"))</f>
        <v/>
      </c>
      <c r="K170" s="22">
        <f>IF(ISNUMBER(MATCH(165,'Responses'!$AV$2:$AV$501,0)),MATCH(165,'Responses'!$AV$2:$AV$501,0),IF(ISNUMBER(MATCH(165,'Paper sign-ups'!$Z$2:$Z$101,0)),10000+MATCH(165,'Paper sign-ups'!$Z$2:$Z$101,0),""))</f>
        <v/>
      </c>
    </row>
    <row r="171">
      <c r="A171" s="18">
        <f>IF(K171="","",166)</f>
        <v/>
      </c>
      <c r="B171" s="10">
        <f>IF(K171="","",IF(K171&lt;10000,INDEX('Responses'!$AE$2:$AE$501,K171),INDEX('Paper sign-ups'!$I$2:$I$101,K171-10000)))</f>
        <v/>
      </c>
      <c r="C171" s="19">
        <f>IF(K171="","",IF(K171&lt;10000,INDEX('Responses'!$AF$2:$AF$501,K171),INDEX('Paper sign-ups'!$J$2:$J$101,K171-10000)))</f>
        <v/>
      </c>
      <c r="D171" s="18">
        <f>IF(K171="","",IF(K171&lt;10000,INDEX('Responses'!$AH$2:$AH$501,K171),INDEX('Paper sign-ups'!$L$2:$L$101,K171-10000)))</f>
        <v/>
      </c>
      <c r="E171" s="20">
        <f>IF(K171="","",IF(K171&lt;10000,INDEX('Responses'!$AL$2:$AL$501,K171),INDEX('Paper sign-ups'!$P$2:$P$101,K171-10000)))</f>
        <v/>
      </c>
      <c r="F171" s="20">
        <f>IF(K171="","",IF(K171&lt;10000,INDEX('Responses'!$AN$2:$AN$501,K171),INDEX('Paper sign-ups'!$R$2:$R$101,K171-10000)))</f>
        <v/>
      </c>
      <c r="G171" s="18">
        <f>IF(K171="","",IF(K171&lt;10000,INDEX('Responses'!$AO$2:$AO$501,K171),INDEX('Paper sign-ups'!$S$2:$S$101,K171-10000)))</f>
        <v/>
      </c>
      <c r="H171" s="19">
        <f>IF(K171="","",IF(K171&lt;10000,INDEX('Responses'!$AI$2:$AI$501,K171),INDEX('Paper sign-ups'!$M$2:$M$101,K171-10000)))</f>
        <v/>
      </c>
      <c r="I171" s="21">
        <f>IF(K171="","",IF(K171&lt;10000,INDEX('Responses'!$AR$2:$AR$501,K171),INDEX('Paper sign-ups'!$V$2:$V$101,K171-10000)))</f>
        <v/>
      </c>
      <c r="J171" s="18">
        <f>IF(K171="","",IF(K171&lt;10000,"Online form","Paper"))</f>
        <v/>
      </c>
      <c r="K171" s="22">
        <f>IF(ISNUMBER(MATCH(166,'Responses'!$AV$2:$AV$501,0)),MATCH(166,'Responses'!$AV$2:$AV$501,0),IF(ISNUMBER(MATCH(166,'Paper sign-ups'!$Z$2:$Z$101,0)),10000+MATCH(166,'Paper sign-ups'!$Z$2:$Z$101,0),""))</f>
        <v/>
      </c>
    </row>
    <row r="172">
      <c r="A172" s="18">
        <f>IF(K172="","",167)</f>
        <v/>
      </c>
      <c r="B172" s="10">
        <f>IF(K172="","",IF(K172&lt;10000,INDEX('Responses'!$AE$2:$AE$501,K172),INDEX('Paper sign-ups'!$I$2:$I$101,K172-10000)))</f>
        <v/>
      </c>
      <c r="C172" s="19">
        <f>IF(K172="","",IF(K172&lt;10000,INDEX('Responses'!$AF$2:$AF$501,K172),INDEX('Paper sign-ups'!$J$2:$J$101,K172-10000)))</f>
        <v/>
      </c>
      <c r="D172" s="18">
        <f>IF(K172="","",IF(K172&lt;10000,INDEX('Responses'!$AH$2:$AH$501,K172),INDEX('Paper sign-ups'!$L$2:$L$101,K172-10000)))</f>
        <v/>
      </c>
      <c r="E172" s="20">
        <f>IF(K172="","",IF(K172&lt;10000,INDEX('Responses'!$AL$2:$AL$501,K172),INDEX('Paper sign-ups'!$P$2:$P$101,K172-10000)))</f>
        <v/>
      </c>
      <c r="F172" s="20">
        <f>IF(K172="","",IF(K172&lt;10000,INDEX('Responses'!$AN$2:$AN$501,K172),INDEX('Paper sign-ups'!$R$2:$R$101,K172-10000)))</f>
        <v/>
      </c>
      <c r="G172" s="18">
        <f>IF(K172="","",IF(K172&lt;10000,INDEX('Responses'!$AO$2:$AO$501,K172),INDEX('Paper sign-ups'!$S$2:$S$101,K172-10000)))</f>
        <v/>
      </c>
      <c r="H172" s="19">
        <f>IF(K172="","",IF(K172&lt;10000,INDEX('Responses'!$AI$2:$AI$501,K172),INDEX('Paper sign-ups'!$M$2:$M$101,K172-10000)))</f>
        <v/>
      </c>
      <c r="I172" s="21">
        <f>IF(K172="","",IF(K172&lt;10000,INDEX('Responses'!$AR$2:$AR$501,K172),INDEX('Paper sign-ups'!$V$2:$V$101,K172-10000)))</f>
        <v/>
      </c>
      <c r="J172" s="18">
        <f>IF(K172="","",IF(K172&lt;10000,"Online form","Paper"))</f>
        <v/>
      </c>
      <c r="K172" s="22">
        <f>IF(ISNUMBER(MATCH(167,'Responses'!$AV$2:$AV$501,0)),MATCH(167,'Responses'!$AV$2:$AV$501,0),IF(ISNUMBER(MATCH(167,'Paper sign-ups'!$Z$2:$Z$101,0)),10000+MATCH(167,'Paper sign-ups'!$Z$2:$Z$101,0),""))</f>
        <v/>
      </c>
    </row>
    <row r="173">
      <c r="A173" s="18">
        <f>IF(K173="","",168)</f>
        <v/>
      </c>
      <c r="B173" s="10">
        <f>IF(K173="","",IF(K173&lt;10000,INDEX('Responses'!$AE$2:$AE$501,K173),INDEX('Paper sign-ups'!$I$2:$I$101,K173-10000)))</f>
        <v/>
      </c>
      <c r="C173" s="19">
        <f>IF(K173="","",IF(K173&lt;10000,INDEX('Responses'!$AF$2:$AF$501,K173),INDEX('Paper sign-ups'!$J$2:$J$101,K173-10000)))</f>
        <v/>
      </c>
      <c r="D173" s="18">
        <f>IF(K173="","",IF(K173&lt;10000,INDEX('Responses'!$AH$2:$AH$501,K173),INDEX('Paper sign-ups'!$L$2:$L$101,K173-10000)))</f>
        <v/>
      </c>
      <c r="E173" s="20">
        <f>IF(K173="","",IF(K173&lt;10000,INDEX('Responses'!$AL$2:$AL$501,K173),INDEX('Paper sign-ups'!$P$2:$P$101,K173-10000)))</f>
        <v/>
      </c>
      <c r="F173" s="20">
        <f>IF(K173="","",IF(K173&lt;10000,INDEX('Responses'!$AN$2:$AN$501,K173),INDEX('Paper sign-ups'!$R$2:$R$101,K173-10000)))</f>
        <v/>
      </c>
      <c r="G173" s="18">
        <f>IF(K173="","",IF(K173&lt;10000,INDEX('Responses'!$AO$2:$AO$501,K173),INDEX('Paper sign-ups'!$S$2:$S$101,K173-10000)))</f>
        <v/>
      </c>
      <c r="H173" s="19">
        <f>IF(K173="","",IF(K173&lt;10000,INDEX('Responses'!$AI$2:$AI$501,K173),INDEX('Paper sign-ups'!$M$2:$M$101,K173-10000)))</f>
        <v/>
      </c>
      <c r="I173" s="21">
        <f>IF(K173="","",IF(K173&lt;10000,INDEX('Responses'!$AR$2:$AR$501,K173),INDEX('Paper sign-ups'!$V$2:$V$101,K173-10000)))</f>
        <v/>
      </c>
      <c r="J173" s="18">
        <f>IF(K173="","",IF(K173&lt;10000,"Online form","Paper"))</f>
        <v/>
      </c>
      <c r="K173" s="22">
        <f>IF(ISNUMBER(MATCH(168,'Responses'!$AV$2:$AV$501,0)),MATCH(168,'Responses'!$AV$2:$AV$501,0),IF(ISNUMBER(MATCH(168,'Paper sign-ups'!$Z$2:$Z$101,0)),10000+MATCH(168,'Paper sign-ups'!$Z$2:$Z$101,0),""))</f>
        <v/>
      </c>
    </row>
    <row r="174">
      <c r="A174" s="18">
        <f>IF(K174="","",169)</f>
        <v/>
      </c>
      <c r="B174" s="10">
        <f>IF(K174="","",IF(K174&lt;10000,INDEX('Responses'!$AE$2:$AE$501,K174),INDEX('Paper sign-ups'!$I$2:$I$101,K174-10000)))</f>
        <v/>
      </c>
      <c r="C174" s="19">
        <f>IF(K174="","",IF(K174&lt;10000,INDEX('Responses'!$AF$2:$AF$501,K174),INDEX('Paper sign-ups'!$J$2:$J$101,K174-10000)))</f>
        <v/>
      </c>
      <c r="D174" s="18">
        <f>IF(K174="","",IF(K174&lt;10000,INDEX('Responses'!$AH$2:$AH$501,K174),INDEX('Paper sign-ups'!$L$2:$L$101,K174-10000)))</f>
        <v/>
      </c>
      <c r="E174" s="20">
        <f>IF(K174="","",IF(K174&lt;10000,INDEX('Responses'!$AL$2:$AL$501,K174),INDEX('Paper sign-ups'!$P$2:$P$101,K174-10000)))</f>
        <v/>
      </c>
      <c r="F174" s="20">
        <f>IF(K174="","",IF(K174&lt;10000,INDEX('Responses'!$AN$2:$AN$501,K174),INDEX('Paper sign-ups'!$R$2:$R$101,K174-10000)))</f>
        <v/>
      </c>
      <c r="G174" s="18">
        <f>IF(K174="","",IF(K174&lt;10000,INDEX('Responses'!$AO$2:$AO$501,K174),INDEX('Paper sign-ups'!$S$2:$S$101,K174-10000)))</f>
        <v/>
      </c>
      <c r="H174" s="19">
        <f>IF(K174="","",IF(K174&lt;10000,INDEX('Responses'!$AI$2:$AI$501,K174),INDEX('Paper sign-ups'!$M$2:$M$101,K174-10000)))</f>
        <v/>
      </c>
      <c r="I174" s="21">
        <f>IF(K174="","",IF(K174&lt;10000,INDEX('Responses'!$AR$2:$AR$501,K174),INDEX('Paper sign-ups'!$V$2:$V$101,K174-10000)))</f>
        <v/>
      </c>
      <c r="J174" s="18">
        <f>IF(K174="","",IF(K174&lt;10000,"Online form","Paper"))</f>
        <v/>
      </c>
      <c r="K174" s="22">
        <f>IF(ISNUMBER(MATCH(169,'Responses'!$AV$2:$AV$501,0)),MATCH(169,'Responses'!$AV$2:$AV$501,0),IF(ISNUMBER(MATCH(169,'Paper sign-ups'!$Z$2:$Z$101,0)),10000+MATCH(169,'Paper sign-ups'!$Z$2:$Z$101,0),""))</f>
        <v/>
      </c>
    </row>
    <row r="175">
      <c r="A175" s="18">
        <f>IF(K175="","",170)</f>
        <v/>
      </c>
      <c r="B175" s="10">
        <f>IF(K175="","",IF(K175&lt;10000,INDEX('Responses'!$AE$2:$AE$501,K175),INDEX('Paper sign-ups'!$I$2:$I$101,K175-10000)))</f>
        <v/>
      </c>
      <c r="C175" s="19">
        <f>IF(K175="","",IF(K175&lt;10000,INDEX('Responses'!$AF$2:$AF$501,K175),INDEX('Paper sign-ups'!$J$2:$J$101,K175-10000)))</f>
        <v/>
      </c>
      <c r="D175" s="18">
        <f>IF(K175="","",IF(K175&lt;10000,INDEX('Responses'!$AH$2:$AH$501,K175),INDEX('Paper sign-ups'!$L$2:$L$101,K175-10000)))</f>
        <v/>
      </c>
      <c r="E175" s="20">
        <f>IF(K175="","",IF(K175&lt;10000,INDEX('Responses'!$AL$2:$AL$501,K175),INDEX('Paper sign-ups'!$P$2:$P$101,K175-10000)))</f>
        <v/>
      </c>
      <c r="F175" s="20">
        <f>IF(K175="","",IF(K175&lt;10000,INDEX('Responses'!$AN$2:$AN$501,K175),INDEX('Paper sign-ups'!$R$2:$R$101,K175-10000)))</f>
        <v/>
      </c>
      <c r="G175" s="18">
        <f>IF(K175="","",IF(K175&lt;10000,INDEX('Responses'!$AO$2:$AO$501,K175),INDEX('Paper sign-ups'!$S$2:$S$101,K175-10000)))</f>
        <v/>
      </c>
      <c r="H175" s="19">
        <f>IF(K175="","",IF(K175&lt;10000,INDEX('Responses'!$AI$2:$AI$501,K175),INDEX('Paper sign-ups'!$M$2:$M$101,K175-10000)))</f>
        <v/>
      </c>
      <c r="I175" s="21">
        <f>IF(K175="","",IF(K175&lt;10000,INDEX('Responses'!$AR$2:$AR$501,K175),INDEX('Paper sign-ups'!$V$2:$V$101,K175-10000)))</f>
        <v/>
      </c>
      <c r="J175" s="18">
        <f>IF(K175="","",IF(K175&lt;10000,"Online form","Paper"))</f>
        <v/>
      </c>
      <c r="K175" s="22">
        <f>IF(ISNUMBER(MATCH(170,'Responses'!$AV$2:$AV$501,0)),MATCH(170,'Responses'!$AV$2:$AV$501,0),IF(ISNUMBER(MATCH(170,'Paper sign-ups'!$Z$2:$Z$101,0)),10000+MATCH(170,'Paper sign-ups'!$Z$2:$Z$101,0),""))</f>
        <v/>
      </c>
    </row>
    <row r="176">
      <c r="A176" s="18">
        <f>IF(K176="","",171)</f>
        <v/>
      </c>
      <c r="B176" s="10">
        <f>IF(K176="","",IF(K176&lt;10000,INDEX('Responses'!$AE$2:$AE$501,K176),INDEX('Paper sign-ups'!$I$2:$I$101,K176-10000)))</f>
        <v/>
      </c>
      <c r="C176" s="19">
        <f>IF(K176="","",IF(K176&lt;10000,INDEX('Responses'!$AF$2:$AF$501,K176),INDEX('Paper sign-ups'!$J$2:$J$101,K176-10000)))</f>
        <v/>
      </c>
      <c r="D176" s="18">
        <f>IF(K176="","",IF(K176&lt;10000,INDEX('Responses'!$AH$2:$AH$501,K176),INDEX('Paper sign-ups'!$L$2:$L$101,K176-10000)))</f>
        <v/>
      </c>
      <c r="E176" s="20">
        <f>IF(K176="","",IF(K176&lt;10000,INDEX('Responses'!$AL$2:$AL$501,K176),INDEX('Paper sign-ups'!$P$2:$P$101,K176-10000)))</f>
        <v/>
      </c>
      <c r="F176" s="20">
        <f>IF(K176="","",IF(K176&lt;10000,INDEX('Responses'!$AN$2:$AN$501,K176),INDEX('Paper sign-ups'!$R$2:$R$101,K176-10000)))</f>
        <v/>
      </c>
      <c r="G176" s="18">
        <f>IF(K176="","",IF(K176&lt;10000,INDEX('Responses'!$AO$2:$AO$501,K176),INDEX('Paper sign-ups'!$S$2:$S$101,K176-10000)))</f>
        <v/>
      </c>
      <c r="H176" s="19">
        <f>IF(K176="","",IF(K176&lt;10000,INDEX('Responses'!$AI$2:$AI$501,K176),INDEX('Paper sign-ups'!$M$2:$M$101,K176-10000)))</f>
        <v/>
      </c>
      <c r="I176" s="21">
        <f>IF(K176="","",IF(K176&lt;10000,INDEX('Responses'!$AR$2:$AR$501,K176),INDEX('Paper sign-ups'!$V$2:$V$101,K176-10000)))</f>
        <v/>
      </c>
      <c r="J176" s="18">
        <f>IF(K176="","",IF(K176&lt;10000,"Online form","Paper"))</f>
        <v/>
      </c>
      <c r="K176" s="22">
        <f>IF(ISNUMBER(MATCH(171,'Responses'!$AV$2:$AV$501,0)),MATCH(171,'Responses'!$AV$2:$AV$501,0),IF(ISNUMBER(MATCH(171,'Paper sign-ups'!$Z$2:$Z$101,0)),10000+MATCH(171,'Paper sign-ups'!$Z$2:$Z$101,0),""))</f>
        <v/>
      </c>
    </row>
    <row r="177">
      <c r="A177" s="18">
        <f>IF(K177="","",172)</f>
        <v/>
      </c>
      <c r="B177" s="10">
        <f>IF(K177="","",IF(K177&lt;10000,INDEX('Responses'!$AE$2:$AE$501,K177),INDEX('Paper sign-ups'!$I$2:$I$101,K177-10000)))</f>
        <v/>
      </c>
      <c r="C177" s="19">
        <f>IF(K177="","",IF(K177&lt;10000,INDEX('Responses'!$AF$2:$AF$501,K177),INDEX('Paper sign-ups'!$J$2:$J$101,K177-10000)))</f>
        <v/>
      </c>
      <c r="D177" s="18">
        <f>IF(K177="","",IF(K177&lt;10000,INDEX('Responses'!$AH$2:$AH$501,K177),INDEX('Paper sign-ups'!$L$2:$L$101,K177-10000)))</f>
        <v/>
      </c>
      <c r="E177" s="20">
        <f>IF(K177="","",IF(K177&lt;10000,INDEX('Responses'!$AL$2:$AL$501,K177),INDEX('Paper sign-ups'!$P$2:$P$101,K177-10000)))</f>
        <v/>
      </c>
      <c r="F177" s="20">
        <f>IF(K177="","",IF(K177&lt;10000,INDEX('Responses'!$AN$2:$AN$501,K177),INDEX('Paper sign-ups'!$R$2:$R$101,K177-10000)))</f>
        <v/>
      </c>
      <c r="G177" s="18">
        <f>IF(K177="","",IF(K177&lt;10000,INDEX('Responses'!$AO$2:$AO$501,K177),INDEX('Paper sign-ups'!$S$2:$S$101,K177-10000)))</f>
        <v/>
      </c>
      <c r="H177" s="19">
        <f>IF(K177="","",IF(K177&lt;10000,INDEX('Responses'!$AI$2:$AI$501,K177),INDEX('Paper sign-ups'!$M$2:$M$101,K177-10000)))</f>
        <v/>
      </c>
      <c r="I177" s="21">
        <f>IF(K177="","",IF(K177&lt;10000,INDEX('Responses'!$AR$2:$AR$501,K177),INDEX('Paper sign-ups'!$V$2:$V$101,K177-10000)))</f>
        <v/>
      </c>
      <c r="J177" s="18">
        <f>IF(K177="","",IF(K177&lt;10000,"Online form","Paper"))</f>
        <v/>
      </c>
      <c r="K177" s="22">
        <f>IF(ISNUMBER(MATCH(172,'Responses'!$AV$2:$AV$501,0)),MATCH(172,'Responses'!$AV$2:$AV$501,0),IF(ISNUMBER(MATCH(172,'Paper sign-ups'!$Z$2:$Z$101,0)),10000+MATCH(172,'Paper sign-ups'!$Z$2:$Z$101,0),""))</f>
        <v/>
      </c>
    </row>
    <row r="178">
      <c r="A178" s="18">
        <f>IF(K178="","",173)</f>
        <v/>
      </c>
      <c r="B178" s="10">
        <f>IF(K178="","",IF(K178&lt;10000,INDEX('Responses'!$AE$2:$AE$501,K178),INDEX('Paper sign-ups'!$I$2:$I$101,K178-10000)))</f>
        <v/>
      </c>
      <c r="C178" s="19">
        <f>IF(K178="","",IF(K178&lt;10000,INDEX('Responses'!$AF$2:$AF$501,K178),INDEX('Paper sign-ups'!$J$2:$J$101,K178-10000)))</f>
        <v/>
      </c>
      <c r="D178" s="18">
        <f>IF(K178="","",IF(K178&lt;10000,INDEX('Responses'!$AH$2:$AH$501,K178),INDEX('Paper sign-ups'!$L$2:$L$101,K178-10000)))</f>
        <v/>
      </c>
      <c r="E178" s="20">
        <f>IF(K178="","",IF(K178&lt;10000,INDEX('Responses'!$AL$2:$AL$501,K178),INDEX('Paper sign-ups'!$P$2:$P$101,K178-10000)))</f>
        <v/>
      </c>
      <c r="F178" s="20">
        <f>IF(K178="","",IF(K178&lt;10000,INDEX('Responses'!$AN$2:$AN$501,K178),INDEX('Paper sign-ups'!$R$2:$R$101,K178-10000)))</f>
        <v/>
      </c>
      <c r="G178" s="18">
        <f>IF(K178="","",IF(K178&lt;10000,INDEX('Responses'!$AO$2:$AO$501,K178),INDEX('Paper sign-ups'!$S$2:$S$101,K178-10000)))</f>
        <v/>
      </c>
      <c r="H178" s="19">
        <f>IF(K178="","",IF(K178&lt;10000,INDEX('Responses'!$AI$2:$AI$501,K178),INDEX('Paper sign-ups'!$M$2:$M$101,K178-10000)))</f>
        <v/>
      </c>
      <c r="I178" s="21">
        <f>IF(K178="","",IF(K178&lt;10000,INDEX('Responses'!$AR$2:$AR$501,K178),INDEX('Paper sign-ups'!$V$2:$V$101,K178-10000)))</f>
        <v/>
      </c>
      <c r="J178" s="18">
        <f>IF(K178="","",IF(K178&lt;10000,"Online form","Paper"))</f>
        <v/>
      </c>
      <c r="K178" s="22">
        <f>IF(ISNUMBER(MATCH(173,'Responses'!$AV$2:$AV$501,0)),MATCH(173,'Responses'!$AV$2:$AV$501,0),IF(ISNUMBER(MATCH(173,'Paper sign-ups'!$Z$2:$Z$101,0)),10000+MATCH(173,'Paper sign-ups'!$Z$2:$Z$101,0),""))</f>
        <v/>
      </c>
    </row>
    <row r="179">
      <c r="A179" s="18">
        <f>IF(K179="","",174)</f>
        <v/>
      </c>
      <c r="B179" s="10">
        <f>IF(K179="","",IF(K179&lt;10000,INDEX('Responses'!$AE$2:$AE$501,K179),INDEX('Paper sign-ups'!$I$2:$I$101,K179-10000)))</f>
        <v/>
      </c>
      <c r="C179" s="19">
        <f>IF(K179="","",IF(K179&lt;10000,INDEX('Responses'!$AF$2:$AF$501,K179),INDEX('Paper sign-ups'!$J$2:$J$101,K179-10000)))</f>
        <v/>
      </c>
      <c r="D179" s="18">
        <f>IF(K179="","",IF(K179&lt;10000,INDEX('Responses'!$AH$2:$AH$501,K179),INDEX('Paper sign-ups'!$L$2:$L$101,K179-10000)))</f>
        <v/>
      </c>
      <c r="E179" s="20">
        <f>IF(K179="","",IF(K179&lt;10000,INDEX('Responses'!$AL$2:$AL$501,K179),INDEX('Paper sign-ups'!$P$2:$P$101,K179-10000)))</f>
        <v/>
      </c>
      <c r="F179" s="20">
        <f>IF(K179="","",IF(K179&lt;10000,INDEX('Responses'!$AN$2:$AN$501,K179),INDEX('Paper sign-ups'!$R$2:$R$101,K179-10000)))</f>
        <v/>
      </c>
      <c r="G179" s="18">
        <f>IF(K179="","",IF(K179&lt;10000,INDEX('Responses'!$AO$2:$AO$501,K179),INDEX('Paper sign-ups'!$S$2:$S$101,K179-10000)))</f>
        <v/>
      </c>
      <c r="H179" s="19">
        <f>IF(K179="","",IF(K179&lt;10000,INDEX('Responses'!$AI$2:$AI$501,K179),INDEX('Paper sign-ups'!$M$2:$M$101,K179-10000)))</f>
        <v/>
      </c>
      <c r="I179" s="21">
        <f>IF(K179="","",IF(K179&lt;10000,INDEX('Responses'!$AR$2:$AR$501,K179),INDEX('Paper sign-ups'!$V$2:$V$101,K179-10000)))</f>
        <v/>
      </c>
      <c r="J179" s="18">
        <f>IF(K179="","",IF(K179&lt;10000,"Online form","Paper"))</f>
        <v/>
      </c>
      <c r="K179" s="22">
        <f>IF(ISNUMBER(MATCH(174,'Responses'!$AV$2:$AV$501,0)),MATCH(174,'Responses'!$AV$2:$AV$501,0),IF(ISNUMBER(MATCH(174,'Paper sign-ups'!$Z$2:$Z$101,0)),10000+MATCH(174,'Paper sign-ups'!$Z$2:$Z$101,0),""))</f>
        <v/>
      </c>
    </row>
    <row r="180">
      <c r="A180" s="18">
        <f>IF(K180="","",175)</f>
        <v/>
      </c>
      <c r="B180" s="10">
        <f>IF(K180="","",IF(K180&lt;10000,INDEX('Responses'!$AE$2:$AE$501,K180),INDEX('Paper sign-ups'!$I$2:$I$101,K180-10000)))</f>
        <v/>
      </c>
      <c r="C180" s="19">
        <f>IF(K180="","",IF(K180&lt;10000,INDEX('Responses'!$AF$2:$AF$501,K180),INDEX('Paper sign-ups'!$J$2:$J$101,K180-10000)))</f>
        <v/>
      </c>
      <c r="D180" s="18">
        <f>IF(K180="","",IF(K180&lt;10000,INDEX('Responses'!$AH$2:$AH$501,K180),INDEX('Paper sign-ups'!$L$2:$L$101,K180-10000)))</f>
        <v/>
      </c>
      <c r="E180" s="20">
        <f>IF(K180="","",IF(K180&lt;10000,INDEX('Responses'!$AL$2:$AL$501,K180),INDEX('Paper sign-ups'!$P$2:$P$101,K180-10000)))</f>
        <v/>
      </c>
      <c r="F180" s="20">
        <f>IF(K180="","",IF(K180&lt;10000,INDEX('Responses'!$AN$2:$AN$501,K180),INDEX('Paper sign-ups'!$R$2:$R$101,K180-10000)))</f>
        <v/>
      </c>
      <c r="G180" s="18">
        <f>IF(K180="","",IF(K180&lt;10000,INDEX('Responses'!$AO$2:$AO$501,K180),INDEX('Paper sign-ups'!$S$2:$S$101,K180-10000)))</f>
        <v/>
      </c>
      <c r="H180" s="19">
        <f>IF(K180="","",IF(K180&lt;10000,INDEX('Responses'!$AI$2:$AI$501,K180),INDEX('Paper sign-ups'!$M$2:$M$101,K180-10000)))</f>
        <v/>
      </c>
      <c r="I180" s="21">
        <f>IF(K180="","",IF(K180&lt;10000,INDEX('Responses'!$AR$2:$AR$501,K180),INDEX('Paper sign-ups'!$V$2:$V$101,K180-10000)))</f>
        <v/>
      </c>
      <c r="J180" s="18">
        <f>IF(K180="","",IF(K180&lt;10000,"Online form","Paper"))</f>
        <v/>
      </c>
      <c r="K180" s="22">
        <f>IF(ISNUMBER(MATCH(175,'Responses'!$AV$2:$AV$501,0)),MATCH(175,'Responses'!$AV$2:$AV$501,0),IF(ISNUMBER(MATCH(175,'Paper sign-ups'!$Z$2:$Z$101,0)),10000+MATCH(175,'Paper sign-ups'!$Z$2:$Z$101,0),""))</f>
        <v/>
      </c>
    </row>
    <row r="181">
      <c r="A181" s="18">
        <f>IF(K181="","",176)</f>
        <v/>
      </c>
      <c r="B181" s="10">
        <f>IF(K181="","",IF(K181&lt;10000,INDEX('Responses'!$AE$2:$AE$501,K181),INDEX('Paper sign-ups'!$I$2:$I$101,K181-10000)))</f>
        <v/>
      </c>
      <c r="C181" s="19">
        <f>IF(K181="","",IF(K181&lt;10000,INDEX('Responses'!$AF$2:$AF$501,K181),INDEX('Paper sign-ups'!$J$2:$J$101,K181-10000)))</f>
        <v/>
      </c>
      <c r="D181" s="18">
        <f>IF(K181="","",IF(K181&lt;10000,INDEX('Responses'!$AH$2:$AH$501,K181),INDEX('Paper sign-ups'!$L$2:$L$101,K181-10000)))</f>
        <v/>
      </c>
      <c r="E181" s="20">
        <f>IF(K181="","",IF(K181&lt;10000,INDEX('Responses'!$AL$2:$AL$501,K181),INDEX('Paper sign-ups'!$P$2:$P$101,K181-10000)))</f>
        <v/>
      </c>
      <c r="F181" s="20">
        <f>IF(K181="","",IF(K181&lt;10000,INDEX('Responses'!$AN$2:$AN$501,K181),INDEX('Paper sign-ups'!$R$2:$R$101,K181-10000)))</f>
        <v/>
      </c>
      <c r="G181" s="18">
        <f>IF(K181="","",IF(K181&lt;10000,INDEX('Responses'!$AO$2:$AO$501,K181),INDEX('Paper sign-ups'!$S$2:$S$101,K181-10000)))</f>
        <v/>
      </c>
      <c r="H181" s="19">
        <f>IF(K181="","",IF(K181&lt;10000,INDEX('Responses'!$AI$2:$AI$501,K181),INDEX('Paper sign-ups'!$M$2:$M$101,K181-10000)))</f>
        <v/>
      </c>
      <c r="I181" s="21">
        <f>IF(K181="","",IF(K181&lt;10000,INDEX('Responses'!$AR$2:$AR$501,K181),INDEX('Paper sign-ups'!$V$2:$V$101,K181-10000)))</f>
        <v/>
      </c>
      <c r="J181" s="18">
        <f>IF(K181="","",IF(K181&lt;10000,"Online form","Paper"))</f>
        <v/>
      </c>
      <c r="K181" s="22">
        <f>IF(ISNUMBER(MATCH(176,'Responses'!$AV$2:$AV$501,0)),MATCH(176,'Responses'!$AV$2:$AV$501,0),IF(ISNUMBER(MATCH(176,'Paper sign-ups'!$Z$2:$Z$101,0)),10000+MATCH(176,'Paper sign-ups'!$Z$2:$Z$101,0),""))</f>
        <v/>
      </c>
    </row>
    <row r="182">
      <c r="A182" s="18">
        <f>IF(K182="","",177)</f>
        <v/>
      </c>
      <c r="B182" s="10">
        <f>IF(K182="","",IF(K182&lt;10000,INDEX('Responses'!$AE$2:$AE$501,K182),INDEX('Paper sign-ups'!$I$2:$I$101,K182-10000)))</f>
        <v/>
      </c>
      <c r="C182" s="19">
        <f>IF(K182="","",IF(K182&lt;10000,INDEX('Responses'!$AF$2:$AF$501,K182),INDEX('Paper sign-ups'!$J$2:$J$101,K182-10000)))</f>
        <v/>
      </c>
      <c r="D182" s="18">
        <f>IF(K182="","",IF(K182&lt;10000,INDEX('Responses'!$AH$2:$AH$501,K182),INDEX('Paper sign-ups'!$L$2:$L$101,K182-10000)))</f>
        <v/>
      </c>
      <c r="E182" s="20">
        <f>IF(K182="","",IF(K182&lt;10000,INDEX('Responses'!$AL$2:$AL$501,K182),INDEX('Paper sign-ups'!$P$2:$P$101,K182-10000)))</f>
        <v/>
      </c>
      <c r="F182" s="20">
        <f>IF(K182="","",IF(K182&lt;10000,INDEX('Responses'!$AN$2:$AN$501,K182),INDEX('Paper sign-ups'!$R$2:$R$101,K182-10000)))</f>
        <v/>
      </c>
      <c r="G182" s="18">
        <f>IF(K182="","",IF(K182&lt;10000,INDEX('Responses'!$AO$2:$AO$501,K182),INDEX('Paper sign-ups'!$S$2:$S$101,K182-10000)))</f>
        <v/>
      </c>
      <c r="H182" s="19">
        <f>IF(K182="","",IF(K182&lt;10000,INDEX('Responses'!$AI$2:$AI$501,K182),INDEX('Paper sign-ups'!$M$2:$M$101,K182-10000)))</f>
        <v/>
      </c>
      <c r="I182" s="21">
        <f>IF(K182="","",IF(K182&lt;10000,INDEX('Responses'!$AR$2:$AR$501,K182),INDEX('Paper sign-ups'!$V$2:$V$101,K182-10000)))</f>
        <v/>
      </c>
      <c r="J182" s="18">
        <f>IF(K182="","",IF(K182&lt;10000,"Online form","Paper"))</f>
        <v/>
      </c>
      <c r="K182" s="22">
        <f>IF(ISNUMBER(MATCH(177,'Responses'!$AV$2:$AV$501,0)),MATCH(177,'Responses'!$AV$2:$AV$501,0),IF(ISNUMBER(MATCH(177,'Paper sign-ups'!$Z$2:$Z$101,0)),10000+MATCH(177,'Paper sign-ups'!$Z$2:$Z$101,0),""))</f>
        <v/>
      </c>
    </row>
    <row r="183">
      <c r="A183" s="18">
        <f>IF(K183="","",178)</f>
        <v/>
      </c>
      <c r="B183" s="10">
        <f>IF(K183="","",IF(K183&lt;10000,INDEX('Responses'!$AE$2:$AE$501,K183),INDEX('Paper sign-ups'!$I$2:$I$101,K183-10000)))</f>
        <v/>
      </c>
      <c r="C183" s="19">
        <f>IF(K183="","",IF(K183&lt;10000,INDEX('Responses'!$AF$2:$AF$501,K183),INDEX('Paper sign-ups'!$J$2:$J$101,K183-10000)))</f>
        <v/>
      </c>
      <c r="D183" s="18">
        <f>IF(K183="","",IF(K183&lt;10000,INDEX('Responses'!$AH$2:$AH$501,K183),INDEX('Paper sign-ups'!$L$2:$L$101,K183-10000)))</f>
        <v/>
      </c>
      <c r="E183" s="20">
        <f>IF(K183="","",IF(K183&lt;10000,INDEX('Responses'!$AL$2:$AL$501,K183),INDEX('Paper sign-ups'!$P$2:$P$101,K183-10000)))</f>
        <v/>
      </c>
      <c r="F183" s="20">
        <f>IF(K183="","",IF(K183&lt;10000,INDEX('Responses'!$AN$2:$AN$501,K183),INDEX('Paper sign-ups'!$R$2:$R$101,K183-10000)))</f>
        <v/>
      </c>
      <c r="G183" s="18">
        <f>IF(K183="","",IF(K183&lt;10000,INDEX('Responses'!$AO$2:$AO$501,K183),INDEX('Paper sign-ups'!$S$2:$S$101,K183-10000)))</f>
        <v/>
      </c>
      <c r="H183" s="19">
        <f>IF(K183="","",IF(K183&lt;10000,INDEX('Responses'!$AI$2:$AI$501,K183),INDEX('Paper sign-ups'!$M$2:$M$101,K183-10000)))</f>
        <v/>
      </c>
      <c r="I183" s="21">
        <f>IF(K183="","",IF(K183&lt;10000,INDEX('Responses'!$AR$2:$AR$501,K183),INDEX('Paper sign-ups'!$V$2:$V$101,K183-10000)))</f>
        <v/>
      </c>
      <c r="J183" s="18">
        <f>IF(K183="","",IF(K183&lt;10000,"Online form","Paper"))</f>
        <v/>
      </c>
      <c r="K183" s="22">
        <f>IF(ISNUMBER(MATCH(178,'Responses'!$AV$2:$AV$501,0)),MATCH(178,'Responses'!$AV$2:$AV$501,0),IF(ISNUMBER(MATCH(178,'Paper sign-ups'!$Z$2:$Z$101,0)),10000+MATCH(178,'Paper sign-ups'!$Z$2:$Z$101,0),""))</f>
        <v/>
      </c>
    </row>
    <row r="184">
      <c r="A184" s="18">
        <f>IF(K184="","",179)</f>
        <v/>
      </c>
      <c r="B184" s="10">
        <f>IF(K184="","",IF(K184&lt;10000,INDEX('Responses'!$AE$2:$AE$501,K184),INDEX('Paper sign-ups'!$I$2:$I$101,K184-10000)))</f>
        <v/>
      </c>
      <c r="C184" s="19">
        <f>IF(K184="","",IF(K184&lt;10000,INDEX('Responses'!$AF$2:$AF$501,K184),INDEX('Paper sign-ups'!$J$2:$J$101,K184-10000)))</f>
        <v/>
      </c>
      <c r="D184" s="18">
        <f>IF(K184="","",IF(K184&lt;10000,INDEX('Responses'!$AH$2:$AH$501,K184),INDEX('Paper sign-ups'!$L$2:$L$101,K184-10000)))</f>
        <v/>
      </c>
      <c r="E184" s="20">
        <f>IF(K184="","",IF(K184&lt;10000,INDEX('Responses'!$AL$2:$AL$501,K184),INDEX('Paper sign-ups'!$P$2:$P$101,K184-10000)))</f>
        <v/>
      </c>
      <c r="F184" s="20">
        <f>IF(K184="","",IF(K184&lt;10000,INDEX('Responses'!$AN$2:$AN$501,K184),INDEX('Paper sign-ups'!$R$2:$R$101,K184-10000)))</f>
        <v/>
      </c>
      <c r="G184" s="18">
        <f>IF(K184="","",IF(K184&lt;10000,INDEX('Responses'!$AO$2:$AO$501,K184),INDEX('Paper sign-ups'!$S$2:$S$101,K184-10000)))</f>
        <v/>
      </c>
      <c r="H184" s="19">
        <f>IF(K184="","",IF(K184&lt;10000,INDEX('Responses'!$AI$2:$AI$501,K184),INDEX('Paper sign-ups'!$M$2:$M$101,K184-10000)))</f>
        <v/>
      </c>
      <c r="I184" s="21">
        <f>IF(K184="","",IF(K184&lt;10000,INDEX('Responses'!$AR$2:$AR$501,K184),INDEX('Paper sign-ups'!$V$2:$V$101,K184-10000)))</f>
        <v/>
      </c>
      <c r="J184" s="18">
        <f>IF(K184="","",IF(K184&lt;10000,"Online form","Paper"))</f>
        <v/>
      </c>
      <c r="K184" s="22">
        <f>IF(ISNUMBER(MATCH(179,'Responses'!$AV$2:$AV$501,0)),MATCH(179,'Responses'!$AV$2:$AV$501,0),IF(ISNUMBER(MATCH(179,'Paper sign-ups'!$Z$2:$Z$101,0)),10000+MATCH(179,'Paper sign-ups'!$Z$2:$Z$101,0),""))</f>
        <v/>
      </c>
    </row>
    <row r="185">
      <c r="A185" s="18">
        <f>IF(K185="","",180)</f>
        <v/>
      </c>
      <c r="B185" s="10">
        <f>IF(K185="","",IF(K185&lt;10000,INDEX('Responses'!$AE$2:$AE$501,K185),INDEX('Paper sign-ups'!$I$2:$I$101,K185-10000)))</f>
        <v/>
      </c>
      <c r="C185" s="19">
        <f>IF(K185="","",IF(K185&lt;10000,INDEX('Responses'!$AF$2:$AF$501,K185),INDEX('Paper sign-ups'!$J$2:$J$101,K185-10000)))</f>
        <v/>
      </c>
      <c r="D185" s="18">
        <f>IF(K185="","",IF(K185&lt;10000,INDEX('Responses'!$AH$2:$AH$501,K185),INDEX('Paper sign-ups'!$L$2:$L$101,K185-10000)))</f>
        <v/>
      </c>
      <c r="E185" s="20">
        <f>IF(K185="","",IF(K185&lt;10000,INDEX('Responses'!$AL$2:$AL$501,K185),INDEX('Paper sign-ups'!$P$2:$P$101,K185-10000)))</f>
        <v/>
      </c>
      <c r="F185" s="20">
        <f>IF(K185="","",IF(K185&lt;10000,INDEX('Responses'!$AN$2:$AN$501,K185),INDEX('Paper sign-ups'!$R$2:$R$101,K185-10000)))</f>
        <v/>
      </c>
      <c r="G185" s="18">
        <f>IF(K185="","",IF(K185&lt;10000,INDEX('Responses'!$AO$2:$AO$501,K185),INDEX('Paper sign-ups'!$S$2:$S$101,K185-10000)))</f>
        <v/>
      </c>
      <c r="H185" s="19">
        <f>IF(K185="","",IF(K185&lt;10000,INDEX('Responses'!$AI$2:$AI$501,K185),INDEX('Paper sign-ups'!$M$2:$M$101,K185-10000)))</f>
        <v/>
      </c>
      <c r="I185" s="21">
        <f>IF(K185="","",IF(K185&lt;10000,INDEX('Responses'!$AR$2:$AR$501,K185),INDEX('Paper sign-ups'!$V$2:$V$101,K185-10000)))</f>
        <v/>
      </c>
      <c r="J185" s="18">
        <f>IF(K185="","",IF(K185&lt;10000,"Online form","Paper"))</f>
        <v/>
      </c>
      <c r="K185" s="22">
        <f>IF(ISNUMBER(MATCH(180,'Responses'!$AV$2:$AV$501,0)),MATCH(180,'Responses'!$AV$2:$AV$501,0),IF(ISNUMBER(MATCH(180,'Paper sign-ups'!$Z$2:$Z$101,0)),10000+MATCH(180,'Paper sign-ups'!$Z$2:$Z$101,0),""))</f>
        <v/>
      </c>
    </row>
    <row r="186">
      <c r="A186" s="18">
        <f>IF(K186="","",181)</f>
        <v/>
      </c>
      <c r="B186" s="10">
        <f>IF(K186="","",IF(K186&lt;10000,INDEX('Responses'!$AE$2:$AE$501,K186),INDEX('Paper sign-ups'!$I$2:$I$101,K186-10000)))</f>
        <v/>
      </c>
      <c r="C186" s="19">
        <f>IF(K186="","",IF(K186&lt;10000,INDEX('Responses'!$AF$2:$AF$501,K186),INDEX('Paper sign-ups'!$J$2:$J$101,K186-10000)))</f>
        <v/>
      </c>
      <c r="D186" s="18">
        <f>IF(K186="","",IF(K186&lt;10000,INDEX('Responses'!$AH$2:$AH$501,K186),INDEX('Paper sign-ups'!$L$2:$L$101,K186-10000)))</f>
        <v/>
      </c>
      <c r="E186" s="20">
        <f>IF(K186="","",IF(K186&lt;10000,INDEX('Responses'!$AL$2:$AL$501,K186),INDEX('Paper sign-ups'!$P$2:$P$101,K186-10000)))</f>
        <v/>
      </c>
      <c r="F186" s="20">
        <f>IF(K186="","",IF(K186&lt;10000,INDEX('Responses'!$AN$2:$AN$501,K186),INDEX('Paper sign-ups'!$R$2:$R$101,K186-10000)))</f>
        <v/>
      </c>
      <c r="G186" s="18">
        <f>IF(K186="","",IF(K186&lt;10000,INDEX('Responses'!$AO$2:$AO$501,K186),INDEX('Paper sign-ups'!$S$2:$S$101,K186-10000)))</f>
        <v/>
      </c>
      <c r="H186" s="19">
        <f>IF(K186="","",IF(K186&lt;10000,INDEX('Responses'!$AI$2:$AI$501,K186),INDEX('Paper sign-ups'!$M$2:$M$101,K186-10000)))</f>
        <v/>
      </c>
      <c r="I186" s="21">
        <f>IF(K186="","",IF(K186&lt;10000,INDEX('Responses'!$AR$2:$AR$501,K186),INDEX('Paper sign-ups'!$V$2:$V$101,K186-10000)))</f>
        <v/>
      </c>
      <c r="J186" s="18">
        <f>IF(K186="","",IF(K186&lt;10000,"Online form","Paper"))</f>
        <v/>
      </c>
      <c r="K186" s="22">
        <f>IF(ISNUMBER(MATCH(181,'Responses'!$AV$2:$AV$501,0)),MATCH(181,'Responses'!$AV$2:$AV$501,0),IF(ISNUMBER(MATCH(181,'Paper sign-ups'!$Z$2:$Z$101,0)),10000+MATCH(181,'Paper sign-ups'!$Z$2:$Z$101,0),""))</f>
        <v/>
      </c>
    </row>
    <row r="187">
      <c r="A187" s="18">
        <f>IF(K187="","",182)</f>
        <v/>
      </c>
      <c r="B187" s="10">
        <f>IF(K187="","",IF(K187&lt;10000,INDEX('Responses'!$AE$2:$AE$501,K187),INDEX('Paper sign-ups'!$I$2:$I$101,K187-10000)))</f>
        <v/>
      </c>
      <c r="C187" s="19">
        <f>IF(K187="","",IF(K187&lt;10000,INDEX('Responses'!$AF$2:$AF$501,K187),INDEX('Paper sign-ups'!$J$2:$J$101,K187-10000)))</f>
        <v/>
      </c>
      <c r="D187" s="18">
        <f>IF(K187="","",IF(K187&lt;10000,INDEX('Responses'!$AH$2:$AH$501,K187),INDEX('Paper sign-ups'!$L$2:$L$101,K187-10000)))</f>
        <v/>
      </c>
      <c r="E187" s="20">
        <f>IF(K187="","",IF(K187&lt;10000,INDEX('Responses'!$AL$2:$AL$501,K187),INDEX('Paper sign-ups'!$P$2:$P$101,K187-10000)))</f>
        <v/>
      </c>
      <c r="F187" s="20">
        <f>IF(K187="","",IF(K187&lt;10000,INDEX('Responses'!$AN$2:$AN$501,K187),INDEX('Paper sign-ups'!$R$2:$R$101,K187-10000)))</f>
        <v/>
      </c>
      <c r="G187" s="18">
        <f>IF(K187="","",IF(K187&lt;10000,INDEX('Responses'!$AO$2:$AO$501,K187),INDEX('Paper sign-ups'!$S$2:$S$101,K187-10000)))</f>
        <v/>
      </c>
      <c r="H187" s="19">
        <f>IF(K187="","",IF(K187&lt;10000,INDEX('Responses'!$AI$2:$AI$501,K187),INDEX('Paper sign-ups'!$M$2:$M$101,K187-10000)))</f>
        <v/>
      </c>
      <c r="I187" s="21">
        <f>IF(K187="","",IF(K187&lt;10000,INDEX('Responses'!$AR$2:$AR$501,K187),INDEX('Paper sign-ups'!$V$2:$V$101,K187-10000)))</f>
        <v/>
      </c>
      <c r="J187" s="18">
        <f>IF(K187="","",IF(K187&lt;10000,"Online form","Paper"))</f>
        <v/>
      </c>
      <c r="K187" s="22">
        <f>IF(ISNUMBER(MATCH(182,'Responses'!$AV$2:$AV$501,0)),MATCH(182,'Responses'!$AV$2:$AV$501,0),IF(ISNUMBER(MATCH(182,'Paper sign-ups'!$Z$2:$Z$101,0)),10000+MATCH(182,'Paper sign-ups'!$Z$2:$Z$101,0),""))</f>
        <v/>
      </c>
    </row>
    <row r="188">
      <c r="A188" s="18">
        <f>IF(K188="","",183)</f>
        <v/>
      </c>
      <c r="B188" s="10">
        <f>IF(K188="","",IF(K188&lt;10000,INDEX('Responses'!$AE$2:$AE$501,K188),INDEX('Paper sign-ups'!$I$2:$I$101,K188-10000)))</f>
        <v/>
      </c>
      <c r="C188" s="19">
        <f>IF(K188="","",IF(K188&lt;10000,INDEX('Responses'!$AF$2:$AF$501,K188),INDEX('Paper sign-ups'!$J$2:$J$101,K188-10000)))</f>
        <v/>
      </c>
      <c r="D188" s="18">
        <f>IF(K188="","",IF(K188&lt;10000,INDEX('Responses'!$AH$2:$AH$501,K188),INDEX('Paper sign-ups'!$L$2:$L$101,K188-10000)))</f>
        <v/>
      </c>
      <c r="E188" s="20">
        <f>IF(K188="","",IF(K188&lt;10000,INDEX('Responses'!$AL$2:$AL$501,K188),INDEX('Paper sign-ups'!$P$2:$P$101,K188-10000)))</f>
        <v/>
      </c>
      <c r="F188" s="20">
        <f>IF(K188="","",IF(K188&lt;10000,INDEX('Responses'!$AN$2:$AN$501,K188),INDEX('Paper sign-ups'!$R$2:$R$101,K188-10000)))</f>
        <v/>
      </c>
      <c r="G188" s="18">
        <f>IF(K188="","",IF(K188&lt;10000,INDEX('Responses'!$AO$2:$AO$501,K188),INDEX('Paper sign-ups'!$S$2:$S$101,K188-10000)))</f>
        <v/>
      </c>
      <c r="H188" s="19">
        <f>IF(K188="","",IF(K188&lt;10000,INDEX('Responses'!$AI$2:$AI$501,K188),INDEX('Paper sign-ups'!$M$2:$M$101,K188-10000)))</f>
        <v/>
      </c>
      <c r="I188" s="21">
        <f>IF(K188="","",IF(K188&lt;10000,INDEX('Responses'!$AR$2:$AR$501,K188),INDEX('Paper sign-ups'!$V$2:$V$101,K188-10000)))</f>
        <v/>
      </c>
      <c r="J188" s="18">
        <f>IF(K188="","",IF(K188&lt;10000,"Online form","Paper"))</f>
        <v/>
      </c>
      <c r="K188" s="22">
        <f>IF(ISNUMBER(MATCH(183,'Responses'!$AV$2:$AV$501,0)),MATCH(183,'Responses'!$AV$2:$AV$501,0),IF(ISNUMBER(MATCH(183,'Paper sign-ups'!$Z$2:$Z$101,0)),10000+MATCH(183,'Paper sign-ups'!$Z$2:$Z$101,0),""))</f>
        <v/>
      </c>
    </row>
    <row r="189">
      <c r="A189" s="18">
        <f>IF(K189="","",184)</f>
        <v/>
      </c>
      <c r="B189" s="10">
        <f>IF(K189="","",IF(K189&lt;10000,INDEX('Responses'!$AE$2:$AE$501,K189),INDEX('Paper sign-ups'!$I$2:$I$101,K189-10000)))</f>
        <v/>
      </c>
      <c r="C189" s="19">
        <f>IF(K189="","",IF(K189&lt;10000,INDEX('Responses'!$AF$2:$AF$501,K189),INDEX('Paper sign-ups'!$J$2:$J$101,K189-10000)))</f>
        <v/>
      </c>
      <c r="D189" s="18">
        <f>IF(K189="","",IF(K189&lt;10000,INDEX('Responses'!$AH$2:$AH$501,K189),INDEX('Paper sign-ups'!$L$2:$L$101,K189-10000)))</f>
        <v/>
      </c>
      <c r="E189" s="20">
        <f>IF(K189="","",IF(K189&lt;10000,INDEX('Responses'!$AL$2:$AL$501,K189),INDEX('Paper sign-ups'!$P$2:$P$101,K189-10000)))</f>
        <v/>
      </c>
      <c r="F189" s="20">
        <f>IF(K189="","",IF(K189&lt;10000,INDEX('Responses'!$AN$2:$AN$501,K189),INDEX('Paper sign-ups'!$R$2:$R$101,K189-10000)))</f>
        <v/>
      </c>
      <c r="G189" s="18">
        <f>IF(K189="","",IF(K189&lt;10000,INDEX('Responses'!$AO$2:$AO$501,K189),INDEX('Paper sign-ups'!$S$2:$S$101,K189-10000)))</f>
        <v/>
      </c>
      <c r="H189" s="19">
        <f>IF(K189="","",IF(K189&lt;10000,INDEX('Responses'!$AI$2:$AI$501,K189),INDEX('Paper sign-ups'!$M$2:$M$101,K189-10000)))</f>
        <v/>
      </c>
      <c r="I189" s="21">
        <f>IF(K189="","",IF(K189&lt;10000,INDEX('Responses'!$AR$2:$AR$501,K189),INDEX('Paper sign-ups'!$V$2:$V$101,K189-10000)))</f>
        <v/>
      </c>
      <c r="J189" s="18">
        <f>IF(K189="","",IF(K189&lt;10000,"Online form","Paper"))</f>
        <v/>
      </c>
      <c r="K189" s="22">
        <f>IF(ISNUMBER(MATCH(184,'Responses'!$AV$2:$AV$501,0)),MATCH(184,'Responses'!$AV$2:$AV$501,0),IF(ISNUMBER(MATCH(184,'Paper sign-ups'!$Z$2:$Z$101,0)),10000+MATCH(184,'Paper sign-ups'!$Z$2:$Z$101,0),""))</f>
        <v/>
      </c>
    </row>
    <row r="190">
      <c r="A190" s="18">
        <f>IF(K190="","",185)</f>
        <v/>
      </c>
      <c r="B190" s="10">
        <f>IF(K190="","",IF(K190&lt;10000,INDEX('Responses'!$AE$2:$AE$501,K190),INDEX('Paper sign-ups'!$I$2:$I$101,K190-10000)))</f>
        <v/>
      </c>
      <c r="C190" s="19">
        <f>IF(K190="","",IF(K190&lt;10000,INDEX('Responses'!$AF$2:$AF$501,K190),INDEX('Paper sign-ups'!$J$2:$J$101,K190-10000)))</f>
        <v/>
      </c>
      <c r="D190" s="18">
        <f>IF(K190="","",IF(K190&lt;10000,INDEX('Responses'!$AH$2:$AH$501,K190),INDEX('Paper sign-ups'!$L$2:$L$101,K190-10000)))</f>
        <v/>
      </c>
      <c r="E190" s="20">
        <f>IF(K190="","",IF(K190&lt;10000,INDEX('Responses'!$AL$2:$AL$501,K190),INDEX('Paper sign-ups'!$P$2:$P$101,K190-10000)))</f>
        <v/>
      </c>
      <c r="F190" s="20">
        <f>IF(K190="","",IF(K190&lt;10000,INDEX('Responses'!$AN$2:$AN$501,K190),INDEX('Paper sign-ups'!$R$2:$R$101,K190-10000)))</f>
        <v/>
      </c>
      <c r="G190" s="18">
        <f>IF(K190="","",IF(K190&lt;10000,INDEX('Responses'!$AO$2:$AO$501,K190),INDEX('Paper sign-ups'!$S$2:$S$101,K190-10000)))</f>
        <v/>
      </c>
      <c r="H190" s="19">
        <f>IF(K190="","",IF(K190&lt;10000,INDEX('Responses'!$AI$2:$AI$501,K190),INDEX('Paper sign-ups'!$M$2:$M$101,K190-10000)))</f>
        <v/>
      </c>
      <c r="I190" s="21">
        <f>IF(K190="","",IF(K190&lt;10000,INDEX('Responses'!$AR$2:$AR$501,K190),INDEX('Paper sign-ups'!$V$2:$V$101,K190-10000)))</f>
        <v/>
      </c>
      <c r="J190" s="18">
        <f>IF(K190="","",IF(K190&lt;10000,"Online form","Paper"))</f>
        <v/>
      </c>
      <c r="K190" s="22">
        <f>IF(ISNUMBER(MATCH(185,'Responses'!$AV$2:$AV$501,0)),MATCH(185,'Responses'!$AV$2:$AV$501,0),IF(ISNUMBER(MATCH(185,'Paper sign-ups'!$Z$2:$Z$101,0)),10000+MATCH(185,'Paper sign-ups'!$Z$2:$Z$101,0),""))</f>
        <v/>
      </c>
    </row>
    <row r="191">
      <c r="A191" s="18">
        <f>IF(K191="","",186)</f>
        <v/>
      </c>
      <c r="B191" s="10">
        <f>IF(K191="","",IF(K191&lt;10000,INDEX('Responses'!$AE$2:$AE$501,K191),INDEX('Paper sign-ups'!$I$2:$I$101,K191-10000)))</f>
        <v/>
      </c>
      <c r="C191" s="19">
        <f>IF(K191="","",IF(K191&lt;10000,INDEX('Responses'!$AF$2:$AF$501,K191),INDEX('Paper sign-ups'!$J$2:$J$101,K191-10000)))</f>
        <v/>
      </c>
      <c r="D191" s="18">
        <f>IF(K191="","",IF(K191&lt;10000,INDEX('Responses'!$AH$2:$AH$501,K191),INDEX('Paper sign-ups'!$L$2:$L$101,K191-10000)))</f>
        <v/>
      </c>
      <c r="E191" s="20">
        <f>IF(K191="","",IF(K191&lt;10000,INDEX('Responses'!$AL$2:$AL$501,K191),INDEX('Paper sign-ups'!$P$2:$P$101,K191-10000)))</f>
        <v/>
      </c>
      <c r="F191" s="20">
        <f>IF(K191="","",IF(K191&lt;10000,INDEX('Responses'!$AN$2:$AN$501,K191),INDEX('Paper sign-ups'!$R$2:$R$101,K191-10000)))</f>
        <v/>
      </c>
      <c r="G191" s="18">
        <f>IF(K191="","",IF(K191&lt;10000,INDEX('Responses'!$AO$2:$AO$501,K191),INDEX('Paper sign-ups'!$S$2:$S$101,K191-10000)))</f>
        <v/>
      </c>
      <c r="H191" s="19">
        <f>IF(K191="","",IF(K191&lt;10000,INDEX('Responses'!$AI$2:$AI$501,K191),INDEX('Paper sign-ups'!$M$2:$M$101,K191-10000)))</f>
        <v/>
      </c>
      <c r="I191" s="21">
        <f>IF(K191="","",IF(K191&lt;10000,INDEX('Responses'!$AR$2:$AR$501,K191),INDEX('Paper sign-ups'!$V$2:$V$101,K191-10000)))</f>
        <v/>
      </c>
      <c r="J191" s="18">
        <f>IF(K191="","",IF(K191&lt;10000,"Online form","Paper"))</f>
        <v/>
      </c>
      <c r="K191" s="22">
        <f>IF(ISNUMBER(MATCH(186,'Responses'!$AV$2:$AV$501,0)),MATCH(186,'Responses'!$AV$2:$AV$501,0),IF(ISNUMBER(MATCH(186,'Paper sign-ups'!$Z$2:$Z$101,0)),10000+MATCH(186,'Paper sign-ups'!$Z$2:$Z$101,0),""))</f>
        <v/>
      </c>
    </row>
    <row r="192">
      <c r="A192" s="18">
        <f>IF(K192="","",187)</f>
        <v/>
      </c>
      <c r="B192" s="10">
        <f>IF(K192="","",IF(K192&lt;10000,INDEX('Responses'!$AE$2:$AE$501,K192),INDEX('Paper sign-ups'!$I$2:$I$101,K192-10000)))</f>
        <v/>
      </c>
      <c r="C192" s="19">
        <f>IF(K192="","",IF(K192&lt;10000,INDEX('Responses'!$AF$2:$AF$501,K192),INDEX('Paper sign-ups'!$J$2:$J$101,K192-10000)))</f>
        <v/>
      </c>
      <c r="D192" s="18">
        <f>IF(K192="","",IF(K192&lt;10000,INDEX('Responses'!$AH$2:$AH$501,K192),INDEX('Paper sign-ups'!$L$2:$L$101,K192-10000)))</f>
        <v/>
      </c>
      <c r="E192" s="20">
        <f>IF(K192="","",IF(K192&lt;10000,INDEX('Responses'!$AL$2:$AL$501,K192),INDEX('Paper sign-ups'!$P$2:$P$101,K192-10000)))</f>
        <v/>
      </c>
      <c r="F192" s="20">
        <f>IF(K192="","",IF(K192&lt;10000,INDEX('Responses'!$AN$2:$AN$501,K192),INDEX('Paper sign-ups'!$R$2:$R$101,K192-10000)))</f>
        <v/>
      </c>
      <c r="G192" s="18">
        <f>IF(K192="","",IF(K192&lt;10000,INDEX('Responses'!$AO$2:$AO$501,K192),INDEX('Paper sign-ups'!$S$2:$S$101,K192-10000)))</f>
        <v/>
      </c>
      <c r="H192" s="19">
        <f>IF(K192="","",IF(K192&lt;10000,INDEX('Responses'!$AI$2:$AI$501,K192),INDEX('Paper sign-ups'!$M$2:$M$101,K192-10000)))</f>
        <v/>
      </c>
      <c r="I192" s="21">
        <f>IF(K192="","",IF(K192&lt;10000,INDEX('Responses'!$AR$2:$AR$501,K192),INDEX('Paper sign-ups'!$V$2:$V$101,K192-10000)))</f>
        <v/>
      </c>
      <c r="J192" s="18">
        <f>IF(K192="","",IF(K192&lt;10000,"Online form","Paper"))</f>
        <v/>
      </c>
      <c r="K192" s="22">
        <f>IF(ISNUMBER(MATCH(187,'Responses'!$AV$2:$AV$501,0)),MATCH(187,'Responses'!$AV$2:$AV$501,0),IF(ISNUMBER(MATCH(187,'Paper sign-ups'!$Z$2:$Z$101,0)),10000+MATCH(187,'Paper sign-ups'!$Z$2:$Z$101,0),""))</f>
        <v/>
      </c>
    </row>
    <row r="193">
      <c r="A193" s="18">
        <f>IF(K193="","",188)</f>
        <v/>
      </c>
      <c r="B193" s="10">
        <f>IF(K193="","",IF(K193&lt;10000,INDEX('Responses'!$AE$2:$AE$501,K193),INDEX('Paper sign-ups'!$I$2:$I$101,K193-10000)))</f>
        <v/>
      </c>
      <c r="C193" s="19">
        <f>IF(K193="","",IF(K193&lt;10000,INDEX('Responses'!$AF$2:$AF$501,K193),INDEX('Paper sign-ups'!$J$2:$J$101,K193-10000)))</f>
        <v/>
      </c>
      <c r="D193" s="18">
        <f>IF(K193="","",IF(K193&lt;10000,INDEX('Responses'!$AH$2:$AH$501,K193),INDEX('Paper sign-ups'!$L$2:$L$101,K193-10000)))</f>
        <v/>
      </c>
      <c r="E193" s="20">
        <f>IF(K193="","",IF(K193&lt;10000,INDEX('Responses'!$AL$2:$AL$501,K193),INDEX('Paper sign-ups'!$P$2:$P$101,K193-10000)))</f>
        <v/>
      </c>
      <c r="F193" s="20">
        <f>IF(K193="","",IF(K193&lt;10000,INDEX('Responses'!$AN$2:$AN$501,K193),INDEX('Paper sign-ups'!$R$2:$R$101,K193-10000)))</f>
        <v/>
      </c>
      <c r="G193" s="18">
        <f>IF(K193="","",IF(K193&lt;10000,INDEX('Responses'!$AO$2:$AO$501,K193),INDEX('Paper sign-ups'!$S$2:$S$101,K193-10000)))</f>
        <v/>
      </c>
      <c r="H193" s="19">
        <f>IF(K193="","",IF(K193&lt;10000,INDEX('Responses'!$AI$2:$AI$501,K193),INDEX('Paper sign-ups'!$M$2:$M$101,K193-10000)))</f>
        <v/>
      </c>
      <c r="I193" s="21">
        <f>IF(K193="","",IF(K193&lt;10000,INDEX('Responses'!$AR$2:$AR$501,K193),INDEX('Paper sign-ups'!$V$2:$V$101,K193-10000)))</f>
        <v/>
      </c>
      <c r="J193" s="18">
        <f>IF(K193="","",IF(K193&lt;10000,"Online form","Paper"))</f>
        <v/>
      </c>
      <c r="K193" s="22">
        <f>IF(ISNUMBER(MATCH(188,'Responses'!$AV$2:$AV$501,0)),MATCH(188,'Responses'!$AV$2:$AV$501,0),IF(ISNUMBER(MATCH(188,'Paper sign-ups'!$Z$2:$Z$101,0)),10000+MATCH(188,'Paper sign-ups'!$Z$2:$Z$101,0),""))</f>
        <v/>
      </c>
    </row>
    <row r="194">
      <c r="A194" s="18">
        <f>IF(K194="","",189)</f>
        <v/>
      </c>
      <c r="B194" s="10">
        <f>IF(K194="","",IF(K194&lt;10000,INDEX('Responses'!$AE$2:$AE$501,K194),INDEX('Paper sign-ups'!$I$2:$I$101,K194-10000)))</f>
        <v/>
      </c>
      <c r="C194" s="19">
        <f>IF(K194="","",IF(K194&lt;10000,INDEX('Responses'!$AF$2:$AF$501,K194),INDEX('Paper sign-ups'!$J$2:$J$101,K194-10000)))</f>
        <v/>
      </c>
      <c r="D194" s="18">
        <f>IF(K194="","",IF(K194&lt;10000,INDEX('Responses'!$AH$2:$AH$501,K194),INDEX('Paper sign-ups'!$L$2:$L$101,K194-10000)))</f>
        <v/>
      </c>
      <c r="E194" s="20">
        <f>IF(K194="","",IF(K194&lt;10000,INDEX('Responses'!$AL$2:$AL$501,K194),INDEX('Paper sign-ups'!$P$2:$P$101,K194-10000)))</f>
        <v/>
      </c>
      <c r="F194" s="20">
        <f>IF(K194="","",IF(K194&lt;10000,INDEX('Responses'!$AN$2:$AN$501,K194),INDEX('Paper sign-ups'!$R$2:$R$101,K194-10000)))</f>
        <v/>
      </c>
      <c r="G194" s="18">
        <f>IF(K194="","",IF(K194&lt;10000,INDEX('Responses'!$AO$2:$AO$501,K194),INDEX('Paper sign-ups'!$S$2:$S$101,K194-10000)))</f>
        <v/>
      </c>
      <c r="H194" s="19">
        <f>IF(K194="","",IF(K194&lt;10000,INDEX('Responses'!$AI$2:$AI$501,K194),INDEX('Paper sign-ups'!$M$2:$M$101,K194-10000)))</f>
        <v/>
      </c>
      <c r="I194" s="21">
        <f>IF(K194="","",IF(K194&lt;10000,INDEX('Responses'!$AR$2:$AR$501,K194),INDEX('Paper sign-ups'!$V$2:$V$101,K194-10000)))</f>
        <v/>
      </c>
      <c r="J194" s="18">
        <f>IF(K194="","",IF(K194&lt;10000,"Online form","Paper"))</f>
        <v/>
      </c>
      <c r="K194" s="22">
        <f>IF(ISNUMBER(MATCH(189,'Responses'!$AV$2:$AV$501,0)),MATCH(189,'Responses'!$AV$2:$AV$501,0),IF(ISNUMBER(MATCH(189,'Paper sign-ups'!$Z$2:$Z$101,0)),10000+MATCH(189,'Paper sign-ups'!$Z$2:$Z$101,0),""))</f>
        <v/>
      </c>
    </row>
    <row r="195">
      <c r="A195" s="18">
        <f>IF(K195="","",190)</f>
        <v/>
      </c>
      <c r="B195" s="10">
        <f>IF(K195="","",IF(K195&lt;10000,INDEX('Responses'!$AE$2:$AE$501,K195),INDEX('Paper sign-ups'!$I$2:$I$101,K195-10000)))</f>
        <v/>
      </c>
      <c r="C195" s="19">
        <f>IF(K195="","",IF(K195&lt;10000,INDEX('Responses'!$AF$2:$AF$501,K195),INDEX('Paper sign-ups'!$J$2:$J$101,K195-10000)))</f>
        <v/>
      </c>
      <c r="D195" s="18">
        <f>IF(K195="","",IF(K195&lt;10000,INDEX('Responses'!$AH$2:$AH$501,K195),INDEX('Paper sign-ups'!$L$2:$L$101,K195-10000)))</f>
        <v/>
      </c>
      <c r="E195" s="20">
        <f>IF(K195="","",IF(K195&lt;10000,INDEX('Responses'!$AL$2:$AL$501,K195),INDEX('Paper sign-ups'!$P$2:$P$101,K195-10000)))</f>
        <v/>
      </c>
      <c r="F195" s="20">
        <f>IF(K195="","",IF(K195&lt;10000,INDEX('Responses'!$AN$2:$AN$501,K195),INDEX('Paper sign-ups'!$R$2:$R$101,K195-10000)))</f>
        <v/>
      </c>
      <c r="G195" s="18">
        <f>IF(K195="","",IF(K195&lt;10000,INDEX('Responses'!$AO$2:$AO$501,K195),INDEX('Paper sign-ups'!$S$2:$S$101,K195-10000)))</f>
        <v/>
      </c>
      <c r="H195" s="19">
        <f>IF(K195="","",IF(K195&lt;10000,INDEX('Responses'!$AI$2:$AI$501,K195),INDEX('Paper sign-ups'!$M$2:$M$101,K195-10000)))</f>
        <v/>
      </c>
      <c r="I195" s="21">
        <f>IF(K195="","",IF(K195&lt;10000,INDEX('Responses'!$AR$2:$AR$501,K195),INDEX('Paper sign-ups'!$V$2:$V$101,K195-10000)))</f>
        <v/>
      </c>
      <c r="J195" s="18">
        <f>IF(K195="","",IF(K195&lt;10000,"Online form","Paper"))</f>
        <v/>
      </c>
      <c r="K195" s="22">
        <f>IF(ISNUMBER(MATCH(190,'Responses'!$AV$2:$AV$501,0)),MATCH(190,'Responses'!$AV$2:$AV$501,0),IF(ISNUMBER(MATCH(190,'Paper sign-ups'!$Z$2:$Z$101,0)),10000+MATCH(190,'Paper sign-ups'!$Z$2:$Z$101,0),""))</f>
        <v/>
      </c>
    </row>
    <row r="196">
      <c r="A196" s="18">
        <f>IF(K196="","",191)</f>
        <v/>
      </c>
      <c r="B196" s="10">
        <f>IF(K196="","",IF(K196&lt;10000,INDEX('Responses'!$AE$2:$AE$501,K196),INDEX('Paper sign-ups'!$I$2:$I$101,K196-10000)))</f>
        <v/>
      </c>
      <c r="C196" s="19">
        <f>IF(K196="","",IF(K196&lt;10000,INDEX('Responses'!$AF$2:$AF$501,K196),INDEX('Paper sign-ups'!$J$2:$J$101,K196-10000)))</f>
        <v/>
      </c>
      <c r="D196" s="18">
        <f>IF(K196="","",IF(K196&lt;10000,INDEX('Responses'!$AH$2:$AH$501,K196),INDEX('Paper sign-ups'!$L$2:$L$101,K196-10000)))</f>
        <v/>
      </c>
      <c r="E196" s="20">
        <f>IF(K196="","",IF(K196&lt;10000,INDEX('Responses'!$AL$2:$AL$501,K196),INDEX('Paper sign-ups'!$P$2:$P$101,K196-10000)))</f>
        <v/>
      </c>
      <c r="F196" s="20">
        <f>IF(K196="","",IF(K196&lt;10000,INDEX('Responses'!$AN$2:$AN$501,K196),INDEX('Paper sign-ups'!$R$2:$R$101,K196-10000)))</f>
        <v/>
      </c>
      <c r="G196" s="18">
        <f>IF(K196="","",IF(K196&lt;10000,INDEX('Responses'!$AO$2:$AO$501,K196),INDEX('Paper sign-ups'!$S$2:$S$101,K196-10000)))</f>
        <v/>
      </c>
      <c r="H196" s="19">
        <f>IF(K196="","",IF(K196&lt;10000,INDEX('Responses'!$AI$2:$AI$501,K196),INDEX('Paper sign-ups'!$M$2:$M$101,K196-10000)))</f>
        <v/>
      </c>
      <c r="I196" s="21">
        <f>IF(K196="","",IF(K196&lt;10000,INDEX('Responses'!$AR$2:$AR$501,K196),INDEX('Paper sign-ups'!$V$2:$V$101,K196-10000)))</f>
        <v/>
      </c>
      <c r="J196" s="18">
        <f>IF(K196="","",IF(K196&lt;10000,"Online form","Paper"))</f>
        <v/>
      </c>
      <c r="K196" s="22">
        <f>IF(ISNUMBER(MATCH(191,'Responses'!$AV$2:$AV$501,0)),MATCH(191,'Responses'!$AV$2:$AV$501,0),IF(ISNUMBER(MATCH(191,'Paper sign-ups'!$Z$2:$Z$101,0)),10000+MATCH(191,'Paper sign-ups'!$Z$2:$Z$101,0),""))</f>
        <v/>
      </c>
    </row>
    <row r="197">
      <c r="A197" s="18">
        <f>IF(K197="","",192)</f>
        <v/>
      </c>
      <c r="B197" s="10">
        <f>IF(K197="","",IF(K197&lt;10000,INDEX('Responses'!$AE$2:$AE$501,K197),INDEX('Paper sign-ups'!$I$2:$I$101,K197-10000)))</f>
        <v/>
      </c>
      <c r="C197" s="19">
        <f>IF(K197="","",IF(K197&lt;10000,INDEX('Responses'!$AF$2:$AF$501,K197),INDEX('Paper sign-ups'!$J$2:$J$101,K197-10000)))</f>
        <v/>
      </c>
      <c r="D197" s="18">
        <f>IF(K197="","",IF(K197&lt;10000,INDEX('Responses'!$AH$2:$AH$501,K197),INDEX('Paper sign-ups'!$L$2:$L$101,K197-10000)))</f>
        <v/>
      </c>
      <c r="E197" s="20">
        <f>IF(K197="","",IF(K197&lt;10000,INDEX('Responses'!$AL$2:$AL$501,K197),INDEX('Paper sign-ups'!$P$2:$P$101,K197-10000)))</f>
        <v/>
      </c>
      <c r="F197" s="20">
        <f>IF(K197="","",IF(K197&lt;10000,INDEX('Responses'!$AN$2:$AN$501,K197),INDEX('Paper sign-ups'!$R$2:$R$101,K197-10000)))</f>
        <v/>
      </c>
      <c r="G197" s="18">
        <f>IF(K197="","",IF(K197&lt;10000,INDEX('Responses'!$AO$2:$AO$501,K197),INDEX('Paper sign-ups'!$S$2:$S$101,K197-10000)))</f>
        <v/>
      </c>
      <c r="H197" s="19">
        <f>IF(K197="","",IF(K197&lt;10000,INDEX('Responses'!$AI$2:$AI$501,K197),INDEX('Paper sign-ups'!$M$2:$M$101,K197-10000)))</f>
        <v/>
      </c>
      <c r="I197" s="21">
        <f>IF(K197="","",IF(K197&lt;10000,INDEX('Responses'!$AR$2:$AR$501,K197),INDEX('Paper sign-ups'!$V$2:$V$101,K197-10000)))</f>
        <v/>
      </c>
      <c r="J197" s="18">
        <f>IF(K197="","",IF(K197&lt;10000,"Online form","Paper"))</f>
        <v/>
      </c>
      <c r="K197" s="22">
        <f>IF(ISNUMBER(MATCH(192,'Responses'!$AV$2:$AV$501,0)),MATCH(192,'Responses'!$AV$2:$AV$501,0),IF(ISNUMBER(MATCH(192,'Paper sign-ups'!$Z$2:$Z$101,0)),10000+MATCH(192,'Paper sign-ups'!$Z$2:$Z$101,0),""))</f>
        <v/>
      </c>
    </row>
    <row r="198">
      <c r="A198" s="18">
        <f>IF(K198="","",193)</f>
        <v/>
      </c>
      <c r="B198" s="10">
        <f>IF(K198="","",IF(K198&lt;10000,INDEX('Responses'!$AE$2:$AE$501,K198),INDEX('Paper sign-ups'!$I$2:$I$101,K198-10000)))</f>
        <v/>
      </c>
      <c r="C198" s="19">
        <f>IF(K198="","",IF(K198&lt;10000,INDEX('Responses'!$AF$2:$AF$501,K198),INDEX('Paper sign-ups'!$J$2:$J$101,K198-10000)))</f>
        <v/>
      </c>
      <c r="D198" s="18">
        <f>IF(K198="","",IF(K198&lt;10000,INDEX('Responses'!$AH$2:$AH$501,K198),INDEX('Paper sign-ups'!$L$2:$L$101,K198-10000)))</f>
        <v/>
      </c>
      <c r="E198" s="20">
        <f>IF(K198="","",IF(K198&lt;10000,INDEX('Responses'!$AL$2:$AL$501,K198),INDEX('Paper sign-ups'!$P$2:$P$101,K198-10000)))</f>
        <v/>
      </c>
      <c r="F198" s="20">
        <f>IF(K198="","",IF(K198&lt;10000,INDEX('Responses'!$AN$2:$AN$501,K198),INDEX('Paper sign-ups'!$R$2:$R$101,K198-10000)))</f>
        <v/>
      </c>
      <c r="G198" s="18">
        <f>IF(K198="","",IF(K198&lt;10000,INDEX('Responses'!$AO$2:$AO$501,K198),INDEX('Paper sign-ups'!$S$2:$S$101,K198-10000)))</f>
        <v/>
      </c>
      <c r="H198" s="19">
        <f>IF(K198="","",IF(K198&lt;10000,INDEX('Responses'!$AI$2:$AI$501,K198),INDEX('Paper sign-ups'!$M$2:$M$101,K198-10000)))</f>
        <v/>
      </c>
      <c r="I198" s="21">
        <f>IF(K198="","",IF(K198&lt;10000,INDEX('Responses'!$AR$2:$AR$501,K198),INDEX('Paper sign-ups'!$V$2:$V$101,K198-10000)))</f>
        <v/>
      </c>
      <c r="J198" s="18">
        <f>IF(K198="","",IF(K198&lt;10000,"Online form","Paper"))</f>
        <v/>
      </c>
      <c r="K198" s="22">
        <f>IF(ISNUMBER(MATCH(193,'Responses'!$AV$2:$AV$501,0)),MATCH(193,'Responses'!$AV$2:$AV$501,0),IF(ISNUMBER(MATCH(193,'Paper sign-ups'!$Z$2:$Z$101,0)),10000+MATCH(193,'Paper sign-ups'!$Z$2:$Z$101,0),""))</f>
        <v/>
      </c>
    </row>
    <row r="199">
      <c r="A199" s="18">
        <f>IF(K199="","",194)</f>
        <v/>
      </c>
      <c r="B199" s="10">
        <f>IF(K199="","",IF(K199&lt;10000,INDEX('Responses'!$AE$2:$AE$501,K199),INDEX('Paper sign-ups'!$I$2:$I$101,K199-10000)))</f>
        <v/>
      </c>
      <c r="C199" s="19">
        <f>IF(K199="","",IF(K199&lt;10000,INDEX('Responses'!$AF$2:$AF$501,K199),INDEX('Paper sign-ups'!$J$2:$J$101,K199-10000)))</f>
        <v/>
      </c>
      <c r="D199" s="18">
        <f>IF(K199="","",IF(K199&lt;10000,INDEX('Responses'!$AH$2:$AH$501,K199),INDEX('Paper sign-ups'!$L$2:$L$101,K199-10000)))</f>
        <v/>
      </c>
      <c r="E199" s="20">
        <f>IF(K199="","",IF(K199&lt;10000,INDEX('Responses'!$AL$2:$AL$501,K199),INDEX('Paper sign-ups'!$P$2:$P$101,K199-10000)))</f>
        <v/>
      </c>
      <c r="F199" s="20">
        <f>IF(K199="","",IF(K199&lt;10000,INDEX('Responses'!$AN$2:$AN$501,K199),INDEX('Paper sign-ups'!$R$2:$R$101,K199-10000)))</f>
        <v/>
      </c>
      <c r="G199" s="18">
        <f>IF(K199="","",IF(K199&lt;10000,INDEX('Responses'!$AO$2:$AO$501,K199),INDEX('Paper sign-ups'!$S$2:$S$101,K199-10000)))</f>
        <v/>
      </c>
      <c r="H199" s="19">
        <f>IF(K199="","",IF(K199&lt;10000,INDEX('Responses'!$AI$2:$AI$501,K199),INDEX('Paper sign-ups'!$M$2:$M$101,K199-10000)))</f>
        <v/>
      </c>
      <c r="I199" s="21">
        <f>IF(K199="","",IF(K199&lt;10000,INDEX('Responses'!$AR$2:$AR$501,K199),INDEX('Paper sign-ups'!$V$2:$V$101,K199-10000)))</f>
        <v/>
      </c>
      <c r="J199" s="18">
        <f>IF(K199="","",IF(K199&lt;10000,"Online form","Paper"))</f>
        <v/>
      </c>
      <c r="K199" s="22">
        <f>IF(ISNUMBER(MATCH(194,'Responses'!$AV$2:$AV$501,0)),MATCH(194,'Responses'!$AV$2:$AV$501,0),IF(ISNUMBER(MATCH(194,'Paper sign-ups'!$Z$2:$Z$101,0)),10000+MATCH(194,'Paper sign-ups'!$Z$2:$Z$101,0),""))</f>
        <v/>
      </c>
    </row>
    <row r="200">
      <c r="A200" s="18">
        <f>IF(K200="","",195)</f>
        <v/>
      </c>
      <c r="B200" s="10">
        <f>IF(K200="","",IF(K200&lt;10000,INDEX('Responses'!$AE$2:$AE$501,K200),INDEX('Paper sign-ups'!$I$2:$I$101,K200-10000)))</f>
        <v/>
      </c>
      <c r="C200" s="19">
        <f>IF(K200="","",IF(K200&lt;10000,INDEX('Responses'!$AF$2:$AF$501,K200),INDEX('Paper sign-ups'!$J$2:$J$101,K200-10000)))</f>
        <v/>
      </c>
      <c r="D200" s="18">
        <f>IF(K200="","",IF(K200&lt;10000,INDEX('Responses'!$AH$2:$AH$501,K200),INDEX('Paper sign-ups'!$L$2:$L$101,K200-10000)))</f>
        <v/>
      </c>
      <c r="E200" s="20">
        <f>IF(K200="","",IF(K200&lt;10000,INDEX('Responses'!$AL$2:$AL$501,K200),INDEX('Paper sign-ups'!$P$2:$P$101,K200-10000)))</f>
        <v/>
      </c>
      <c r="F200" s="20">
        <f>IF(K200="","",IF(K200&lt;10000,INDEX('Responses'!$AN$2:$AN$501,K200),INDEX('Paper sign-ups'!$R$2:$R$101,K200-10000)))</f>
        <v/>
      </c>
      <c r="G200" s="18">
        <f>IF(K200="","",IF(K200&lt;10000,INDEX('Responses'!$AO$2:$AO$501,K200),INDEX('Paper sign-ups'!$S$2:$S$101,K200-10000)))</f>
        <v/>
      </c>
      <c r="H200" s="19">
        <f>IF(K200="","",IF(K200&lt;10000,INDEX('Responses'!$AI$2:$AI$501,K200),INDEX('Paper sign-ups'!$M$2:$M$101,K200-10000)))</f>
        <v/>
      </c>
      <c r="I200" s="21">
        <f>IF(K200="","",IF(K200&lt;10000,INDEX('Responses'!$AR$2:$AR$501,K200),INDEX('Paper sign-ups'!$V$2:$V$101,K200-10000)))</f>
        <v/>
      </c>
      <c r="J200" s="18">
        <f>IF(K200="","",IF(K200&lt;10000,"Online form","Paper"))</f>
        <v/>
      </c>
      <c r="K200" s="22">
        <f>IF(ISNUMBER(MATCH(195,'Responses'!$AV$2:$AV$501,0)),MATCH(195,'Responses'!$AV$2:$AV$501,0),IF(ISNUMBER(MATCH(195,'Paper sign-ups'!$Z$2:$Z$101,0)),10000+MATCH(195,'Paper sign-ups'!$Z$2:$Z$101,0),""))</f>
        <v/>
      </c>
    </row>
    <row r="201">
      <c r="A201" s="18">
        <f>IF(K201="","",196)</f>
        <v/>
      </c>
      <c r="B201" s="10">
        <f>IF(K201="","",IF(K201&lt;10000,INDEX('Responses'!$AE$2:$AE$501,K201),INDEX('Paper sign-ups'!$I$2:$I$101,K201-10000)))</f>
        <v/>
      </c>
      <c r="C201" s="19">
        <f>IF(K201="","",IF(K201&lt;10000,INDEX('Responses'!$AF$2:$AF$501,K201),INDEX('Paper sign-ups'!$J$2:$J$101,K201-10000)))</f>
        <v/>
      </c>
      <c r="D201" s="18">
        <f>IF(K201="","",IF(K201&lt;10000,INDEX('Responses'!$AH$2:$AH$501,K201),INDEX('Paper sign-ups'!$L$2:$L$101,K201-10000)))</f>
        <v/>
      </c>
      <c r="E201" s="20">
        <f>IF(K201="","",IF(K201&lt;10000,INDEX('Responses'!$AL$2:$AL$501,K201),INDEX('Paper sign-ups'!$P$2:$P$101,K201-10000)))</f>
        <v/>
      </c>
      <c r="F201" s="20">
        <f>IF(K201="","",IF(K201&lt;10000,INDEX('Responses'!$AN$2:$AN$501,K201),INDEX('Paper sign-ups'!$R$2:$R$101,K201-10000)))</f>
        <v/>
      </c>
      <c r="G201" s="18">
        <f>IF(K201="","",IF(K201&lt;10000,INDEX('Responses'!$AO$2:$AO$501,K201),INDEX('Paper sign-ups'!$S$2:$S$101,K201-10000)))</f>
        <v/>
      </c>
      <c r="H201" s="19">
        <f>IF(K201="","",IF(K201&lt;10000,INDEX('Responses'!$AI$2:$AI$501,K201),INDEX('Paper sign-ups'!$M$2:$M$101,K201-10000)))</f>
        <v/>
      </c>
      <c r="I201" s="21">
        <f>IF(K201="","",IF(K201&lt;10000,INDEX('Responses'!$AR$2:$AR$501,K201),INDEX('Paper sign-ups'!$V$2:$V$101,K201-10000)))</f>
        <v/>
      </c>
      <c r="J201" s="18">
        <f>IF(K201="","",IF(K201&lt;10000,"Online form","Paper"))</f>
        <v/>
      </c>
      <c r="K201" s="22">
        <f>IF(ISNUMBER(MATCH(196,'Responses'!$AV$2:$AV$501,0)),MATCH(196,'Responses'!$AV$2:$AV$501,0),IF(ISNUMBER(MATCH(196,'Paper sign-ups'!$Z$2:$Z$101,0)),10000+MATCH(196,'Paper sign-ups'!$Z$2:$Z$101,0),""))</f>
        <v/>
      </c>
    </row>
    <row r="202">
      <c r="A202" s="18">
        <f>IF(K202="","",197)</f>
        <v/>
      </c>
      <c r="B202" s="10">
        <f>IF(K202="","",IF(K202&lt;10000,INDEX('Responses'!$AE$2:$AE$501,K202),INDEX('Paper sign-ups'!$I$2:$I$101,K202-10000)))</f>
        <v/>
      </c>
      <c r="C202" s="19">
        <f>IF(K202="","",IF(K202&lt;10000,INDEX('Responses'!$AF$2:$AF$501,K202),INDEX('Paper sign-ups'!$J$2:$J$101,K202-10000)))</f>
        <v/>
      </c>
      <c r="D202" s="18">
        <f>IF(K202="","",IF(K202&lt;10000,INDEX('Responses'!$AH$2:$AH$501,K202),INDEX('Paper sign-ups'!$L$2:$L$101,K202-10000)))</f>
        <v/>
      </c>
      <c r="E202" s="20">
        <f>IF(K202="","",IF(K202&lt;10000,INDEX('Responses'!$AL$2:$AL$501,K202),INDEX('Paper sign-ups'!$P$2:$P$101,K202-10000)))</f>
        <v/>
      </c>
      <c r="F202" s="20">
        <f>IF(K202="","",IF(K202&lt;10000,INDEX('Responses'!$AN$2:$AN$501,K202),INDEX('Paper sign-ups'!$R$2:$R$101,K202-10000)))</f>
        <v/>
      </c>
      <c r="G202" s="18">
        <f>IF(K202="","",IF(K202&lt;10000,INDEX('Responses'!$AO$2:$AO$501,K202),INDEX('Paper sign-ups'!$S$2:$S$101,K202-10000)))</f>
        <v/>
      </c>
      <c r="H202" s="19">
        <f>IF(K202="","",IF(K202&lt;10000,INDEX('Responses'!$AI$2:$AI$501,K202),INDEX('Paper sign-ups'!$M$2:$M$101,K202-10000)))</f>
        <v/>
      </c>
      <c r="I202" s="21">
        <f>IF(K202="","",IF(K202&lt;10000,INDEX('Responses'!$AR$2:$AR$501,K202),INDEX('Paper sign-ups'!$V$2:$V$101,K202-10000)))</f>
        <v/>
      </c>
      <c r="J202" s="18">
        <f>IF(K202="","",IF(K202&lt;10000,"Online form","Paper"))</f>
        <v/>
      </c>
      <c r="K202" s="22">
        <f>IF(ISNUMBER(MATCH(197,'Responses'!$AV$2:$AV$501,0)),MATCH(197,'Responses'!$AV$2:$AV$501,0),IF(ISNUMBER(MATCH(197,'Paper sign-ups'!$Z$2:$Z$101,0)),10000+MATCH(197,'Paper sign-ups'!$Z$2:$Z$101,0),""))</f>
        <v/>
      </c>
    </row>
    <row r="203">
      <c r="A203" s="18">
        <f>IF(K203="","",198)</f>
        <v/>
      </c>
      <c r="B203" s="10">
        <f>IF(K203="","",IF(K203&lt;10000,INDEX('Responses'!$AE$2:$AE$501,K203),INDEX('Paper sign-ups'!$I$2:$I$101,K203-10000)))</f>
        <v/>
      </c>
      <c r="C203" s="19">
        <f>IF(K203="","",IF(K203&lt;10000,INDEX('Responses'!$AF$2:$AF$501,K203),INDEX('Paper sign-ups'!$J$2:$J$101,K203-10000)))</f>
        <v/>
      </c>
      <c r="D203" s="18">
        <f>IF(K203="","",IF(K203&lt;10000,INDEX('Responses'!$AH$2:$AH$501,K203),INDEX('Paper sign-ups'!$L$2:$L$101,K203-10000)))</f>
        <v/>
      </c>
      <c r="E203" s="20">
        <f>IF(K203="","",IF(K203&lt;10000,INDEX('Responses'!$AL$2:$AL$501,K203),INDEX('Paper sign-ups'!$P$2:$P$101,K203-10000)))</f>
        <v/>
      </c>
      <c r="F203" s="20">
        <f>IF(K203="","",IF(K203&lt;10000,INDEX('Responses'!$AN$2:$AN$501,K203),INDEX('Paper sign-ups'!$R$2:$R$101,K203-10000)))</f>
        <v/>
      </c>
      <c r="G203" s="18">
        <f>IF(K203="","",IF(K203&lt;10000,INDEX('Responses'!$AO$2:$AO$501,K203),INDEX('Paper sign-ups'!$S$2:$S$101,K203-10000)))</f>
        <v/>
      </c>
      <c r="H203" s="19">
        <f>IF(K203="","",IF(K203&lt;10000,INDEX('Responses'!$AI$2:$AI$501,K203),INDEX('Paper sign-ups'!$M$2:$M$101,K203-10000)))</f>
        <v/>
      </c>
      <c r="I203" s="21">
        <f>IF(K203="","",IF(K203&lt;10000,INDEX('Responses'!$AR$2:$AR$501,K203),INDEX('Paper sign-ups'!$V$2:$V$101,K203-10000)))</f>
        <v/>
      </c>
      <c r="J203" s="18">
        <f>IF(K203="","",IF(K203&lt;10000,"Online form","Paper"))</f>
        <v/>
      </c>
      <c r="K203" s="22">
        <f>IF(ISNUMBER(MATCH(198,'Responses'!$AV$2:$AV$501,0)),MATCH(198,'Responses'!$AV$2:$AV$501,0),IF(ISNUMBER(MATCH(198,'Paper sign-ups'!$Z$2:$Z$101,0)),10000+MATCH(198,'Paper sign-ups'!$Z$2:$Z$101,0),""))</f>
        <v/>
      </c>
    </row>
    <row r="204">
      <c r="A204" s="18">
        <f>IF(K204="","",199)</f>
        <v/>
      </c>
      <c r="B204" s="10">
        <f>IF(K204="","",IF(K204&lt;10000,INDEX('Responses'!$AE$2:$AE$501,K204),INDEX('Paper sign-ups'!$I$2:$I$101,K204-10000)))</f>
        <v/>
      </c>
      <c r="C204" s="19">
        <f>IF(K204="","",IF(K204&lt;10000,INDEX('Responses'!$AF$2:$AF$501,K204),INDEX('Paper sign-ups'!$J$2:$J$101,K204-10000)))</f>
        <v/>
      </c>
      <c r="D204" s="18">
        <f>IF(K204="","",IF(K204&lt;10000,INDEX('Responses'!$AH$2:$AH$501,K204),INDEX('Paper sign-ups'!$L$2:$L$101,K204-10000)))</f>
        <v/>
      </c>
      <c r="E204" s="20">
        <f>IF(K204="","",IF(K204&lt;10000,INDEX('Responses'!$AL$2:$AL$501,K204),INDEX('Paper sign-ups'!$P$2:$P$101,K204-10000)))</f>
        <v/>
      </c>
      <c r="F204" s="20">
        <f>IF(K204="","",IF(K204&lt;10000,INDEX('Responses'!$AN$2:$AN$501,K204),INDEX('Paper sign-ups'!$R$2:$R$101,K204-10000)))</f>
        <v/>
      </c>
      <c r="G204" s="18">
        <f>IF(K204="","",IF(K204&lt;10000,INDEX('Responses'!$AO$2:$AO$501,K204),INDEX('Paper sign-ups'!$S$2:$S$101,K204-10000)))</f>
        <v/>
      </c>
      <c r="H204" s="19">
        <f>IF(K204="","",IF(K204&lt;10000,INDEX('Responses'!$AI$2:$AI$501,K204),INDEX('Paper sign-ups'!$M$2:$M$101,K204-10000)))</f>
        <v/>
      </c>
      <c r="I204" s="21">
        <f>IF(K204="","",IF(K204&lt;10000,INDEX('Responses'!$AR$2:$AR$501,K204),INDEX('Paper sign-ups'!$V$2:$V$101,K204-10000)))</f>
        <v/>
      </c>
      <c r="J204" s="18">
        <f>IF(K204="","",IF(K204&lt;10000,"Online form","Paper"))</f>
        <v/>
      </c>
      <c r="K204" s="22">
        <f>IF(ISNUMBER(MATCH(199,'Responses'!$AV$2:$AV$501,0)),MATCH(199,'Responses'!$AV$2:$AV$501,0),IF(ISNUMBER(MATCH(199,'Paper sign-ups'!$Z$2:$Z$101,0)),10000+MATCH(199,'Paper sign-ups'!$Z$2:$Z$101,0),""))</f>
        <v/>
      </c>
    </row>
    <row r="205">
      <c r="A205" s="18">
        <f>IF(K205="","",200)</f>
        <v/>
      </c>
      <c r="B205" s="10">
        <f>IF(K205="","",IF(K205&lt;10000,INDEX('Responses'!$AE$2:$AE$501,K205),INDEX('Paper sign-ups'!$I$2:$I$101,K205-10000)))</f>
        <v/>
      </c>
      <c r="C205" s="19">
        <f>IF(K205="","",IF(K205&lt;10000,INDEX('Responses'!$AF$2:$AF$501,K205),INDEX('Paper sign-ups'!$J$2:$J$101,K205-10000)))</f>
        <v/>
      </c>
      <c r="D205" s="18">
        <f>IF(K205="","",IF(K205&lt;10000,INDEX('Responses'!$AH$2:$AH$501,K205),INDEX('Paper sign-ups'!$L$2:$L$101,K205-10000)))</f>
        <v/>
      </c>
      <c r="E205" s="20">
        <f>IF(K205="","",IF(K205&lt;10000,INDEX('Responses'!$AL$2:$AL$501,K205),INDEX('Paper sign-ups'!$P$2:$P$101,K205-10000)))</f>
        <v/>
      </c>
      <c r="F205" s="20">
        <f>IF(K205="","",IF(K205&lt;10000,INDEX('Responses'!$AN$2:$AN$501,K205),INDEX('Paper sign-ups'!$R$2:$R$101,K205-10000)))</f>
        <v/>
      </c>
      <c r="G205" s="18">
        <f>IF(K205="","",IF(K205&lt;10000,INDEX('Responses'!$AO$2:$AO$501,K205),INDEX('Paper sign-ups'!$S$2:$S$101,K205-10000)))</f>
        <v/>
      </c>
      <c r="H205" s="19">
        <f>IF(K205="","",IF(K205&lt;10000,INDEX('Responses'!$AI$2:$AI$501,K205),INDEX('Paper sign-ups'!$M$2:$M$101,K205-10000)))</f>
        <v/>
      </c>
      <c r="I205" s="21">
        <f>IF(K205="","",IF(K205&lt;10000,INDEX('Responses'!$AR$2:$AR$501,K205),INDEX('Paper sign-ups'!$V$2:$V$101,K205-10000)))</f>
        <v/>
      </c>
      <c r="J205" s="18">
        <f>IF(K205="","",IF(K205&lt;10000,"Online form","Paper"))</f>
        <v/>
      </c>
      <c r="K205" s="22">
        <f>IF(ISNUMBER(MATCH(200,'Responses'!$AV$2:$AV$501,0)),MATCH(200,'Responses'!$AV$2:$AV$501,0),IF(ISNUMBER(MATCH(200,'Paper sign-ups'!$Z$2:$Z$101,0)),10000+MATCH(200,'Paper sign-ups'!$Z$2:$Z$101,0),""))</f>
        <v/>
      </c>
    </row>
    <row r="206">
      <c r="A206" s="18">
        <f>IF(K206="","",201)</f>
        <v/>
      </c>
      <c r="B206" s="10">
        <f>IF(K206="","",IF(K206&lt;10000,INDEX('Responses'!$AE$2:$AE$501,K206),INDEX('Paper sign-ups'!$I$2:$I$101,K206-10000)))</f>
        <v/>
      </c>
      <c r="C206" s="19">
        <f>IF(K206="","",IF(K206&lt;10000,INDEX('Responses'!$AF$2:$AF$501,K206),INDEX('Paper sign-ups'!$J$2:$J$101,K206-10000)))</f>
        <v/>
      </c>
      <c r="D206" s="18">
        <f>IF(K206="","",IF(K206&lt;10000,INDEX('Responses'!$AH$2:$AH$501,K206),INDEX('Paper sign-ups'!$L$2:$L$101,K206-10000)))</f>
        <v/>
      </c>
      <c r="E206" s="20">
        <f>IF(K206="","",IF(K206&lt;10000,INDEX('Responses'!$AL$2:$AL$501,K206),INDEX('Paper sign-ups'!$P$2:$P$101,K206-10000)))</f>
        <v/>
      </c>
      <c r="F206" s="20">
        <f>IF(K206="","",IF(K206&lt;10000,INDEX('Responses'!$AN$2:$AN$501,K206),INDEX('Paper sign-ups'!$R$2:$R$101,K206-10000)))</f>
        <v/>
      </c>
      <c r="G206" s="18">
        <f>IF(K206="","",IF(K206&lt;10000,INDEX('Responses'!$AO$2:$AO$501,K206),INDEX('Paper sign-ups'!$S$2:$S$101,K206-10000)))</f>
        <v/>
      </c>
      <c r="H206" s="19">
        <f>IF(K206="","",IF(K206&lt;10000,INDEX('Responses'!$AI$2:$AI$501,K206),INDEX('Paper sign-ups'!$M$2:$M$101,K206-10000)))</f>
        <v/>
      </c>
      <c r="I206" s="21">
        <f>IF(K206="","",IF(K206&lt;10000,INDEX('Responses'!$AR$2:$AR$501,K206),INDEX('Paper sign-ups'!$V$2:$V$101,K206-10000)))</f>
        <v/>
      </c>
      <c r="J206" s="18">
        <f>IF(K206="","",IF(K206&lt;10000,"Online form","Paper"))</f>
        <v/>
      </c>
      <c r="K206" s="22">
        <f>IF(ISNUMBER(MATCH(201,'Responses'!$AV$2:$AV$501,0)),MATCH(201,'Responses'!$AV$2:$AV$501,0),IF(ISNUMBER(MATCH(201,'Paper sign-ups'!$Z$2:$Z$101,0)),10000+MATCH(201,'Paper sign-ups'!$Z$2:$Z$101,0),""))</f>
        <v/>
      </c>
    </row>
    <row r="207">
      <c r="A207" s="18">
        <f>IF(K207="","",202)</f>
        <v/>
      </c>
      <c r="B207" s="10">
        <f>IF(K207="","",IF(K207&lt;10000,INDEX('Responses'!$AE$2:$AE$501,K207),INDEX('Paper sign-ups'!$I$2:$I$101,K207-10000)))</f>
        <v/>
      </c>
      <c r="C207" s="19">
        <f>IF(K207="","",IF(K207&lt;10000,INDEX('Responses'!$AF$2:$AF$501,K207),INDEX('Paper sign-ups'!$J$2:$J$101,K207-10000)))</f>
        <v/>
      </c>
      <c r="D207" s="18">
        <f>IF(K207="","",IF(K207&lt;10000,INDEX('Responses'!$AH$2:$AH$501,K207),INDEX('Paper sign-ups'!$L$2:$L$101,K207-10000)))</f>
        <v/>
      </c>
      <c r="E207" s="20">
        <f>IF(K207="","",IF(K207&lt;10000,INDEX('Responses'!$AL$2:$AL$501,K207),INDEX('Paper sign-ups'!$P$2:$P$101,K207-10000)))</f>
        <v/>
      </c>
      <c r="F207" s="20">
        <f>IF(K207="","",IF(K207&lt;10000,INDEX('Responses'!$AN$2:$AN$501,K207),INDEX('Paper sign-ups'!$R$2:$R$101,K207-10000)))</f>
        <v/>
      </c>
      <c r="G207" s="18">
        <f>IF(K207="","",IF(K207&lt;10000,INDEX('Responses'!$AO$2:$AO$501,K207),INDEX('Paper sign-ups'!$S$2:$S$101,K207-10000)))</f>
        <v/>
      </c>
      <c r="H207" s="19">
        <f>IF(K207="","",IF(K207&lt;10000,INDEX('Responses'!$AI$2:$AI$501,K207),INDEX('Paper sign-ups'!$M$2:$M$101,K207-10000)))</f>
        <v/>
      </c>
      <c r="I207" s="21">
        <f>IF(K207="","",IF(K207&lt;10000,INDEX('Responses'!$AR$2:$AR$501,K207),INDEX('Paper sign-ups'!$V$2:$V$101,K207-10000)))</f>
        <v/>
      </c>
      <c r="J207" s="18">
        <f>IF(K207="","",IF(K207&lt;10000,"Online form","Paper"))</f>
        <v/>
      </c>
      <c r="K207" s="22">
        <f>IF(ISNUMBER(MATCH(202,'Responses'!$AV$2:$AV$501,0)),MATCH(202,'Responses'!$AV$2:$AV$501,0),IF(ISNUMBER(MATCH(202,'Paper sign-ups'!$Z$2:$Z$101,0)),10000+MATCH(202,'Paper sign-ups'!$Z$2:$Z$101,0),""))</f>
        <v/>
      </c>
    </row>
    <row r="208">
      <c r="A208" s="18">
        <f>IF(K208="","",203)</f>
        <v/>
      </c>
      <c r="B208" s="10">
        <f>IF(K208="","",IF(K208&lt;10000,INDEX('Responses'!$AE$2:$AE$501,K208),INDEX('Paper sign-ups'!$I$2:$I$101,K208-10000)))</f>
        <v/>
      </c>
      <c r="C208" s="19">
        <f>IF(K208="","",IF(K208&lt;10000,INDEX('Responses'!$AF$2:$AF$501,K208),INDEX('Paper sign-ups'!$J$2:$J$101,K208-10000)))</f>
        <v/>
      </c>
      <c r="D208" s="18">
        <f>IF(K208="","",IF(K208&lt;10000,INDEX('Responses'!$AH$2:$AH$501,K208),INDEX('Paper sign-ups'!$L$2:$L$101,K208-10000)))</f>
        <v/>
      </c>
      <c r="E208" s="20">
        <f>IF(K208="","",IF(K208&lt;10000,INDEX('Responses'!$AL$2:$AL$501,K208),INDEX('Paper sign-ups'!$P$2:$P$101,K208-10000)))</f>
        <v/>
      </c>
      <c r="F208" s="20">
        <f>IF(K208="","",IF(K208&lt;10000,INDEX('Responses'!$AN$2:$AN$501,K208),INDEX('Paper sign-ups'!$R$2:$R$101,K208-10000)))</f>
        <v/>
      </c>
      <c r="G208" s="18">
        <f>IF(K208="","",IF(K208&lt;10000,INDEX('Responses'!$AO$2:$AO$501,K208),INDEX('Paper sign-ups'!$S$2:$S$101,K208-10000)))</f>
        <v/>
      </c>
      <c r="H208" s="19">
        <f>IF(K208="","",IF(K208&lt;10000,INDEX('Responses'!$AI$2:$AI$501,K208),INDEX('Paper sign-ups'!$M$2:$M$101,K208-10000)))</f>
        <v/>
      </c>
      <c r="I208" s="21">
        <f>IF(K208="","",IF(K208&lt;10000,INDEX('Responses'!$AR$2:$AR$501,K208),INDEX('Paper sign-ups'!$V$2:$V$101,K208-10000)))</f>
        <v/>
      </c>
      <c r="J208" s="18">
        <f>IF(K208="","",IF(K208&lt;10000,"Online form","Paper"))</f>
        <v/>
      </c>
      <c r="K208" s="22">
        <f>IF(ISNUMBER(MATCH(203,'Responses'!$AV$2:$AV$501,0)),MATCH(203,'Responses'!$AV$2:$AV$501,0),IF(ISNUMBER(MATCH(203,'Paper sign-ups'!$Z$2:$Z$101,0)),10000+MATCH(203,'Paper sign-ups'!$Z$2:$Z$101,0),""))</f>
        <v/>
      </c>
    </row>
    <row r="209">
      <c r="A209" s="18">
        <f>IF(K209="","",204)</f>
        <v/>
      </c>
      <c r="B209" s="10">
        <f>IF(K209="","",IF(K209&lt;10000,INDEX('Responses'!$AE$2:$AE$501,K209),INDEX('Paper sign-ups'!$I$2:$I$101,K209-10000)))</f>
        <v/>
      </c>
      <c r="C209" s="19">
        <f>IF(K209="","",IF(K209&lt;10000,INDEX('Responses'!$AF$2:$AF$501,K209),INDEX('Paper sign-ups'!$J$2:$J$101,K209-10000)))</f>
        <v/>
      </c>
      <c r="D209" s="18">
        <f>IF(K209="","",IF(K209&lt;10000,INDEX('Responses'!$AH$2:$AH$501,K209),INDEX('Paper sign-ups'!$L$2:$L$101,K209-10000)))</f>
        <v/>
      </c>
      <c r="E209" s="20">
        <f>IF(K209="","",IF(K209&lt;10000,INDEX('Responses'!$AL$2:$AL$501,K209),INDEX('Paper sign-ups'!$P$2:$P$101,K209-10000)))</f>
        <v/>
      </c>
      <c r="F209" s="20">
        <f>IF(K209="","",IF(K209&lt;10000,INDEX('Responses'!$AN$2:$AN$501,K209),INDEX('Paper sign-ups'!$R$2:$R$101,K209-10000)))</f>
        <v/>
      </c>
      <c r="G209" s="18">
        <f>IF(K209="","",IF(K209&lt;10000,INDEX('Responses'!$AO$2:$AO$501,K209),INDEX('Paper sign-ups'!$S$2:$S$101,K209-10000)))</f>
        <v/>
      </c>
      <c r="H209" s="19">
        <f>IF(K209="","",IF(K209&lt;10000,INDEX('Responses'!$AI$2:$AI$501,K209),INDEX('Paper sign-ups'!$M$2:$M$101,K209-10000)))</f>
        <v/>
      </c>
      <c r="I209" s="21">
        <f>IF(K209="","",IF(K209&lt;10000,INDEX('Responses'!$AR$2:$AR$501,K209),INDEX('Paper sign-ups'!$V$2:$V$101,K209-10000)))</f>
        <v/>
      </c>
      <c r="J209" s="18">
        <f>IF(K209="","",IF(K209&lt;10000,"Online form","Paper"))</f>
        <v/>
      </c>
      <c r="K209" s="22">
        <f>IF(ISNUMBER(MATCH(204,'Responses'!$AV$2:$AV$501,0)),MATCH(204,'Responses'!$AV$2:$AV$501,0),IF(ISNUMBER(MATCH(204,'Paper sign-ups'!$Z$2:$Z$101,0)),10000+MATCH(204,'Paper sign-ups'!$Z$2:$Z$101,0),""))</f>
        <v/>
      </c>
    </row>
    <row r="210">
      <c r="A210" s="18">
        <f>IF(K210="","",205)</f>
        <v/>
      </c>
      <c r="B210" s="10">
        <f>IF(K210="","",IF(K210&lt;10000,INDEX('Responses'!$AE$2:$AE$501,K210),INDEX('Paper sign-ups'!$I$2:$I$101,K210-10000)))</f>
        <v/>
      </c>
      <c r="C210" s="19">
        <f>IF(K210="","",IF(K210&lt;10000,INDEX('Responses'!$AF$2:$AF$501,K210),INDEX('Paper sign-ups'!$J$2:$J$101,K210-10000)))</f>
        <v/>
      </c>
      <c r="D210" s="18">
        <f>IF(K210="","",IF(K210&lt;10000,INDEX('Responses'!$AH$2:$AH$501,K210),INDEX('Paper sign-ups'!$L$2:$L$101,K210-10000)))</f>
        <v/>
      </c>
      <c r="E210" s="20">
        <f>IF(K210="","",IF(K210&lt;10000,INDEX('Responses'!$AL$2:$AL$501,K210),INDEX('Paper sign-ups'!$P$2:$P$101,K210-10000)))</f>
        <v/>
      </c>
      <c r="F210" s="20">
        <f>IF(K210="","",IF(K210&lt;10000,INDEX('Responses'!$AN$2:$AN$501,K210),INDEX('Paper sign-ups'!$R$2:$R$101,K210-10000)))</f>
        <v/>
      </c>
      <c r="G210" s="18">
        <f>IF(K210="","",IF(K210&lt;10000,INDEX('Responses'!$AO$2:$AO$501,K210),INDEX('Paper sign-ups'!$S$2:$S$101,K210-10000)))</f>
        <v/>
      </c>
      <c r="H210" s="19">
        <f>IF(K210="","",IF(K210&lt;10000,INDEX('Responses'!$AI$2:$AI$501,K210),INDEX('Paper sign-ups'!$M$2:$M$101,K210-10000)))</f>
        <v/>
      </c>
      <c r="I210" s="21">
        <f>IF(K210="","",IF(K210&lt;10000,INDEX('Responses'!$AR$2:$AR$501,K210),INDEX('Paper sign-ups'!$V$2:$V$101,K210-10000)))</f>
        <v/>
      </c>
      <c r="J210" s="18">
        <f>IF(K210="","",IF(K210&lt;10000,"Online form","Paper"))</f>
        <v/>
      </c>
      <c r="K210" s="22">
        <f>IF(ISNUMBER(MATCH(205,'Responses'!$AV$2:$AV$501,0)),MATCH(205,'Responses'!$AV$2:$AV$501,0),IF(ISNUMBER(MATCH(205,'Paper sign-ups'!$Z$2:$Z$101,0)),10000+MATCH(205,'Paper sign-ups'!$Z$2:$Z$101,0),""))</f>
        <v/>
      </c>
    </row>
    <row r="211">
      <c r="A211" s="18">
        <f>IF(K211="","",206)</f>
        <v/>
      </c>
      <c r="B211" s="10">
        <f>IF(K211="","",IF(K211&lt;10000,INDEX('Responses'!$AE$2:$AE$501,K211),INDEX('Paper sign-ups'!$I$2:$I$101,K211-10000)))</f>
        <v/>
      </c>
      <c r="C211" s="19">
        <f>IF(K211="","",IF(K211&lt;10000,INDEX('Responses'!$AF$2:$AF$501,K211),INDEX('Paper sign-ups'!$J$2:$J$101,K211-10000)))</f>
        <v/>
      </c>
      <c r="D211" s="18">
        <f>IF(K211="","",IF(K211&lt;10000,INDEX('Responses'!$AH$2:$AH$501,K211),INDEX('Paper sign-ups'!$L$2:$L$101,K211-10000)))</f>
        <v/>
      </c>
      <c r="E211" s="20">
        <f>IF(K211="","",IF(K211&lt;10000,INDEX('Responses'!$AL$2:$AL$501,K211),INDEX('Paper sign-ups'!$P$2:$P$101,K211-10000)))</f>
        <v/>
      </c>
      <c r="F211" s="20">
        <f>IF(K211="","",IF(K211&lt;10000,INDEX('Responses'!$AN$2:$AN$501,K211),INDEX('Paper sign-ups'!$R$2:$R$101,K211-10000)))</f>
        <v/>
      </c>
      <c r="G211" s="18">
        <f>IF(K211="","",IF(K211&lt;10000,INDEX('Responses'!$AO$2:$AO$501,K211),INDEX('Paper sign-ups'!$S$2:$S$101,K211-10000)))</f>
        <v/>
      </c>
      <c r="H211" s="19">
        <f>IF(K211="","",IF(K211&lt;10000,INDEX('Responses'!$AI$2:$AI$501,K211),INDEX('Paper sign-ups'!$M$2:$M$101,K211-10000)))</f>
        <v/>
      </c>
      <c r="I211" s="21">
        <f>IF(K211="","",IF(K211&lt;10000,INDEX('Responses'!$AR$2:$AR$501,K211),INDEX('Paper sign-ups'!$V$2:$V$101,K211-10000)))</f>
        <v/>
      </c>
      <c r="J211" s="18">
        <f>IF(K211="","",IF(K211&lt;10000,"Online form","Paper"))</f>
        <v/>
      </c>
      <c r="K211" s="22">
        <f>IF(ISNUMBER(MATCH(206,'Responses'!$AV$2:$AV$501,0)),MATCH(206,'Responses'!$AV$2:$AV$501,0),IF(ISNUMBER(MATCH(206,'Paper sign-ups'!$Z$2:$Z$101,0)),10000+MATCH(206,'Paper sign-ups'!$Z$2:$Z$101,0),""))</f>
        <v/>
      </c>
    </row>
    <row r="212">
      <c r="A212" s="18">
        <f>IF(K212="","",207)</f>
        <v/>
      </c>
      <c r="B212" s="10">
        <f>IF(K212="","",IF(K212&lt;10000,INDEX('Responses'!$AE$2:$AE$501,K212),INDEX('Paper sign-ups'!$I$2:$I$101,K212-10000)))</f>
        <v/>
      </c>
      <c r="C212" s="19">
        <f>IF(K212="","",IF(K212&lt;10000,INDEX('Responses'!$AF$2:$AF$501,K212),INDEX('Paper sign-ups'!$J$2:$J$101,K212-10000)))</f>
        <v/>
      </c>
      <c r="D212" s="18">
        <f>IF(K212="","",IF(K212&lt;10000,INDEX('Responses'!$AH$2:$AH$501,K212),INDEX('Paper sign-ups'!$L$2:$L$101,K212-10000)))</f>
        <v/>
      </c>
      <c r="E212" s="20">
        <f>IF(K212="","",IF(K212&lt;10000,INDEX('Responses'!$AL$2:$AL$501,K212),INDEX('Paper sign-ups'!$P$2:$P$101,K212-10000)))</f>
        <v/>
      </c>
      <c r="F212" s="20">
        <f>IF(K212="","",IF(K212&lt;10000,INDEX('Responses'!$AN$2:$AN$501,K212),INDEX('Paper sign-ups'!$R$2:$R$101,K212-10000)))</f>
        <v/>
      </c>
      <c r="G212" s="18">
        <f>IF(K212="","",IF(K212&lt;10000,INDEX('Responses'!$AO$2:$AO$501,K212),INDEX('Paper sign-ups'!$S$2:$S$101,K212-10000)))</f>
        <v/>
      </c>
      <c r="H212" s="19">
        <f>IF(K212="","",IF(K212&lt;10000,INDEX('Responses'!$AI$2:$AI$501,K212),INDEX('Paper sign-ups'!$M$2:$M$101,K212-10000)))</f>
        <v/>
      </c>
      <c r="I212" s="21">
        <f>IF(K212="","",IF(K212&lt;10000,INDEX('Responses'!$AR$2:$AR$501,K212),INDEX('Paper sign-ups'!$V$2:$V$101,K212-10000)))</f>
        <v/>
      </c>
      <c r="J212" s="18">
        <f>IF(K212="","",IF(K212&lt;10000,"Online form","Paper"))</f>
        <v/>
      </c>
      <c r="K212" s="22">
        <f>IF(ISNUMBER(MATCH(207,'Responses'!$AV$2:$AV$501,0)),MATCH(207,'Responses'!$AV$2:$AV$501,0),IF(ISNUMBER(MATCH(207,'Paper sign-ups'!$Z$2:$Z$101,0)),10000+MATCH(207,'Paper sign-ups'!$Z$2:$Z$101,0),""))</f>
        <v/>
      </c>
    </row>
    <row r="213">
      <c r="A213" s="18">
        <f>IF(K213="","",208)</f>
        <v/>
      </c>
      <c r="B213" s="10">
        <f>IF(K213="","",IF(K213&lt;10000,INDEX('Responses'!$AE$2:$AE$501,K213),INDEX('Paper sign-ups'!$I$2:$I$101,K213-10000)))</f>
        <v/>
      </c>
      <c r="C213" s="19">
        <f>IF(K213="","",IF(K213&lt;10000,INDEX('Responses'!$AF$2:$AF$501,K213),INDEX('Paper sign-ups'!$J$2:$J$101,K213-10000)))</f>
        <v/>
      </c>
      <c r="D213" s="18">
        <f>IF(K213="","",IF(K213&lt;10000,INDEX('Responses'!$AH$2:$AH$501,K213),INDEX('Paper sign-ups'!$L$2:$L$101,K213-10000)))</f>
        <v/>
      </c>
      <c r="E213" s="20">
        <f>IF(K213="","",IF(K213&lt;10000,INDEX('Responses'!$AL$2:$AL$501,K213),INDEX('Paper sign-ups'!$P$2:$P$101,K213-10000)))</f>
        <v/>
      </c>
      <c r="F213" s="20">
        <f>IF(K213="","",IF(K213&lt;10000,INDEX('Responses'!$AN$2:$AN$501,K213),INDEX('Paper sign-ups'!$R$2:$R$101,K213-10000)))</f>
        <v/>
      </c>
      <c r="G213" s="18">
        <f>IF(K213="","",IF(K213&lt;10000,INDEX('Responses'!$AO$2:$AO$501,K213),INDEX('Paper sign-ups'!$S$2:$S$101,K213-10000)))</f>
        <v/>
      </c>
      <c r="H213" s="19">
        <f>IF(K213="","",IF(K213&lt;10000,INDEX('Responses'!$AI$2:$AI$501,K213),INDEX('Paper sign-ups'!$M$2:$M$101,K213-10000)))</f>
        <v/>
      </c>
      <c r="I213" s="21">
        <f>IF(K213="","",IF(K213&lt;10000,INDEX('Responses'!$AR$2:$AR$501,K213),INDEX('Paper sign-ups'!$V$2:$V$101,K213-10000)))</f>
        <v/>
      </c>
      <c r="J213" s="18">
        <f>IF(K213="","",IF(K213&lt;10000,"Online form","Paper"))</f>
        <v/>
      </c>
      <c r="K213" s="22">
        <f>IF(ISNUMBER(MATCH(208,'Responses'!$AV$2:$AV$501,0)),MATCH(208,'Responses'!$AV$2:$AV$501,0),IF(ISNUMBER(MATCH(208,'Paper sign-ups'!$Z$2:$Z$101,0)),10000+MATCH(208,'Paper sign-ups'!$Z$2:$Z$101,0),""))</f>
        <v/>
      </c>
    </row>
    <row r="214">
      <c r="A214" s="18">
        <f>IF(K214="","",209)</f>
        <v/>
      </c>
      <c r="B214" s="10">
        <f>IF(K214="","",IF(K214&lt;10000,INDEX('Responses'!$AE$2:$AE$501,K214),INDEX('Paper sign-ups'!$I$2:$I$101,K214-10000)))</f>
        <v/>
      </c>
      <c r="C214" s="19">
        <f>IF(K214="","",IF(K214&lt;10000,INDEX('Responses'!$AF$2:$AF$501,K214),INDEX('Paper sign-ups'!$J$2:$J$101,K214-10000)))</f>
        <v/>
      </c>
      <c r="D214" s="18">
        <f>IF(K214="","",IF(K214&lt;10000,INDEX('Responses'!$AH$2:$AH$501,K214),INDEX('Paper sign-ups'!$L$2:$L$101,K214-10000)))</f>
        <v/>
      </c>
      <c r="E214" s="20">
        <f>IF(K214="","",IF(K214&lt;10000,INDEX('Responses'!$AL$2:$AL$501,K214),INDEX('Paper sign-ups'!$P$2:$P$101,K214-10000)))</f>
        <v/>
      </c>
      <c r="F214" s="20">
        <f>IF(K214="","",IF(K214&lt;10000,INDEX('Responses'!$AN$2:$AN$501,K214),INDEX('Paper sign-ups'!$R$2:$R$101,K214-10000)))</f>
        <v/>
      </c>
      <c r="G214" s="18">
        <f>IF(K214="","",IF(K214&lt;10000,INDEX('Responses'!$AO$2:$AO$501,K214),INDEX('Paper sign-ups'!$S$2:$S$101,K214-10000)))</f>
        <v/>
      </c>
      <c r="H214" s="19">
        <f>IF(K214="","",IF(K214&lt;10000,INDEX('Responses'!$AI$2:$AI$501,K214),INDEX('Paper sign-ups'!$M$2:$M$101,K214-10000)))</f>
        <v/>
      </c>
      <c r="I214" s="21">
        <f>IF(K214="","",IF(K214&lt;10000,INDEX('Responses'!$AR$2:$AR$501,K214),INDEX('Paper sign-ups'!$V$2:$V$101,K214-10000)))</f>
        <v/>
      </c>
      <c r="J214" s="18">
        <f>IF(K214="","",IF(K214&lt;10000,"Online form","Paper"))</f>
        <v/>
      </c>
      <c r="K214" s="22">
        <f>IF(ISNUMBER(MATCH(209,'Responses'!$AV$2:$AV$501,0)),MATCH(209,'Responses'!$AV$2:$AV$501,0),IF(ISNUMBER(MATCH(209,'Paper sign-ups'!$Z$2:$Z$101,0)),10000+MATCH(209,'Paper sign-ups'!$Z$2:$Z$101,0),""))</f>
        <v/>
      </c>
    </row>
    <row r="215">
      <c r="A215" s="18">
        <f>IF(K215="","",210)</f>
        <v/>
      </c>
      <c r="B215" s="10">
        <f>IF(K215="","",IF(K215&lt;10000,INDEX('Responses'!$AE$2:$AE$501,K215),INDEX('Paper sign-ups'!$I$2:$I$101,K215-10000)))</f>
        <v/>
      </c>
      <c r="C215" s="19">
        <f>IF(K215="","",IF(K215&lt;10000,INDEX('Responses'!$AF$2:$AF$501,K215),INDEX('Paper sign-ups'!$J$2:$J$101,K215-10000)))</f>
        <v/>
      </c>
      <c r="D215" s="18">
        <f>IF(K215="","",IF(K215&lt;10000,INDEX('Responses'!$AH$2:$AH$501,K215),INDEX('Paper sign-ups'!$L$2:$L$101,K215-10000)))</f>
        <v/>
      </c>
      <c r="E215" s="20">
        <f>IF(K215="","",IF(K215&lt;10000,INDEX('Responses'!$AL$2:$AL$501,K215),INDEX('Paper sign-ups'!$P$2:$P$101,K215-10000)))</f>
        <v/>
      </c>
      <c r="F215" s="20">
        <f>IF(K215="","",IF(K215&lt;10000,INDEX('Responses'!$AN$2:$AN$501,K215),INDEX('Paper sign-ups'!$R$2:$R$101,K215-10000)))</f>
        <v/>
      </c>
      <c r="G215" s="18">
        <f>IF(K215="","",IF(K215&lt;10000,INDEX('Responses'!$AO$2:$AO$501,K215),INDEX('Paper sign-ups'!$S$2:$S$101,K215-10000)))</f>
        <v/>
      </c>
      <c r="H215" s="19">
        <f>IF(K215="","",IF(K215&lt;10000,INDEX('Responses'!$AI$2:$AI$501,K215),INDEX('Paper sign-ups'!$M$2:$M$101,K215-10000)))</f>
        <v/>
      </c>
      <c r="I215" s="21">
        <f>IF(K215="","",IF(K215&lt;10000,INDEX('Responses'!$AR$2:$AR$501,K215),INDEX('Paper sign-ups'!$V$2:$V$101,K215-10000)))</f>
        <v/>
      </c>
      <c r="J215" s="18">
        <f>IF(K215="","",IF(K215&lt;10000,"Online form","Paper"))</f>
        <v/>
      </c>
      <c r="K215" s="22">
        <f>IF(ISNUMBER(MATCH(210,'Responses'!$AV$2:$AV$501,0)),MATCH(210,'Responses'!$AV$2:$AV$501,0),IF(ISNUMBER(MATCH(210,'Paper sign-ups'!$Z$2:$Z$101,0)),10000+MATCH(210,'Paper sign-ups'!$Z$2:$Z$101,0),""))</f>
        <v/>
      </c>
    </row>
    <row r="216">
      <c r="A216" s="18">
        <f>IF(K216="","",211)</f>
        <v/>
      </c>
      <c r="B216" s="10">
        <f>IF(K216="","",IF(K216&lt;10000,INDEX('Responses'!$AE$2:$AE$501,K216),INDEX('Paper sign-ups'!$I$2:$I$101,K216-10000)))</f>
        <v/>
      </c>
      <c r="C216" s="19">
        <f>IF(K216="","",IF(K216&lt;10000,INDEX('Responses'!$AF$2:$AF$501,K216),INDEX('Paper sign-ups'!$J$2:$J$101,K216-10000)))</f>
        <v/>
      </c>
      <c r="D216" s="18">
        <f>IF(K216="","",IF(K216&lt;10000,INDEX('Responses'!$AH$2:$AH$501,K216),INDEX('Paper sign-ups'!$L$2:$L$101,K216-10000)))</f>
        <v/>
      </c>
      <c r="E216" s="20">
        <f>IF(K216="","",IF(K216&lt;10000,INDEX('Responses'!$AL$2:$AL$501,K216),INDEX('Paper sign-ups'!$P$2:$P$101,K216-10000)))</f>
        <v/>
      </c>
      <c r="F216" s="20">
        <f>IF(K216="","",IF(K216&lt;10000,INDEX('Responses'!$AN$2:$AN$501,K216),INDEX('Paper sign-ups'!$R$2:$R$101,K216-10000)))</f>
        <v/>
      </c>
      <c r="G216" s="18">
        <f>IF(K216="","",IF(K216&lt;10000,INDEX('Responses'!$AO$2:$AO$501,K216),INDEX('Paper sign-ups'!$S$2:$S$101,K216-10000)))</f>
        <v/>
      </c>
      <c r="H216" s="19">
        <f>IF(K216="","",IF(K216&lt;10000,INDEX('Responses'!$AI$2:$AI$501,K216),INDEX('Paper sign-ups'!$M$2:$M$101,K216-10000)))</f>
        <v/>
      </c>
      <c r="I216" s="21">
        <f>IF(K216="","",IF(K216&lt;10000,INDEX('Responses'!$AR$2:$AR$501,K216),INDEX('Paper sign-ups'!$V$2:$V$101,K216-10000)))</f>
        <v/>
      </c>
      <c r="J216" s="18">
        <f>IF(K216="","",IF(K216&lt;10000,"Online form","Paper"))</f>
        <v/>
      </c>
      <c r="K216" s="22">
        <f>IF(ISNUMBER(MATCH(211,'Responses'!$AV$2:$AV$501,0)),MATCH(211,'Responses'!$AV$2:$AV$501,0),IF(ISNUMBER(MATCH(211,'Paper sign-ups'!$Z$2:$Z$101,0)),10000+MATCH(211,'Paper sign-ups'!$Z$2:$Z$101,0),""))</f>
        <v/>
      </c>
    </row>
    <row r="217">
      <c r="A217" s="18">
        <f>IF(K217="","",212)</f>
        <v/>
      </c>
      <c r="B217" s="10">
        <f>IF(K217="","",IF(K217&lt;10000,INDEX('Responses'!$AE$2:$AE$501,K217),INDEX('Paper sign-ups'!$I$2:$I$101,K217-10000)))</f>
        <v/>
      </c>
      <c r="C217" s="19">
        <f>IF(K217="","",IF(K217&lt;10000,INDEX('Responses'!$AF$2:$AF$501,K217),INDEX('Paper sign-ups'!$J$2:$J$101,K217-10000)))</f>
        <v/>
      </c>
      <c r="D217" s="18">
        <f>IF(K217="","",IF(K217&lt;10000,INDEX('Responses'!$AH$2:$AH$501,K217),INDEX('Paper sign-ups'!$L$2:$L$101,K217-10000)))</f>
        <v/>
      </c>
      <c r="E217" s="20">
        <f>IF(K217="","",IF(K217&lt;10000,INDEX('Responses'!$AL$2:$AL$501,K217),INDEX('Paper sign-ups'!$P$2:$P$101,K217-10000)))</f>
        <v/>
      </c>
      <c r="F217" s="20">
        <f>IF(K217="","",IF(K217&lt;10000,INDEX('Responses'!$AN$2:$AN$501,K217),INDEX('Paper sign-ups'!$R$2:$R$101,K217-10000)))</f>
        <v/>
      </c>
      <c r="G217" s="18">
        <f>IF(K217="","",IF(K217&lt;10000,INDEX('Responses'!$AO$2:$AO$501,K217),INDEX('Paper sign-ups'!$S$2:$S$101,K217-10000)))</f>
        <v/>
      </c>
      <c r="H217" s="19">
        <f>IF(K217="","",IF(K217&lt;10000,INDEX('Responses'!$AI$2:$AI$501,K217),INDEX('Paper sign-ups'!$M$2:$M$101,K217-10000)))</f>
        <v/>
      </c>
      <c r="I217" s="21">
        <f>IF(K217="","",IF(K217&lt;10000,INDEX('Responses'!$AR$2:$AR$501,K217),INDEX('Paper sign-ups'!$V$2:$V$101,K217-10000)))</f>
        <v/>
      </c>
      <c r="J217" s="18">
        <f>IF(K217="","",IF(K217&lt;10000,"Online form","Paper"))</f>
        <v/>
      </c>
      <c r="K217" s="22">
        <f>IF(ISNUMBER(MATCH(212,'Responses'!$AV$2:$AV$501,0)),MATCH(212,'Responses'!$AV$2:$AV$501,0),IF(ISNUMBER(MATCH(212,'Paper sign-ups'!$Z$2:$Z$101,0)),10000+MATCH(212,'Paper sign-ups'!$Z$2:$Z$101,0),""))</f>
        <v/>
      </c>
    </row>
    <row r="218">
      <c r="A218" s="18">
        <f>IF(K218="","",213)</f>
        <v/>
      </c>
      <c r="B218" s="10">
        <f>IF(K218="","",IF(K218&lt;10000,INDEX('Responses'!$AE$2:$AE$501,K218),INDEX('Paper sign-ups'!$I$2:$I$101,K218-10000)))</f>
        <v/>
      </c>
      <c r="C218" s="19">
        <f>IF(K218="","",IF(K218&lt;10000,INDEX('Responses'!$AF$2:$AF$501,K218),INDEX('Paper sign-ups'!$J$2:$J$101,K218-10000)))</f>
        <v/>
      </c>
      <c r="D218" s="18">
        <f>IF(K218="","",IF(K218&lt;10000,INDEX('Responses'!$AH$2:$AH$501,K218),INDEX('Paper sign-ups'!$L$2:$L$101,K218-10000)))</f>
        <v/>
      </c>
      <c r="E218" s="20">
        <f>IF(K218="","",IF(K218&lt;10000,INDEX('Responses'!$AL$2:$AL$501,K218),INDEX('Paper sign-ups'!$P$2:$P$101,K218-10000)))</f>
        <v/>
      </c>
      <c r="F218" s="20">
        <f>IF(K218="","",IF(K218&lt;10000,INDEX('Responses'!$AN$2:$AN$501,K218),INDEX('Paper sign-ups'!$R$2:$R$101,K218-10000)))</f>
        <v/>
      </c>
      <c r="G218" s="18">
        <f>IF(K218="","",IF(K218&lt;10000,INDEX('Responses'!$AO$2:$AO$501,K218),INDEX('Paper sign-ups'!$S$2:$S$101,K218-10000)))</f>
        <v/>
      </c>
      <c r="H218" s="19">
        <f>IF(K218="","",IF(K218&lt;10000,INDEX('Responses'!$AI$2:$AI$501,K218),INDEX('Paper sign-ups'!$M$2:$M$101,K218-10000)))</f>
        <v/>
      </c>
      <c r="I218" s="21">
        <f>IF(K218="","",IF(K218&lt;10000,INDEX('Responses'!$AR$2:$AR$501,K218),INDEX('Paper sign-ups'!$V$2:$V$101,K218-10000)))</f>
        <v/>
      </c>
      <c r="J218" s="18">
        <f>IF(K218="","",IF(K218&lt;10000,"Online form","Paper"))</f>
        <v/>
      </c>
      <c r="K218" s="22">
        <f>IF(ISNUMBER(MATCH(213,'Responses'!$AV$2:$AV$501,0)),MATCH(213,'Responses'!$AV$2:$AV$501,0),IF(ISNUMBER(MATCH(213,'Paper sign-ups'!$Z$2:$Z$101,0)),10000+MATCH(213,'Paper sign-ups'!$Z$2:$Z$101,0),""))</f>
        <v/>
      </c>
    </row>
    <row r="219">
      <c r="A219" s="18">
        <f>IF(K219="","",214)</f>
        <v/>
      </c>
      <c r="B219" s="10">
        <f>IF(K219="","",IF(K219&lt;10000,INDEX('Responses'!$AE$2:$AE$501,K219),INDEX('Paper sign-ups'!$I$2:$I$101,K219-10000)))</f>
        <v/>
      </c>
      <c r="C219" s="19">
        <f>IF(K219="","",IF(K219&lt;10000,INDEX('Responses'!$AF$2:$AF$501,K219),INDEX('Paper sign-ups'!$J$2:$J$101,K219-10000)))</f>
        <v/>
      </c>
      <c r="D219" s="18">
        <f>IF(K219="","",IF(K219&lt;10000,INDEX('Responses'!$AH$2:$AH$501,K219),INDEX('Paper sign-ups'!$L$2:$L$101,K219-10000)))</f>
        <v/>
      </c>
      <c r="E219" s="20">
        <f>IF(K219="","",IF(K219&lt;10000,INDEX('Responses'!$AL$2:$AL$501,K219),INDEX('Paper sign-ups'!$P$2:$P$101,K219-10000)))</f>
        <v/>
      </c>
      <c r="F219" s="20">
        <f>IF(K219="","",IF(K219&lt;10000,INDEX('Responses'!$AN$2:$AN$501,K219),INDEX('Paper sign-ups'!$R$2:$R$101,K219-10000)))</f>
        <v/>
      </c>
      <c r="G219" s="18">
        <f>IF(K219="","",IF(K219&lt;10000,INDEX('Responses'!$AO$2:$AO$501,K219),INDEX('Paper sign-ups'!$S$2:$S$101,K219-10000)))</f>
        <v/>
      </c>
      <c r="H219" s="19">
        <f>IF(K219="","",IF(K219&lt;10000,INDEX('Responses'!$AI$2:$AI$501,K219),INDEX('Paper sign-ups'!$M$2:$M$101,K219-10000)))</f>
        <v/>
      </c>
      <c r="I219" s="21">
        <f>IF(K219="","",IF(K219&lt;10000,INDEX('Responses'!$AR$2:$AR$501,K219),INDEX('Paper sign-ups'!$V$2:$V$101,K219-10000)))</f>
        <v/>
      </c>
      <c r="J219" s="18">
        <f>IF(K219="","",IF(K219&lt;10000,"Online form","Paper"))</f>
        <v/>
      </c>
      <c r="K219" s="22">
        <f>IF(ISNUMBER(MATCH(214,'Responses'!$AV$2:$AV$501,0)),MATCH(214,'Responses'!$AV$2:$AV$501,0),IF(ISNUMBER(MATCH(214,'Paper sign-ups'!$Z$2:$Z$101,0)),10000+MATCH(214,'Paper sign-ups'!$Z$2:$Z$101,0),""))</f>
        <v/>
      </c>
    </row>
    <row r="220">
      <c r="A220" s="18">
        <f>IF(K220="","",215)</f>
        <v/>
      </c>
      <c r="B220" s="10">
        <f>IF(K220="","",IF(K220&lt;10000,INDEX('Responses'!$AE$2:$AE$501,K220),INDEX('Paper sign-ups'!$I$2:$I$101,K220-10000)))</f>
        <v/>
      </c>
      <c r="C220" s="19">
        <f>IF(K220="","",IF(K220&lt;10000,INDEX('Responses'!$AF$2:$AF$501,K220),INDEX('Paper sign-ups'!$J$2:$J$101,K220-10000)))</f>
        <v/>
      </c>
      <c r="D220" s="18">
        <f>IF(K220="","",IF(K220&lt;10000,INDEX('Responses'!$AH$2:$AH$501,K220),INDEX('Paper sign-ups'!$L$2:$L$101,K220-10000)))</f>
        <v/>
      </c>
      <c r="E220" s="20">
        <f>IF(K220="","",IF(K220&lt;10000,INDEX('Responses'!$AL$2:$AL$501,K220),INDEX('Paper sign-ups'!$P$2:$P$101,K220-10000)))</f>
        <v/>
      </c>
      <c r="F220" s="20">
        <f>IF(K220="","",IF(K220&lt;10000,INDEX('Responses'!$AN$2:$AN$501,K220),INDEX('Paper sign-ups'!$R$2:$R$101,K220-10000)))</f>
        <v/>
      </c>
      <c r="G220" s="18">
        <f>IF(K220="","",IF(K220&lt;10000,INDEX('Responses'!$AO$2:$AO$501,K220),INDEX('Paper sign-ups'!$S$2:$S$101,K220-10000)))</f>
        <v/>
      </c>
      <c r="H220" s="19">
        <f>IF(K220="","",IF(K220&lt;10000,INDEX('Responses'!$AI$2:$AI$501,K220),INDEX('Paper sign-ups'!$M$2:$M$101,K220-10000)))</f>
        <v/>
      </c>
      <c r="I220" s="21">
        <f>IF(K220="","",IF(K220&lt;10000,INDEX('Responses'!$AR$2:$AR$501,K220),INDEX('Paper sign-ups'!$V$2:$V$101,K220-10000)))</f>
        <v/>
      </c>
      <c r="J220" s="18">
        <f>IF(K220="","",IF(K220&lt;10000,"Online form","Paper"))</f>
        <v/>
      </c>
      <c r="K220" s="22">
        <f>IF(ISNUMBER(MATCH(215,'Responses'!$AV$2:$AV$501,0)),MATCH(215,'Responses'!$AV$2:$AV$501,0),IF(ISNUMBER(MATCH(215,'Paper sign-ups'!$Z$2:$Z$101,0)),10000+MATCH(215,'Paper sign-ups'!$Z$2:$Z$101,0),""))</f>
        <v/>
      </c>
    </row>
    <row r="221">
      <c r="A221" s="18">
        <f>IF(K221="","",216)</f>
        <v/>
      </c>
      <c r="B221" s="10">
        <f>IF(K221="","",IF(K221&lt;10000,INDEX('Responses'!$AE$2:$AE$501,K221),INDEX('Paper sign-ups'!$I$2:$I$101,K221-10000)))</f>
        <v/>
      </c>
      <c r="C221" s="19">
        <f>IF(K221="","",IF(K221&lt;10000,INDEX('Responses'!$AF$2:$AF$501,K221),INDEX('Paper sign-ups'!$J$2:$J$101,K221-10000)))</f>
        <v/>
      </c>
      <c r="D221" s="18">
        <f>IF(K221="","",IF(K221&lt;10000,INDEX('Responses'!$AH$2:$AH$501,K221),INDEX('Paper sign-ups'!$L$2:$L$101,K221-10000)))</f>
        <v/>
      </c>
      <c r="E221" s="20">
        <f>IF(K221="","",IF(K221&lt;10000,INDEX('Responses'!$AL$2:$AL$501,K221),INDEX('Paper sign-ups'!$P$2:$P$101,K221-10000)))</f>
        <v/>
      </c>
      <c r="F221" s="20">
        <f>IF(K221="","",IF(K221&lt;10000,INDEX('Responses'!$AN$2:$AN$501,K221),INDEX('Paper sign-ups'!$R$2:$R$101,K221-10000)))</f>
        <v/>
      </c>
      <c r="G221" s="18">
        <f>IF(K221="","",IF(K221&lt;10000,INDEX('Responses'!$AO$2:$AO$501,K221),INDEX('Paper sign-ups'!$S$2:$S$101,K221-10000)))</f>
        <v/>
      </c>
      <c r="H221" s="19">
        <f>IF(K221="","",IF(K221&lt;10000,INDEX('Responses'!$AI$2:$AI$501,K221),INDEX('Paper sign-ups'!$M$2:$M$101,K221-10000)))</f>
        <v/>
      </c>
      <c r="I221" s="21">
        <f>IF(K221="","",IF(K221&lt;10000,INDEX('Responses'!$AR$2:$AR$501,K221),INDEX('Paper sign-ups'!$V$2:$V$101,K221-10000)))</f>
        <v/>
      </c>
      <c r="J221" s="18">
        <f>IF(K221="","",IF(K221&lt;10000,"Online form","Paper"))</f>
        <v/>
      </c>
      <c r="K221" s="22">
        <f>IF(ISNUMBER(MATCH(216,'Responses'!$AV$2:$AV$501,0)),MATCH(216,'Responses'!$AV$2:$AV$501,0),IF(ISNUMBER(MATCH(216,'Paper sign-ups'!$Z$2:$Z$101,0)),10000+MATCH(216,'Paper sign-ups'!$Z$2:$Z$101,0),""))</f>
        <v/>
      </c>
    </row>
    <row r="222">
      <c r="A222" s="18">
        <f>IF(K222="","",217)</f>
        <v/>
      </c>
      <c r="B222" s="10">
        <f>IF(K222="","",IF(K222&lt;10000,INDEX('Responses'!$AE$2:$AE$501,K222),INDEX('Paper sign-ups'!$I$2:$I$101,K222-10000)))</f>
        <v/>
      </c>
      <c r="C222" s="19">
        <f>IF(K222="","",IF(K222&lt;10000,INDEX('Responses'!$AF$2:$AF$501,K222),INDEX('Paper sign-ups'!$J$2:$J$101,K222-10000)))</f>
        <v/>
      </c>
      <c r="D222" s="18">
        <f>IF(K222="","",IF(K222&lt;10000,INDEX('Responses'!$AH$2:$AH$501,K222),INDEX('Paper sign-ups'!$L$2:$L$101,K222-10000)))</f>
        <v/>
      </c>
      <c r="E222" s="20">
        <f>IF(K222="","",IF(K222&lt;10000,INDEX('Responses'!$AL$2:$AL$501,K222),INDEX('Paper sign-ups'!$P$2:$P$101,K222-10000)))</f>
        <v/>
      </c>
      <c r="F222" s="20">
        <f>IF(K222="","",IF(K222&lt;10000,INDEX('Responses'!$AN$2:$AN$501,K222),INDEX('Paper sign-ups'!$R$2:$R$101,K222-10000)))</f>
        <v/>
      </c>
      <c r="G222" s="18">
        <f>IF(K222="","",IF(K222&lt;10000,INDEX('Responses'!$AO$2:$AO$501,K222),INDEX('Paper sign-ups'!$S$2:$S$101,K222-10000)))</f>
        <v/>
      </c>
      <c r="H222" s="19">
        <f>IF(K222="","",IF(K222&lt;10000,INDEX('Responses'!$AI$2:$AI$501,K222),INDEX('Paper sign-ups'!$M$2:$M$101,K222-10000)))</f>
        <v/>
      </c>
      <c r="I222" s="21">
        <f>IF(K222="","",IF(K222&lt;10000,INDEX('Responses'!$AR$2:$AR$501,K222),INDEX('Paper sign-ups'!$V$2:$V$101,K222-10000)))</f>
        <v/>
      </c>
      <c r="J222" s="18">
        <f>IF(K222="","",IF(K222&lt;10000,"Online form","Paper"))</f>
        <v/>
      </c>
      <c r="K222" s="22">
        <f>IF(ISNUMBER(MATCH(217,'Responses'!$AV$2:$AV$501,0)),MATCH(217,'Responses'!$AV$2:$AV$501,0),IF(ISNUMBER(MATCH(217,'Paper sign-ups'!$Z$2:$Z$101,0)),10000+MATCH(217,'Paper sign-ups'!$Z$2:$Z$101,0),""))</f>
        <v/>
      </c>
    </row>
    <row r="223">
      <c r="A223" s="18">
        <f>IF(K223="","",218)</f>
        <v/>
      </c>
      <c r="B223" s="10">
        <f>IF(K223="","",IF(K223&lt;10000,INDEX('Responses'!$AE$2:$AE$501,K223),INDEX('Paper sign-ups'!$I$2:$I$101,K223-10000)))</f>
        <v/>
      </c>
      <c r="C223" s="19">
        <f>IF(K223="","",IF(K223&lt;10000,INDEX('Responses'!$AF$2:$AF$501,K223),INDEX('Paper sign-ups'!$J$2:$J$101,K223-10000)))</f>
        <v/>
      </c>
      <c r="D223" s="18">
        <f>IF(K223="","",IF(K223&lt;10000,INDEX('Responses'!$AH$2:$AH$501,K223),INDEX('Paper sign-ups'!$L$2:$L$101,K223-10000)))</f>
        <v/>
      </c>
      <c r="E223" s="20">
        <f>IF(K223="","",IF(K223&lt;10000,INDEX('Responses'!$AL$2:$AL$501,K223),INDEX('Paper sign-ups'!$P$2:$P$101,K223-10000)))</f>
        <v/>
      </c>
      <c r="F223" s="20">
        <f>IF(K223="","",IF(K223&lt;10000,INDEX('Responses'!$AN$2:$AN$501,K223),INDEX('Paper sign-ups'!$R$2:$R$101,K223-10000)))</f>
        <v/>
      </c>
      <c r="G223" s="18">
        <f>IF(K223="","",IF(K223&lt;10000,INDEX('Responses'!$AO$2:$AO$501,K223),INDEX('Paper sign-ups'!$S$2:$S$101,K223-10000)))</f>
        <v/>
      </c>
      <c r="H223" s="19">
        <f>IF(K223="","",IF(K223&lt;10000,INDEX('Responses'!$AI$2:$AI$501,K223),INDEX('Paper sign-ups'!$M$2:$M$101,K223-10000)))</f>
        <v/>
      </c>
      <c r="I223" s="21">
        <f>IF(K223="","",IF(K223&lt;10000,INDEX('Responses'!$AR$2:$AR$501,K223),INDEX('Paper sign-ups'!$V$2:$V$101,K223-10000)))</f>
        <v/>
      </c>
      <c r="J223" s="18">
        <f>IF(K223="","",IF(K223&lt;10000,"Online form","Paper"))</f>
        <v/>
      </c>
      <c r="K223" s="22">
        <f>IF(ISNUMBER(MATCH(218,'Responses'!$AV$2:$AV$501,0)),MATCH(218,'Responses'!$AV$2:$AV$501,0),IF(ISNUMBER(MATCH(218,'Paper sign-ups'!$Z$2:$Z$101,0)),10000+MATCH(218,'Paper sign-ups'!$Z$2:$Z$101,0),""))</f>
        <v/>
      </c>
    </row>
    <row r="224">
      <c r="A224" s="18">
        <f>IF(K224="","",219)</f>
        <v/>
      </c>
      <c r="B224" s="10">
        <f>IF(K224="","",IF(K224&lt;10000,INDEX('Responses'!$AE$2:$AE$501,K224),INDEX('Paper sign-ups'!$I$2:$I$101,K224-10000)))</f>
        <v/>
      </c>
      <c r="C224" s="19">
        <f>IF(K224="","",IF(K224&lt;10000,INDEX('Responses'!$AF$2:$AF$501,K224),INDEX('Paper sign-ups'!$J$2:$J$101,K224-10000)))</f>
        <v/>
      </c>
      <c r="D224" s="18">
        <f>IF(K224="","",IF(K224&lt;10000,INDEX('Responses'!$AH$2:$AH$501,K224),INDEX('Paper sign-ups'!$L$2:$L$101,K224-10000)))</f>
        <v/>
      </c>
      <c r="E224" s="20">
        <f>IF(K224="","",IF(K224&lt;10000,INDEX('Responses'!$AL$2:$AL$501,K224),INDEX('Paper sign-ups'!$P$2:$P$101,K224-10000)))</f>
        <v/>
      </c>
      <c r="F224" s="20">
        <f>IF(K224="","",IF(K224&lt;10000,INDEX('Responses'!$AN$2:$AN$501,K224),INDEX('Paper sign-ups'!$R$2:$R$101,K224-10000)))</f>
        <v/>
      </c>
      <c r="G224" s="18">
        <f>IF(K224="","",IF(K224&lt;10000,INDEX('Responses'!$AO$2:$AO$501,K224),INDEX('Paper sign-ups'!$S$2:$S$101,K224-10000)))</f>
        <v/>
      </c>
      <c r="H224" s="19">
        <f>IF(K224="","",IF(K224&lt;10000,INDEX('Responses'!$AI$2:$AI$501,K224),INDEX('Paper sign-ups'!$M$2:$M$101,K224-10000)))</f>
        <v/>
      </c>
      <c r="I224" s="21">
        <f>IF(K224="","",IF(K224&lt;10000,INDEX('Responses'!$AR$2:$AR$501,K224),INDEX('Paper sign-ups'!$V$2:$V$101,K224-10000)))</f>
        <v/>
      </c>
      <c r="J224" s="18">
        <f>IF(K224="","",IF(K224&lt;10000,"Online form","Paper"))</f>
        <v/>
      </c>
      <c r="K224" s="22">
        <f>IF(ISNUMBER(MATCH(219,'Responses'!$AV$2:$AV$501,0)),MATCH(219,'Responses'!$AV$2:$AV$501,0),IF(ISNUMBER(MATCH(219,'Paper sign-ups'!$Z$2:$Z$101,0)),10000+MATCH(219,'Paper sign-ups'!$Z$2:$Z$101,0),""))</f>
        <v/>
      </c>
    </row>
    <row r="225">
      <c r="A225" s="18">
        <f>IF(K225="","",220)</f>
        <v/>
      </c>
      <c r="B225" s="10">
        <f>IF(K225="","",IF(K225&lt;10000,INDEX('Responses'!$AE$2:$AE$501,K225),INDEX('Paper sign-ups'!$I$2:$I$101,K225-10000)))</f>
        <v/>
      </c>
      <c r="C225" s="19">
        <f>IF(K225="","",IF(K225&lt;10000,INDEX('Responses'!$AF$2:$AF$501,K225),INDEX('Paper sign-ups'!$J$2:$J$101,K225-10000)))</f>
        <v/>
      </c>
      <c r="D225" s="18">
        <f>IF(K225="","",IF(K225&lt;10000,INDEX('Responses'!$AH$2:$AH$501,K225),INDEX('Paper sign-ups'!$L$2:$L$101,K225-10000)))</f>
        <v/>
      </c>
      <c r="E225" s="20">
        <f>IF(K225="","",IF(K225&lt;10000,INDEX('Responses'!$AL$2:$AL$501,K225),INDEX('Paper sign-ups'!$P$2:$P$101,K225-10000)))</f>
        <v/>
      </c>
      <c r="F225" s="20">
        <f>IF(K225="","",IF(K225&lt;10000,INDEX('Responses'!$AN$2:$AN$501,K225),INDEX('Paper sign-ups'!$R$2:$R$101,K225-10000)))</f>
        <v/>
      </c>
      <c r="G225" s="18">
        <f>IF(K225="","",IF(K225&lt;10000,INDEX('Responses'!$AO$2:$AO$501,K225),INDEX('Paper sign-ups'!$S$2:$S$101,K225-10000)))</f>
        <v/>
      </c>
      <c r="H225" s="19">
        <f>IF(K225="","",IF(K225&lt;10000,INDEX('Responses'!$AI$2:$AI$501,K225),INDEX('Paper sign-ups'!$M$2:$M$101,K225-10000)))</f>
        <v/>
      </c>
      <c r="I225" s="21">
        <f>IF(K225="","",IF(K225&lt;10000,INDEX('Responses'!$AR$2:$AR$501,K225),INDEX('Paper sign-ups'!$V$2:$V$101,K225-10000)))</f>
        <v/>
      </c>
      <c r="J225" s="18">
        <f>IF(K225="","",IF(K225&lt;10000,"Online form","Paper"))</f>
        <v/>
      </c>
      <c r="K225" s="22">
        <f>IF(ISNUMBER(MATCH(220,'Responses'!$AV$2:$AV$501,0)),MATCH(220,'Responses'!$AV$2:$AV$501,0),IF(ISNUMBER(MATCH(220,'Paper sign-ups'!$Z$2:$Z$101,0)),10000+MATCH(220,'Paper sign-ups'!$Z$2:$Z$101,0),""))</f>
        <v/>
      </c>
    </row>
    <row r="226">
      <c r="A226" s="18">
        <f>IF(K226="","",221)</f>
        <v/>
      </c>
      <c r="B226" s="10">
        <f>IF(K226="","",IF(K226&lt;10000,INDEX('Responses'!$AE$2:$AE$501,K226),INDEX('Paper sign-ups'!$I$2:$I$101,K226-10000)))</f>
        <v/>
      </c>
      <c r="C226" s="19">
        <f>IF(K226="","",IF(K226&lt;10000,INDEX('Responses'!$AF$2:$AF$501,K226),INDEX('Paper sign-ups'!$J$2:$J$101,K226-10000)))</f>
        <v/>
      </c>
      <c r="D226" s="18">
        <f>IF(K226="","",IF(K226&lt;10000,INDEX('Responses'!$AH$2:$AH$501,K226),INDEX('Paper sign-ups'!$L$2:$L$101,K226-10000)))</f>
        <v/>
      </c>
      <c r="E226" s="20">
        <f>IF(K226="","",IF(K226&lt;10000,INDEX('Responses'!$AL$2:$AL$501,K226),INDEX('Paper sign-ups'!$P$2:$P$101,K226-10000)))</f>
        <v/>
      </c>
      <c r="F226" s="20">
        <f>IF(K226="","",IF(K226&lt;10000,INDEX('Responses'!$AN$2:$AN$501,K226),INDEX('Paper sign-ups'!$R$2:$R$101,K226-10000)))</f>
        <v/>
      </c>
      <c r="G226" s="18">
        <f>IF(K226="","",IF(K226&lt;10000,INDEX('Responses'!$AO$2:$AO$501,K226),INDEX('Paper sign-ups'!$S$2:$S$101,K226-10000)))</f>
        <v/>
      </c>
      <c r="H226" s="19">
        <f>IF(K226="","",IF(K226&lt;10000,INDEX('Responses'!$AI$2:$AI$501,K226),INDEX('Paper sign-ups'!$M$2:$M$101,K226-10000)))</f>
        <v/>
      </c>
      <c r="I226" s="21">
        <f>IF(K226="","",IF(K226&lt;10000,INDEX('Responses'!$AR$2:$AR$501,K226),INDEX('Paper sign-ups'!$V$2:$V$101,K226-10000)))</f>
        <v/>
      </c>
      <c r="J226" s="18">
        <f>IF(K226="","",IF(K226&lt;10000,"Online form","Paper"))</f>
        <v/>
      </c>
      <c r="K226" s="22">
        <f>IF(ISNUMBER(MATCH(221,'Responses'!$AV$2:$AV$501,0)),MATCH(221,'Responses'!$AV$2:$AV$501,0),IF(ISNUMBER(MATCH(221,'Paper sign-ups'!$Z$2:$Z$101,0)),10000+MATCH(221,'Paper sign-ups'!$Z$2:$Z$101,0),""))</f>
        <v/>
      </c>
    </row>
    <row r="227">
      <c r="A227" s="18">
        <f>IF(K227="","",222)</f>
        <v/>
      </c>
      <c r="B227" s="10">
        <f>IF(K227="","",IF(K227&lt;10000,INDEX('Responses'!$AE$2:$AE$501,K227),INDEX('Paper sign-ups'!$I$2:$I$101,K227-10000)))</f>
        <v/>
      </c>
      <c r="C227" s="19">
        <f>IF(K227="","",IF(K227&lt;10000,INDEX('Responses'!$AF$2:$AF$501,K227),INDEX('Paper sign-ups'!$J$2:$J$101,K227-10000)))</f>
        <v/>
      </c>
      <c r="D227" s="18">
        <f>IF(K227="","",IF(K227&lt;10000,INDEX('Responses'!$AH$2:$AH$501,K227),INDEX('Paper sign-ups'!$L$2:$L$101,K227-10000)))</f>
        <v/>
      </c>
      <c r="E227" s="20">
        <f>IF(K227="","",IF(K227&lt;10000,INDEX('Responses'!$AL$2:$AL$501,K227),INDEX('Paper sign-ups'!$P$2:$P$101,K227-10000)))</f>
        <v/>
      </c>
      <c r="F227" s="20">
        <f>IF(K227="","",IF(K227&lt;10000,INDEX('Responses'!$AN$2:$AN$501,K227),INDEX('Paper sign-ups'!$R$2:$R$101,K227-10000)))</f>
        <v/>
      </c>
      <c r="G227" s="18">
        <f>IF(K227="","",IF(K227&lt;10000,INDEX('Responses'!$AO$2:$AO$501,K227),INDEX('Paper sign-ups'!$S$2:$S$101,K227-10000)))</f>
        <v/>
      </c>
      <c r="H227" s="19">
        <f>IF(K227="","",IF(K227&lt;10000,INDEX('Responses'!$AI$2:$AI$501,K227),INDEX('Paper sign-ups'!$M$2:$M$101,K227-10000)))</f>
        <v/>
      </c>
      <c r="I227" s="21">
        <f>IF(K227="","",IF(K227&lt;10000,INDEX('Responses'!$AR$2:$AR$501,K227),INDEX('Paper sign-ups'!$V$2:$V$101,K227-10000)))</f>
        <v/>
      </c>
      <c r="J227" s="18">
        <f>IF(K227="","",IF(K227&lt;10000,"Online form","Paper"))</f>
        <v/>
      </c>
      <c r="K227" s="22">
        <f>IF(ISNUMBER(MATCH(222,'Responses'!$AV$2:$AV$501,0)),MATCH(222,'Responses'!$AV$2:$AV$501,0),IF(ISNUMBER(MATCH(222,'Paper sign-ups'!$Z$2:$Z$101,0)),10000+MATCH(222,'Paper sign-ups'!$Z$2:$Z$101,0),""))</f>
        <v/>
      </c>
    </row>
    <row r="228">
      <c r="A228" s="18">
        <f>IF(K228="","",223)</f>
        <v/>
      </c>
      <c r="B228" s="10">
        <f>IF(K228="","",IF(K228&lt;10000,INDEX('Responses'!$AE$2:$AE$501,K228),INDEX('Paper sign-ups'!$I$2:$I$101,K228-10000)))</f>
        <v/>
      </c>
      <c r="C228" s="19">
        <f>IF(K228="","",IF(K228&lt;10000,INDEX('Responses'!$AF$2:$AF$501,K228),INDEX('Paper sign-ups'!$J$2:$J$101,K228-10000)))</f>
        <v/>
      </c>
      <c r="D228" s="18">
        <f>IF(K228="","",IF(K228&lt;10000,INDEX('Responses'!$AH$2:$AH$501,K228),INDEX('Paper sign-ups'!$L$2:$L$101,K228-10000)))</f>
        <v/>
      </c>
      <c r="E228" s="20">
        <f>IF(K228="","",IF(K228&lt;10000,INDEX('Responses'!$AL$2:$AL$501,K228),INDEX('Paper sign-ups'!$P$2:$P$101,K228-10000)))</f>
        <v/>
      </c>
      <c r="F228" s="20">
        <f>IF(K228="","",IF(K228&lt;10000,INDEX('Responses'!$AN$2:$AN$501,K228),INDEX('Paper sign-ups'!$R$2:$R$101,K228-10000)))</f>
        <v/>
      </c>
      <c r="G228" s="18">
        <f>IF(K228="","",IF(K228&lt;10000,INDEX('Responses'!$AO$2:$AO$501,K228),INDEX('Paper sign-ups'!$S$2:$S$101,K228-10000)))</f>
        <v/>
      </c>
      <c r="H228" s="19">
        <f>IF(K228="","",IF(K228&lt;10000,INDEX('Responses'!$AI$2:$AI$501,K228),INDEX('Paper sign-ups'!$M$2:$M$101,K228-10000)))</f>
        <v/>
      </c>
      <c r="I228" s="21">
        <f>IF(K228="","",IF(K228&lt;10000,INDEX('Responses'!$AR$2:$AR$501,K228),INDEX('Paper sign-ups'!$V$2:$V$101,K228-10000)))</f>
        <v/>
      </c>
      <c r="J228" s="18">
        <f>IF(K228="","",IF(K228&lt;10000,"Online form","Paper"))</f>
        <v/>
      </c>
      <c r="K228" s="22">
        <f>IF(ISNUMBER(MATCH(223,'Responses'!$AV$2:$AV$501,0)),MATCH(223,'Responses'!$AV$2:$AV$501,0),IF(ISNUMBER(MATCH(223,'Paper sign-ups'!$Z$2:$Z$101,0)),10000+MATCH(223,'Paper sign-ups'!$Z$2:$Z$101,0),""))</f>
        <v/>
      </c>
    </row>
    <row r="229">
      <c r="A229" s="18">
        <f>IF(K229="","",224)</f>
        <v/>
      </c>
      <c r="B229" s="10">
        <f>IF(K229="","",IF(K229&lt;10000,INDEX('Responses'!$AE$2:$AE$501,K229),INDEX('Paper sign-ups'!$I$2:$I$101,K229-10000)))</f>
        <v/>
      </c>
      <c r="C229" s="19">
        <f>IF(K229="","",IF(K229&lt;10000,INDEX('Responses'!$AF$2:$AF$501,K229),INDEX('Paper sign-ups'!$J$2:$J$101,K229-10000)))</f>
        <v/>
      </c>
      <c r="D229" s="18">
        <f>IF(K229="","",IF(K229&lt;10000,INDEX('Responses'!$AH$2:$AH$501,K229),INDEX('Paper sign-ups'!$L$2:$L$101,K229-10000)))</f>
        <v/>
      </c>
      <c r="E229" s="20">
        <f>IF(K229="","",IF(K229&lt;10000,INDEX('Responses'!$AL$2:$AL$501,K229),INDEX('Paper sign-ups'!$P$2:$P$101,K229-10000)))</f>
        <v/>
      </c>
      <c r="F229" s="20">
        <f>IF(K229="","",IF(K229&lt;10000,INDEX('Responses'!$AN$2:$AN$501,K229),INDEX('Paper sign-ups'!$R$2:$R$101,K229-10000)))</f>
        <v/>
      </c>
      <c r="G229" s="18">
        <f>IF(K229="","",IF(K229&lt;10000,INDEX('Responses'!$AO$2:$AO$501,K229),INDEX('Paper sign-ups'!$S$2:$S$101,K229-10000)))</f>
        <v/>
      </c>
      <c r="H229" s="19">
        <f>IF(K229="","",IF(K229&lt;10000,INDEX('Responses'!$AI$2:$AI$501,K229),INDEX('Paper sign-ups'!$M$2:$M$101,K229-10000)))</f>
        <v/>
      </c>
      <c r="I229" s="21">
        <f>IF(K229="","",IF(K229&lt;10000,INDEX('Responses'!$AR$2:$AR$501,K229),INDEX('Paper sign-ups'!$V$2:$V$101,K229-10000)))</f>
        <v/>
      </c>
      <c r="J229" s="18">
        <f>IF(K229="","",IF(K229&lt;10000,"Online form","Paper"))</f>
        <v/>
      </c>
      <c r="K229" s="22">
        <f>IF(ISNUMBER(MATCH(224,'Responses'!$AV$2:$AV$501,0)),MATCH(224,'Responses'!$AV$2:$AV$501,0),IF(ISNUMBER(MATCH(224,'Paper sign-ups'!$Z$2:$Z$101,0)),10000+MATCH(224,'Paper sign-ups'!$Z$2:$Z$101,0),""))</f>
        <v/>
      </c>
    </row>
    <row r="230">
      <c r="A230" s="18">
        <f>IF(K230="","",225)</f>
        <v/>
      </c>
      <c r="B230" s="10">
        <f>IF(K230="","",IF(K230&lt;10000,INDEX('Responses'!$AE$2:$AE$501,K230),INDEX('Paper sign-ups'!$I$2:$I$101,K230-10000)))</f>
        <v/>
      </c>
      <c r="C230" s="19">
        <f>IF(K230="","",IF(K230&lt;10000,INDEX('Responses'!$AF$2:$AF$501,K230),INDEX('Paper sign-ups'!$J$2:$J$101,K230-10000)))</f>
        <v/>
      </c>
      <c r="D230" s="18">
        <f>IF(K230="","",IF(K230&lt;10000,INDEX('Responses'!$AH$2:$AH$501,K230),INDEX('Paper sign-ups'!$L$2:$L$101,K230-10000)))</f>
        <v/>
      </c>
      <c r="E230" s="20">
        <f>IF(K230="","",IF(K230&lt;10000,INDEX('Responses'!$AL$2:$AL$501,K230),INDEX('Paper sign-ups'!$P$2:$P$101,K230-10000)))</f>
        <v/>
      </c>
      <c r="F230" s="20">
        <f>IF(K230="","",IF(K230&lt;10000,INDEX('Responses'!$AN$2:$AN$501,K230),INDEX('Paper sign-ups'!$R$2:$R$101,K230-10000)))</f>
        <v/>
      </c>
      <c r="G230" s="18">
        <f>IF(K230="","",IF(K230&lt;10000,INDEX('Responses'!$AO$2:$AO$501,K230),INDEX('Paper sign-ups'!$S$2:$S$101,K230-10000)))</f>
        <v/>
      </c>
      <c r="H230" s="19">
        <f>IF(K230="","",IF(K230&lt;10000,INDEX('Responses'!$AI$2:$AI$501,K230),INDEX('Paper sign-ups'!$M$2:$M$101,K230-10000)))</f>
        <v/>
      </c>
      <c r="I230" s="21">
        <f>IF(K230="","",IF(K230&lt;10000,INDEX('Responses'!$AR$2:$AR$501,K230),INDEX('Paper sign-ups'!$V$2:$V$101,K230-10000)))</f>
        <v/>
      </c>
      <c r="J230" s="18">
        <f>IF(K230="","",IF(K230&lt;10000,"Online form","Paper"))</f>
        <v/>
      </c>
      <c r="K230" s="22">
        <f>IF(ISNUMBER(MATCH(225,'Responses'!$AV$2:$AV$501,0)),MATCH(225,'Responses'!$AV$2:$AV$501,0),IF(ISNUMBER(MATCH(225,'Paper sign-ups'!$Z$2:$Z$101,0)),10000+MATCH(225,'Paper sign-ups'!$Z$2:$Z$101,0),""))</f>
        <v/>
      </c>
    </row>
    <row r="231">
      <c r="A231" s="18">
        <f>IF(K231="","",226)</f>
        <v/>
      </c>
      <c r="B231" s="10">
        <f>IF(K231="","",IF(K231&lt;10000,INDEX('Responses'!$AE$2:$AE$501,K231),INDEX('Paper sign-ups'!$I$2:$I$101,K231-10000)))</f>
        <v/>
      </c>
      <c r="C231" s="19">
        <f>IF(K231="","",IF(K231&lt;10000,INDEX('Responses'!$AF$2:$AF$501,K231),INDEX('Paper sign-ups'!$J$2:$J$101,K231-10000)))</f>
        <v/>
      </c>
      <c r="D231" s="18">
        <f>IF(K231="","",IF(K231&lt;10000,INDEX('Responses'!$AH$2:$AH$501,K231),INDEX('Paper sign-ups'!$L$2:$L$101,K231-10000)))</f>
        <v/>
      </c>
      <c r="E231" s="20">
        <f>IF(K231="","",IF(K231&lt;10000,INDEX('Responses'!$AL$2:$AL$501,K231),INDEX('Paper sign-ups'!$P$2:$P$101,K231-10000)))</f>
        <v/>
      </c>
      <c r="F231" s="20">
        <f>IF(K231="","",IF(K231&lt;10000,INDEX('Responses'!$AN$2:$AN$501,K231),INDEX('Paper sign-ups'!$R$2:$R$101,K231-10000)))</f>
        <v/>
      </c>
      <c r="G231" s="18">
        <f>IF(K231="","",IF(K231&lt;10000,INDEX('Responses'!$AO$2:$AO$501,K231),INDEX('Paper sign-ups'!$S$2:$S$101,K231-10000)))</f>
        <v/>
      </c>
      <c r="H231" s="19">
        <f>IF(K231="","",IF(K231&lt;10000,INDEX('Responses'!$AI$2:$AI$501,K231),INDEX('Paper sign-ups'!$M$2:$M$101,K231-10000)))</f>
        <v/>
      </c>
      <c r="I231" s="21">
        <f>IF(K231="","",IF(K231&lt;10000,INDEX('Responses'!$AR$2:$AR$501,K231),INDEX('Paper sign-ups'!$V$2:$V$101,K231-10000)))</f>
        <v/>
      </c>
      <c r="J231" s="18">
        <f>IF(K231="","",IF(K231&lt;10000,"Online form","Paper"))</f>
        <v/>
      </c>
      <c r="K231" s="22">
        <f>IF(ISNUMBER(MATCH(226,'Responses'!$AV$2:$AV$501,0)),MATCH(226,'Responses'!$AV$2:$AV$501,0),IF(ISNUMBER(MATCH(226,'Paper sign-ups'!$Z$2:$Z$101,0)),10000+MATCH(226,'Paper sign-ups'!$Z$2:$Z$101,0),""))</f>
        <v/>
      </c>
    </row>
    <row r="232">
      <c r="A232" s="18">
        <f>IF(K232="","",227)</f>
        <v/>
      </c>
      <c r="B232" s="10">
        <f>IF(K232="","",IF(K232&lt;10000,INDEX('Responses'!$AE$2:$AE$501,K232),INDEX('Paper sign-ups'!$I$2:$I$101,K232-10000)))</f>
        <v/>
      </c>
      <c r="C232" s="19">
        <f>IF(K232="","",IF(K232&lt;10000,INDEX('Responses'!$AF$2:$AF$501,K232),INDEX('Paper sign-ups'!$J$2:$J$101,K232-10000)))</f>
        <v/>
      </c>
      <c r="D232" s="18">
        <f>IF(K232="","",IF(K232&lt;10000,INDEX('Responses'!$AH$2:$AH$501,K232),INDEX('Paper sign-ups'!$L$2:$L$101,K232-10000)))</f>
        <v/>
      </c>
      <c r="E232" s="20">
        <f>IF(K232="","",IF(K232&lt;10000,INDEX('Responses'!$AL$2:$AL$501,K232),INDEX('Paper sign-ups'!$P$2:$P$101,K232-10000)))</f>
        <v/>
      </c>
      <c r="F232" s="20">
        <f>IF(K232="","",IF(K232&lt;10000,INDEX('Responses'!$AN$2:$AN$501,K232),INDEX('Paper sign-ups'!$R$2:$R$101,K232-10000)))</f>
        <v/>
      </c>
      <c r="G232" s="18">
        <f>IF(K232="","",IF(K232&lt;10000,INDEX('Responses'!$AO$2:$AO$501,K232),INDEX('Paper sign-ups'!$S$2:$S$101,K232-10000)))</f>
        <v/>
      </c>
      <c r="H232" s="19">
        <f>IF(K232="","",IF(K232&lt;10000,INDEX('Responses'!$AI$2:$AI$501,K232),INDEX('Paper sign-ups'!$M$2:$M$101,K232-10000)))</f>
        <v/>
      </c>
      <c r="I232" s="21">
        <f>IF(K232="","",IF(K232&lt;10000,INDEX('Responses'!$AR$2:$AR$501,K232),INDEX('Paper sign-ups'!$V$2:$V$101,K232-10000)))</f>
        <v/>
      </c>
      <c r="J232" s="18">
        <f>IF(K232="","",IF(K232&lt;10000,"Online form","Paper"))</f>
        <v/>
      </c>
      <c r="K232" s="22">
        <f>IF(ISNUMBER(MATCH(227,'Responses'!$AV$2:$AV$501,0)),MATCH(227,'Responses'!$AV$2:$AV$501,0),IF(ISNUMBER(MATCH(227,'Paper sign-ups'!$Z$2:$Z$101,0)),10000+MATCH(227,'Paper sign-ups'!$Z$2:$Z$101,0),""))</f>
        <v/>
      </c>
    </row>
    <row r="233">
      <c r="A233" s="18">
        <f>IF(K233="","",228)</f>
        <v/>
      </c>
      <c r="B233" s="10">
        <f>IF(K233="","",IF(K233&lt;10000,INDEX('Responses'!$AE$2:$AE$501,K233),INDEX('Paper sign-ups'!$I$2:$I$101,K233-10000)))</f>
        <v/>
      </c>
      <c r="C233" s="19">
        <f>IF(K233="","",IF(K233&lt;10000,INDEX('Responses'!$AF$2:$AF$501,K233),INDEX('Paper sign-ups'!$J$2:$J$101,K233-10000)))</f>
        <v/>
      </c>
      <c r="D233" s="18">
        <f>IF(K233="","",IF(K233&lt;10000,INDEX('Responses'!$AH$2:$AH$501,K233),INDEX('Paper sign-ups'!$L$2:$L$101,K233-10000)))</f>
        <v/>
      </c>
      <c r="E233" s="20">
        <f>IF(K233="","",IF(K233&lt;10000,INDEX('Responses'!$AL$2:$AL$501,K233),INDEX('Paper sign-ups'!$P$2:$P$101,K233-10000)))</f>
        <v/>
      </c>
      <c r="F233" s="20">
        <f>IF(K233="","",IF(K233&lt;10000,INDEX('Responses'!$AN$2:$AN$501,K233),INDEX('Paper sign-ups'!$R$2:$R$101,K233-10000)))</f>
        <v/>
      </c>
      <c r="G233" s="18">
        <f>IF(K233="","",IF(K233&lt;10000,INDEX('Responses'!$AO$2:$AO$501,K233),INDEX('Paper sign-ups'!$S$2:$S$101,K233-10000)))</f>
        <v/>
      </c>
      <c r="H233" s="19">
        <f>IF(K233="","",IF(K233&lt;10000,INDEX('Responses'!$AI$2:$AI$501,K233),INDEX('Paper sign-ups'!$M$2:$M$101,K233-10000)))</f>
        <v/>
      </c>
      <c r="I233" s="21">
        <f>IF(K233="","",IF(K233&lt;10000,INDEX('Responses'!$AR$2:$AR$501,K233),INDEX('Paper sign-ups'!$V$2:$V$101,K233-10000)))</f>
        <v/>
      </c>
      <c r="J233" s="18">
        <f>IF(K233="","",IF(K233&lt;10000,"Online form","Paper"))</f>
        <v/>
      </c>
      <c r="K233" s="22">
        <f>IF(ISNUMBER(MATCH(228,'Responses'!$AV$2:$AV$501,0)),MATCH(228,'Responses'!$AV$2:$AV$501,0),IF(ISNUMBER(MATCH(228,'Paper sign-ups'!$Z$2:$Z$101,0)),10000+MATCH(228,'Paper sign-ups'!$Z$2:$Z$101,0),""))</f>
        <v/>
      </c>
    </row>
    <row r="234">
      <c r="A234" s="18">
        <f>IF(K234="","",229)</f>
        <v/>
      </c>
      <c r="B234" s="10">
        <f>IF(K234="","",IF(K234&lt;10000,INDEX('Responses'!$AE$2:$AE$501,K234),INDEX('Paper sign-ups'!$I$2:$I$101,K234-10000)))</f>
        <v/>
      </c>
      <c r="C234" s="19">
        <f>IF(K234="","",IF(K234&lt;10000,INDEX('Responses'!$AF$2:$AF$501,K234),INDEX('Paper sign-ups'!$J$2:$J$101,K234-10000)))</f>
        <v/>
      </c>
      <c r="D234" s="18">
        <f>IF(K234="","",IF(K234&lt;10000,INDEX('Responses'!$AH$2:$AH$501,K234),INDEX('Paper sign-ups'!$L$2:$L$101,K234-10000)))</f>
        <v/>
      </c>
      <c r="E234" s="20">
        <f>IF(K234="","",IF(K234&lt;10000,INDEX('Responses'!$AL$2:$AL$501,K234),INDEX('Paper sign-ups'!$P$2:$P$101,K234-10000)))</f>
        <v/>
      </c>
      <c r="F234" s="20">
        <f>IF(K234="","",IF(K234&lt;10000,INDEX('Responses'!$AN$2:$AN$501,K234),INDEX('Paper sign-ups'!$R$2:$R$101,K234-10000)))</f>
        <v/>
      </c>
      <c r="G234" s="18">
        <f>IF(K234="","",IF(K234&lt;10000,INDEX('Responses'!$AO$2:$AO$501,K234),INDEX('Paper sign-ups'!$S$2:$S$101,K234-10000)))</f>
        <v/>
      </c>
      <c r="H234" s="19">
        <f>IF(K234="","",IF(K234&lt;10000,INDEX('Responses'!$AI$2:$AI$501,K234),INDEX('Paper sign-ups'!$M$2:$M$101,K234-10000)))</f>
        <v/>
      </c>
      <c r="I234" s="21">
        <f>IF(K234="","",IF(K234&lt;10000,INDEX('Responses'!$AR$2:$AR$501,K234),INDEX('Paper sign-ups'!$V$2:$V$101,K234-10000)))</f>
        <v/>
      </c>
      <c r="J234" s="18">
        <f>IF(K234="","",IF(K234&lt;10000,"Online form","Paper"))</f>
        <v/>
      </c>
      <c r="K234" s="22">
        <f>IF(ISNUMBER(MATCH(229,'Responses'!$AV$2:$AV$501,0)),MATCH(229,'Responses'!$AV$2:$AV$501,0),IF(ISNUMBER(MATCH(229,'Paper sign-ups'!$Z$2:$Z$101,0)),10000+MATCH(229,'Paper sign-ups'!$Z$2:$Z$101,0),""))</f>
        <v/>
      </c>
    </row>
    <row r="235">
      <c r="A235" s="18">
        <f>IF(K235="","",230)</f>
        <v/>
      </c>
      <c r="B235" s="10">
        <f>IF(K235="","",IF(K235&lt;10000,INDEX('Responses'!$AE$2:$AE$501,K235),INDEX('Paper sign-ups'!$I$2:$I$101,K235-10000)))</f>
        <v/>
      </c>
      <c r="C235" s="19">
        <f>IF(K235="","",IF(K235&lt;10000,INDEX('Responses'!$AF$2:$AF$501,K235),INDEX('Paper sign-ups'!$J$2:$J$101,K235-10000)))</f>
        <v/>
      </c>
      <c r="D235" s="18">
        <f>IF(K235="","",IF(K235&lt;10000,INDEX('Responses'!$AH$2:$AH$501,K235),INDEX('Paper sign-ups'!$L$2:$L$101,K235-10000)))</f>
        <v/>
      </c>
      <c r="E235" s="20">
        <f>IF(K235="","",IF(K235&lt;10000,INDEX('Responses'!$AL$2:$AL$501,K235),INDEX('Paper sign-ups'!$P$2:$P$101,K235-10000)))</f>
        <v/>
      </c>
      <c r="F235" s="20">
        <f>IF(K235="","",IF(K235&lt;10000,INDEX('Responses'!$AN$2:$AN$501,K235),INDEX('Paper sign-ups'!$R$2:$R$101,K235-10000)))</f>
        <v/>
      </c>
      <c r="G235" s="18">
        <f>IF(K235="","",IF(K235&lt;10000,INDEX('Responses'!$AO$2:$AO$501,K235),INDEX('Paper sign-ups'!$S$2:$S$101,K235-10000)))</f>
        <v/>
      </c>
      <c r="H235" s="19">
        <f>IF(K235="","",IF(K235&lt;10000,INDEX('Responses'!$AI$2:$AI$501,K235),INDEX('Paper sign-ups'!$M$2:$M$101,K235-10000)))</f>
        <v/>
      </c>
      <c r="I235" s="21">
        <f>IF(K235="","",IF(K235&lt;10000,INDEX('Responses'!$AR$2:$AR$501,K235),INDEX('Paper sign-ups'!$V$2:$V$101,K235-10000)))</f>
        <v/>
      </c>
      <c r="J235" s="18">
        <f>IF(K235="","",IF(K235&lt;10000,"Online form","Paper"))</f>
        <v/>
      </c>
      <c r="K235" s="22">
        <f>IF(ISNUMBER(MATCH(230,'Responses'!$AV$2:$AV$501,0)),MATCH(230,'Responses'!$AV$2:$AV$501,0),IF(ISNUMBER(MATCH(230,'Paper sign-ups'!$Z$2:$Z$101,0)),10000+MATCH(230,'Paper sign-ups'!$Z$2:$Z$101,0),""))</f>
        <v/>
      </c>
    </row>
    <row r="236">
      <c r="A236" s="18">
        <f>IF(K236="","",231)</f>
        <v/>
      </c>
      <c r="B236" s="10">
        <f>IF(K236="","",IF(K236&lt;10000,INDEX('Responses'!$AE$2:$AE$501,K236),INDEX('Paper sign-ups'!$I$2:$I$101,K236-10000)))</f>
        <v/>
      </c>
      <c r="C236" s="19">
        <f>IF(K236="","",IF(K236&lt;10000,INDEX('Responses'!$AF$2:$AF$501,K236),INDEX('Paper sign-ups'!$J$2:$J$101,K236-10000)))</f>
        <v/>
      </c>
      <c r="D236" s="18">
        <f>IF(K236="","",IF(K236&lt;10000,INDEX('Responses'!$AH$2:$AH$501,K236),INDEX('Paper sign-ups'!$L$2:$L$101,K236-10000)))</f>
        <v/>
      </c>
      <c r="E236" s="20">
        <f>IF(K236="","",IF(K236&lt;10000,INDEX('Responses'!$AL$2:$AL$501,K236),INDEX('Paper sign-ups'!$P$2:$P$101,K236-10000)))</f>
        <v/>
      </c>
      <c r="F236" s="20">
        <f>IF(K236="","",IF(K236&lt;10000,INDEX('Responses'!$AN$2:$AN$501,K236),INDEX('Paper sign-ups'!$R$2:$R$101,K236-10000)))</f>
        <v/>
      </c>
      <c r="G236" s="18">
        <f>IF(K236="","",IF(K236&lt;10000,INDEX('Responses'!$AO$2:$AO$501,K236),INDEX('Paper sign-ups'!$S$2:$S$101,K236-10000)))</f>
        <v/>
      </c>
      <c r="H236" s="19">
        <f>IF(K236="","",IF(K236&lt;10000,INDEX('Responses'!$AI$2:$AI$501,K236),INDEX('Paper sign-ups'!$M$2:$M$101,K236-10000)))</f>
        <v/>
      </c>
      <c r="I236" s="21">
        <f>IF(K236="","",IF(K236&lt;10000,INDEX('Responses'!$AR$2:$AR$501,K236),INDEX('Paper sign-ups'!$V$2:$V$101,K236-10000)))</f>
        <v/>
      </c>
      <c r="J236" s="18">
        <f>IF(K236="","",IF(K236&lt;10000,"Online form","Paper"))</f>
        <v/>
      </c>
      <c r="K236" s="22">
        <f>IF(ISNUMBER(MATCH(231,'Responses'!$AV$2:$AV$501,0)),MATCH(231,'Responses'!$AV$2:$AV$501,0),IF(ISNUMBER(MATCH(231,'Paper sign-ups'!$Z$2:$Z$101,0)),10000+MATCH(231,'Paper sign-ups'!$Z$2:$Z$101,0),""))</f>
        <v/>
      </c>
    </row>
    <row r="237">
      <c r="A237" s="18">
        <f>IF(K237="","",232)</f>
        <v/>
      </c>
      <c r="B237" s="10">
        <f>IF(K237="","",IF(K237&lt;10000,INDEX('Responses'!$AE$2:$AE$501,K237),INDEX('Paper sign-ups'!$I$2:$I$101,K237-10000)))</f>
        <v/>
      </c>
      <c r="C237" s="19">
        <f>IF(K237="","",IF(K237&lt;10000,INDEX('Responses'!$AF$2:$AF$501,K237),INDEX('Paper sign-ups'!$J$2:$J$101,K237-10000)))</f>
        <v/>
      </c>
      <c r="D237" s="18">
        <f>IF(K237="","",IF(K237&lt;10000,INDEX('Responses'!$AH$2:$AH$501,K237),INDEX('Paper sign-ups'!$L$2:$L$101,K237-10000)))</f>
        <v/>
      </c>
      <c r="E237" s="20">
        <f>IF(K237="","",IF(K237&lt;10000,INDEX('Responses'!$AL$2:$AL$501,K237),INDEX('Paper sign-ups'!$P$2:$P$101,K237-10000)))</f>
        <v/>
      </c>
      <c r="F237" s="20">
        <f>IF(K237="","",IF(K237&lt;10000,INDEX('Responses'!$AN$2:$AN$501,K237),INDEX('Paper sign-ups'!$R$2:$R$101,K237-10000)))</f>
        <v/>
      </c>
      <c r="G237" s="18">
        <f>IF(K237="","",IF(K237&lt;10000,INDEX('Responses'!$AO$2:$AO$501,K237),INDEX('Paper sign-ups'!$S$2:$S$101,K237-10000)))</f>
        <v/>
      </c>
      <c r="H237" s="19">
        <f>IF(K237="","",IF(K237&lt;10000,INDEX('Responses'!$AI$2:$AI$501,K237),INDEX('Paper sign-ups'!$M$2:$M$101,K237-10000)))</f>
        <v/>
      </c>
      <c r="I237" s="21">
        <f>IF(K237="","",IF(K237&lt;10000,INDEX('Responses'!$AR$2:$AR$501,K237),INDEX('Paper sign-ups'!$V$2:$V$101,K237-10000)))</f>
        <v/>
      </c>
      <c r="J237" s="18">
        <f>IF(K237="","",IF(K237&lt;10000,"Online form","Paper"))</f>
        <v/>
      </c>
      <c r="K237" s="22">
        <f>IF(ISNUMBER(MATCH(232,'Responses'!$AV$2:$AV$501,0)),MATCH(232,'Responses'!$AV$2:$AV$501,0),IF(ISNUMBER(MATCH(232,'Paper sign-ups'!$Z$2:$Z$101,0)),10000+MATCH(232,'Paper sign-ups'!$Z$2:$Z$101,0),""))</f>
        <v/>
      </c>
    </row>
    <row r="238">
      <c r="A238" s="18">
        <f>IF(K238="","",233)</f>
        <v/>
      </c>
      <c r="B238" s="10">
        <f>IF(K238="","",IF(K238&lt;10000,INDEX('Responses'!$AE$2:$AE$501,K238),INDEX('Paper sign-ups'!$I$2:$I$101,K238-10000)))</f>
        <v/>
      </c>
      <c r="C238" s="19">
        <f>IF(K238="","",IF(K238&lt;10000,INDEX('Responses'!$AF$2:$AF$501,K238),INDEX('Paper sign-ups'!$J$2:$J$101,K238-10000)))</f>
        <v/>
      </c>
      <c r="D238" s="18">
        <f>IF(K238="","",IF(K238&lt;10000,INDEX('Responses'!$AH$2:$AH$501,K238),INDEX('Paper sign-ups'!$L$2:$L$101,K238-10000)))</f>
        <v/>
      </c>
      <c r="E238" s="20">
        <f>IF(K238="","",IF(K238&lt;10000,INDEX('Responses'!$AL$2:$AL$501,K238),INDEX('Paper sign-ups'!$P$2:$P$101,K238-10000)))</f>
        <v/>
      </c>
      <c r="F238" s="20">
        <f>IF(K238="","",IF(K238&lt;10000,INDEX('Responses'!$AN$2:$AN$501,K238),INDEX('Paper sign-ups'!$R$2:$R$101,K238-10000)))</f>
        <v/>
      </c>
      <c r="G238" s="18">
        <f>IF(K238="","",IF(K238&lt;10000,INDEX('Responses'!$AO$2:$AO$501,K238),INDEX('Paper sign-ups'!$S$2:$S$101,K238-10000)))</f>
        <v/>
      </c>
      <c r="H238" s="19">
        <f>IF(K238="","",IF(K238&lt;10000,INDEX('Responses'!$AI$2:$AI$501,K238),INDEX('Paper sign-ups'!$M$2:$M$101,K238-10000)))</f>
        <v/>
      </c>
      <c r="I238" s="21">
        <f>IF(K238="","",IF(K238&lt;10000,INDEX('Responses'!$AR$2:$AR$501,K238),INDEX('Paper sign-ups'!$V$2:$V$101,K238-10000)))</f>
        <v/>
      </c>
      <c r="J238" s="18">
        <f>IF(K238="","",IF(K238&lt;10000,"Online form","Paper"))</f>
        <v/>
      </c>
      <c r="K238" s="22">
        <f>IF(ISNUMBER(MATCH(233,'Responses'!$AV$2:$AV$501,0)),MATCH(233,'Responses'!$AV$2:$AV$501,0),IF(ISNUMBER(MATCH(233,'Paper sign-ups'!$Z$2:$Z$101,0)),10000+MATCH(233,'Paper sign-ups'!$Z$2:$Z$101,0),""))</f>
        <v/>
      </c>
    </row>
    <row r="239">
      <c r="A239" s="18">
        <f>IF(K239="","",234)</f>
        <v/>
      </c>
      <c r="B239" s="10">
        <f>IF(K239="","",IF(K239&lt;10000,INDEX('Responses'!$AE$2:$AE$501,K239),INDEX('Paper sign-ups'!$I$2:$I$101,K239-10000)))</f>
        <v/>
      </c>
      <c r="C239" s="19">
        <f>IF(K239="","",IF(K239&lt;10000,INDEX('Responses'!$AF$2:$AF$501,K239),INDEX('Paper sign-ups'!$J$2:$J$101,K239-10000)))</f>
        <v/>
      </c>
      <c r="D239" s="18">
        <f>IF(K239="","",IF(K239&lt;10000,INDEX('Responses'!$AH$2:$AH$501,K239),INDEX('Paper sign-ups'!$L$2:$L$101,K239-10000)))</f>
        <v/>
      </c>
      <c r="E239" s="20">
        <f>IF(K239="","",IF(K239&lt;10000,INDEX('Responses'!$AL$2:$AL$501,K239),INDEX('Paper sign-ups'!$P$2:$P$101,K239-10000)))</f>
        <v/>
      </c>
      <c r="F239" s="20">
        <f>IF(K239="","",IF(K239&lt;10000,INDEX('Responses'!$AN$2:$AN$501,K239),INDEX('Paper sign-ups'!$R$2:$R$101,K239-10000)))</f>
        <v/>
      </c>
      <c r="G239" s="18">
        <f>IF(K239="","",IF(K239&lt;10000,INDEX('Responses'!$AO$2:$AO$501,K239),INDEX('Paper sign-ups'!$S$2:$S$101,K239-10000)))</f>
        <v/>
      </c>
      <c r="H239" s="19">
        <f>IF(K239="","",IF(K239&lt;10000,INDEX('Responses'!$AI$2:$AI$501,K239),INDEX('Paper sign-ups'!$M$2:$M$101,K239-10000)))</f>
        <v/>
      </c>
      <c r="I239" s="21">
        <f>IF(K239="","",IF(K239&lt;10000,INDEX('Responses'!$AR$2:$AR$501,K239),INDEX('Paper sign-ups'!$V$2:$V$101,K239-10000)))</f>
        <v/>
      </c>
      <c r="J239" s="18">
        <f>IF(K239="","",IF(K239&lt;10000,"Online form","Paper"))</f>
        <v/>
      </c>
      <c r="K239" s="22">
        <f>IF(ISNUMBER(MATCH(234,'Responses'!$AV$2:$AV$501,0)),MATCH(234,'Responses'!$AV$2:$AV$501,0),IF(ISNUMBER(MATCH(234,'Paper sign-ups'!$Z$2:$Z$101,0)),10000+MATCH(234,'Paper sign-ups'!$Z$2:$Z$101,0),""))</f>
        <v/>
      </c>
    </row>
    <row r="240">
      <c r="A240" s="18">
        <f>IF(K240="","",235)</f>
        <v/>
      </c>
      <c r="B240" s="10">
        <f>IF(K240="","",IF(K240&lt;10000,INDEX('Responses'!$AE$2:$AE$501,K240),INDEX('Paper sign-ups'!$I$2:$I$101,K240-10000)))</f>
        <v/>
      </c>
      <c r="C240" s="19">
        <f>IF(K240="","",IF(K240&lt;10000,INDEX('Responses'!$AF$2:$AF$501,K240),INDEX('Paper sign-ups'!$J$2:$J$101,K240-10000)))</f>
        <v/>
      </c>
      <c r="D240" s="18">
        <f>IF(K240="","",IF(K240&lt;10000,INDEX('Responses'!$AH$2:$AH$501,K240),INDEX('Paper sign-ups'!$L$2:$L$101,K240-10000)))</f>
        <v/>
      </c>
      <c r="E240" s="20">
        <f>IF(K240="","",IF(K240&lt;10000,INDEX('Responses'!$AL$2:$AL$501,K240),INDEX('Paper sign-ups'!$P$2:$P$101,K240-10000)))</f>
        <v/>
      </c>
      <c r="F240" s="20">
        <f>IF(K240="","",IF(K240&lt;10000,INDEX('Responses'!$AN$2:$AN$501,K240),INDEX('Paper sign-ups'!$R$2:$R$101,K240-10000)))</f>
        <v/>
      </c>
      <c r="G240" s="18">
        <f>IF(K240="","",IF(K240&lt;10000,INDEX('Responses'!$AO$2:$AO$501,K240),INDEX('Paper sign-ups'!$S$2:$S$101,K240-10000)))</f>
        <v/>
      </c>
      <c r="H240" s="19">
        <f>IF(K240="","",IF(K240&lt;10000,INDEX('Responses'!$AI$2:$AI$501,K240),INDEX('Paper sign-ups'!$M$2:$M$101,K240-10000)))</f>
        <v/>
      </c>
      <c r="I240" s="21">
        <f>IF(K240="","",IF(K240&lt;10000,INDEX('Responses'!$AR$2:$AR$501,K240),INDEX('Paper sign-ups'!$V$2:$V$101,K240-10000)))</f>
        <v/>
      </c>
      <c r="J240" s="18">
        <f>IF(K240="","",IF(K240&lt;10000,"Online form","Paper"))</f>
        <v/>
      </c>
      <c r="K240" s="22">
        <f>IF(ISNUMBER(MATCH(235,'Responses'!$AV$2:$AV$501,0)),MATCH(235,'Responses'!$AV$2:$AV$501,0),IF(ISNUMBER(MATCH(235,'Paper sign-ups'!$Z$2:$Z$101,0)),10000+MATCH(235,'Paper sign-ups'!$Z$2:$Z$101,0),""))</f>
        <v/>
      </c>
    </row>
    <row r="241">
      <c r="A241" s="18">
        <f>IF(K241="","",236)</f>
        <v/>
      </c>
      <c r="B241" s="10">
        <f>IF(K241="","",IF(K241&lt;10000,INDEX('Responses'!$AE$2:$AE$501,K241),INDEX('Paper sign-ups'!$I$2:$I$101,K241-10000)))</f>
        <v/>
      </c>
      <c r="C241" s="19">
        <f>IF(K241="","",IF(K241&lt;10000,INDEX('Responses'!$AF$2:$AF$501,K241),INDEX('Paper sign-ups'!$J$2:$J$101,K241-10000)))</f>
        <v/>
      </c>
      <c r="D241" s="18">
        <f>IF(K241="","",IF(K241&lt;10000,INDEX('Responses'!$AH$2:$AH$501,K241),INDEX('Paper sign-ups'!$L$2:$L$101,K241-10000)))</f>
        <v/>
      </c>
      <c r="E241" s="20">
        <f>IF(K241="","",IF(K241&lt;10000,INDEX('Responses'!$AL$2:$AL$501,K241),INDEX('Paper sign-ups'!$P$2:$P$101,K241-10000)))</f>
        <v/>
      </c>
      <c r="F241" s="20">
        <f>IF(K241="","",IF(K241&lt;10000,INDEX('Responses'!$AN$2:$AN$501,K241),INDEX('Paper sign-ups'!$R$2:$R$101,K241-10000)))</f>
        <v/>
      </c>
      <c r="G241" s="18">
        <f>IF(K241="","",IF(K241&lt;10000,INDEX('Responses'!$AO$2:$AO$501,K241),INDEX('Paper sign-ups'!$S$2:$S$101,K241-10000)))</f>
        <v/>
      </c>
      <c r="H241" s="19">
        <f>IF(K241="","",IF(K241&lt;10000,INDEX('Responses'!$AI$2:$AI$501,K241),INDEX('Paper sign-ups'!$M$2:$M$101,K241-10000)))</f>
        <v/>
      </c>
      <c r="I241" s="21">
        <f>IF(K241="","",IF(K241&lt;10000,INDEX('Responses'!$AR$2:$AR$501,K241),INDEX('Paper sign-ups'!$V$2:$V$101,K241-10000)))</f>
        <v/>
      </c>
      <c r="J241" s="18">
        <f>IF(K241="","",IF(K241&lt;10000,"Online form","Paper"))</f>
        <v/>
      </c>
      <c r="K241" s="22">
        <f>IF(ISNUMBER(MATCH(236,'Responses'!$AV$2:$AV$501,0)),MATCH(236,'Responses'!$AV$2:$AV$501,0),IF(ISNUMBER(MATCH(236,'Paper sign-ups'!$Z$2:$Z$101,0)),10000+MATCH(236,'Paper sign-ups'!$Z$2:$Z$101,0),""))</f>
        <v/>
      </c>
    </row>
    <row r="242">
      <c r="A242" s="18">
        <f>IF(K242="","",237)</f>
        <v/>
      </c>
      <c r="B242" s="10">
        <f>IF(K242="","",IF(K242&lt;10000,INDEX('Responses'!$AE$2:$AE$501,K242),INDEX('Paper sign-ups'!$I$2:$I$101,K242-10000)))</f>
        <v/>
      </c>
      <c r="C242" s="19">
        <f>IF(K242="","",IF(K242&lt;10000,INDEX('Responses'!$AF$2:$AF$501,K242),INDEX('Paper sign-ups'!$J$2:$J$101,K242-10000)))</f>
        <v/>
      </c>
      <c r="D242" s="18">
        <f>IF(K242="","",IF(K242&lt;10000,INDEX('Responses'!$AH$2:$AH$501,K242),INDEX('Paper sign-ups'!$L$2:$L$101,K242-10000)))</f>
        <v/>
      </c>
      <c r="E242" s="20">
        <f>IF(K242="","",IF(K242&lt;10000,INDEX('Responses'!$AL$2:$AL$501,K242),INDEX('Paper sign-ups'!$P$2:$P$101,K242-10000)))</f>
        <v/>
      </c>
      <c r="F242" s="20">
        <f>IF(K242="","",IF(K242&lt;10000,INDEX('Responses'!$AN$2:$AN$501,K242),INDEX('Paper sign-ups'!$R$2:$R$101,K242-10000)))</f>
        <v/>
      </c>
      <c r="G242" s="18">
        <f>IF(K242="","",IF(K242&lt;10000,INDEX('Responses'!$AO$2:$AO$501,K242),INDEX('Paper sign-ups'!$S$2:$S$101,K242-10000)))</f>
        <v/>
      </c>
      <c r="H242" s="19">
        <f>IF(K242="","",IF(K242&lt;10000,INDEX('Responses'!$AI$2:$AI$501,K242),INDEX('Paper sign-ups'!$M$2:$M$101,K242-10000)))</f>
        <v/>
      </c>
      <c r="I242" s="21">
        <f>IF(K242="","",IF(K242&lt;10000,INDEX('Responses'!$AR$2:$AR$501,K242),INDEX('Paper sign-ups'!$V$2:$V$101,K242-10000)))</f>
        <v/>
      </c>
      <c r="J242" s="18">
        <f>IF(K242="","",IF(K242&lt;10000,"Online form","Paper"))</f>
        <v/>
      </c>
      <c r="K242" s="22">
        <f>IF(ISNUMBER(MATCH(237,'Responses'!$AV$2:$AV$501,0)),MATCH(237,'Responses'!$AV$2:$AV$501,0),IF(ISNUMBER(MATCH(237,'Paper sign-ups'!$Z$2:$Z$101,0)),10000+MATCH(237,'Paper sign-ups'!$Z$2:$Z$101,0),""))</f>
        <v/>
      </c>
    </row>
    <row r="243">
      <c r="A243" s="18">
        <f>IF(K243="","",238)</f>
        <v/>
      </c>
      <c r="B243" s="10">
        <f>IF(K243="","",IF(K243&lt;10000,INDEX('Responses'!$AE$2:$AE$501,K243),INDEX('Paper sign-ups'!$I$2:$I$101,K243-10000)))</f>
        <v/>
      </c>
      <c r="C243" s="19">
        <f>IF(K243="","",IF(K243&lt;10000,INDEX('Responses'!$AF$2:$AF$501,K243),INDEX('Paper sign-ups'!$J$2:$J$101,K243-10000)))</f>
        <v/>
      </c>
      <c r="D243" s="18">
        <f>IF(K243="","",IF(K243&lt;10000,INDEX('Responses'!$AH$2:$AH$501,K243),INDEX('Paper sign-ups'!$L$2:$L$101,K243-10000)))</f>
        <v/>
      </c>
      <c r="E243" s="20">
        <f>IF(K243="","",IF(K243&lt;10000,INDEX('Responses'!$AL$2:$AL$501,K243),INDEX('Paper sign-ups'!$P$2:$P$101,K243-10000)))</f>
        <v/>
      </c>
      <c r="F243" s="20">
        <f>IF(K243="","",IF(K243&lt;10000,INDEX('Responses'!$AN$2:$AN$501,K243),INDEX('Paper sign-ups'!$R$2:$R$101,K243-10000)))</f>
        <v/>
      </c>
      <c r="G243" s="18">
        <f>IF(K243="","",IF(K243&lt;10000,INDEX('Responses'!$AO$2:$AO$501,K243),INDEX('Paper sign-ups'!$S$2:$S$101,K243-10000)))</f>
        <v/>
      </c>
      <c r="H243" s="19">
        <f>IF(K243="","",IF(K243&lt;10000,INDEX('Responses'!$AI$2:$AI$501,K243),INDEX('Paper sign-ups'!$M$2:$M$101,K243-10000)))</f>
        <v/>
      </c>
      <c r="I243" s="21">
        <f>IF(K243="","",IF(K243&lt;10000,INDEX('Responses'!$AR$2:$AR$501,K243),INDEX('Paper sign-ups'!$V$2:$V$101,K243-10000)))</f>
        <v/>
      </c>
      <c r="J243" s="18">
        <f>IF(K243="","",IF(K243&lt;10000,"Online form","Paper"))</f>
        <v/>
      </c>
      <c r="K243" s="22">
        <f>IF(ISNUMBER(MATCH(238,'Responses'!$AV$2:$AV$501,0)),MATCH(238,'Responses'!$AV$2:$AV$501,0),IF(ISNUMBER(MATCH(238,'Paper sign-ups'!$Z$2:$Z$101,0)),10000+MATCH(238,'Paper sign-ups'!$Z$2:$Z$101,0),""))</f>
        <v/>
      </c>
    </row>
    <row r="244">
      <c r="A244" s="18">
        <f>IF(K244="","",239)</f>
        <v/>
      </c>
      <c r="B244" s="10">
        <f>IF(K244="","",IF(K244&lt;10000,INDEX('Responses'!$AE$2:$AE$501,K244),INDEX('Paper sign-ups'!$I$2:$I$101,K244-10000)))</f>
        <v/>
      </c>
      <c r="C244" s="19">
        <f>IF(K244="","",IF(K244&lt;10000,INDEX('Responses'!$AF$2:$AF$501,K244),INDEX('Paper sign-ups'!$J$2:$J$101,K244-10000)))</f>
        <v/>
      </c>
      <c r="D244" s="18">
        <f>IF(K244="","",IF(K244&lt;10000,INDEX('Responses'!$AH$2:$AH$501,K244),INDEX('Paper sign-ups'!$L$2:$L$101,K244-10000)))</f>
        <v/>
      </c>
      <c r="E244" s="20">
        <f>IF(K244="","",IF(K244&lt;10000,INDEX('Responses'!$AL$2:$AL$501,K244),INDEX('Paper sign-ups'!$P$2:$P$101,K244-10000)))</f>
        <v/>
      </c>
      <c r="F244" s="20">
        <f>IF(K244="","",IF(K244&lt;10000,INDEX('Responses'!$AN$2:$AN$501,K244),INDEX('Paper sign-ups'!$R$2:$R$101,K244-10000)))</f>
        <v/>
      </c>
      <c r="G244" s="18">
        <f>IF(K244="","",IF(K244&lt;10000,INDEX('Responses'!$AO$2:$AO$501,K244),INDEX('Paper sign-ups'!$S$2:$S$101,K244-10000)))</f>
        <v/>
      </c>
      <c r="H244" s="19">
        <f>IF(K244="","",IF(K244&lt;10000,INDEX('Responses'!$AI$2:$AI$501,K244),INDEX('Paper sign-ups'!$M$2:$M$101,K244-10000)))</f>
        <v/>
      </c>
      <c r="I244" s="21">
        <f>IF(K244="","",IF(K244&lt;10000,INDEX('Responses'!$AR$2:$AR$501,K244),INDEX('Paper sign-ups'!$V$2:$V$101,K244-10000)))</f>
        <v/>
      </c>
      <c r="J244" s="18">
        <f>IF(K244="","",IF(K244&lt;10000,"Online form","Paper"))</f>
        <v/>
      </c>
      <c r="K244" s="22">
        <f>IF(ISNUMBER(MATCH(239,'Responses'!$AV$2:$AV$501,0)),MATCH(239,'Responses'!$AV$2:$AV$501,0),IF(ISNUMBER(MATCH(239,'Paper sign-ups'!$Z$2:$Z$101,0)),10000+MATCH(239,'Paper sign-ups'!$Z$2:$Z$101,0),""))</f>
        <v/>
      </c>
    </row>
    <row r="245">
      <c r="A245" s="18">
        <f>IF(K245="","",240)</f>
        <v/>
      </c>
      <c r="B245" s="10">
        <f>IF(K245="","",IF(K245&lt;10000,INDEX('Responses'!$AE$2:$AE$501,K245),INDEX('Paper sign-ups'!$I$2:$I$101,K245-10000)))</f>
        <v/>
      </c>
      <c r="C245" s="19">
        <f>IF(K245="","",IF(K245&lt;10000,INDEX('Responses'!$AF$2:$AF$501,K245),INDEX('Paper sign-ups'!$J$2:$J$101,K245-10000)))</f>
        <v/>
      </c>
      <c r="D245" s="18">
        <f>IF(K245="","",IF(K245&lt;10000,INDEX('Responses'!$AH$2:$AH$501,K245),INDEX('Paper sign-ups'!$L$2:$L$101,K245-10000)))</f>
        <v/>
      </c>
      <c r="E245" s="20">
        <f>IF(K245="","",IF(K245&lt;10000,INDEX('Responses'!$AL$2:$AL$501,K245),INDEX('Paper sign-ups'!$P$2:$P$101,K245-10000)))</f>
        <v/>
      </c>
      <c r="F245" s="20">
        <f>IF(K245="","",IF(K245&lt;10000,INDEX('Responses'!$AN$2:$AN$501,K245),INDEX('Paper sign-ups'!$R$2:$R$101,K245-10000)))</f>
        <v/>
      </c>
      <c r="G245" s="18">
        <f>IF(K245="","",IF(K245&lt;10000,INDEX('Responses'!$AO$2:$AO$501,K245),INDEX('Paper sign-ups'!$S$2:$S$101,K245-10000)))</f>
        <v/>
      </c>
      <c r="H245" s="19">
        <f>IF(K245="","",IF(K245&lt;10000,INDEX('Responses'!$AI$2:$AI$501,K245),INDEX('Paper sign-ups'!$M$2:$M$101,K245-10000)))</f>
        <v/>
      </c>
      <c r="I245" s="21">
        <f>IF(K245="","",IF(K245&lt;10000,INDEX('Responses'!$AR$2:$AR$501,K245),INDEX('Paper sign-ups'!$V$2:$V$101,K245-10000)))</f>
        <v/>
      </c>
      <c r="J245" s="18">
        <f>IF(K245="","",IF(K245&lt;10000,"Online form","Paper"))</f>
        <v/>
      </c>
      <c r="K245" s="22">
        <f>IF(ISNUMBER(MATCH(240,'Responses'!$AV$2:$AV$501,0)),MATCH(240,'Responses'!$AV$2:$AV$501,0),IF(ISNUMBER(MATCH(240,'Paper sign-ups'!$Z$2:$Z$101,0)),10000+MATCH(240,'Paper sign-ups'!$Z$2:$Z$101,0),""))</f>
        <v/>
      </c>
    </row>
    <row r="246">
      <c r="A246" s="18">
        <f>IF(K246="","",241)</f>
        <v/>
      </c>
      <c r="B246" s="10">
        <f>IF(K246="","",IF(K246&lt;10000,INDEX('Responses'!$AE$2:$AE$501,K246),INDEX('Paper sign-ups'!$I$2:$I$101,K246-10000)))</f>
        <v/>
      </c>
      <c r="C246" s="19">
        <f>IF(K246="","",IF(K246&lt;10000,INDEX('Responses'!$AF$2:$AF$501,K246),INDEX('Paper sign-ups'!$J$2:$J$101,K246-10000)))</f>
        <v/>
      </c>
      <c r="D246" s="18">
        <f>IF(K246="","",IF(K246&lt;10000,INDEX('Responses'!$AH$2:$AH$501,K246),INDEX('Paper sign-ups'!$L$2:$L$101,K246-10000)))</f>
        <v/>
      </c>
      <c r="E246" s="20">
        <f>IF(K246="","",IF(K246&lt;10000,INDEX('Responses'!$AL$2:$AL$501,K246),INDEX('Paper sign-ups'!$P$2:$P$101,K246-10000)))</f>
        <v/>
      </c>
      <c r="F246" s="20">
        <f>IF(K246="","",IF(K246&lt;10000,INDEX('Responses'!$AN$2:$AN$501,K246),INDEX('Paper sign-ups'!$R$2:$R$101,K246-10000)))</f>
        <v/>
      </c>
      <c r="G246" s="18">
        <f>IF(K246="","",IF(K246&lt;10000,INDEX('Responses'!$AO$2:$AO$501,K246),INDEX('Paper sign-ups'!$S$2:$S$101,K246-10000)))</f>
        <v/>
      </c>
      <c r="H246" s="19">
        <f>IF(K246="","",IF(K246&lt;10000,INDEX('Responses'!$AI$2:$AI$501,K246),INDEX('Paper sign-ups'!$M$2:$M$101,K246-10000)))</f>
        <v/>
      </c>
      <c r="I246" s="21">
        <f>IF(K246="","",IF(K246&lt;10000,INDEX('Responses'!$AR$2:$AR$501,K246),INDEX('Paper sign-ups'!$V$2:$V$101,K246-10000)))</f>
        <v/>
      </c>
      <c r="J246" s="18">
        <f>IF(K246="","",IF(K246&lt;10000,"Online form","Paper"))</f>
        <v/>
      </c>
      <c r="K246" s="22">
        <f>IF(ISNUMBER(MATCH(241,'Responses'!$AV$2:$AV$501,0)),MATCH(241,'Responses'!$AV$2:$AV$501,0),IF(ISNUMBER(MATCH(241,'Paper sign-ups'!$Z$2:$Z$101,0)),10000+MATCH(241,'Paper sign-ups'!$Z$2:$Z$101,0),""))</f>
        <v/>
      </c>
    </row>
    <row r="247">
      <c r="A247" s="18">
        <f>IF(K247="","",242)</f>
        <v/>
      </c>
      <c r="B247" s="10">
        <f>IF(K247="","",IF(K247&lt;10000,INDEX('Responses'!$AE$2:$AE$501,K247),INDEX('Paper sign-ups'!$I$2:$I$101,K247-10000)))</f>
        <v/>
      </c>
      <c r="C247" s="19">
        <f>IF(K247="","",IF(K247&lt;10000,INDEX('Responses'!$AF$2:$AF$501,K247),INDEX('Paper sign-ups'!$J$2:$J$101,K247-10000)))</f>
        <v/>
      </c>
      <c r="D247" s="18">
        <f>IF(K247="","",IF(K247&lt;10000,INDEX('Responses'!$AH$2:$AH$501,K247),INDEX('Paper sign-ups'!$L$2:$L$101,K247-10000)))</f>
        <v/>
      </c>
      <c r="E247" s="20">
        <f>IF(K247="","",IF(K247&lt;10000,INDEX('Responses'!$AL$2:$AL$501,K247),INDEX('Paper sign-ups'!$P$2:$P$101,K247-10000)))</f>
        <v/>
      </c>
      <c r="F247" s="20">
        <f>IF(K247="","",IF(K247&lt;10000,INDEX('Responses'!$AN$2:$AN$501,K247),INDEX('Paper sign-ups'!$R$2:$R$101,K247-10000)))</f>
        <v/>
      </c>
      <c r="G247" s="18">
        <f>IF(K247="","",IF(K247&lt;10000,INDEX('Responses'!$AO$2:$AO$501,K247),INDEX('Paper sign-ups'!$S$2:$S$101,K247-10000)))</f>
        <v/>
      </c>
      <c r="H247" s="19">
        <f>IF(K247="","",IF(K247&lt;10000,INDEX('Responses'!$AI$2:$AI$501,K247),INDEX('Paper sign-ups'!$M$2:$M$101,K247-10000)))</f>
        <v/>
      </c>
      <c r="I247" s="21">
        <f>IF(K247="","",IF(K247&lt;10000,INDEX('Responses'!$AR$2:$AR$501,K247),INDEX('Paper sign-ups'!$V$2:$V$101,K247-10000)))</f>
        <v/>
      </c>
      <c r="J247" s="18">
        <f>IF(K247="","",IF(K247&lt;10000,"Online form","Paper"))</f>
        <v/>
      </c>
      <c r="K247" s="22">
        <f>IF(ISNUMBER(MATCH(242,'Responses'!$AV$2:$AV$501,0)),MATCH(242,'Responses'!$AV$2:$AV$501,0),IF(ISNUMBER(MATCH(242,'Paper sign-ups'!$Z$2:$Z$101,0)),10000+MATCH(242,'Paper sign-ups'!$Z$2:$Z$101,0),""))</f>
        <v/>
      </c>
    </row>
    <row r="248">
      <c r="A248" s="18">
        <f>IF(K248="","",243)</f>
        <v/>
      </c>
      <c r="B248" s="10">
        <f>IF(K248="","",IF(K248&lt;10000,INDEX('Responses'!$AE$2:$AE$501,K248),INDEX('Paper sign-ups'!$I$2:$I$101,K248-10000)))</f>
        <v/>
      </c>
      <c r="C248" s="19">
        <f>IF(K248="","",IF(K248&lt;10000,INDEX('Responses'!$AF$2:$AF$501,K248),INDEX('Paper sign-ups'!$J$2:$J$101,K248-10000)))</f>
        <v/>
      </c>
      <c r="D248" s="18">
        <f>IF(K248="","",IF(K248&lt;10000,INDEX('Responses'!$AH$2:$AH$501,K248),INDEX('Paper sign-ups'!$L$2:$L$101,K248-10000)))</f>
        <v/>
      </c>
      <c r="E248" s="20">
        <f>IF(K248="","",IF(K248&lt;10000,INDEX('Responses'!$AL$2:$AL$501,K248),INDEX('Paper sign-ups'!$P$2:$P$101,K248-10000)))</f>
        <v/>
      </c>
      <c r="F248" s="20">
        <f>IF(K248="","",IF(K248&lt;10000,INDEX('Responses'!$AN$2:$AN$501,K248),INDEX('Paper sign-ups'!$R$2:$R$101,K248-10000)))</f>
        <v/>
      </c>
      <c r="G248" s="18">
        <f>IF(K248="","",IF(K248&lt;10000,INDEX('Responses'!$AO$2:$AO$501,K248),INDEX('Paper sign-ups'!$S$2:$S$101,K248-10000)))</f>
        <v/>
      </c>
      <c r="H248" s="19">
        <f>IF(K248="","",IF(K248&lt;10000,INDEX('Responses'!$AI$2:$AI$501,K248),INDEX('Paper sign-ups'!$M$2:$M$101,K248-10000)))</f>
        <v/>
      </c>
      <c r="I248" s="21">
        <f>IF(K248="","",IF(K248&lt;10000,INDEX('Responses'!$AR$2:$AR$501,K248),INDEX('Paper sign-ups'!$V$2:$V$101,K248-10000)))</f>
        <v/>
      </c>
      <c r="J248" s="18">
        <f>IF(K248="","",IF(K248&lt;10000,"Online form","Paper"))</f>
        <v/>
      </c>
      <c r="K248" s="22">
        <f>IF(ISNUMBER(MATCH(243,'Responses'!$AV$2:$AV$501,0)),MATCH(243,'Responses'!$AV$2:$AV$501,0),IF(ISNUMBER(MATCH(243,'Paper sign-ups'!$Z$2:$Z$101,0)),10000+MATCH(243,'Paper sign-ups'!$Z$2:$Z$101,0),""))</f>
        <v/>
      </c>
    </row>
    <row r="249">
      <c r="A249" s="18">
        <f>IF(K249="","",244)</f>
        <v/>
      </c>
      <c r="B249" s="10">
        <f>IF(K249="","",IF(K249&lt;10000,INDEX('Responses'!$AE$2:$AE$501,K249),INDEX('Paper sign-ups'!$I$2:$I$101,K249-10000)))</f>
        <v/>
      </c>
      <c r="C249" s="19">
        <f>IF(K249="","",IF(K249&lt;10000,INDEX('Responses'!$AF$2:$AF$501,K249),INDEX('Paper sign-ups'!$J$2:$J$101,K249-10000)))</f>
        <v/>
      </c>
      <c r="D249" s="18">
        <f>IF(K249="","",IF(K249&lt;10000,INDEX('Responses'!$AH$2:$AH$501,K249),INDEX('Paper sign-ups'!$L$2:$L$101,K249-10000)))</f>
        <v/>
      </c>
      <c r="E249" s="20">
        <f>IF(K249="","",IF(K249&lt;10000,INDEX('Responses'!$AL$2:$AL$501,K249),INDEX('Paper sign-ups'!$P$2:$P$101,K249-10000)))</f>
        <v/>
      </c>
      <c r="F249" s="20">
        <f>IF(K249="","",IF(K249&lt;10000,INDEX('Responses'!$AN$2:$AN$501,K249),INDEX('Paper sign-ups'!$R$2:$R$101,K249-10000)))</f>
        <v/>
      </c>
      <c r="G249" s="18">
        <f>IF(K249="","",IF(K249&lt;10000,INDEX('Responses'!$AO$2:$AO$501,K249),INDEX('Paper sign-ups'!$S$2:$S$101,K249-10000)))</f>
        <v/>
      </c>
      <c r="H249" s="19">
        <f>IF(K249="","",IF(K249&lt;10000,INDEX('Responses'!$AI$2:$AI$501,K249),INDEX('Paper sign-ups'!$M$2:$M$101,K249-10000)))</f>
        <v/>
      </c>
      <c r="I249" s="21">
        <f>IF(K249="","",IF(K249&lt;10000,INDEX('Responses'!$AR$2:$AR$501,K249),INDEX('Paper sign-ups'!$V$2:$V$101,K249-10000)))</f>
        <v/>
      </c>
      <c r="J249" s="18">
        <f>IF(K249="","",IF(K249&lt;10000,"Online form","Paper"))</f>
        <v/>
      </c>
      <c r="K249" s="22">
        <f>IF(ISNUMBER(MATCH(244,'Responses'!$AV$2:$AV$501,0)),MATCH(244,'Responses'!$AV$2:$AV$501,0),IF(ISNUMBER(MATCH(244,'Paper sign-ups'!$Z$2:$Z$101,0)),10000+MATCH(244,'Paper sign-ups'!$Z$2:$Z$101,0),""))</f>
        <v/>
      </c>
    </row>
    <row r="250">
      <c r="A250" s="18">
        <f>IF(K250="","",245)</f>
        <v/>
      </c>
      <c r="B250" s="10">
        <f>IF(K250="","",IF(K250&lt;10000,INDEX('Responses'!$AE$2:$AE$501,K250),INDEX('Paper sign-ups'!$I$2:$I$101,K250-10000)))</f>
        <v/>
      </c>
      <c r="C250" s="19">
        <f>IF(K250="","",IF(K250&lt;10000,INDEX('Responses'!$AF$2:$AF$501,K250),INDEX('Paper sign-ups'!$J$2:$J$101,K250-10000)))</f>
        <v/>
      </c>
      <c r="D250" s="18">
        <f>IF(K250="","",IF(K250&lt;10000,INDEX('Responses'!$AH$2:$AH$501,K250),INDEX('Paper sign-ups'!$L$2:$L$101,K250-10000)))</f>
        <v/>
      </c>
      <c r="E250" s="20">
        <f>IF(K250="","",IF(K250&lt;10000,INDEX('Responses'!$AL$2:$AL$501,K250),INDEX('Paper sign-ups'!$P$2:$P$101,K250-10000)))</f>
        <v/>
      </c>
      <c r="F250" s="20">
        <f>IF(K250="","",IF(K250&lt;10000,INDEX('Responses'!$AN$2:$AN$501,K250),INDEX('Paper sign-ups'!$R$2:$R$101,K250-10000)))</f>
        <v/>
      </c>
      <c r="G250" s="18">
        <f>IF(K250="","",IF(K250&lt;10000,INDEX('Responses'!$AO$2:$AO$501,K250),INDEX('Paper sign-ups'!$S$2:$S$101,K250-10000)))</f>
        <v/>
      </c>
      <c r="H250" s="19">
        <f>IF(K250="","",IF(K250&lt;10000,INDEX('Responses'!$AI$2:$AI$501,K250),INDEX('Paper sign-ups'!$M$2:$M$101,K250-10000)))</f>
        <v/>
      </c>
      <c r="I250" s="21">
        <f>IF(K250="","",IF(K250&lt;10000,INDEX('Responses'!$AR$2:$AR$501,K250),INDEX('Paper sign-ups'!$V$2:$V$101,K250-10000)))</f>
        <v/>
      </c>
      <c r="J250" s="18">
        <f>IF(K250="","",IF(K250&lt;10000,"Online form","Paper"))</f>
        <v/>
      </c>
      <c r="K250" s="22">
        <f>IF(ISNUMBER(MATCH(245,'Responses'!$AV$2:$AV$501,0)),MATCH(245,'Responses'!$AV$2:$AV$501,0),IF(ISNUMBER(MATCH(245,'Paper sign-ups'!$Z$2:$Z$101,0)),10000+MATCH(245,'Paper sign-ups'!$Z$2:$Z$101,0),""))</f>
        <v/>
      </c>
    </row>
    <row r="251">
      <c r="A251" s="18">
        <f>IF(K251="","",246)</f>
        <v/>
      </c>
      <c r="B251" s="10">
        <f>IF(K251="","",IF(K251&lt;10000,INDEX('Responses'!$AE$2:$AE$501,K251),INDEX('Paper sign-ups'!$I$2:$I$101,K251-10000)))</f>
        <v/>
      </c>
      <c r="C251" s="19">
        <f>IF(K251="","",IF(K251&lt;10000,INDEX('Responses'!$AF$2:$AF$501,K251),INDEX('Paper sign-ups'!$J$2:$J$101,K251-10000)))</f>
        <v/>
      </c>
      <c r="D251" s="18">
        <f>IF(K251="","",IF(K251&lt;10000,INDEX('Responses'!$AH$2:$AH$501,K251),INDEX('Paper sign-ups'!$L$2:$L$101,K251-10000)))</f>
        <v/>
      </c>
      <c r="E251" s="20">
        <f>IF(K251="","",IF(K251&lt;10000,INDEX('Responses'!$AL$2:$AL$501,K251),INDEX('Paper sign-ups'!$P$2:$P$101,K251-10000)))</f>
        <v/>
      </c>
      <c r="F251" s="20">
        <f>IF(K251="","",IF(K251&lt;10000,INDEX('Responses'!$AN$2:$AN$501,K251),INDEX('Paper sign-ups'!$R$2:$R$101,K251-10000)))</f>
        <v/>
      </c>
      <c r="G251" s="18">
        <f>IF(K251="","",IF(K251&lt;10000,INDEX('Responses'!$AO$2:$AO$501,K251),INDEX('Paper sign-ups'!$S$2:$S$101,K251-10000)))</f>
        <v/>
      </c>
      <c r="H251" s="19">
        <f>IF(K251="","",IF(K251&lt;10000,INDEX('Responses'!$AI$2:$AI$501,K251),INDEX('Paper sign-ups'!$M$2:$M$101,K251-10000)))</f>
        <v/>
      </c>
      <c r="I251" s="21">
        <f>IF(K251="","",IF(K251&lt;10000,INDEX('Responses'!$AR$2:$AR$501,K251),INDEX('Paper sign-ups'!$V$2:$V$101,K251-10000)))</f>
        <v/>
      </c>
      <c r="J251" s="18">
        <f>IF(K251="","",IF(K251&lt;10000,"Online form","Paper"))</f>
        <v/>
      </c>
      <c r="K251" s="22">
        <f>IF(ISNUMBER(MATCH(246,'Responses'!$AV$2:$AV$501,0)),MATCH(246,'Responses'!$AV$2:$AV$501,0),IF(ISNUMBER(MATCH(246,'Paper sign-ups'!$Z$2:$Z$101,0)),10000+MATCH(246,'Paper sign-ups'!$Z$2:$Z$101,0),""))</f>
        <v/>
      </c>
    </row>
    <row r="252">
      <c r="A252" s="18">
        <f>IF(K252="","",247)</f>
        <v/>
      </c>
      <c r="B252" s="10">
        <f>IF(K252="","",IF(K252&lt;10000,INDEX('Responses'!$AE$2:$AE$501,K252),INDEX('Paper sign-ups'!$I$2:$I$101,K252-10000)))</f>
        <v/>
      </c>
      <c r="C252" s="19">
        <f>IF(K252="","",IF(K252&lt;10000,INDEX('Responses'!$AF$2:$AF$501,K252),INDEX('Paper sign-ups'!$J$2:$J$101,K252-10000)))</f>
        <v/>
      </c>
      <c r="D252" s="18">
        <f>IF(K252="","",IF(K252&lt;10000,INDEX('Responses'!$AH$2:$AH$501,K252),INDEX('Paper sign-ups'!$L$2:$L$101,K252-10000)))</f>
        <v/>
      </c>
      <c r="E252" s="20">
        <f>IF(K252="","",IF(K252&lt;10000,INDEX('Responses'!$AL$2:$AL$501,K252),INDEX('Paper sign-ups'!$P$2:$P$101,K252-10000)))</f>
        <v/>
      </c>
      <c r="F252" s="20">
        <f>IF(K252="","",IF(K252&lt;10000,INDEX('Responses'!$AN$2:$AN$501,K252),INDEX('Paper sign-ups'!$R$2:$R$101,K252-10000)))</f>
        <v/>
      </c>
      <c r="G252" s="18">
        <f>IF(K252="","",IF(K252&lt;10000,INDEX('Responses'!$AO$2:$AO$501,K252),INDEX('Paper sign-ups'!$S$2:$S$101,K252-10000)))</f>
        <v/>
      </c>
      <c r="H252" s="19">
        <f>IF(K252="","",IF(K252&lt;10000,INDEX('Responses'!$AI$2:$AI$501,K252),INDEX('Paper sign-ups'!$M$2:$M$101,K252-10000)))</f>
        <v/>
      </c>
      <c r="I252" s="21">
        <f>IF(K252="","",IF(K252&lt;10000,INDEX('Responses'!$AR$2:$AR$501,K252),INDEX('Paper sign-ups'!$V$2:$V$101,K252-10000)))</f>
        <v/>
      </c>
      <c r="J252" s="18">
        <f>IF(K252="","",IF(K252&lt;10000,"Online form","Paper"))</f>
        <v/>
      </c>
      <c r="K252" s="22">
        <f>IF(ISNUMBER(MATCH(247,'Responses'!$AV$2:$AV$501,0)),MATCH(247,'Responses'!$AV$2:$AV$501,0),IF(ISNUMBER(MATCH(247,'Paper sign-ups'!$Z$2:$Z$101,0)),10000+MATCH(247,'Paper sign-ups'!$Z$2:$Z$101,0),""))</f>
        <v/>
      </c>
    </row>
    <row r="253">
      <c r="A253" s="18">
        <f>IF(K253="","",248)</f>
        <v/>
      </c>
      <c r="B253" s="10">
        <f>IF(K253="","",IF(K253&lt;10000,INDEX('Responses'!$AE$2:$AE$501,K253),INDEX('Paper sign-ups'!$I$2:$I$101,K253-10000)))</f>
        <v/>
      </c>
      <c r="C253" s="19">
        <f>IF(K253="","",IF(K253&lt;10000,INDEX('Responses'!$AF$2:$AF$501,K253),INDEX('Paper sign-ups'!$J$2:$J$101,K253-10000)))</f>
        <v/>
      </c>
      <c r="D253" s="18">
        <f>IF(K253="","",IF(K253&lt;10000,INDEX('Responses'!$AH$2:$AH$501,K253),INDEX('Paper sign-ups'!$L$2:$L$101,K253-10000)))</f>
        <v/>
      </c>
      <c r="E253" s="20">
        <f>IF(K253="","",IF(K253&lt;10000,INDEX('Responses'!$AL$2:$AL$501,K253),INDEX('Paper sign-ups'!$P$2:$P$101,K253-10000)))</f>
        <v/>
      </c>
      <c r="F253" s="20">
        <f>IF(K253="","",IF(K253&lt;10000,INDEX('Responses'!$AN$2:$AN$501,K253),INDEX('Paper sign-ups'!$R$2:$R$101,K253-10000)))</f>
        <v/>
      </c>
      <c r="G253" s="18">
        <f>IF(K253="","",IF(K253&lt;10000,INDEX('Responses'!$AO$2:$AO$501,K253),INDEX('Paper sign-ups'!$S$2:$S$101,K253-10000)))</f>
        <v/>
      </c>
      <c r="H253" s="19">
        <f>IF(K253="","",IF(K253&lt;10000,INDEX('Responses'!$AI$2:$AI$501,K253),INDEX('Paper sign-ups'!$M$2:$M$101,K253-10000)))</f>
        <v/>
      </c>
      <c r="I253" s="21">
        <f>IF(K253="","",IF(K253&lt;10000,INDEX('Responses'!$AR$2:$AR$501,K253),INDEX('Paper sign-ups'!$V$2:$V$101,K253-10000)))</f>
        <v/>
      </c>
      <c r="J253" s="18">
        <f>IF(K253="","",IF(K253&lt;10000,"Online form","Paper"))</f>
        <v/>
      </c>
      <c r="K253" s="22">
        <f>IF(ISNUMBER(MATCH(248,'Responses'!$AV$2:$AV$501,0)),MATCH(248,'Responses'!$AV$2:$AV$501,0),IF(ISNUMBER(MATCH(248,'Paper sign-ups'!$Z$2:$Z$101,0)),10000+MATCH(248,'Paper sign-ups'!$Z$2:$Z$101,0),""))</f>
        <v/>
      </c>
    </row>
    <row r="254">
      <c r="A254" s="18">
        <f>IF(K254="","",249)</f>
        <v/>
      </c>
      <c r="B254" s="10">
        <f>IF(K254="","",IF(K254&lt;10000,INDEX('Responses'!$AE$2:$AE$501,K254),INDEX('Paper sign-ups'!$I$2:$I$101,K254-10000)))</f>
        <v/>
      </c>
      <c r="C254" s="19">
        <f>IF(K254="","",IF(K254&lt;10000,INDEX('Responses'!$AF$2:$AF$501,K254),INDEX('Paper sign-ups'!$J$2:$J$101,K254-10000)))</f>
        <v/>
      </c>
      <c r="D254" s="18">
        <f>IF(K254="","",IF(K254&lt;10000,INDEX('Responses'!$AH$2:$AH$501,K254),INDEX('Paper sign-ups'!$L$2:$L$101,K254-10000)))</f>
        <v/>
      </c>
      <c r="E254" s="20">
        <f>IF(K254="","",IF(K254&lt;10000,INDEX('Responses'!$AL$2:$AL$501,K254),INDEX('Paper sign-ups'!$P$2:$P$101,K254-10000)))</f>
        <v/>
      </c>
      <c r="F254" s="20">
        <f>IF(K254="","",IF(K254&lt;10000,INDEX('Responses'!$AN$2:$AN$501,K254),INDEX('Paper sign-ups'!$R$2:$R$101,K254-10000)))</f>
        <v/>
      </c>
      <c r="G254" s="18">
        <f>IF(K254="","",IF(K254&lt;10000,INDEX('Responses'!$AO$2:$AO$501,K254),INDEX('Paper sign-ups'!$S$2:$S$101,K254-10000)))</f>
        <v/>
      </c>
      <c r="H254" s="19">
        <f>IF(K254="","",IF(K254&lt;10000,INDEX('Responses'!$AI$2:$AI$501,K254),INDEX('Paper sign-ups'!$M$2:$M$101,K254-10000)))</f>
        <v/>
      </c>
      <c r="I254" s="21">
        <f>IF(K254="","",IF(K254&lt;10000,INDEX('Responses'!$AR$2:$AR$501,K254),INDEX('Paper sign-ups'!$V$2:$V$101,K254-10000)))</f>
        <v/>
      </c>
      <c r="J254" s="18">
        <f>IF(K254="","",IF(K254&lt;10000,"Online form","Paper"))</f>
        <v/>
      </c>
      <c r="K254" s="22">
        <f>IF(ISNUMBER(MATCH(249,'Responses'!$AV$2:$AV$501,0)),MATCH(249,'Responses'!$AV$2:$AV$501,0),IF(ISNUMBER(MATCH(249,'Paper sign-ups'!$Z$2:$Z$101,0)),10000+MATCH(249,'Paper sign-ups'!$Z$2:$Z$101,0),""))</f>
        <v/>
      </c>
    </row>
    <row r="255">
      <c r="A255" s="18">
        <f>IF(K255="","",250)</f>
        <v/>
      </c>
      <c r="B255" s="10">
        <f>IF(K255="","",IF(K255&lt;10000,INDEX('Responses'!$AE$2:$AE$501,K255),INDEX('Paper sign-ups'!$I$2:$I$101,K255-10000)))</f>
        <v/>
      </c>
      <c r="C255" s="19">
        <f>IF(K255="","",IF(K255&lt;10000,INDEX('Responses'!$AF$2:$AF$501,K255),INDEX('Paper sign-ups'!$J$2:$J$101,K255-10000)))</f>
        <v/>
      </c>
      <c r="D255" s="18">
        <f>IF(K255="","",IF(K255&lt;10000,INDEX('Responses'!$AH$2:$AH$501,K255),INDEX('Paper sign-ups'!$L$2:$L$101,K255-10000)))</f>
        <v/>
      </c>
      <c r="E255" s="20">
        <f>IF(K255="","",IF(K255&lt;10000,INDEX('Responses'!$AL$2:$AL$501,K255),INDEX('Paper sign-ups'!$P$2:$P$101,K255-10000)))</f>
        <v/>
      </c>
      <c r="F255" s="20">
        <f>IF(K255="","",IF(K255&lt;10000,INDEX('Responses'!$AN$2:$AN$501,K255),INDEX('Paper sign-ups'!$R$2:$R$101,K255-10000)))</f>
        <v/>
      </c>
      <c r="G255" s="18">
        <f>IF(K255="","",IF(K255&lt;10000,INDEX('Responses'!$AO$2:$AO$501,K255),INDEX('Paper sign-ups'!$S$2:$S$101,K255-10000)))</f>
        <v/>
      </c>
      <c r="H255" s="19">
        <f>IF(K255="","",IF(K255&lt;10000,INDEX('Responses'!$AI$2:$AI$501,K255),INDEX('Paper sign-ups'!$M$2:$M$101,K255-10000)))</f>
        <v/>
      </c>
      <c r="I255" s="21">
        <f>IF(K255="","",IF(K255&lt;10000,INDEX('Responses'!$AR$2:$AR$501,K255),INDEX('Paper sign-ups'!$V$2:$V$101,K255-10000)))</f>
        <v/>
      </c>
      <c r="J255" s="18">
        <f>IF(K255="","",IF(K255&lt;10000,"Online form","Paper"))</f>
        <v/>
      </c>
      <c r="K255" s="22">
        <f>IF(ISNUMBER(MATCH(250,'Responses'!$AV$2:$AV$501,0)),MATCH(250,'Responses'!$AV$2:$AV$501,0),IF(ISNUMBER(MATCH(250,'Paper sign-ups'!$Z$2:$Z$101,0)),10000+MATCH(250,'Paper sign-ups'!$Z$2:$Z$101,0),""))</f>
        <v/>
      </c>
    </row>
    <row r="256">
      <c r="A256" s="18">
        <f>IF(K256="","",251)</f>
        <v/>
      </c>
      <c r="B256" s="10">
        <f>IF(K256="","",IF(K256&lt;10000,INDEX('Responses'!$AE$2:$AE$501,K256),INDEX('Paper sign-ups'!$I$2:$I$101,K256-10000)))</f>
        <v/>
      </c>
      <c r="C256" s="19">
        <f>IF(K256="","",IF(K256&lt;10000,INDEX('Responses'!$AF$2:$AF$501,K256),INDEX('Paper sign-ups'!$J$2:$J$101,K256-10000)))</f>
        <v/>
      </c>
      <c r="D256" s="18">
        <f>IF(K256="","",IF(K256&lt;10000,INDEX('Responses'!$AH$2:$AH$501,K256),INDEX('Paper sign-ups'!$L$2:$L$101,K256-10000)))</f>
        <v/>
      </c>
      <c r="E256" s="20">
        <f>IF(K256="","",IF(K256&lt;10000,INDEX('Responses'!$AL$2:$AL$501,K256),INDEX('Paper sign-ups'!$P$2:$P$101,K256-10000)))</f>
        <v/>
      </c>
      <c r="F256" s="20">
        <f>IF(K256="","",IF(K256&lt;10000,INDEX('Responses'!$AN$2:$AN$501,K256),INDEX('Paper sign-ups'!$R$2:$R$101,K256-10000)))</f>
        <v/>
      </c>
      <c r="G256" s="18">
        <f>IF(K256="","",IF(K256&lt;10000,INDEX('Responses'!$AO$2:$AO$501,K256),INDEX('Paper sign-ups'!$S$2:$S$101,K256-10000)))</f>
        <v/>
      </c>
      <c r="H256" s="19">
        <f>IF(K256="","",IF(K256&lt;10000,INDEX('Responses'!$AI$2:$AI$501,K256),INDEX('Paper sign-ups'!$M$2:$M$101,K256-10000)))</f>
        <v/>
      </c>
      <c r="I256" s="21">
        <f>IF(K256="","",IF(K256&lt;10000,INDEX('Responses'!$AR$2:$AR$501,K256),INDEX('Paper sign-ups'!$V$2:$V$101,K256-10000)))</f>
        <v/>
      </c>
      <c r="J256" s="18">
        <f>IF(K256="","",IF(K256&lt;10000,"Online form","Paper"))</f>
        <v/>
      </c>
      <c r="K256" s="22">
        <f>IF(ISNUMBER(MATCH(251,'Responses'!$AV$2:$AV$501,0)),MATCH(251,'Responses'!$AV$2:$AV$501,0),IF(ISNUMBER(MATCH(251,'Paper sign-ups'!$Z$2:$Z$101,0)),10000+MATCH(251,'Paper sign-ups'!$Z$2:$Z$101,0),""))</f>
        <v/>
      </c>
    </row>
    <row r="257">
      <c r="A257" s="18">
        <f>IF(K257="","",252)</f>
        <v/>
      </c>
      <c r="B257" s="10">
        <f>IF(K257="","",IF(K257&lt;10000,INDEX('Responses'!$AE$2:$AE$501,K257),INDEX('Paper sign-ups'!$I$2:$I$101,K257-10000)))</f>
        <v/>
      </c>
      <c r="C257" s="19">
        <f>IF(K257="","",IF(K257&lt;10000,INDEX('Responses'!$AF$2:$AF$501,K257),INDEX('Paper sign-ups'!$J$2:$J$101,K257-10000)))</f>
        <v/>
      </c>
      <c r="D257" s="18">
        <f>IF(K257="","",IF(K257&lt;10000,INDEX('Responses'!$AH$2:$AH$501,K257),INDEX('Paper sign-ups'!$L$2:$L$101,K257-10000)))</f>
        <v/>
      </c>
      <c r="E257" s="20">
        <f>IF(K257="","",IF(K257&lt;10000,INDEX('Responses'!$AL$2:$AL$501,K257),INDEX('Paper sign-ups'!$P$2:$P$101,K257-10000)))</f>
        <v/>
      </c>
      <c r="F257" s="20">
        <f>IF(K257="","",IF(K257&lt;10000,INDEX('Responses'!$AN$2:$AN$501,K257),INDEX('Paper sign-ups'!$R$2:$R$101,K257-10000)))</f>
        <v/>
      </c>
      <c r="G257" s="18">
        <f>IF(K257="","",IF(K257&lt;10000,INDEX('Responses'!$AO$2:$AO$501,K257),INDEX('Paper sign-ups'!$S$2:$S$101,K257-10000)))</f>
        <v/>
      </c>
      <c r="H257" s="19">
        <f>IF(K257="","",IF(K257&lt;10000,INDEX('Responses'!$AI$2:$AI$501,K257),INDEX('Paper sign-ups'!$M$2:$M$101,K257-10000)))</f>
        <v/>
      </c>
      <c r="I257" s="21">
        <f>IF(K257="","",IF(K257&lt;10000,INDEX('Responses'!$AR$2:$AR$501,K257),INDEX('Paper sign-ups'!$V$2:$V$101,K257-10000)))</f>
        <v/>
      </c>
      <c r="J257" s="18">
        <f>IF(K257="","",IF(K257&lt;10000,"Online form","Paper"))</f>
        <v/>
      </c>
      <c r="K257" s="22">
        <f>IF(ISNUMBER(MATCH(252,'Responses'!$AV$2:$AV$501,0)),MATCH(252,'Responses'!$AV$2:$AV$501,0),IF(ISNUMBER(MATCH(252,'Paper sign-ups'!$Z$2:$Z$101,0)),10000+MATCH(252,'Paper sign-ups'!$Z$2:$Z$101,0),""))</f>
        <v/>
      </c>
    </row>
    <row r="258">
      <c r="A258" s="18">
        <f>IF(K258="","",253)</f>
        <v/>
      </c>
      <c r="B258" s="10">
        <f>IF(K258="","",IF(K258&lt;10000,INDEX('Responses'!$AE$2:$AE$501,K258),INDEX('Paper sign-ups'!$I$2:$I$101,K258-10000)))</f>
        <v/>
      </c>
      <c r="C258" s="19">
        <f>IF(K258="","",IF(K258&lt;10000,INDEX('Responses'!$AF$2:$AF$501,K258),INDEX('Paper sign-ups'!$J$2:$J$101,K258-10000)))</f>
        <v/>
      </c>
      <c r="D258" s="18">
        <f>IF(K258="","",IF(K258&lt;10000,INDEX('Responses'!$AH$2:$AH$501,K258),INDEX('Paper sign-ups'!$L$2:$L$101,K258-10000)))</f>
        <v/>
      </c>
      <c r="E258" s="20">
        <f>IF(K258="","",IF(K258&lt;10000,INDEX('Responses'!$AL$2:$AL$501,K258),INDEX('Paper sign-ups'!$P$2:$P$101,K258-10000)))</f>
        <v/>
      </c>
      <c r="F258" s="20">
        <f>IF(K258="","",IF(K258&lt;10000,INDEX('Responses'!$AN$2:$AN$501,K258),INDEX('Paper sign-ups'!$R$2:$R$101,K258-10000)))</f>
        <v/>
      </c>
      <c r="G258" s="18">
        <f>IF(K258="","",IF(K258&lt;10000,INDEX('Responses'!$AO$2:$AO$501,K258),INDEX('Paper sign-ups'!$S$2:$S$101,K258-10000)))</f>
        <v/>
      </c>
      <c r="H258" s="19">
        <f>IF(K258="","",IF(K258&lt;10000,INDEX('Responses'!$AI$2:$AI$501,K258),INDEX('Paper sign-ups'!$M$2:$M$101,K258-10000)))</f>
        <v/>
      </c>
      <c r="I258" s="21">
        <f>IF(K258="","",IF(K258&lt;10000,INDEX('Responses'!$AR$2:$AR$501,K258),INDEX('Paper sign-ups'!$V$2:$V$101,K258-10000)))</f>
        <v/>
      </c>
      <c r="J258" s="18">
        <f>IF(K258="","",IF(K258&lt;10000,"Online form","Paper"))</f>
        <v/>
      </c>
      <c r="K258" s="22">
        <f>IF(ISNUMBER(MATCH(253,'Responses'!$AV$2:$AV$501,0)),MATCH(253,'Responses'!$AV$2:$AV$501,0),IF(ISNUMBER(MATCH(253,'Paper sign-ups'!$Z$2:$Z$101,0)),10000+MATCH(253,'Paper sign-ups'!$Z$2:$Z$101,0),""))</f>
        <v/>
      </c>
    </row>
    <row r="259">
      <c r="A259" s="18">
        <f>IF(K259="","",254)</f>
        <v/>
      </c>
      <c r="B259" s="10">
        <f>IF(K259="","",IF(K259&lt;10000,INDEX('Responses'!$AE$2:$AE$501,K259),INDEX('Paper sign-ups'!$I$2:$I$101,K259-10000)))</f>
        <v/>
      </c>
      <c r="C259" s="19">
        <f>IF(K259="","",IF(K259&lt;10000,INDEX('Responses'!$AF$2:$AF$501,K259),INDEX('Paper sign-ups'!$J$2:$J$101,K259-10000)))</f>
        <v/>
      </c>
      <c r="D259" s="18">
        <f>IF(K259="","",IF(K259&lt;10000,INDEX('Responses'!$AH$2:$AH$501,K259),INDEX('Paper sign-ups'!$L$2:$L$101,K259-10000)))</f>
        <v/>
      </c>
      <c r="E259" s="20">
        <f>IF(K259="","",IF(K259&lt;10000,INDEX('Responses'!$AL$2:$AL$501,K259),INDEX('Paper sign-ups'!$P$2:$P$101,K259-10000)))</f>
        <v/>
      </c>
      <c r="F259" s="20">
        <f>IF(K259="","",IF(K259&lt;10000,INDEX('Responses'!$AN$2:$AN$501,K259),INDEX('Paper sign-ups'!$R$2:$R$101,K259-10000)))</f>
        <v/>
      </c>
      <c r="G259" s="18">
        <f>IF(K259="","",IF(K259&lt;10000,INDEX('Responses'!$AO$2:$AO$501,K259),INDEX('Paper sign-ups'!$S$2:$S$101,K259-10000)))</f>
        <v/>
      </c>
      <c r="H259" s="19">
        <f>IF(K259="","",IF(K259&lt;10000,INDEX('Responses'!$AI$2:$AI$501,K259),INDEX('Paper sign-ups'!$M$2:$M$101,K259-10000)))</f>
        <v/>
      </c>
      <c r="I259" s="21">
        <f>IF(K259="","",IF(K259&lt;10000,INDEX('Responses'!$AR$2:$AR$501,K259),INDEX('Paper sign-ups'!$V$2:$V$101,K259-10000)))</f>
        <v/>
      </c>
      <c r="J259" s="18">
        <f>IF(K259="","",IF(K259&lt;10000,"Online form","Paper"))</f>
        <v/>
      </c>
      <c r="K259" s="22">
        <f>IF(ISNUMBER(MATCH(254,'Responses'!$AV$2:$AV$501,0)),MATCH(254,'Responses'!$AV$2:$AV$501,0),IF(ISNUMBER(MATCH(254,'Paper sign-ups'!$Z$2:$Z$101,0)),10000+MATCH(254,'Paper sign-ups'!$Z$2:$Z$101,0),""))</f>
        <v/>
      </c>
    </row>
    <row r="260">
      <c r="A260" s="18">
        <f>IF(K260="","",255)</f>
        <v/>
      </c>
      <c r="B260" s="10">
        <f>IF(K260="","",IF(K260&lt;10000,INDEX('Responses'!$AE$2:$AE$501,K260),INDEX('Paper sign-ups'!$I$2:$I$101,K260-10000)))</f>
        <v/>
      </c>
      <c r="C260" s="19">
        <f>IF(K260="","",IF(K260&lt;10000,INDEX('Responses'!$AF$2:$AF$501,K260),INDEX('Paper sign-ups'!$J$2:$J$101,K260-10000)))</f>
        <v/>
      </c>
      <c r="D260" s="18">
        <f>IF(K260="","",IF(K260&lt;10000,INDEX('Responses'!$AH$2:$AH$501,K260),INDEX('Paper sign-ups'!$L$2:$L$101,K260-10000)))</f>
        <v/>
      </c>
      <c r="E260" s="20">
        <f>IF(K260="","",IF(K260&lt;10000,INDEX('Responses'!$AL$2:$AL$501,K260),INDEX('Paper sign-ups'!$P$2:$P$101,K260-10000)))</f>
        <v/>
      </c>
      <c r="F260" s="20">
        <f>IF(K260="","",IF(K260&lt;10000,INDEX('Responses'!$AN$2:$AN$501,K260),INDEX('Paper sign-ups'!$R$2:$R$101,K260-10000)))</f>
        <v/>
      </c>
      <c r="G260" s="18">
        <f>IF(K260="","",IF(K260&lt;10000,INDEX('Responses'!$AO$2:$AO$501,K260),INDEX('Paper sign-ups'!$S$2:$S$101,K260-10000)))</f>
        <v/>
      </c>
      <c r="H260" s="19">
        <f>IF(K260="","",IF(K260&lt;10000,INDEX('Responses'!$AI$2:$AI$501,K260),INDEX('Paper sign-ups'!$M$2:$M$101,K260-10000)))</f>
        <v/>
      </c>
      <c r="I260" s="21">
        <f>IF(K260="","",IF(K260&lt;10000,INDEX('Responses'!$AR$2:$AR$501,K260),INDEX('Paper sign-ups'!$V$2:$V$101,K260-10000)))</f>
        <v/>
      </c>
      <c r="J260" s="18">
        <f>IF(K260="","",IF(K260&lt;10000,"Online form","Paper"))</f>
        <v/>
      </c>
      <c r="K260" s="22">
        <f>IF(ISNUMBER(MATCH(255,'Responses'!$AV$2:$AV$501,0)),MATCH(255,'Responses'!$AV$2:$AV$501,0),IF(ISNUMBER(MATCH(255,'Paper sign-ups'!$Z$2:$Z$101,0)),10000+MATCH(255,'Paper sign-ups'!$Z$2:$Z$101,0),""))</f>
        <v/>
      </c>
    </row>
    <row r="261">
      <c r="A261" s="18">
        <f>IF(K261="","",256)</f>
        <v/>
      </c>
      <c r="B261" s="10">
        <f>IF(K261="","",IF(K261&lt;10000,INDEX('Responses'!$AE$2:$AE$501,K261),INDEX('Paper sign-ups'!$I$2:$I$101,K261-10000)))</f>
        <v/>
      </c>
      <c r="C261" s="19">
        <f>IF(K261="","",IF(K261&lt;10000,INDEX('Responses'!$AF$2:$AF$501,K261),INDEX('Paper sign-ups'!$J$2:$J$101,K261-10000)))</f>
        <v/>
      </c>
      <c r="D261" s="18">
        <f>IF(K261="","",IF(K261&lt;10000,INDEX('Responses'!$AH$2:$AH$501,K261),INDEX('Paper sign-ups'!$L$2:$L$101,K261-10000)))</f>
        <v/>
      </c>
      <c r="E261" s="20">
        <f>IF(K261="","",IF(K261&lt;10000,INDEX('Responses'!$AL$2:$AL$501,K261),INDEX('Paper sign-ups'!$P$2:$P$101,K261-10000)))</f>
        <v/>
      </c>
      <c r="F261" s="20">
        <f>IF(K261="","",IF(K261&lt;10000,INDEX('Responses'!$AN$2:$AN$501,K261),INDEX('Paper sign-ups'!$R$2:$R$101,K261-10000)))</f>
        <v/>
      </c>
      <c r="G261" s="18">
        <f>IF(K261="","",IF(K261&lt;10000,INDEX('Responses'!$AO$2:$AO$501,K261),INDEX('Paper sign-ups'!$S$2:$S$101,K261-10000)))</f>
        <v/>
      </c>
      <c r="H261" s="19">
        <f>IF(K261="","",IF(K261&lt;10000,INDEX('Responses'!$AI$2:$AI$501,K261),INDEX('Paper sign-ups'!$M$2:$M$101,K261-10000)))</f>
        <v/>
      </c>
      <c r="I261" s="21">
        <f>IF(K261="","",IF(K261&lt;10000,INDEX('Responses'!$AR$2:$AR$501,K261),INDEX('Paper sign-ups'!$V$2:$V$101,K261-10000)))</f>
        <v/>
      </c>
      <c r="J261" s="18">
        <f>IF(K261="","",IF(K261&lt;10000,"Online form","Paper"))</f>
        <v/>
      </c>
      <c r="K261" s="22">
        <f>IF(ISNUMBER(MATCH(256,'Responses'!$AV$2:$AV$501,0)),MATCH(256,'Responses'!$AV$2:$AV$501,0),IF(ISNUMBER(MATCH(256,'Paper sign-ups'!$Z$2:$Z$101,0)),10000+MATCH(256,'Paper sign-ups'!$Z$2:$Z$101,0),""))</f>
        <v/>
      </c>
    </row>
    <row r="262">
      <c r="A262" s="18">
        <f>IF(K262="","",257)</f>
        <v/>
      </c>
      <c r="B262" s="10">
        <f>IF(K262="","",IF(K262&lt;10000,INDEX('Responses'!$AE$2:$AE$501,K262),INDEX('Paper sign-ups'!$I$2:$I$101,K262-10000)))</f>
        <v/>
      </c>
      <c r="C262" s="19">
        <f>IF(K262="","",IF(K262&lt;10000,INDEX('Responses'!$AF$2:$AF$501,K262),INDEX('Paper sign-ups'!$J$2:$J$101,K262-10000)))</f>
        <v/>
      </c>
      <c r="D262" s="18">
        <f>IF(K262="","",IF(K262&lt;10000,INDEX('Responses'!$AH$2:$AH$501,K262),INDEX('Paper sign-ups'!$L$2:$L$101,K262-10000)))</f>
        <v/>
      </c>
      <c r="E262" s="20">
        <f>IF(K262="","",IF(K262&lt;10000,INDEX('Responses'!$AL$2:$AL$501,K262),INDEX('Paper sign-ups'!$P$2:$P$101,K262-10000)))</f>
        <v/>
      </c>
      <c r="F262" s="20">
        <f>IF(K262="","",IF(K262&lt;10000,INDEX('Responses'!$AN$2:$AN$501,K262),INDEX('Paper sign-ups'!$R$2:$R$101,K262-10000)))</f>
        <v/>
      </c>
      <c r="G262" s="18">
        <f>IF(K262="","",IF(K262&lt;10000,INDEX('Responses'!$AO$2:$AO$501,K262),INDEX('Paper sign-ups'!$S$2:$S$101,K262-10000)))</f>
        <v/>
      </c>
      <c r="H262" s="19">
        <f>IF(K262="","",IF(K262&lt;10000,INDEX('Responses'!$AI$2:$AI$501,K262),INDEX('Paper sign-ups'!$M$2:$M$101,K262-10000)))</f>
        <v/>
      </c>
      <c r="I262" s="21">
        <f>IF(K262="","",IF(K262&lt;10000,INDEX('Responses'!$AR$2:$AR$501,K262),INDEX('Paper sign-ups'!$V$2:$V$101,K262-10000)))</f>
        <v/>
      </c>
      <c r="J262" s="18">
        <f>IF(K262="","",IF(K262&lt;10000,"Online form","Paper"))</f>
        <v/>
      </c>
      <c r="K262" s="22">
        <f>IF(ISNUMBER(MATCH(257,'Responses'!$AV$2:$AV$501,0)),MATCH(257,'Responses'!$AV$2:$AV$501,0),IF(ISNUMBER(MATCH(257,'Paper sign-ups'!$Z$2:$Z$101,0)),10000+MATCH(257,'Paper sign-ups'!$Z$2:$Z$101,0),""))</f>
        <v/>
      </c>
    </row>
    <row r="263">
      <c r="A263" s="18">
        <f>IF(K263="","",258)</f>
        <v/>
      </c>
      <c r="B263" s="10">
        <f>IF(K263="","",IF(K263&lt;10000,INDEX('Responses'!$AE$2:$AE$501,K263),INDEX('Paper sign-ups'!$I$2:$I$101,K263-10000)))</f>
        <v/>
      </c>
      <c r="C263" s="19">
        <f>IF(K263="","",IF(K263&lt;10000,INDEX('Responses'!$AF$2:$AF$501,K263),INDEX('Paper sign-ups'!$J$2:$J$101,K263-10000)))</f>
        <v/>
      </c>
      <c r="D263" s="18">
        <f>IF(K263="","",IF(K263&lt;10000,INDEX('Responses'!$AH$2:$AH$501,K263),INDEX('Paper sign-ups'!$L$2:$L$101,K263-10000)))</f>
        <v/>
      </c>
      <c r="E263" s="20">
        <f>IF(K263="","",IF(K263&lt;10000,INDEX('Responses'!$AL$2:$AL$501,K263),INDEX('Paper sign-ups'!$P$2:$P$101,K263-10000)))</f>
        <v/>
      </c>
      <c r="F263" s="20">
        <f>IF(K263="","",IF(K263&lt;10000,INDEX('Responses'!$AN$2:$AN$501,K263),INDEX('Paper sign-ups'!$R$2:$R$101,K263-10000)))</f>
        <v/>
      </c>
      <c r="G263" s="18">
        <f>IF(K263="","",IF(K263&lt;10000,INDEX('Responses'!$AO$2:$AO$501,K263),INDEX('Paper sign-ups'!$S$2:$S$101,K263-10000)))</f>
        <v/>
      </c>
      <c r="H263" s="19">
        <f>IF(K263="","",IF(K263&lt;10000,INDEX('Responses'!$AI$2:$AI$501,K263),INDEX('Paper sign-ups'!$M$2:$M$101,K263-10000)))</f>
        <v/>
      </c>
      <c r="I263" s="21">
        <f>IF(K263="","",IF(K263&lt;10000,INDEX('Responses'!$AR$2:$AR$501,K263),INDEX('Paper sign-ups'!$V$2:$V$101,K263-10000)))</f>
        <v/>
      </c>
      <c r="J263" s="18">
        <f>IF(K263="","",IF(K263&lt;10000,"Online form","Paper"))</f>
        <v/>
      </c>
      <c r="K263" s="22">
        <f>IF(ISNUMBER(MATCH(258,'Responses'!$AV$2:$AV$501,0)),MATCH(258,'Responses'!$AV$2:$AV$501,0),IF(ISNUMBER(MATCH(258,'Paper sign-ups'!$Z$2:$Z$101,0)),10000+MATCH(258,'Paper sign-ups'!$Z$2:$Z$101,0),""))</f>
        <v/>
      </c>
    </row>
    <row r="264">
      <c r="A264" s="18">
        <f>IF(K264="","",259)</f>
        <v/>
      </c>
      <c r="B264" s="10">
        <f>IF(K264="","",IF(K264&lt;10000,INDEX('Responses'!$AE$2:$AE$501,K264),INDEX('Paper sign-ups'!$I$2:$I$101,K264-10000)))</f>
        <v/>
      </c>
      <c r="C264" s="19">
        <f>IF(K264="","",IF(K264&lt;10000,INDEX('Responses'!$AF$2:$AF$501,K264),INDEX('Paper sign-ups'!$J$2:$J$101,K264-10000)))</f>
        <v/>
      </c>
      <c r="D264" s="18">
        <f>IF(K264="","",IF(K264&lt;10000,INDEX('Responses'!$AH$2:$AH$501,K264),INDEX('Paper sign-ups'!$L$2:$L$101,K264-10000)))</f>
        <v/>
      </c>
      <c r="E264" s="20">
        <f>IF(K264="","",IF(K264&lt;10000,INDEX('Responses'!$AL$2:$AL$501,K264),INDEX('Paper sign-ups'!$P$2:$P$101,K264-10000)))</f>
        <v/>
      </c>
      <c r="F264" s="20">
        <f>IF(K264="","",IF(K264&lt;10000,INDEX('Responses'!$AN$2:$AN$501,K264),INDEX('Paper sign-ups'!$R$2:$R$101,K264-10000)))</f>
        <v/>
      </c>
      <c r="G264" s="18">
        <f>IF(K264="","",IF(K264&lt;10000,INDEX('Responses'!$AO$2:$AO$501,K264),INDEX('Paper sign-ups'!$S$2:$S$101,K264-10000)))</f>
        <v/>
      </c>
      <c r="H264" s="19">
        <f>IF(K264="","",IF(K264&lt;10000,INDEX('Responses'!$AI$2:$AI$501,K264),INDEX('Paper sign-ups'!$M$2:$M$101,K264-10000)))</f>
        <v/>
      </c>
      <c r="I264" s="21">
        <f>IF(K264="","",IF(K264&lt;10000,INDEX('Responses'!$AR$2:$AR$501,K264),INDEX('Paper sign-ups'!$V$2:$V$101,K264-10000)))</f>
        <v/>
      </c>
      <c r="J264" s="18">
        <f>IF(K264="","",IF(K264&lt;10000,"Online form","Paper"))</f>
        <v/>
      </c>
      <c r="K264" s="22">
        <f>IF(ISNUMBER(MATCH(259,'Responses'!$AV$2:$AV$501,0)),MATCH(259,'Responses'!$AV$2:$AV$501,0),IF(ISNUMBER(MATCH(259,'Paper sign-ups'!$Z$2:$Z$101,0)),10000+MATCH(259,'Paper sign-ups'!$Z$2:$Z$101,0),""))</f>
        <v/>
      </c>
    </row>
    <row r="265">
      <c r="A265" s="18">
        <f>IF(K265="","",260)</f>
        <v/>
      </c>
      <c r="B265" s="10">
        <f>IF(K265="","",IF(K265&lt;10000,INDEX('Responses'!$AE$2:$AE$501,K265),INDEX('Paper sign-ups'!$I$2:$I$101,K265-10000)))</f>
        <v/>
      </c>
      <c r="C265" s="19">
        <f>IF(K265="","",IF(K265&lt;10000,INDEX('Responses'!$AF$2:$AF$501,K265),INDEX('Paper sign-ups'!$J$2:$J$101,K265-10000)))</f>
        <v/>
      </c>
      <c r="D265" s="18">
        <f>IF(K265="","",IF(K265&lt;10000,INDEX('Responses'!$AH$2:$AH$501,K265),INDEX('Paper sign-ups'!$L$2:$L$101,K265-10000)))</f>
        <v/>
      </c>
      <c r="E265" s="20">
        <f>IF(K265="","",IF(K265&lt;10000,INDEX('Responses'!$AL$2:$AL$501,K265),INDEX('Paper sign-ups'!$P$2:$P$101,K265-10000)))</f>
        <v/>
      </c>
      <c r="F265" s="20">
        <f>IF(K265="","",IF(K265&lt;10000,INDEX('Responses'!$AN$2:$AN$501,K265),INDEX('Paper sign-ups'!$R$2:$R$101,K265-10000)))</f>
        <v/>
      </c>
      <c r="G265" s="18">
        <f>IF(K265="","",IF(K265&lt;10000,INDEX('Responses'!$AO$2:$AO$501,K265),INDEX('Paper sign-ups'!$S$2:$S$101,K265-10000)))</f>
        <v/>
      </c>
      <c r="H265" s="19">
        <f>IF(K265="","",IF(K265&lt;10000,INDEX('Responses'!$AI$2:$AI$501,K265),INDEX('Paper sign-ups'!$M$2:$M$101,K265-10000)))</f>
        <v/>
      </c>
      <c r="I265" s="21">
        <f>IF(K265="","",IF(K265&lt;10000,INDEX('Responses'!$AR$2:$AR$501,K265),INDEX('Paper sign-ups'!$V$2:$V$101,K265-10000)))</f>
        <v/>
      </c>
      <c r="J265" s="18">
        <f>IF(K265="","",IF(K265&lt;10000,"Online form","Paper"))</f>
        <v/>
      </c>
      <c r="K265" s="22">
        <f>IF(ISNUMBER(MATCH(260,'Responses'!$AV$2:$AV$501,0)),MATCH(260,'Responses'!$AV$2:$AV$501,0),IF(ISNUMBER(MATCH(260,'Paper sign-ups'!$Z$2:$Z$101,0)),10000+MATCH(260,'Paper sign-ups'!$Z$2:$Z$101,0),""))</f>
        <v/>
      </c>
    </row>
    <row r="266">
      <c r="A266" s="18">
        <f>IF(K266="","",261)</f>
        <v/>
      </c>
      <c r="B266" s="10">
        <f>IF(K266="","",IF(K266&lt;10000,INDEX('Responses'!$AE$2:$AE$501,K266),INDEX('Paper sign-ups'!$I$2:$I$101,K266-10000)))</f>
        <v/>
      </c>
      <c r="C266" s="19">
        <f>IF(K266="","",IF(K266&lt;10000,INDEX('Responses'!$AF$2:$AF$501,K266),INDEX('Paper sign-ups'!$J$2:$J$101,K266-10000)))</f>
        <v/>
      </c>
      <c r="D266" s="18">
        <f>IF(K266="","",IF(K266&lt;10000,INDEX('Responses'!$AH$2:$AH$501,K266),INDEX('Paper sign-ups'!$L$2:$L$101,K266-10000)))</f>
        <v/>
      </c>
      <c r="E266" s="20">
        <f>IF(K266="","",IF(K266&lt;10000,INDEX('Responses'!$AL$2:$AL$501,K266),INDEX('Paper sign-ups'!$P$2:$P$101,K266-10000)))</f>
        <v/>
      </c>
      <c r="F266" s="20">
        <f>IF(K266="","",IF(K266&lt;10000,INDEX('Responses'!$AN$2:$AN$501,K266),INDEX('Paper sign-ups'!$R$2:$R$101,K266-10000)))</f>
        <v/>
      </c>
      <c r="G266" s="18">
        <f>IF(K266="","",IF(K266&lt;10000,INDEX('Responses'!$AO$2:$AO$501,K266),INDEX('Paper sign-ups'!$S$2:$S$101,K266-10000)))</f>
        <v/>
      </c>
      <c r="H266" s="19">
        <f>IF(K266="","",IF(K266&lt;10000,INDEX('Responses'!$AI$2:$AI$501,K266),INDEX('Paper sign-ups'!$M$2:$M$101,K266-10000)))</f>
        <v/>
      </c>
      <c r="I266" s="21">
        <f>IF(K266="","",IF(K266&lt;10000,INDEX('Responses'!$AR$2:$AR$501,K266),INDEX('Paper sign-ups'!$V$2:$V$101,K266-10000)))</f>
        <v/>
      </c>
      <c r="J266" s="18">
        <f>IF(K266="","",IF(K266&lt;10000,"Online form","Paper"))</f>
        <v/>
      </c>
      <c r="K266" s="22">
        <f>IF(ISNUMBER(MATCH(261,'Responses'!$AV$2:$AV$501,0)),MATCH(261,'Responses'!$AV$2:$AV$501,0),IF(ISNUMBER(MATCH(261,'Paper sign-ups'!$Z$2:$Z$101,0)),10000+MATCH(261,'Paper sign-ups'!$Z$2:$Z$101,0),""))</f>
        <v/>
      </c>
    </row>
    <row r="267">
      <c r="A267" s="18">
        <f>IF(K267="","",262)</f>
        <v/>
      </c>
      <c r="B267" s="10">
        <f>IF(K267="","",IF(K267&lt;10000,INDEX('Responses'!$AE$2:$AE$501,K267),INDEX('Paper sign-ups'!$I$2:$I$101,K267-10000)))</f>
        <v/>
      </c>
      <c r="C267" s="19">
        <f>IF(K267="","",IF(K267&lt;10000,INDEX('Responses'!$AF$2:$AF$501,K267),INDEX('Paper sign-ups'!$J$2:$J$101,K267-10000)))</f>
        <v/>
      </c>
      <c r="D267" s="18">
        <f>IF(K267="","",IF(K267&lt;10000,INDEX('Responses'!$AH$2:$AH$501,K267),INDEX('Paper sign-ups'!$L$2:$L$101,K267-10000)))</f>
        <v/>
      </c>
      <c r="E267" s="20">
        <f>IF(K267="","",IF(K267&lt;10000,INDEX('Responses'!$AL$2:$AL$501,K267),INDEX('Paper sign-ups'!$P$2:$P$101,K267-10000)))</f>
        <v/>
      </c>
      <c r="F267" s="20">
        <f>IF(K267="","",IF(K267&lt;10000,INDEX('Responses'!$AN$2:$AN$501,K267),INDEX('Paper sign-ups'!$R$2:$R$101,K267-10000)))</f>
        <v/>
      </c>
      <c r="G267" s="18">
        <f>IF(K267="","",IF(K267&lt;10000,INDEX('Responses'!$AO$2:$AO$501,K267),INDEX('Paper sign-ups'!$S$2:$S$101,K267-10000)))</f>
        <v/>
      </c>
      <c r="H267" s="19">
        <f>IF(K267="","",IF(K267&lt;10000,INDEX('Responses'!$AI$2:$AI$501,K267),INDEX('Paper sign-ups'!$M$2:$M$101,K267-10000)))</f>
        <v/>
      </c>
      <c r="I267" s="21">
        <f>IF(K267="","",IF(K267&lt;10000,INDEX('Responses'!$AR$2:$AR$501,K267),INDEX('Paper sign-ups'!$V$2:$V$101,K267-10000)))</f>
        <v/>
      </c>
      <c r="J267" s="18">
        <f>IF(K267="","",IF(K267&lt;10000,"Online form","Paper"))</f>
        <v/>
      </c>
      <c r="K267" s="22">
        <f>IF(ISNUMBER(MATCH(262,'Responses'!$AV$2:$AV$501,0)),MATCH(262,'Responses'!$AV$2:$AV$501,0),IF(ISNUMBER(MATCH(262,'Paper sign-ups'!$Z$2:$Z$101,0)),10000+MATCH(262,'Paper sign-ups'!$Z$2:$Z$101,0),""))</f>
        <v/>
      </c>
    </row>
    <row r="268">
      <c r="A268" s="18">
        <f>IF(K268="","",263)</f>
        <v/>
      </c>
      <c r="B268" s="10">
        <f>IF(K268="","",IF(K268&lt;10000,INDEX('Responses'!$AE$2:$AE$501,K268),INDEX('Paper sign-ups'!$I$2:$I$101,K268-10000)))</f>
        <v/>
      </c>
      <c r="C268" s="19">
        <f>IF(K268="","",IF(K268&lt;10000,INDEX('Responses'!$AF$2:$AF$501,K268),INDEX('Paper sign-ups'!$J$2:$J$101,K268-10000)))</f>
        <v/>
      </c>
      <c r="D268" s="18">
        <f>IF(K268="","",IF(K268&lt;10000,INDEX('Responses'!$AH$2:$AH$501,K268),INDEX('Paper sign-ups'!$L$2:$L$101,K268-10000)))</f>
        <v/>
      </c>
      <c r="E268" s="20">
        <f>IF(K268="","",IF(K268&lt;10000,INDEX('Responses'!$AL$2:$AL$501,K268),INDEX('Paper sign-ups'!$P$2:$P$101,K268-10000)))</f>
        <v/>
      </c>
      <c r="F268" s="20">
        <f>IF(K268="","",IF(K268&lt;10000,INDEX('Responses'!$AN$2:$AN$501,K268),INDEX('Paper sign-ups'!$R$2:$R$101,K268-10000)))</f>
        <v/>
      </c>
      <c r="G268" s="18">
        <f>IF(K268="","",IF(K268&lt;10000,INDEX('Responses'!$AO$2:$AO$501,K268),INDEX('Paper sign-ups'!$S$2:$S$101,K268-10000)))</f>
        <v/>
      </c>
      <c r="H268" s="19">
        <f>IF(K268="","",IF(K268&lt;10000,INDEX('Responses'!$AI$2:$AI$501,K268),INDEX('Paper sign-ups'!$M$2:$M$101,K268-10000)))</f>
        <v/>
      </c>
      <c r="I268" s="21">
        <f>IF(K268="","",IF(K268&lt;10000,INDEX('Responses'!$AR$2:$AR$501,K268),INDEX('Paper sign-ups'!$V$2:$V$101,K268-10000)))</f>
        <v/>
      </c>
      <c r="J268" s="18">
        <f>IF(K268="","",IF(K268&lt;10000,"Online form","Paper"))</f>
        <v/>
      </c>
      <c r="K268" s="22">
        <f>IF(ISNUMBER(MATCH(263,'Responses'!$AV$2:$AV$501,0)),MATCH(263,'Responses'!$AV$2:$AV$501,0),IF(ISNUMBER(MATCH(263,'Paper sign-ups'!$Z$2:$Z$101,0)),10000+MATCH(263,'Paper sign-ups'!$Z$2:$Z$101,0),""))</f>
        <v/>
      </c>
    </row>
    <row r="269">
      <c r="A269" s="18">
        <f>IF(K269="","",264)</f>
        <v/>
      </c>
      <c r="B269" s="10">
        <f>IF(K269="","",IF(K269&lt;10000,INDEX('Responses'!$AE$2:$AE$501,K269),INDEX('Paper sign-ups'!$I$2:$I$101,K269-10000)))</f>
        <v/>
      </c>
      <c r="C269" s="19">
        <f>IF(K269="","",IF(K269&lt;10000,INDEX('Responses'!$AF$2:$AF$501,K269),INDEX('Paper sign-ups'!$J$2:$J$101,K269-10000)))</f>
        <v/>
      </c>
      <c r="D269" s="18">
        <f>IF(K269="","",IF(K269&lt;10000,INDEX('Responses'!$AH$2:$AH$501,K269),INDEX('Paper sign-ups'!$L$2:$L$101,K269-10000)))</f>
        <v/>
      </c>
      <c r="E269" s="20">
        <f>IF(K269="","",IF(K269&lt;10000,INDEX('Responses'!$AL$2:$AL$501,K269),INDEX('Paper sign-ups'!$P$2:$P$101,K269-10000)))</f>
        <v/>
      </c>
      <c r="F269" s="20">
        <f>IF(K269="","",IF(K269&lt;10000,INDEX('Responses'!$AN$2:$AN$501,K269),INDEX('Paper sign-ups'!$R$2:$R$101,K269-10000)))</f>
        <v/>
      </c>
      <c r="G269" s="18">
        <f>IF(K269="","",IF(K269&lt;10000,INDEX('Responses'!$AO$2:$AO$501,K269),INDEX('Paper sign-ups'!$S$2:$S$101,K269-10000)))</f>
        <v/>
      </c>
      <c r="H269" s="19">
        <f>IF(K269="","",IF(K269&lt;10000,INDEX('Responses'!$AI$2:$AI$501,K269),INDEX('Paper sign-ups'!$M$2:$M$101,K269-10000)))</f>
        <v/>
      </c>
      <c r="I269" s="21">
        <f>IF(K269="","",IF(K269&lt;10000,INDEX('Responses'!$AR$2:$AR$501,K269),INDEX('Paper sign-ups'!$V$2:$V$101,K269-10000)))</f>
        <v/>
      </c>
      <c r="J269" s="18">
        <f>IF(K269="","",IF(K269&lt;10000,"Online form","Paper"))</f>
        <v/>
      </c>
      <c r="K269" s="22">
        <f>IF(ISNUMBER(MATCH(264,'Responses'!$AV$2:$AV$501,0)),MATCH(264,'Responses'!$AV$2:$AV$501,0),IF(ISNUMBER(MATCH(264,'Paper sign-ups'!$Z$2:$Z$101,0)),10000+MATCH(264,'Paper sign-ups'!$Z$2:$Z$101,0),""))</f>
        <v/>
      </c>
    </row>
    <row r="270">
      <c r="A270" s="18">
        <f>IF(K270="","",265)</f>
        <v/>
      </c>
      <c r="B270" s="10">
        <f>IF(K270="","",IF(K270&lt;10000,INDEX('Responses'!$AE$2:$AE$501,K270),INDEX('Paper sign-ups'!$I$2:$I$101,K270-10000)))</f>
        <v/>
      </c>
      <c r="C270" s="19">
        <f>IF(K270="","",IF(K270&lt;10000,INDEX('Responses'!$AF$2:$AF$501,K270),INDEX('Paper sign-ups'!$J$2:$J$101,K270-10000)))</f>
        <v/>
      </c>
      <c r="D270" s="18">
        <f>IF(K270="","",IF(K270&lt;10000,INDEX('Responses'!$AH$2:$AH$501,K270),INDEX('Paper sign-ups'!$L$2:$L$101,K270-10000)))</f>
        <v/>
      </c>
      <c r="E270" s="20">
        <f>IF(K270="","",IF(K270&lt;10000,INDEX('Responses'!$AL$2:$AL$501,K270),INDEX('Paper sign-ups'!$P$2:$P$101,K270-10000)))</f>
        <v/>
      </c>
      <c r="F270" s="20">
        <f>IF(K270="","",IF(K270&lt;10000,INDEX('Responses'!$AN$2:$AN$501,K270),INDEX('Paper sign-ups'!$R$2:$R$101,K270-10000)))</f>
        <v/>
      </c>
      <c r="G270" s="18">
        <f>IF(K270="","",IF(K270&lt;10000,INDEX('Responses'!$AO$2:$AO$501,K270),INDEX('Paper sign-ups'!$S$2:$S$101,K270-10000)))</f>
        <v/>
      </c>
      <c r="H270" s="19">
        <f>IF(K270="","",IF(K270&lt;10000,INDEX('Responses'!$AI$2:$AI$501,K270),INDEX('Paper sign-ups'!$M$2:$M$101,K270-10000)))</f>
        <v/>
      </c>
      <c r="I270" s="21">
        <f>IF(K270="","",IF(K270&lt;10000,INDEX('Responses'!$AR$2:$AR$501,K270),INDEX('Paper sign-ups'!$V$2:$V$101,K270-10000)))</f>
        <v/>
      </c>
      <c r="J270" s="18">
        <f>IF(K270="","",IF(K270&lt;10000,"Online form","Paper"))</f>
        <v/>
      </c>
      <c r="K270" s="22">
        <f>IF(ISNUMBER(MATCH(265,'Responses'!$AV$2:$AV$501,0)),MATCH(265,'Responses'!$AV$2:$AV$501,0),IF(ISNUMBER(MATCH(265,'Paper sign-ups'!$Z$2:$Z$101,0)),10000+MATCH(265,'Paper sign-ups'!$Z$2:$Z$101,0),""))</f>
        <v/>
      </c>
    </row>
    <row r="271">
      <c r="A271" s="18">
        <f>IF(K271="","",266)</f>
        <v/>
      </c>
      <c r="B271" s="10">
        <f>IF(K271="","",IF(K271&lt;10000,INDEX('Responses'!$AE$2:$AE$501,K271),INDEX('Paper sign-ups'!$I$2:$I$101,K271-10000)))</f>
        <v/>
      </c>
      <c r="C271" s="19">
        <f>IF(K271="","",IF(K271&lt;10000,INDEX('Responses'!$AF$2:$AF$501,K271),INDEX('Paper sign-ups'!$J$2:$J$101,K271-10000)))</f>
        <v/>
      </c>
      <c r="D271" s="18">
        <f>IF(K271="","",IF(K271&lt;10000,INDEX('Responses'!$AH$2:$AH$501,K271),INDEX('Paper sign-ups'!$L$2:$L$101,K271-10000)))</f>
        <v/>
      </c>
      <c r="E271" s="20">
        <f>IF(K271="","",IF(K271&lt;10000,INDEX('Responses'!$AL$2:$AL$501,K271),INDEX('Paper sign-ups'!$P$2:$P$101,K271-10000)))</f>
        <v/>
      </c>
      <c r="F271" s="20">
        <f>IF(K271="","",IF(K271&lt;10000,INDEX('Responses'!$AN$2:$AN$501,K271),INDEX('Paper sign-ups'!$R$2:$R$101,K271-10000)))</f>
        <v/>
      </c>
      <c r="G271" s="18">
        <f>IF(K271="","",IF(K271&lt;10000,INDEX('Responses'!$AO$2:$AO$501,K271),INDEX('Paper sign-ups'!$S$2:$S$101,K271-10000)))</f>
        <v/>
      </c>
      <c r="H271" s="19">
        <f>IF(K271="","",IF(K271&lt;10000,INDEX('Responses'!$AI$2:$AI$501,K271),INDEX('Paper sign-ups'!$M$2:$M$101,K271-10000)))</f>
        <v/>
      </c>
      <c r="I271" s="21">
        <f>IF(K271="","",IF(K271&lt;10000,INDEX('Responses'!$AR$2:$AR$501,K271),INDEX('Paper sign-ups'!$V$2:$V$101,K271-10000)))</f>
        <v/>
      </c>
      <c r="J271" s="18">
        <f>IF(K271="","",IF(K271&lt;10000,"Online form","Paper"))</f>
        <v/>
      </c>
      <c r="K271" s="22">
        <f>IF(ISNUMBER(MATCH(266,'Responses'!$AV$2:$AV$501,0)),MATCH(266,'Responses'!$AV$2:$AV$501,0),IF(ISNUMBER(MATCH(266,'Paper sign-ups'!$Z$2:$Z$101,0)),10000+MATCH(266,'Paper sign-ups'!$Z$2:$Z$101,0),""))</f>
        <v/>
      </c>
    </row>
    <row r="272">
      <c r="A272" s="18">
        <f>IF(K272="","",267)</f>
        <v/>
      </c>
      <c r="B272" s="10">
        <f>IF(K272="","",IF(K272&lt;10000,INDEX('Responses'!$AE$2:$AE$501,K272),INDEX('Paper sign-ups'!$I$2:$I$101,K272-10000)))</f>
        <v/>
      </c>
      <c r="C272" s="19">
        <f>IF(K272="","",IF(K272&lt;10000,INDEX('Responses'!$AF$2:$AF$501,K272),INDEX('Paper sign-ups'!$J$2:$J$101,K272-10000)))</f>
        <v/>
      </c>
      <c r="D272" s="18">
        <f>IF(K272="","",IF(K272&lt;10000,INDEX('Responses'!$AH$2:$AH$501,K272),INDEX('Paper sign-ups'!$L$2:$L$101,K272-10000)))</f>
        <v/>
      </c>
      <c r="E272" s="20">
        <f>IF(K272="","",IF(K272&lt;10000,INDEX('Responses'!$AL$2:$AL$501,K272),INDEX('Paper sign-ups'!$P$2:$P$101,K272-10000)))</f>
        <v/>
      </c>
      <c r="F272" s="20">
        <f>IF(K272="","",IF(K272&lt;10000,INDEX('Responses'!$AN$2:$AN$501,K272),INDEX('Paper sign-ups'!$R$2:$R$101,K272-10000)))</f>
        <v/>
      </c>
      <c r="G272" s="18">
        <f>IF(K272="","",IF(K272&lt;10000,INDEX('Responses'!$AO$2:$AO$501,K272),INDEX('Paper sign-ups'!$S$2:$S$101,K272-10000)))</f>
        <v/>
      </c>
      <c r="H272" s="19">
        <f>IF(K272="","",IF(K272&lt;10000,INDEX('Responses'!$AI$2:$AI$501,K272),INDEX('Paper sign-ups'!$M$2:$M$101,K272-10000)))</f>
        <v/>
      </c>
      <c r="I272" s="21">
        <f>IF(K272="","",IF(K272&lt;10000,INDEX('Responses'!$AR$2:$AR$501,K272),INDEX('Paper sign-ups'!$V$2:$V$101,K272-10000)))</f>
        <v/>
      </c>
      <c r="J272" s="18">
        <f>IF(K272="","",IF(K272&lt;10000,"Online form","Paper"))</f>
        <v/>
      </c>
      <c r="K272" s="22">
        <f>IF(ISNUMBER(MATCH(267,'Responses'!$AV$2:$AV$501,0)),MATCH(267,'Responses'!$AV$2:$AV$501,0),IF(ISNUMBER(MATCH(267,'Paper sign-ups'!$Z$2:$Z$101,0)),10000+MATCH(267,'Paper sign-ups'!$Z$2:$Z$101,0),""))</f>
        <v/>
      </c>
    </row>
    <row r="273">
      <c r="A273" s="18">
        <f>IF(K273="","",268)</f>
        <v/>
      </c>
      <c r="B273" s="10">
        <f>IF(K273="","",IF(K273&lt;10000,INDEX('Responses'!$AE$2:$AE$501,K273),INDEX('Paper sign-ups'!$I$2:$I$101,K273-10000)))</f>
        <v/>
      </c>
      <c r="C273" s="19">
        <f>IF(K273="","",IF(K273&lt;10000,INDEX('Responses'!$AF$2:$AF$501,K273),INDEX('Paper sign-ups'!$J$2:$J$101,K273-10000)))</f>
        <v/>
      </c>
      <c r="D273" s="18">
        <f>IF(K273="","",IF(K273&lt;10000,INDEX('Responses'!$AH$2:$AH$501,K273),INDEX('Paper sign-ups'!$L$2:$L$101,K273-10000)))</f>
        <v/>
      </c>
      <c r="E273" s="20">
        <f>IF(K273="","",IF(K273&lt;10000,INDEX('Responses'!$AL$2:$AL$501,K273),INDEX('Paper sign-ups'!$P$2:$P$101,K273-10000)))</f>
        <v/>
      </c>
      <c r="F273" s="20">
        <f>IF(K273="","",IF(K273&lt;10000,INDEX('Responses'!$AN$2:$AN$501,K273),INDEX('Paper sign-ups'!$R$2:$R$101,K273-10000)))</f>
        <v/>
      </c>
      <c r="G273" s="18">
        <f>IF(K273="","",IF(K273&lt;10000,INDEX('Responses'!$AO$2:$AO$501,K273),INDEX('Paper sign-ups'!$S$2:$S$101,K273-10000)))</f>
        <v/>
      </c>
      <c r="H273" s="19">
        <f>IF(K273="","",IF(K273&lt;10000,INDEX('Responses'!$AI$2:$AI$501,K273),INDEX('Paper sign-ups'!$M$2:$M$101,K273-10000)))</f>
        <v/>
      </c>
      <c r="I273" s="21">
        <f>IF(K273="","",IF(K273&lt;10000,INDEX('Responses'!$AR$2:$AR$501,K273),INDEX('Paper sign-ups'!$V$2:$V$101,K273-10000)))</f>
        <v/>
      </c>
      <c r="J273" s="18">
        <f>IF(K273="","",IF(K273&lt;10000,"Online form","Paper"))</f>
        <v/>
      </c>
      <c r="K273" s="22">
        <f>IF(ISNUMBER(MATCH(268,'Responses'!$AV$2:$AV$501,0)),MATCH(268,'Responses'!$AV$2:$AV$501,0),IF(ISNUMBER(MATCH(268,'Paper sign-ups'!$Z$2:$Z$101,0)),10000+MATCH(268,'Paper sign-ups'!$Z$2:$Z$101,0),""))</f>
        <v/>
      </c>
    </row>
    <row r="274">
      <c r="A274" s="18">
        <f>IF(K274="","",269)</f>
        <v/>
      </c>
      <c r="B274" s="10">
        <f>IF(K274="","",IF(K274&lt;10000,INDEX('Responses'!$AE$2:$AE$501,K274),INDEX('Paper sign-ups'!$I$2:$I$101,K274-10000)))</f>
        <v/>
      </c>
      <c r="C274" s="19">
        <f>IF(K274="","",IF(K274&lt;10000,INDEX('Responses'!$AF$2:$AF$501,K274),INDEX('Paper sign-ups'!$J$2:$J$101,K274-10000)))</f>
        <v/>
      </c>
      <c r="D274" s="18">
        <f>IF(K274="","",IF(K274&lt;10000,INDEX('Responses'!$AH$2:$AH$501,K274),INDEX('Paper sign-ups'!$L$2:$L$101,K274-10000)))</f>
        <v/>
      </c>
      <c r="E274" s="20">
        <f>IF(K274="","",IF(K274&lt;10000,INDEX('Responses'!$AL$2:$AL$501,K274),INDEX('Paper sign-ups'!$P$2:$P$101,K274-10000)))</f>
        <v/>
      </c>
      <c r="F274" s="20">
        <f>IF(K274="","",IF(K274&lt;10000,INDEX('Responses'!$AN$2:$AN$501,K274),INDEX('Paper sign-ups'!$R$2:$R$101,K274-10000)))</f>
        <v/>
      </c>
      <c r="G274" s="18">
        <f>IF(K274="","",IF(K274&lt;10000,INDEX('Responses'!$AO$2:$AO$501,K274),INDEX('Paper sign-ups'!$S$2:$S$101,K274-10000)))</f>
        <v/>
      </c>
      <c r="H274" s="19">
        <f>IF(K274="","",IF(K274&lt;10000,INDEX('Responses'!$AI$2:$AI$501,K274),INDEX('Paper sign-ups'!$M$2:$M$101,K274-10000)))</f>
        <v/>
      </c>
      <c r="I274" s="21">
        <f>IF(K274="","",IF(K274&lt;10000,INDEX('Responses'!$AR$2:$AR$501,K274),INDEX('Paper sign-ups'!$V$2:$V$101,K274-10000)))</f>
        <v/>
      </c>
      <c r="J274" s="18">
        <f>IF(K274="","",IF(K274&lt;10000,"Online form","Paper"))</f>
        <v/>
      </c>
      <c r="K274" s="22">
        <f>IF(ISNUMBER(MATCH(269,'Responses'!$AV$2:$AV$501,0)),MATCH(269,'Responses'!$AV$2:$AV$501,0),IF(ISNUMBER(MATCH(269,'Paper sign-ups'!$Z$2:$Z$101,0)),10000+MATCH(269,'Paper sign-ups'!$Z$2:$Z$101,0),""))</f>
        <v/>
      </c>
    </row>
    <row r="275">
      <c r="A275" s="18">
        <f>IF(K275="","",270)</f>
        <v/>
      </c>
      <c r="B275" s="10">
        <f>IF(K275="","",IF(K275&lt;10000,INDEX('Responses'!$AE$2:$AE$501,K275),INDEX('Paper sign-ups'!$I$2:$I$101,K275-10000)))</f>
        <v/>
      </c>
      <c r="C275" s="19">
        <f>IF(K275="","",IF(K275&lt;10000,INDEX('Responses'!$AF$2:$AF$501,K275),INDEX('Paper sign-ups'!$J$2:$J$101,K275-10000)))</f>
        <v/>
      </c>
      <c r="D275" s="18">
        <f>IF(K275="","",IF(K275&lt;10000,INDEX('Responses'!$AH$2:$AH$501,K275),INDEX('Paper sign-ups'!$L$2:$L$101,K275-10000)))</f>
        <v/>
      </c>
      <c r="E275" s="20">
        <f>IF(K275="","",IF(K275&lt;10000,INDEX('Responses'!$AL$2:$AL$501,K275),INDEX('Paper sign-ups'!$P$2:$P$101,K275-10000)))</f>
        <v/>
      </c>
      <c r="F275" s="20">
        <f>IF(K275="","",IF(K275&lt;10000,INDEX('Responses'!$AN$2:$AN$501,K275),INDEX('Paper sign-ups'!$R$2:$R$101,K275-10000)))</f>
        <v/>
      </c>
      <c r="G275" s="18">
        <f>IF(K275="","",IF(K275&lt;10000,INDEX('Responses'!$AO$2:$AO$501,K275),INDEX('Paper sign-ups'!$S$2:$S$101,K275-10000)))</f>
        <v/>
      </c>
      <c r="H275" s="19">
        <f>IF(K275="","",IF(K275&lt;10000,INDEX('Responses'!$AI$2:$AI$501,K275),INDEX('Paper sign-ups'!$M$2:$M$101,K275-10000)))</f>
        <v/>
      </c>
      <c r="I275" s="21">
        <f>IF(K275="","",IF(K275&lt;10000,INDEX('Responses'!$AR$2:$AR$501,K275),INDEX('Paper sign-ups'!$V$2:$V$101,K275-10000)))</f>
        <v/>
      </c>
      <c r="J275" s="18">
        <f>IF(K275="","",IF(K275&lt;10000,"Online form","Paper"))</f>
        <v/>
      </c>
      <c r="K275" s="22">
        <f>IF(ISNUMBER(MATCH(270,'Responses'!$AV$2:$AV$501,0)),MATCH(270,'Responses'!$AV$2:$AV$501,0),IF(ISNUMBER(MATCH(270,'Paper sign-ups'!$Z$2:$Z$101,0)),10000+MATCH(270,'Paper sign-ups'!$Z$2:$Z$101,0),""))</f>
        <v/>
      </c>
    </row>
    <row r="276">
      <c r="A276" s="18">
        <f>IF(K276="","",271)</f>
        <v/>
      </c>
      <c r="B276" s="10">
        <f>IF(K276="","",IF(K276&lt;10000,INDEX('Responses'!$AE$2:$AE$501,K276),INDEX('Paper sign-ups'!$I$2:$I$101,K276-10000)))</f>
        <v/>
      </c>
      <c r="C276" s="19">
        <f>IF(K276="","",IF(K276&lt;10000,INDEX('Responses'!$AF$2:$AF$501,K276),INDEX('Paper sign-ups'!$J$2:$J$101,K276-10000)))</f>
        <v/>
      </c>
      <c r="D276" s="18">
        <f>IF(K276="","",IF(K276&lt;10000,INDEX('Responses'!$AH$2:$AH$501,K276),INDEX('Paper sign-ups'!$L$2:$L$101,K276-10000)))</f>
        <v/>
      </c>
      <c r="E276" s="20">
        <f>IF(K276="","",IF(K276&lt;10000,INDEX('Responses'!$AL$2:$AL$501,K276),INDEX('Paper sign-ups'!$P$2:$P$101,K276-10000)))</f>
        <v/>
      </c>
      <c r="F276" s="20">
        <f>IF(K276="","",IF(K276&lt;10000,INDEX('Responses'!$AN$2:$AN$501,K276),INDEX('Paper sign-ups'!$R$2:$R$101,K276-10000)))</f>
        <v/>
      </c>
      <c r="G276" s="18">
        <f>IF(K276="","",IF(K276&lt;10000,INDEX('Responses'!$AO$2:$AO$501,K276),INDEX('Paper sign-ups'!$S$2:$S$101,K276-10000)))</f>
        <v/>
      </c>
      <c r="H276" s="19">
        <f>IF(K276="","",IF(K276&lt;10000,INDEX('Responses'!$AI$2:$AI$501,K276),INDEX('Paper sign-ups'!$M$2:$M$101,K276-10000)))</f>
        <v/>
      </c>
      <c r="I276" s="21">
        <f>IF(K276="","",IF(K276&lt;10000,INDEX('Responses'!$AR$2:$AR$501,K276),INDEX('Paper sign-ups'!$V$2:$V$101,K276-10000)))</f>
        <v/>
      </c>
      <c r="J276" s="18">
        <f>IF(K276="","",IF(K276&lt;10000,"Online form","Paper"))</f>
        <v/>
      </c>
      <c r="K276" s="22">
        <f>IF(ISNUMBER(MATCH(271,'Responses'!$AV$2:$AV$501,0)),MATCH(271,'Responses'!$AV$2:$AV$501,0),IF(ISNUMBER(MATCH(271,'Paper sign-ups'!$Z$2:$Z$101,0)),10000+MATCH(271,'Paper sign-ups'!$Z$2:$Z$101,0),""))</f>
        <v/>
      </c>
    </row>
    <row r="277">
      <c r="A277" s="18">
        <f>IF(K277="","",272)</f>
        <v/>
      </c>
      <c r="B277" s="10">
        <f>IF(K277="","",IF(K277&lt;10000,INDEX('Responses'!$AE$2:$AE$501,K277),INDEX('Paper sign-ups'!$I$2:$I$101,K277-10000)))</f>
        <v/>
      </c>
      <c r="C277" s="19">
        <f>IF(K277="","",IF(K277&lt;10000,INDEX('Responses'!$AF$2:$AF$501,K277),INDEX('Paper sign-ups'!$J$2:$J$101,K277-10000)))</f>
        <v/>
      </c>
      <c r="D277" s="18">
        <f>IF(K277="","",IF(K277&lt;10000,INDEX('Responses'!$AH$2:$AH$501,K277),INDEX('Paper sign-ups'!$L$2:$L$101,K277-10000)))</f>
        <v/>
      </c>
      <c r="E277" s="20">
        <f>IF(K277="","",IF(K277&lt;10000,INDEX('Responses'!$AL$2:$AL$501,K277),INDEX('Paper sign-ups'!$P$2:$P$101,K277-10000)))</f>
        <v/>
      </c>
      <c r="F277" s="20">
        <f>IF(K277="","",IF(K277&lt;10000,INDEX('Responses'!$AN$2:$AN$501,K277),INDEX('Paper sign-ups'!$R$2:$R$101,K277-10000)))</f>
        <v/>
      </c>
      <c r="G277" s="18">
        <f>IF(K277="","",IF(K277&lt;10000,INDEX('Responses'!$AO$2:$AO$501,K277),INDEX('Paper sign-ups'!$S$2:$S$101,K277-10000)))</f>
        <v/>
      </c>
      <c r="H277" s="19">
        <f>IF(K277="","",IF(K277&lt;10000,INDEX('Responses'!$AI$2:$AI$501,K277),INDEX('Paper sign-ups'!$M$2:$M$101,K277-10000)))</f>
        <v/>
      </c>
      <c r="I277" s="21">
        <f>IF(K277="","",IF(K277&lt;10000,INDEX('Responses'!$AR$2:$AR$501,K277),INDEX('Paper sign-ups'!$V$2:$V$101,K277-10000)))</f>
        <v/>
      </c>
      <c r="J277" s="18">
        <f>IF(K277="","",IF(K277&lt;10000,"Online form","Paper"))</f>
        <v/>
      </c>
      <c r="K277" s="22">
        <f>IF(ISNUMBER(MATCH(272,'Responses'!$AV$2:$AV$501,0)),MATCH(272,'Responses'!$AV$2:$AV$501,0),IF(ISNUMBER(MATCH(272,'Paper sign-ups'!$Z$2:$Z$101,0)),10000+MATCH(272,'Paper sign-ups'!$Z$2:$Z$101,0),""))</f>
        <v/>
      </c>
    </row>
    <row r="278">
      <c r="A278" s="18">
        <f>IF(K278="","",273)</f>
        <v/>
      </c>
      <c r="B278" s="10">
        <f>IF(K278="","",IF(K278&lt;10000,INDEX('Responses'!$AE$2:$AE$501,K278),INDEX('Paper sign-ups'!$I$2:$I$101,K278-10000)))</f>
        <v/>
      </c>
      <c r="C278" s="19">
        <f>IF(K278="","",IF(K278&lt;10000,INDEX('Responses'!$AF$2:$AF$501,K278),INDEX('Paper sign-ups'!$J$2:$J$101,K278-10000)))</f>
        <v/>
      </c>
      <c r="D278" s="18">
        <f>IF(K278="","",IF(K278&lt;10000,INDEX('Responses'!$AH$2:$AH$501,K278),INDEX('Paper sign-ups'!$L$2:$L$101,K278-10000)))</f>
        <v/>
      </c>
      <c r="E278" s="20">
        <f>IF(K278="","",IF(K278&lt;10000,INDEX('Responses'!$AL$2:$AL$501,K278),INDEX('Paper sign-ups'!$P$2:$P$101,K278-10000)))</f>
        <v/>
      </c>
      <c r="F278" s="20">
        <f>IF(K278="","",IF(K278&lt;10000,INDEX('Responses'!$AN$2:$AN$501,K278),INDEX('Paper sign-ups'!$R$2:$R$101,K278-10000)))</f>
        <v/>
      </c>
      <c r="G278" s="18">
        <f>IF(K278="","",IF(K278&lt;10000,INDEX('Responses'!$AO$2:$AO$501,K278),INDEX('Paper sign-ups'!$S$2:$S$101,K278-10000)))</f>
        <v/>
      </c>
      <c r="H278" s="19">
        <f>IF(K278="","",IF(K278&lt;10000,INDEX('Responses'!$AI$2:$AI$501,K278),INDEX('Paper sign-ups'!$M$2:$M$101,K278-10000)))</f>
        <v/>
      </c>
      <c r="I278" s="21">
        <f>IF(K278="","",IF(K278&lt;10000,INDEX('Responses'!$AR$2:$AR$501,K278),INDEX('Paper sign-ups'!$V$2:$V$101,K278-10000)))</f>
        <v/>
      </c>
      <c r="J278" s="18">
        <f>IF(K278="","",IF(K278&lt;10000,"Online form","Paper"))</f>
        <v/>
      </c>
      <c r="K278" s="22">
        <f>IF(ISNUMBER(MATCH(273,'Responses'!$AV$2:$AV$501,0)),MATCH(273,'Responses'!$AV$2:$AV$501,0),IF(ISNUMBER(MATCH(273,'Paper sign-ups'!$Z$2:$Z$101,0)),10000+MATCH(273,'Paper sign-ups'!$Z$2:$Z$101,0),""))</f>
        <v/>
      </c>
    </row>
    <row r="279">
      <c r="A279" s="18">
        <f>IF(K279="","",274)</f>
        <v/>
      </c>
      <c r="B279" s="10">
        <f>IF(K279="","",IF(K279&lt;10000,INDEX('Responses'!$AE$2:$AE$501,K279),INDEX('Paper sign-ups'!$I$2:$I$101,K279-10000)))</f>
        <v/>
      </c>
      <c r="C279" s="19">
        <f>IF(K279="","",IF(K279&lt;10000,INDEX('Responses'!$AF$2:$AF$501,K279),INDEX('Paper sign-ups'!$J$2:$J$101,K279-10000)))</f>
        <v/>
      </c>
      <c r="D279" s="18">
        <f>IF(K279="","",IF(K279&lt;10000,INDEX('Responses'!$AH$2:$AH$501,K279),INDEX('Paper sign-ups'!$L$2:$L$101,K279-10000)))</f>
        <v/>
      </c>
      <c r="E279" s="20">
        <f>IF(K279="","",IF(K279&lt;10000,INDEX('Responses'!$AL$2:$AL$501,K279),INDEX('Paper sign-ups'!$P$2:$P$101,K279-10000)))</f>
        <v/>
      </c>
      <c r="F279" s="20">
        <f>IF(K279="","",IF(K279&lt;10000,INDEX('Responses'!$AN$2:$AN$501,K279),INDEX('Paper sign-ups'!$R$2:$R$101,K279-10000)))</f>
        <v/>
      </c>
      <c r="G279" s="18">
        <f>IF(K279="","",IF(K279&lt;10000,INDEX('Responses'!$AO$2:$AO$501,K279),INDEX('Paper sign-ups'!$S$2:$S$101,K279-10000)))</f>
        <v/>
      </c>
      <c r="H279" s="19">
        <f>IF(K279="","",IF(K279&lt;10000,INDEX('Responses'!$AI$2:$AI$501,K279),INDEX('Paper sign-ups'!$M$2:$M$101,K279-10000)))</f>
        <v/>
      </c>
      <c r="I279" s="21">
        <f>IF(K279="","",IF(K279&lt;10000,INDEX('Responses'!$AR$2:$AR$501,K279),INDEX('Paper sign-ups'!$V$2:$V$101,K279-10000)))</f>
        <v/>
      </c>
      <c r="J279" s="18">
        <f>IF(K279="","",IF(K279&lt;10000,"Online form","Paper"))</f>
        <v/>
      </c>
      <c r="K279" s="22">
        <f>IF(ISNUMBER(MATCH(274,'Responses'!$AV$2:$AV$501,0)),MATCH(274,'Responses'!$AV$2:$AV$501,0),IF(ISNUMBER(MATCH(274,'Paper sign-ups'!$Z$2:$Z$101,0)),10000+MATCH(274,'Paper sign-ups'!$Z$2:$Z$101,0),""))</f>
        <v/>
      </c>
    </row>
    <row r="280">
      <c r="A280" s="18">
        <f>IF(K280="","",275)</f>
        <v/>
      </c>
      <c r="B280" s="10">
        <f>IF(K280="","",IF(K280&lt;10000,INDEX('Responses'!$AE$2:$AE$501,K280),INDEX('Paper sign-ups'!$I$2:$I$101,K280-10000)))</f>
        <v/>
      </c>
      <c r="C280" s="19">
        <f>IF(K280="","",IF(K280&lt;10000,INDEX('Responses'!$AF$2:$AF$501,K280),INDEX('Paper sign-ups'!$J$2:$J$101,K280-10000)))</f>
        <v/>
      </c>
      <c r="D280" s="18">
        <f>IF(K280="","",IF(K280&lt;10000,INDEX('Responses'!$AH$2:$AH$501,K280),INDEX('Paper sign-ups'!$L$2:$L$101,K280-10000)))</f>
        <v/>
      </c>
      <c r="E280" s="20">
        <f>IF(K280="","",IF(K280&lt;10000,INDEX('Responses'!$AL$2:$AL$501,K280),INDEX('Paper sign-ups'!$P$2:$P$101,K280-10000)))</f>
        <v/>
      </c>
      <c r="F280" s="20">
        <f>IF(K280="","",IF(K280&lt;10000,INDEX('Responses'!$AN$2:$AN$501,K280),INDEX('Paper sign-ups'!$R$2:$R$101,K280-10000)))</f>
        <v/>
      </c>
      <c r="G280" s="18">
        <f>IF(K280="","",IF(K280&lt;10000,INDEX('Responses'!$AO$2:$AO$501,K280),INDEX('Paper sign-ups'!$S$2:$S$101,K280-10000)))</f>
        <v/>
      </c>
      <c r="H280" s="19">
        <f>IF(K280="","",IF(K280&lt;10000,INDEX('Responses'!$AI$2:$AI$501,K280),INDEX('Paper sign-ups'!$M$2:$M$101,K280-10000)))</f>
        <v/>
      </c>
      <c r="I280" s="21">
        <f>IF(K280="","",IF(K280&lt;10000,INDEX('Responses'!$AR$2:$AR$501,K280),INDEX('Paper sign-ups'!$V$2:$V$101,K280-10000)))</f>
        <v/>
      </c>
      <c r="J280" s="18">
        <f>IF(K280="","",IF(K280&lt;10000,"Online form","Paper"))</f>
        <v/>
      </c>
      <c r="K280" s="22">
        <f>IF(ISNUMBER(MATCH(275,'Responses'!$AV$2:$AV$501,0)),MATCH(275,'Responses'!$AV$2:$AV$501,0),IF(ISNUMBER(MATCH(275,'Paper sign-ups'!$Z$2:$Z$101,0)),10000+MATCH(275,'Paper sign-ups'!$Z$2:$Z$101,0),""))</f>
        <v/>
      </c>
    </row>
    <row r="281">
      <c r="A281" s="18">
        <f>IF(K281="","",276)</f>
        <v/>
      </c>
      <c r="B281" s="10">
        <f>IF(K281="","",IF(K281&lt;10000,INDEX('Responses'!$AE$2:$AE$501,K281),INDEX('Paper sign-ups'!$I$2:$I$101,K281-10000)))</f>
        <v/>
      </c>
      <c r="C281" s="19">
        <f>IF(K281="","",IF(K281&lt;10000,INDEX('Responses'!$AF$2:$AF$501,K281),INDEX('Paper sign-ups'!$J$2:$J$101,K281-10000)))</f>
        <v/>
      </c>
      <c r="D281" s="18">
        <f>IF(K281="","",IF(K281&lt;10000,INDEX('Responses'!$AH$2:$AH$501,K281),INDEX('Paper sign-ups'!$L$2:$L$101,K281-10000)))</f>
        <v/>
      </c>
      <c r="E281" s="20">
        <f>IF(K281="","",IF(K281&lt;10000,INDEX('Responses'!$AL$2:$AL$501,K281),INDEX('Paper sign-ups'!$P$2:$P$101,K281-10000)))</f>
        <v/>
      </c>
      <c r="F281" s="20">
        <f>IF(K281="","",IF(K281&lt;10000,INDEX('Responses'!$AN$2:$AN$501,K281),INDEX('Paper sign-ups'!$R$2:$R$101,K281-10000)))</f>
        <v/>
      </c>
      <c r="G281" s="18">
        <f>IF(K281="","",IF(K281&lt;10000,INDEX('Responses'!$AO$2:$AO$501,K281),INDEX('Paper sign-ups'!$S$2:$S$101,K281-10000)))</f>
        <v/>
      </c>
      <c r="H281" s="19">
        <f>IF(K281="","",IF(K281&lt;10000,INDEX('Responses'!$AI$2:$AI$501,K281),INDEX('Paper sign-ups'!$M$2:$M$101,K281-10000)))</f>
        <v/>
      </c>
      <c r="I281" s="21">
        <f>IF(K281="","",IF(K281&lt;10000,INDEX('Responses'!$AR$2:$AR$501,K281),INDEX('Paper sign-ups'!$V$2:$V$101,K281-10000)))</f>
        <v/>
      </c>
      <c r="J281" s="18">
        <f>IF(K281="","",IF(K281&lt;10000,"Online form","Paper"))</f>
        <v/>
      </c>
      <c r="K281" s="22">
        <f>IF(ISNUMBER(MATCH(276,'Responses'!$AV$2:$AV$501,0)),MATCH(276,'Responses'!$AV$2:$AV$501,0),IF(ISNUMBER(MATCH(276,'Paper sign-ups'!$Z$2:$Z$101,0)),10000+MATCH(276,'Paper sign-ups'!$Z$2:$Z$101,0),""))</f>
        <v/>
      </c>
    </row>
    <row r="282">
      <c r="A282" s="18">
        <f>IF(K282="","",277)</f>
        <v/>
      </c>
      <c r="B282" s="10">
        <f>IF(K282="","",IF(K282&lt;10000,INDEX('Responses'!$AE$2:$AE$501,K282),INDEX('Paper sign-ups'!$I$2:$I$101,K282-10000)))</f>
        <v/>
      </c>
      <c r="C282" s="19">
        <f>IF(K282="","",IF(K282&lt;10000,INDEX('Responses'!$AF$2:$AF$501,K282),INDEX('Paper sign-ups'!$J$2:$J$101,K282-10000)))</f>
        <v/>
      </c>
      <c r="D282" s="18">
        <f>IF(K282="","",IF(K282&lt;10000,INDEX('Responses'!$AH$2:$AH$501,K282),INDEX('Paper sign-ups'!$L$2:$L$101,K282-10000)))</f>
        <v/>
      </c>
      <c r="E282" s="20">
        <f>IF(K282="","",IF(K282&lt;10000,INDEX('Responses'!$AL$2:$AL$501,K282),INDEX('Paper sign-ups'!$P$2:$P$101,K282-10000)))</f>
        <v/>
      </c>
      <c r="F282" s="20">
        <f>IF(K282="","",IF(K282&lt;10000,INDEX('Responses'!$AN$2:$AN$501,K282),INDEX('Paper sign-ups'!$R$2:$R$101,K282-10000)))</f>
        <v/>
      </c>
      <c r="G282" s="18">
        <f>IF(K282="","",IF(K282&lt;10000,INDEX('Responses'!$AO$2:$AO$501,K282),INDEX('Paper sign-ups'!$S$2:$S$101,K282-10000)))</f>
        <v/>
      </c>
      <c r="H282" s="19">
        <f>IF(K282="","",IF(K282&lt;10000,INDEX('Responses'!$AI$2:$AI$501,K282),INDEX('Paper sign-ups'!$M$2:$M$101,K282-10000)))</f>
        <v/>
      </c>
      <c r="I282" s="21">
        <f>IF(K282="","",IF(K282&lt;10000,INDEX('Responses'!$AR$2:$AR$501,K282),INDEX('Paper sign-ups'!$V$2:$V$101,K282-10000)))</f>
        <v/>
      </c>
      <c r="J282" s="18">
        <f>IF(K282="","",IF(K282&lt;10000,"Online form","Paper"))</f>
        <v/>
      </c>
      <c r="K282" s="22">
        <f>IF(ISNUMBER(MATCH(277,'Responses'!$AV$2:$AV$501,0)),MATCH(277,'Responses'!$AV$2:$AV$501,0),IF(ISNUMBER(MATCH(277,'Paper sign-ups'!$Z$2:$Z$101,0)),10000+MATCH(277,'Paper sign-ups'!$Z$2:$Z$101,0),""))</f>
        <v/>
      </c>
    </row>
    <row r="283">
      <c r="A283" s="18">
        <f>IF(K283="","",278)</f>
        <v/>
      </c>
      <c r="B283" s="10">
        <f>IF(K283="","",IF(K283&lt;10000,INDEX('Responses'!$AE$2:$AE$501,K283),INDEX('Paper sign-ups'!$I$2:$I$101,K283-10000)))</f>
        <v/>
      </c>
      <c r="C283" s="19">
        <f>IF(K283="","",IF(K283&lt;10000,INDEX('Responses'!$AF$2:$AF$501,K283),INDEX('Paper sign-ups'!$J$2:$J$101,K283-10000)))</f>
        <v/>
      </c>
      <c r="D283" s="18">
        <f>IF(K283="","",IF(K283&lt;10000,INDEX('Responses'!$AH$2:$AH$501,K283),INDEX('Paper sign-ups'!$L$2:$L$101,K283-10000)))</f>
        <v/>
      </c>
      <c r="E283" s="20">
        <f>IF(K283="","",IF(K283&lt;10000,INDEX('Responses'!$AL$2:$AL$501,K283),INDEX('Paper sign-ups'!$P$2:$P$101,K283-10000)))</f>
        <v/>
      </c>
      <c r="F283" s="20">
        <f>IF(K283="","",IF(K283&lt;10000,INDEX('Responses'!$AN$2:$AN$501,K283),INDEX('Paper sign-ups'!$R$2:$R$101,K283-10000)))</f>
        <v/>
      </c>
      <c r="G283" s="18">
        <f>IF(K283="","",IF(K283&lt;10000,INDEX('Responses'!$AO$2:$AO$501,K283),INDEX('Paper sign-ups'!$S$2:$S$101,K283-10000)))</f>
        <v/>
      </c>
      <c r="H283" s="19">
        <f>IF(K283="","",IF(K283&lt;10000,INDEX('Responses'!$AI$2:$AI$501,K283),INDEX('Paper sign-ups'!$M$2:$M$101,K283-10000)))</f>
        <v/>
      </c>
      <c r="I283" s="21">
        <f>IF(K283="","",IF(K283&lt;10000,INDEX('Responses'!$AR$2:$AR$501,K283),INDEX('Paper sign-ups'!$V$2:$V$101,K283-10000)))</f>
        <v/>
      </c>
      <c r="J283" s="18">
        <f>IF(K283="","",IF(K283&lt;10000,"Online form","Paper"))</f>
        <v/>
      </c>
      <c r="K283" s="22">
        <f>IF(ISNUMBER(MATCH(278,'Responses'!$AV$2:$AV$501,0)),MATCH(278,'Responses'!$AV$2:$AV$501,0),IF(ISNUMBER(MATCH(278,'Paper sign-ups'!$Z$2:$Z$101,0)),10000+MATCH(278,'Paper sign-ups'!$Z$2:$Z$101,0),""))</f>
        <v/>
      </c>
    </row>
    <row r="284">
      <c r="A284" s="18">
        <f>IF(K284="","",279)</f>
        <v/>
      </c>
      <c r="B284" s="10">
        <f>IF(K284="","",IF(K284&lt;10000,INDEX('Responses'!$AE$2:$AE$501,K284),INDEX('Paper sign-ups'!$I$2:$I$101,K284-10000)))</f>
        <v/>
      </c>
      <c r="C284" s="19">
        <f>IF(K284="","",IF(K284&lt;10000,INDEX('Responses'!$AF$2:$AF$501,K284),INDEX('Paper sign-ups'!$J$2:$J$101,K284-10000)))</f>
        <v/>
      </c>
      <c r="D284" s="18">
        <f>IF(K284="","",IF(K284&lt;10000,INDEX('Responses'!$AH$2:$AH$501,K284),INDEX('Paper sign-ups'!$L$2:$L$101,K284-10000)))</f>
        <v/>
      </c>
      <c r="E284" s="20">
        <f>IF(K284="","",IF(K284&lt;10000,INDEX('Responses'!$AL$2:$AL$501,K284),INDEX('Paper sign-ups'!$P$2:$P$101,K284-10000)))</f>
        <v/>
      </c>
      <c r="F284" s="20">
        <f>IF(K284="","",IF(K284&lt;10000,INDEX('Responses'!$AN$2:$AN$501,K284),INDEX('Paper sign-ups'!$R$2:$R$101,K284-10000)))</f>
        <v/>
      </c>
      <c r="G284" s="18">
        <f>IF(K284="","",IF(K284&lt;10000,INDEX('Responses'!$AO$2:$AO$501,K284),INDEX('Paper sign-ups'!$S$2:$S$101,K284-10000)))</f>
        <v/>
      </c>
      <c r="H284" s="19">
        <f>IF(K284="","",IF(K284&lt;10000,INDEX('Responses'!$AI$2:$AI$501,K284),INDEX('Paper sign-ups'!$M$2:$M$101,K284-10000)))</f>
        <v/>
      </c>
      <c r="I284" s="21">
        <f>IF(K284="","",IF(K284&lt;10000,INDEX('Responses'!$AR$2:$AR$501,K284),INDEX('Paper sign-ups'!$V$2:$V$101,K284-10000)))</f>
        <v/>
      </c>
      <c r="J284" s="18">
        <f>IF(K284="","",IF(K284&lt;10000,"Online form","Paper"))</f>
        <v/>
      </c>
      <c r="K284" s="22">
        <f>IF(ISNUMBER(MATCH(279,'Responses'!$AV$2:$AV$501,0)),MATCH(279,'Responses'!$AV$2:$AV$501,0),IF(ISNUMBER(MATCH(279,'Paper sign-ups'!$Z$2:$Z$101,0)),10000+MATCH(279,'Paper sign-ups'!$Z$2:$Z$101,0),""))</f>
        <v/>
      </c>
    </row>
    <row r="285">
      <c r="A285" s="18">
        <f>IF(K285="","",280)</f>
        <v/>
      </c>
      <c r="B285" s="10">
        <f>IF(K285="","",IF(K285&lt;10000,INDEX('Responses'!$AE$2:$AE$501,K285),INDEX('Paper sign-ups'!$I$2:$I$101,K285-10000)))</f>
        <v/>
      </c>
      <c r="C285" s="19">
        <f>IF(K285="","",IF(K285&lt;10000,INDEX('Responses'!$AF$2:$AF$501,K285),INDEX('Paper sign-ups'!$J$2:$J$101,K285-10000)))</f>
        <v/>
      </c>
      <c r="D285" s="18">
        <f>IF(K285="","",IF(K285&lt;10000,INDEX('Responses'!$AH$2:$AH$501,K285),INDEX('Paper sign-ups'!$L$2:$L$101,K285-10000)))</f>
        <v/>
      </c>
      <c r="E285" s="20">
        <f>IF(K285="","",IF(K285&lt;10000,INDEX('Responses'!$AL$2:$AL$501,K285),INDEX('Paper sign-ups'!$P$2:$P$101,K285-10000)))</f>
        <v/>
      </c>
      <c r="F285" s="20">
        <f>IF(K285="","",IF(K285&lt;10000,INDEX('Responses'!$AN$2:$AN$501,K285),INDEX('Paper sign-ups'!$R$2:$R$101,K285-10000)))</f>
        <v/>
      </c>
      <c r="G285" s="18">
        <f>IF(K285="","",IF(K285&lt;10000,INDEX('Responses'!$AO$2:$AO$501,K285),INDEX('Paper sign-ups'!$S$2:$S$101,K285-10000)))</f>
        <v/>
      </c>
      <c r="H285" s="19">
        <f>IF(K285="","",IF(K285&lt;10000,INDEX('Responses'!$AI$2:$AI$501,K285),INDEX('Paper sign-ups'!$M$2:$M$101,K285-10000)))</f>
        <v/>
      </c>
      <c r="I285" s="21">
        <f>IF(K285="","",IF(K285&lt;10000,INDEX('Responses'!$AR$2:$AR$501,K285),INDEX('Paper sign-ups'!$V$2:$V$101,K285-10000)))</f>
        <v/>
      </c>
      <c r="J285" s="18">
        <f>IF(K285="","",IF(K285&lt;10000,"Online form","Paper"))</f>
        <v/>
      </c>
      <c r="K285" s="22">
        <f>IF(ISNUMBER(MATCH(280,'Responses'!$AV$2:$AV$501,0)),MATCH(280,'Responses'!$AV$2:$AV$501,0),IF(ISNUMBER(MATCH(280,'Paper sign-ups'!$Z$2:$Z$101,0)),10000+MATCH(280,'Paper sign-ups'!$Z$2:$Z$101,0),""))</f>
        <v/>
      </c>
    </row>
    <row r="286">
      <c r="A286" s="18">
        <f>IF(K286="","",281)</f>
        <v/>
      </c>
      <c r="B286" s="10">
        <f>IF(K286="","",IF(K286&lt;10000,INDEX('Responses'!$AE$2:$AE$501,K286),INDEX('Paper sign-ups'!$I$2:$I$101,K286-10000)))</f>
        <v/>
      </c>
      <c r="C286" s="19">
        <f>IF(K286="","",IF(K286&lt;10000,INDEX('Responses'!$AF$2:$AF$501,K286),INDEX('Paper sign-ups'!$J$2:$J$101,K286-10000)))</f>
        <v/>
      </c>
      <c r="D286" s="18">
        <f>IF(K286="","",IF(K286&lt;10000,INDEX('Responses'!$AH$2:$AH$501,K286),INDEX('Paper sign-ups'!$L$2:$L$101,K286-10000)))</f>
        <v/>
      </c>
      <c r="E286" s="20">
        <f>IF(K286="","",IF(K286&lt;10000,INDEX('Responses'!$AL$2:$AL$501,K286),INDEX('Paper sign-ups'!$P$2:$P$101,K286-10000)))</f>
        <v/>
      </c>
      <c r="F286" s="20">
        <f>IF(K286="","",IF(K286&lt;10000,INDEX('Responses'!$AN$2:$AN$501,K286),INDEX('Paper sign-ups'!$R$2:$R$101,K286-10000)))</f>
        <v/>
      </c>
      <c r="G286" s="18">
        <f>IF(K286="","",IF(K286&lt;10000,INDEX('Responses'!$AO$2:$AO$501,K286),INDEX('Paper sign-ups'!$S$2:$S$101,K286-10000)))</f>
        <v/>
      </c>
      <c r="H286" s="19">
        <f>IF(K286="","",IF(K286&lt;10000,INDEX('Responses'!$AI$2:$AI$501,K286),INDEX('Paper sign-ups'!$M$2:$M$101,K286-10000)))</f>
        <v/>
      </c>
      <c r="I286" s="21">
        <f>IF(K286="","",IF(K286&lt;10000,INDEX('Responses'!$AR$2:$AR$501,K286),INDEX('Paper sign-ups'!$V$2:$V$101,K286-10000)))</f>
        <v/>
      </c>
      <c r="J286" s="18">
        <f>IF(K286="","",IF(K286&lt;10000,"Online form","Paper"))</f>
        <v/>
      </c>
      <c r="K286" s="22">
        <f>IF(ISNUMBER(MATCH(281,'Responses'!$AV$2:$AV$501,0)),MATCH(281,'Responses'!$AV$2:$AV$501,0),IF(ISNUMBER(MATCH(281,'Paper sign-ups'!$Z$2:$Z$101,0)),10000+MATCH(281,'Paper sign-ups'!$Z$2:$Z$101,0),""))</f>
        <v/>
      </c>
    </row>
    <row r="287">
      <c r="A287" s="18">
        <f>IF(K287="","",282)</f>
        <v/>
      </c>
      <c r="B287" s="10">
        <f>IF(K287="","",IF(K287&lt;10000,INDEX('Responses'!$AE$2:$AE$501,K287),INDEX('Paper sign-ups'!$I$2:$I$101,K287-10000)))</f>
        <v/>
      </c>
      <c r="C287" s="19">
        <f>IF(K287="","",IF(K287&lt;10000,INDEX('Responses'!$AF$2:$AF$501,K287),INDEX('Paper sign-ups'!$J$2:$J$101,K287-10000)))</f>
        <v/>
      </c>
      <c r="D287" s="18">
        <f>IF(K287="","",IF(K287&lt;10000,INDEX('Responses'!$AH$2:$AH$501,K287),INDEX('Paper sign-ups'!$L$2:$L$101,K287-10000)))</f>
        <v/>
      </c>
      <c r="E287" s="20">
        <f>IF(K287="","",IF(K287&lt;10000,INDEX('Responses'!$AL$2:$AL$501,K287),INDEX('Paper sign-ups'!$P$2:$P$101,K287-10000)))</f>
        <v/>
      </c>
      <c r="F287" s="20">
        <f>IF(K287="","",IF(K287&lt;10000,INDEX('Responses'!$AN$2:$AN$501,K287),INDEX('Paper sign-ups'!$R$2:$R$101,K287-10000)))</f>
        <v/>
      </c>
      <c r="G287" s="18">
        <f>IF(K287="","",IF(K287&lt;10000,INDEX('Responses'!$AO$2:$AO$501,K287),INDEX('Paper sign-ups'!$S$2:$S$101,K287-10000)))</f>
        <v/>
      </c>
      <c r="H287" s="19">
        <f>IF(K287="","",IF(K287&lt;10000,INDEX('Responses'!$AI$2:$AI$501,K287),INDEX('Paper sign-ups'!$M$2:$M$101,K287-10000)))</f>
        <v/>
      </c>
      <c r="I287" s="21">
        <f>IF(K287="","",IF(K287&lt;10000,INDEX('Responses'!$AR$2:$AR$501,K287),INDEX('Paper sign-ups'!$V$2:$V$101,K287-10000)))</f>
        <v/>
      </c>
      <c r="J287" s="18">
        <f>IF(K287="","",IF(K287&lt;10000,"Online form","Paper"))</f>
        <v/>
      </c>
      <c r="K287" s="22">
        <f>IF(ISNUMBER(MATCH(282,'Responses'!$AV$2:$AV$501,0)),MATCH(282,'Responses'!$AV$2:$AV$501,0),IF(ISNUMBER(MATCH(282,'Paper sign-ups'!$Z$2:$Z$101,0)),10000+MATCH(282,'Paper sign-ups'!$Z$2:$Z$101,0),""))</f>
        <v/>
      </c>
    </row>
    <row r="288">
      <c r="A288" s="18">
        <f>IF(K288="","",283)</f>
        <v/>
      </c>
      <c r="B288" s="10">
        <f>IF(K288="","",IF(K288&lt;10000,INDEX('Responses'!$AE$2:$AE$501,K288),INDEX('Paper sign-ups'!$I$2:$I$101,K288-10000)))</f>
        <v/>
      </c>
      <c r="C288" s="19">
        <f>IF(K288="","",IF(K288&lt;10000,INDEX('Responses'!$AF$2:$AF$501,K288),INDEX('Paper sign-ups'!$J$2:$J$101,K288-10000)))</f>
        <v/>
      </c>
      <c r="D288" s="18">
        <f>IF(K288="","",IF(K288&lt;10000,INDEX('Responses'!$AH$2:$AH$501,K288),INDEX('Paper sign-ups'!$L$2:$L$101,K288-10000)))</f>
        <v/>
      </c>
      <c r="E288" s="20">
        <f>IF(K288="","",IF(K288&lt;10000,INDEX('Responses'!$AL$2:$AL$501,K288),INDEX('Paper sign-ups'!$P$2:$P$101,K288-10000)))</f>
        <v/>
      </c>
      <c r="F288" s="20">
        <f>IF(K288="","",IF(K288&lt;10000,INDEX('Responses'!$AN$2:$AN$501,K288),INDEX('Paper sign-ups'!$R$2:$R$101,K288-10000)))</f>
        <v/>
      </c>
      <c r="G288" s="18">
        <f>IF(K288="","",IF(K288&lt;10000,INDEX('Responses'!$AO$2:$AO$501,K288),INDEX('Paper sign-ups'!$S$2:$S$101,K288-10000)))</f>
        <v/>
      </c>
      <c r="H288" s="19">
        <f>IF(K288="","",IF(K288&lt;10000,INDEX('Responses'!$AI$2:$AI$501,K288),INDEX('Paper sign-ups'!$M$2:$M$101,K288-10000)))</f>
        <v/>
      </c>
      <c r="I288" s="21">
        <f>IF(K288="","",IF(K288&lt;10000,INDEX('Responses'!$AR$2:$AR$501,K288),INDEX('Paper sign-ups'!$V$2:$V$101,K288-10000)))</f>
        <v/>
      </c>
      <c r="J288" s="18">
        <f>IF(K288="","",IF(K288&lt;10000,"Online form","Paper"))</f>
        <v/>
      </c>
      <c r="K288" s="22">
        <f>IF(ISNUMBER(MATCH(283,'Responses'!$AV$2:$AV$501,0)),MATCH(283,'Responses'!$AV$2:$AV$501,0),IF(ISNUMBER(MATCH(283,'Paper sign-ups'!$Z$2:$Z$101,0)),10000+MATCH(283,'Paper sign-ups'!$Z$2:$Z$101,0),""))</f>
        <v/>
      </c>
    </row>
    <row r="289">
      <c r="A289" s="18">
        <f>IF(K289="","",284)</f>
        <v/>
      </c>
      <c r="B289" s="10">
        <f>IF(K289="","",IF(K289&lt;10000,INDEX('Responses'!$AE$2:$AE$501,K289),INDEX('Paper sign-ups'!$I$2:$I$101,K289-10000)))</f>
        <v/>
      </c>
      <c r="C289" s="19">
        <f>IF(K289="","",IF(K289&lt;10000,INDEX('Responses'!$AF$2:$AF$501,K289),INDEX('Paper sign-ups'!$J$2:$J$101,K289-10000)))</f>
        <v/>
      </c>
      <c r="D289" s="18">
        <f>IF(K289="","",IF(K289&lt;10000,INDEX('Responses'!$AH$2:$AH$501,K289),INDEX('Paper sign-ups'!$L$2:$L$101,K289-10000)))</f>
        <v/>
      </c>
      <c r="E289" s="20">
        <f>IF(K289="","",IF(K289&lt;10000,INDEX('Responses'!$AL$2:$AL$501,K289),INDEX('Paper sign-ups'!$P$2:$P$101,K289-10000)))</f>
        <v/>
      </c>
      <c r="F289" s="20">
        <f>IF(K289="","",IF(K289&lt;10000,INDEX('Responses'!$AN$2:$AN$501,K289),INDEX('Paper sign-ups'!$R$2:$R$101,K289-10000)))</f>
        <v/>
      </c>
      <c r="G289" s="18">
        <f>IF(K289="","",IF(K289&lt;10000,INDEX('Responses'!$AO$2:$AO$501,K289),INDEX('Paper sign-ups'!$S$2:$S$101,K289-10000)))</f>
        <v/>
      </c>
      <c r="H289" s="19">
        <f>IF(K289="","",IF(K289&lt;10000,INDEX('Responses'!$AI$2:$AI$501,K289),INDEX('Paper sign-ups'!$M$2:$M$101,K289-10000)))</f>
        <v/>
      </c>
      <c r="I289" s="21">
        <f>IF(K289="","",IF(K289&lt;10000,INDEX('Responses'!$AR$2:$AR$501,K289),INDEX('Paper sign-ups'!$V$2:$V$101,K289-10000)))</f>
        <v/>
      </c>
      <c r="J289" s="18">
        <f>IF(K289="","",IF(K289&lt;10000,"Online form","Paper"))</f>
        <v/>
      </c>
      <c r="K289" s="22">
        <f>IF(ISNUMBER(MATCH(284,'Responses'!$AV$2:$AV$501,0)),MATCH(284,'Responses'!$AV$2:$AV$501,0),IF(ISNUMBER(MATCH(284,'Paper sign-ups'!$Z$2:$Z$101,0)),10000+MATCH(284,'Paper sign-ups'!$Z$2:$Z$101,0),""))</f>
        <v/>
      </c>
    </row>
    <row r="290">
      <c r="A290" s="18">
        <f>IF(K290="","",285)</f>
        <v/>
      </c>
      <c r="B290" s="10">
        <f>IF(K290="","",IF(K290&lt;10000,INDEX('Responses'!$AE$2:$AE$501,K290),INDEX('Paper sign-ups'!$I$2:$I$101,K290-10000)))</f>
        <v/>
      </c>
      <c r="C290" s="19">
        <f>IF(K290="","",IF(K290&lt;10000,INDEX('Responses'!$AF$2:$AF$501,K290),INDEX('Paper sign-ups'!$J$2:$J$101,K290-10000)))</f>
        <v/>
      </c>
      <c r="D290" s="18">
        <f>IF(K290="","",IF(K290&lt;10000,INDEX('Responses'!$AH$2:$AH$501,K290),INDEX('Paper sign-ups'!$L$2:$L$101,K290-10000)))</f>
        <v/>
      </c>
      <c r="E290" s="20">
        <f>IF(K290="","",IF(K290&lt;10000,INDEX('Responses'!$AL$2:$AL$501,K290),INDEX('Paper sign-ups'!$P$2:$P$101,K290-10000)))</f>
        <v/>
      </c>
      <c r="F290" s="20">
        <f>IF(K290="","",IF(K290&lt;10000,INDEX('Responses'!$AN$2:$AN$501,K290),INDEX('Paper sign-ups'!$R$2:$R$101,K290-10000)))</f>
        <v/>
      </c>
      <c r="G290" s="18">
        <f>IF(K290="","",IF(K290&lt;10000,INDEX('Responses'!$AO$2:$AO$501,K290),INDEX('Paper sign-ups'!$S$2:$S$101,K290-10000)))</f>
        <v/>
      </c>
      <c r="H290" s="19">
        <f>IF(K290="","",IF(K290&lt;10000,INDEX('Responses'!$AI$2:$AI$501,K290),INDEX('Paper sign-ups'!$M$2:$M$101,K290-10000)))</f>
        <v/>
      </c>
      <c r="I290" s="21">
        <f>IF(K290="","",IF(K290&lt;10000,INDEX('Responses'!$AR$2:$AR$501,K290),INDEX('Paper sign-ups'!$V$2:$V$101,K290-10000)))</f>
        <v/>
      </c>
      <c r="J290" s="18">
        <f>IF(K290="","",IF(K290&lt;10000,"Online form","Paper"))</f>
        <v/>
      </c>
      <c r="K290" s="22">
        <f>IF(ISNUMBER(MATCH(285,'Responses'!$AV$2:$AV$501,0)),MATCH(285,'Responses'!$AV$2:$AV$501,0),IF(ISNUMBER(MATCH(285,'Paper sign-ups'!$Z$2:$Z$101,0)),10000+MATCH(285,'Paper sign-ups'!$Z$2:$Z$101,0),""))</f>
        <v/>
      </c>
    </row>
    <row r="291">
      <c r="A291" s="18">
        <f>IF(K291="","",286)</f>
        <v/>
      </c>
      <c r="B291" s="10">
        <f>IF(K291="","",IF(K291&lt;10000,INDEX('Responses'!$AE$2:$AE$501,K291),INDEX('Paper sign-ups'!$I$2:$I$101,K291-10000)))</f>
        <v/>
      </c>
      <c r="C291" s="19">
        <f>IF(K291="","",IF(K291&lt;10000,INDEX('Responses'!$AF$2:$AF$501,K291),INDEX('Paper sign-ups'!$J$2:$J$101,K291-10000)))</f>
        <v/>
      </c>
      <c r="D291" s="18">
        <f>IF(K291="","",IF(K291&lt;10000,INDEX('Responses'!$AH$2:$AH$501,K291),INDEX('Paper sign-ups'!$L$2:$L$101,K291-10000)))</f>
        <v/>
      </c>
      <c r="E291" s="20">
        <f>IF(K291="","",IF(K291&lt;10000,INDEX('Responses'!$AL$2:$AL$501,K291),INDEX('Paper sign-ups'!$P$2:$P$101,K291-10000)))</f>
        <v/>
      </c>
      <c r="F291" s="20">
        <f>IF(K291="","",IF(K291&lt;10000,INDEX('Responses'!$AN$2:$AN$501,K291),INDEX('Paper sign-ups'!$R$2:$R$101,K291-10000)))</f>
        <v/>
      </c>
      <c r="G291" s="18">
        <f>IF(K291="","",IF(K291&lt;10000,INDEX('Responses'!$AO$2:$AO$501,K291),INDEX('Paper sign-ups'!$S$2:$S$101,K291-10000)))</f>
        <v/>
      </c>
      <c r="H291" s="19">
        <f>IF(K291="","",IF(K291&lt;10000,INDEX('Responses'!$AI$2:$AI$501,K291),INDEX('Paper sign-ups'!$M$2:$M$101,K291-10000)))</f>
        <v/>
      </c>
      <c r="I291" s="21">
        <f>IF(K291="","",IF(K291&lt;10000,INDEX('Responses'!$AR$2:$AR$501,K291),INDEX('Paper sign-ups'!$V$2:$V$101,K291-10000)))</f>
        <v/>
      </c>
      <c r="J291" s="18">
        <f>IF(K291="","",IF(K291&lt;10000,"Online form","Paper"))</f>
        <v/>
      </c>
      <c r="K291" s="22">
        <f>IF(ISNUMBER(MATCH(286,'Responses'!$AV$2:$AV$501,0)),MATCH(286,'Responses'!$AV$2:$AV$501,0),IF(ISNUMBER(MATCH(286,'Paper sign-ups'!$Z$2:$Z$101,0)),10000+MATCH(286,'Paper sign-ups'!$Z$2:$Z$101,0),""))</f>
        <v/>
      </c>
    </row>
    <row r="292">
      <c r="A292" s="18">
        <f>IF(K292="","",287)</f>
        <v/>
      </c>
      <c r="B292" s="10">
        <f>IF(K292="","",IF(K292&lt;10000,INDEX('Responses'!$AE$2:$AE$501,K292),INDEX('Paper sign-ups'!$I$2:$I$101,K292-10000)))</f>
        <v/>
      </c>
      <c r="C292" s="19">
        <f>IF(K292="","",IF(K292&lt;10000,INDEX('Responses'!$AF$2:$AF$501,K292),INDEX('Paper sign-ups'!$J$2:$J$101,K292-10000)))</f>
        <v/>
      </c>
      <c r="D292" s="18">
        <f>IF(K292="","",IF(K292&lt;10000,INDEX('Responses'!$AH$2:$AH$501,K292),INDEX('Paper sign-ups'!$L$2:$L$101,K292-10000)))</f>
        <v/>
      </c>
      <c r="E292" s="20">
        <f>IF(K292="","",IF(K292&lt;10000,INDEX('Responses'!$AL$2:$AL$501,K292),INDEX('Paper sign-ups'!$P$2:$P$101,K292-10000)))</f>
        <v/>
      </c>
      <c r="F292" s="20">
        <f>IF(K292="","",IF(K292&lt;10000,INDEX('Responses'!$AN$2:$AN$501,K292),INDEX('Paper sign-ups'!$R$2:$R$101,K292-10000)))</f>
        <v/>
      </c>
      <c r="G292" s="18">
        <f>IF(K292="","",IF(K292&lt;10000,INDEX('Responses'!$AO$2:$AO$501,K292),INDEX('Paper sign-ups'!$S$2:$S$101,K292-10000)))</f>
        <v/>
      </c>
      <c r="H292" s="19">
        <f>IF(K292="","",IF(K292&lt;10000,INDEX('Responses'!$AI$2:$AI$501,K292),INDEX('Paper sign-ups'!$M$2:$M$101,K292-10000)))</f>
        <v/>
      </c>
      <c r="I292" s="21">
        <f>IF(K292="","",IF(K292&lt;10000,INDEX('Responses'!$AR$2:$AR$501,K292),INDEX('Paper sign-ups'!$V$2:$V$101,K292-10000)))</f>
        <v/>
      </c>
      <c r="J292" s="18">
        <f>IF(K292="","",IF(K292&lt;10000,"Online form","Paper"))</f>
        <v/>
      </c>
      <c r="K292" s="22">
        <f>IF(ISNUMBER(MATCH(287,'Responses'!$AV$2:$AV$501,0)),MATCH(287,'Responses'!$AV$2:$AV$501,0),IF(ISNUMBER(MATCH(287,'Paper sign-ups'!$Z$2:$Z$101,0)),10000+MATCH(287,'Paper sign-ups'!$Z$2:$Z$101,0),""))</f>
        <v/>
      </c>
    </row>
    <row r="293">
      <c r="A293" s="18">
        <f>IF(K293="","",288)</f>
        <v/>
      </c>
      <c r="B293" s="10">
        <f>IF(K293="","",IF(K293&lt;10000,INDEX('Responses'!$AE$2:$AE$501,K293),INDEX('Paper sign-ups'!$I$2:$I$101,K293-10000)))</f>
        <v/>
      </c>
      <c r="C293" s="19">
        <f>IF(K293="","",IF(K293&lt;10000,INDEX('Responses'!$AF$2:$AF$501,K293),INDEX('Paper sign-ups'!$J$2:$J$101,K293-10000)))</f>
        <v/>
      </c>
      <c r="D293" s="18">
        <f>IF(K293="","",IF(K293&lt;10000,INDEX('Responses'!$AH$2:$AH$501,K293),INDEX('Paper sign-ups'!$L$2:$L$101,K293-10000)))</f>
        <v/>
      </c>
      <c r="E293" s="20">
        <f>IF(K293="","",IF(K293&lt;10000,INDEX('Responses'!$AL$2:$AL$501,K293),INDEX('Paper sign-ups'!$P$2:$P$101,K293-10000)))</f>
        <v/>
      </c>
      <c r="F293" s="20">
        <f>IF(K293="","",IF(K293&lt;10000,INDEX('Responses'!$AN$2:$AN$501,K293),INDEX('Paper sign-ups'!$R$2:$R$101,K293-10000)))</f>
        <v/>
      </c>
      <c r="G293" s="18">
        <f>IF(K293="","",IF(K293&lt;10000,INDEX('Responses'!$AO$2:$AO$501,K293),INDEX('Paper sign-ups'!$S$2:$S$101,K293-10000)))</f>
        <v/>
      </c>
      <c r="H293" s="19">
        <f>IF(K293="","",IF(K293&lt;10000,INDEX('Responses'!$AI$2:$AI$501,K293),INDEX('Paper sign-ups'!$M$2:$M$101,K293-10000)))</f>
        <v/>
      </c>
      <c r="I293" s="21">
        <f>IF(K293="","",IF(K293&lt;10000,INDEX('Responses'!$AR$2:$AR$501,K293),INDEX('Paper sign-ups'!$V$2:$V$101,K293-10000)))</f>
        <v/>
      </c>
      <c r="J293" s="18">
        <f>IF(K293="","",IF(K293&lt;10000,"Online form","Paper"))</f>
        <v/>
      </c>
      <c r="K293" s="22">
        <f>IF(ISNUMBER(MATCH(288,'Responses'!$AV$2:$AV$501,0)),MATCH(288,'Responses'!$AV$2:$AV$501,0),IF(ISNUMBER(MATCH(288,'Paper sign-ups'!$Z$2:$Z$101,0)),10000+MATCH(288,'Paper sign-ups'!$Z$2:$Z$101,0),""))</f>
        <v/>
      </c>
    </row>
    <row r="294">
      <c r="A294" s="18">
        <f>IF(K294="","",289)</f>
        <v/>
      </c>
      <c r="B294" s="10">
        <f>IF(K294="","",IF(K294&lt;10000,INDEX('Responses'!$AE$2:$AE$501,K294),INDEX('Paper sign-ups'!$I$2:$I$101,K294-10000)))</f>
        <v/>
      </c>
      <c r="C294" s="19">
        <f>IF(K294="","",IF(K294&lt;10000,INDEX('Responses'!$AF$2:$AF$501,K294),INDEX('Paper sign-ups'!$J$2:$J$101,K294-10000)))</f>
        <v/>
      </c>
      <c r="D294" s="18">
        <f>IF(K294="","",IF(K294&lt;10000,INDEX('Responses'!$AH$2:$AH$501,K294),INDEX('Paper sign-ups'!$L$2:$L$101,K294-10000)))</f>
        <v/>
      </c>
      <c r="E294" s="20">
        <f>IF(K294="","",IF(K294&lt;10000,INDEX('Responses'!$AL$2:$AL$501,K294),INDEX('Paper sign-ups'!$P$2:$P$101,K294-10000)))</f>
        <v/>
      </c>
      <c r="F294" s="20">
        <f>IF(K294="","",IF(K294&lt;10000,INDEX('Responses'!$AN$2:$AN$501,K294),INDEX('Paper sign-ups'!$R$2:$R$101,K294-10000)))</f>
        <v/>
      </c>
      <c r="G294" s="18">
        <f>IF(K294="","",IF(K294&lt;10000,INDEX('Responses'!$AO$2:$AO$501,K294),INDEX('Paper sign-ups'!$S$2:$S$101,K294-10000)))</f>
        <v/>
      </c>
      <c r="H294" s="19">
        <f>IF(K294="","",IF(K294&lt;10000,INDEX('Responses'!$AI$2:$AI$501,K294),INDEX('Paper sign-ups'!$M$2:$M$101,K294-10000)))</f>
        <v/>
      </c>
      <c r="I294" s="21">
        <f>IF(K294="","",IF(K294&lt;10000,INDEX('Responses'!$AR$2:$AR$501,K294),INDEX('Paper sign-ups'!$V$2:$V$101,K294-10000)))</f>
        <v/>
      </c>
      <c r="J294" s="18">
        <f>IF(K294="","",IF(K294&lt;10000,"Online form","Paper"))</f>
        <v/>
      </c>
      <c r="K294" s="22">
        <f>IF(ISNUMBER(MATCH(289,'Responses'!$AV$2:$AV$501,0)),MATCH(289,'Responses'!$AV$2:$AV$501,0),IF(ISNUMBER(MATCH(289,'Paper sign-ups'!$Z$2:$Z$101,0)),10000+MATCH(289,'Paper sign-ups'!$Z$2:$Z$101,0),""))</f>
        <v/>
      </c>
    </row>
    <row r="295">
      <c r="A295" s="18">
        <f>IF(K295="","",290)</f>
        <v/>
      </c>
      <c r="B295" s="10">
        <f>IF(K295="","",IF(K295&lt;10000,INDEX('Responses'!$AE$2:$AE$501,K295),INDEX('Paper sign-ups'!$I$2:$I$101,K295-10000)))</f>
        <v/>
      </c>
      <c r="C295" s="19">
        <f>IF(K295="","",IF(K295&lt;10000,INDEX('Responses'!$AF$2:$AF$501,K295),INDEX('Paper sign-ups'!$J$2:$J$101,K295-10000)))</f>
        <v/>
      </c>
      <c r="D295" s="18">
        <f>IF(K295="","",IF(K295&lt;10000,INDEX('Responses'!$AH$2:$AH$501,K295),INDEX('Paper sign-ups'!$L$2:$L$101,K295-10000)))</f>
        <v/>
      </c>
      <c r="E295" s="20">
        <f>IF(K295="","",IF(K295&lt;10000,INDEX('Responses'!$AL$2:$AL$501,K295),INDEX('Paper sign-ups'!$P$2:$P$101,K295-10000)))</f>
        <v/>
      </c>
      <c r="F295" s="20">
        <f>IF(K295="","",IF(K295&lt;10000,INDEX('Responses'!$AN$2:$AN$501,K295),INDEX('Paper sign-ups'!$R$2:$R$101,K295-10000)))</f>
        <v/>
      </c>
      <c r="G295" s="18">
        <f>IF(K295="","",IF(K295&lt;10000,INDEX('Responses'!$AO$2:$AO$501,K295),INDEX('Paper sign-ups'!$S$2:$S$101,K295-10000)))</f>
        <v/>
      </c>
      <c r="H295" s="19">
        <f>IF(K295="","",IF(K295&lt;10000,INDEX('Responses'!$AI$2:$AI$501,K295),INDEX('Paper sign-ups'!$M$2:$M$101,K295-10000)))</f>
        <v/>
      </c>
      <c r="I295" s="21">
        <f>IF(K295="","",IF(K295&lt;10000,INDEX('Responses'!$AR$2:$AR$501,K295),INDEX('Paper sign-ups'!$V$2:$V$101,K295-10000)))</f>
        <v/>
      </c>
      <c r="J295" s="18">
        <f>IF(K295="","",IF(K295&lt;10000,"Online form","Paper"))</f>
        <v/>
      </c>
      <c r="K295" s="22">
        <f>IF(ISNUMBER(MATCH(290,'Responses'!$AV$2:$AV$501,0)),MATCH(290,'Responses'!$AV$2:$AV$501,0),IF(ISNUMBER(MATCH(290,'Paper sign-ups'!$Z$2:$Z$101,0)),10000+MATCH(290,'Paper sign-ups'!$Z$2:$Z$101,0),""))</f>
        <v/>
      </c>
    </row>
    <row r="296">
      <c r="A296" s="18">
        <f>IF(K296="","",291)</f>
        <v/>
      </c>
      <c r="B296" s="10">
        <f>IF(K296="","",IF(K296&lt;10000,INDEX('Responses'!$AE$2:$AE$501,K296),INDEX('Paper sign-ups'!$I$2:$I$101,K296-10000)))</f>
        <v/>
      </c>
      <c r="C296" s="19">
        <f>IF(K296="","",IF(K296&lt;10000,INDEX('Responses'!$AF$2:$AF$501,K296),INDEX('Paper sign-ups'!$J$2:$J$101,K296-10000)))</f>
        <v/>
      </c>
      <c r="D296" s="18">
        <f>IF(K296="","",IF(K296&lt;10000,INDEX('Responses'!$AH$2:$AH$501,K296),INDEX('Paper sign-ups'!$L$2:$L$101,K296-10000)))</f>
        <v/>
      </c>
      <c r="E296" s="20">
        <f>IF(K296="","",IF(K296&lt;10000,INDEX('Responses'!$AL$2:$AL$501,K296),INDEX('Paper sign-ups'!$P$2:$P$101,K296-10000)))</f>
        <v/>
      </c>
      <c r="F296" s="20">
        <f>IF(K296="","",IF(K296&lt;10000,INDEX('Responses'!$AN$2:$AN$501,K296),INDEX('Paper sign-ups'!$R$2:$R$101,K296-10000)))</f>
        <v/>
      </c>
      <c r="G296" s="18">
        <f>IF(K296="","",IF(K296&lt;10000,INDEX('Responses'!$AO$2:$AO$501,K296),INDEX('Paper sign-ups'!$S$2:$S$101,K296-10000)))</f>
        <v/>
      </c>
      <c r="H296" s="19">
        <f>IF(K296="","",IF(K296&lt;10000,INDEX('Responses'!$AI$2:$AI$501,K296),INDEX('Paper sign-ups'!$M$2:$M$101,K296-10000)))</f>
        <v/>
      </c>
      <c r="I296" s="21">
        <f>IF(K296="","",IF(K296&lt;10000,INDEX('Responses'!$AR$2:$AR$501,K296),INDEX('Paper sign-ups'!$V$2:$V$101,K296-10000)))</f>
        <v/>
      </c>
      <c r="J296" s="18">
        <f>IF(K296="","",IF(K296&lt;10000,"Online form","Paper"))</f>
        <v/>
      </c>
      <c r="K296" s="22">
        <f>IF(ISNUMBER(MATCH(291,'Responses'!$AV$2:$AV$501,0)),MATCH(291,'Responses'!$AV$2:$AV$501,0),IF(ISNUMBER(MATCH(291,'Paper sign-ups'!$Z$2:$Z$101,0)),10000+MATCH(291,'Paper sign-ups'!$Z$2:$Z$101,0),""))</f>
        <v/>
      </c>
    </row>
    <row r="297">
      <c r="A297" s="18">
        <f>IF(K297="","",292)</f>
        <v/>
      </c>
      <c r="B297" s="10">
        <f>IF(K297="","",IF(K297&lt;10000,INDEX('Responses'!$AE$2:$AE$501,K297),INDEX('Paper sign-ups'!$I$2:$I$101,K297-10000)))</f>
        <v/>
      </c>
      <c r="C297" s="19">
        <f>IF(K297="","",IF(K297&lt;10000,INDEX('Responses'!$AF$2:$AF$501,K297),INDEX('Paper sign-ups'!$J$2:$J$101,K297-10000)))</f>
        <v/>
      </c>
      <c r="D297" s="18">
        <f>IF(K297="","",IF(K297&lt;10000,INDEX('Responses'!$AH$2:$AH$501,K297),INDEX('Paper sign-ups'!$L$2:$L$101,K297-10000)))</f>
        <v/>
      </c>
      <c r="E297" s="20">
        <f>IF(K297="","",IF(K297&lt;10000,INDEX('Responses'!$AL$2:$AL$501,K297),INDEX('Paper sign-ups'!$P$2:$P$101,K297-10000)))</f>
        <v/>
      </c>
      <c r="F297" s="20">
        <f>IF(K297="","",IF(K297&lt;10000,INDEX('Responses'!$AN$2:$AN$501,K297),INDEX('Paper sign-ups'!$R$2:$R$101,K297-10000)))</f>
        <v/>
      </c>
      <c r="G297" s="18">
        <f>IF(K297="","",IF(K297&lt;10000,INDEX('Responses'!$AO$2:$AO$501,K297),INDEX('Paper sign-ups'!$S$2:$S$101,K297-10000)))</f>
        <v/>
      </c>
      <c r="H297" s="19">
        <f>IF(K297="","",IF(K297&lt;10000,INDEX('Responses'!$AI$2:$AI$501,K297),INDEX('Paper sign-ups'!$M$2:$M$101,K297-10000)))</f>
        <v/>
      </c>
      <c r="I297" s="21">
        <f>IF(K297="","",IF(K297&lt;10000,INDEX('Responses'!$AR$2:$AR$501,K297),INDEX('Paper sign-ups'!$V$2:$V$101,K297-10000)))</f>
        <v/>
      </c>
      <c r="J297" s="18">
        <f>IF(K297="","",IF(K297&lt;10000,"Online form","Paper"))</f>
        <v/>
      </c>
      <c r="K297" s="22">
        <f>IF(ISNUMBER(MATCH(292,'Responses'!$AV$2:$AV$501,0)),MATCH(292,'Responses'!$AV$2:$AV$501,0),IF(ISNUMBER(MATCH(292,'Paper sign-ups'!$Z$2:$Z$101,0)),10000+MATCH(292,'Paper sign-ups'!$Z$2:$Z$101,0),""))</f>
        <v/>
      </c>
    </row>
    <row r="298">
      <c r="A298" s="18">
        <f>IF(K298="","",293)</f>
        <v/>
      </c>
      <c r="B298" s="10">
        <f>IF(K298="","",IF(K298&lt;10000,INDEX('Responses'!$AE$2:$AE$501,K298),INDEX('Paper sign-ups'!$I$2:$I$101,K298-10000)))</f>
        <v/>
      </c>
      <c r="C298" s="19">
        <f>IF(K298="","",IF(K298&lt;10000,INDEX('Responses'!$AF$2:$AF$501,K298),INDEX('Paper sign-ups'!$J$2:$J$101,K298-10000)))</f>
        <v/>
      </c>
      <c r="D298" s="18">
        <f>IF(K298="","",IF(K298&lt;10000,INDEX('Responses'!$AH$2:$AH$501,K298),INDEX('Paper sign-ups'!$L$2:$L$101,K298-10000)))</f>
        <v/>
      </c>
      <c r="E298" s="20">
        <f>IF(K298="","",IF(K298&lt;10000,INDEX('Responses'!$AL$2:$AL$501,K298),INDEX('Paper sign-ups'!$P$2:$P$101,K298-10000)))</f>
        <v/>
      </c>
      <c r="F298" s="20">
        <f>IF(K298="","",IF(K298&lt;10000,INDEX('Responses'!$AN$2:$AN$501,K298),INDEX('Paper sign-ups'!$R$2:$R$101,K298-10000)))</f>
        <v/>
      </c>
      <c r="G298" s="18">
        <f>IF(K298="","",IF(K298&lt;10000,INDEX('Responses'!$AO$2:$AO$501,K298),INDEX('Paper sign-ups'!$S$2:$S$101,K298-10000)))</f>
        <v/>
      </c>
      <c r="H298" s="19">
        <f>IF(K298="","",IF(K298&lt;10000,INDEX('Responses'!$AI$2:$AI$501,K298),INDEX('Paper sign-ups'!$M$2:$M$101,K298-10000)))</f>
        <v/>
      </c>
      <c r="I298" s="21">
        <f>IF(K298="","",IF(K298&lt;10000,INDEX('Responses'!$AR$2:$AR$501,K298),INDEX('Paper sign-ups'!$V$2:$V$101,K298-10000)))</f>
        <v/>
      </c>
      <c r="J298" s="18">
        <f>IF(K298="","",IF(K298&lt;10000,"Online form","Paper"))</f>
        <v/>
      </c>
      <c r="K298" s="22">
        <f>IF(ISNUMBER(MATCH(293,'Responses'!$AV$2:$AV$501,0)),MATCH(293,'Responses'!$AV$2:$AV$501,0),IF(ISNUMBER(MATCH(293,'Paper sign-ups'!$Z$2:$Z$101,0)),10000+MATCH(293,'Paper sign-ups'!$Z$2:$Z$101,0),""))</f>
        <v/>
      </c>
    </row>
    <row r="299">
      <c r="A299" s="18">
        <f>IF(K299="","",294)</f>
        <v/>
      </c>
      <c r="B299" s="10">
        <f>IF(K299="","",IF(K299&lt;10000,INDEX('Responses'!$AE$2:$AE$501,K299),INDEX('Paper sign-ups'!$I$2:$I$101,K299-10000)))</f>
        <v/>
      </c>
      <c r="C299" s="19">
        <f>IF(K299="","",IF(K299&lt;10000,INDEX('Responses'!$AF$2:$AF$501,K299),INDEX('Paper sign-ups'!$J$2:$J$101,K299-10000)))</f>
        <v/>
      </c>
      <c r="D299" s="18">
        <f>IF(K299="","",IF(K299&lt;10000,INDEX('Responses'!$AH$2:$AH$501,K299),INDEX('Paper sign-ups'!$L$2:$L$101,K299-10000)))</f>
        <v/>
      </c>
      <c r="E299" s="20">
        <f>IF(K299="","",IF(K299&lt;10000,INDEX('Responses'!$AL$2:$AL$501,K299),INDEX('Paper sign-ups'!$P$2:$P$101,K299-10000)))</f>
        <v/>
      </c>
      <c r="F299" s="20">
        <f>IF(K299="","",IF(K299&lt;10000,INDEX('Responses'!$AN$2:$AN$501,K299),INDEX('Paper sign-ups'!$R$2:$R$101,K299-10000)))</f>
        <v/>
      </c>
      <c r="G299" s="18">
        <f>IF(K299="","",IF(K299&lt;10000,INDEX('Responses'!$AO$2:$AO$501,K299),INDEX('Paper sign-ups'!$S$2:$S$101,K299-10000)))</f>
        <v/>
      </c>
      <c r="H299" s="19">
        <f>IF(K299="","",IF(K299&lt;10000,INDEX('Responses'!$AI$2:$AI$501,K299),INDEX('Paper sign-ups'!$M$2:$M$101,K299-10000)))</f>
        <v/>
      </c>
      <c r="I299" s="21">
        <f>IF(K299="","",IF(K299&lt;10000,INDEX('Responses'!$AR$2:$AR$501,K299),INDEX('Paper sign-ups'!$V$2:$V$101,K299-10000)))</f>
        <v/>
      </c>
      <c r="J299" s="18">
        <f>IF(K299="","",IF(K299&lt;10000,"Online form","Paper"))</f>
        <v/>
      </c>
      <c r="K299" s="22">
        <f>IF(ISNUMBER(MATCH(294,'Responses'!$AV$2:$AV$501,0)),MATCH(294,'Responses'!$AV$2:$AV$501,0),IF(ISNUMBER(MATCH(294,'Paper sign-ups'!$Z$2:$Z$101,0)),10000+MATCH(294,'Paper sign-ups'!$Z$2:$Z$101,0),""))</f>
        <v/>
      </c>
    </row>
    <row r="300">
      <c r="A300" s="18">
        <f>IF(K300="","",295)</f>
        <v/>
      </c>
      <c r="B300" s="10">
        <f>IF(K300="","",IF(K300&lt;10000,INDEX('Responses'!$AE$2:$AE$501,K300),INDEX('Paper sign-ups'!$I$2:$I$101,K300-10000)))</f>
        <v/>
      </c>
      <c r="C300" s="19">
        <f>IF(K300="","",IF(K300&lt;10000,INDEX('Responses'!$AF$2:$AF$501,K300),INDEX('Paper sign-ups'!$J$2:$J$101,K300-10000)))</f>
        <v/>
      </c>
      <c r="D300" s="18">
        <f>IF(K300="","",IF(K300&lt;10000,INDEX('Responses'!$AH$2:$AH$501,K300),INDEX('Paper sign-ups'!$L$2:$L$101,K300-10000)))</f>
        <v/>
      </c>
      <c r="E300" s="20">
        <f>IF(K300="","",IF(K300&lt;10000,INDEX('Responses'!$AL$2:$AL$501,K300),INDEX('Paper sign-ups'!$P$2:$P$101,K300-10000)))</f>
        <v/>
      </c>
      <c r="F300" s="20">
        <f>IF(K300="","",IF(K300&lt;10000,INDEX('Responses'!$AN$2:$AN$501,K300),INDEX('Paper sign-ups'!$R$2:$R$101,K300-10000)))</f>
        <v/>
      </c>
      <c r="G300" s="18">
        <f>IF(K300="","",IF(K300&lt;10000,INDEX('Responses'!$AO$2:$AO$501,K300),INDEX('Paper sign-ups'!$S$2:$S$101,K300-10000)))</f>
        <v/>
      </c>
      <c r="H300" s="19">
        <f>IF(K300="","",IF(K300&lt;10000,INDEX('Responses'!$AI$2:$AI$501,K300),INDEX('Paper sign-ups'!$M$2:$M$101,K300-10000)))</f>
        <v/>
      </c>
      <c r="I300" s="21">
        <f>IF(K300="","",IF(K300&lt;10000,INDEX('Responses'!$AR$2:$AR$501,K300),INDEX('Paper sign-ups'!$V$2:$V$101,K300-10000)))</f>
        <v/>
      </c>
      <c r="J300" s="18">
        <f>IF(K300="","",IF(K300&lt;10000,"Online form","Paper"))</f>
        <v/>
      </c>
      <c r="K300" s="22">
        <f>IF(ISNUMBER(MATCH(295,'Responses'!$AV$2:$AV$501,0)),MATCH(295,'Responses'!$AV$2:$AV$501,0),IF(ISNUMBER(MATCH(295,'Paper sign-ups'!$Z$2:$Z$101,0)),10000+MATCH(295,'Paper sign-ups'!$Z$2:$Z$101,0),""))</f>
        <v/>
      </c>
    </row>
    <row r="301">
      <c r="A301" s="18">
        <f>IF(K301="","",296)</f>
        <v/>
      </c>
      <c r="B301" s="10">
        <f>IF(K301="","",IF(K301&lt;10000,INDEX('Responses'!$AE$2:$AE$501,K301),INDEX('Paper sign-ups'!$I$2:$I$101,K301-10000)))</f>
        <v/>
      </c>
      <c r="C301" s="19">
        <f>IF(K301="","",IF(K301&lt;10000,INDEX('Responses'!$AF$2:$AF$501,K301),INDEX('Paper sign-ups'!$J$2:$J$101,K301-10000)))</f>
        <v/>
      </c>
      <c r="D301" s="18">
        <f>IF(K301="","",IF(K301&lt;10000,INDEX('Responses'!$AH$2:$AH$501,K301),INDEX('Paper sign-ups'!$L$2:$L$101,K301-10000)))</f>
        <v/>
      </c>
      <c r="E301" s="20">
        <f>IF(K301="","",IF(K301&lt;10000,INDEX('Responses'!$AL$2:$AL$501,K301),INDEX('Paper sign-ups'!$P$2:$P$101,K301-10000)))</f>
        <v/>
      </c>
      <c r="F301" s="20">
        <f>IF(K301="","",IF(K301&lt;10000,INDEX('Responses'!$AN$2:$AN$501,K301),INDEX('Paper sign-ups'!$R$2:$R$101,K301-10000)))</f>
        <v/>
      </c>
      <c r="G301" s="18">
        <f>IF(K301="","",IF(K301&lt;10000,INDEX('Responses'!$AO$2:$AO$501,K301),INDEX('Paper sign-ups'!$S$2:$S$101,K301-10000)))</f>
        <v/>
      </c>
      <c r="H301" s="19">
        <f>IF(K301="","",IF(K301&lt;10000,INDEX('Responses'!$AI$2:$AI$501,K301),INDEX('Paper sign-ups'!$M$2:$M$101,K301-10000)))</f>
        <v/>
      </c>
      <c r="I301" s="21">
        <f>IF(K301="","",IF(K301&lt;10000,INDEX('Responses'!$AR$2:$AR$501,K301),INDEX('Paper sign-ups'!$V$2:$V$101,K301-10000)))</f>
        <v/>
      </c>
      <c r="J301" s="18">
        <f>IF(K301="","",IF(K301&lt;10000,"Online form","Paper"))</f>
        <v/>
      </c>
      <c r="K301" s="22">
        <f>IF(ISNUMBER(MATCH(296,'Responses'!$AV$2:$AV$501,0)),MATCH(296,'Responses'!$AV$2:$AV$501,0),IF(ISNUMBER(MATCH(296,'Paper sign-ups'!$Z$2:$Z$101,0)),10000+MATCH(296,'Paper sign-ups'!$Z$2:$Z$101,0),""))</f>
        <v/>
      </c>
    </row>
    <row r="302">
      <c r="A302" s="18">
        <f>IF(K302="","",297)</f>
        <v/>
      </c>
      <c r="B302" s="10">
        <f>IF(K302="","",IF(K302&lt;10000,INDEX('Responses'!$AE$2:$AE$501,K302),INDEX('Paper sign-ups'!$I$2:$I$101,K302-10000)))</f>
        <v/>
      </c>
      <c r="C302" s="19">
        <f>IF(K302="","",IF(K302&lt;10000,INDEX('Responses'!$AF$2:$AF$501,K302),INDEX('Paper sign-ups'!$J$2:$J$101,K302-10000)))</f>
        <v/>
      </c>
      <c r="D302" s="18">
        <f>IF(K302="","",IF(K302&lt;10000,INDEX('Responses'!$AH$2:$AH$501,K302),INDEX('Paper sign-ups'!$L$2:$L$101,K302-10000)))</f>
        <v/>
      </c>
      <c r="E302" s="20">
        <f>IF(K302="","",IF(K302&lt;10000,INDEX('Responses'!$AL$2:$AL$501,K302),INDEX('Paper sign-ups'!$P$2:$P$101,K302-10000)))</f>
        <v/>
      </c>
      <c r="F302" s="20">
        <f>IF(K302="","",IF(K302&lt;10000,INDEX('Responses'!$AN$2:$AN$501,K302),INDEX('Paper sign-ups'!$R$2:$R$101,K302-10000)))</f>
        <v/>
      </c>
      <c r="G302" s="18">
        <f>IF(K302="","",IF(K302&lt;10000,INDEX('Responses'!$AO$2:$AO$501,K302),INDEX('Paper sign-ups'!$S$2:$S$101,K302-10000)))</f>
        <v/>
      </c>
      <c r="H302" s="19">
        <f>IF(K302="","",IF(K302&lt;10000,INDEX('Responses'!$AI$2:$AI$501,K302),INDEX('Paper sign-ups'!$M$2:$M$101,K302-10000)))</f>
        <v/>
      </c>
      <c r="I302" s="21">
        <f>IF(K302="","",IF(K302&lt;10000,INDEX('Responses'!$AR$2:$AR$501,K302),INDEX('Paper sign-ups'!$V$2:$V$101,K302-10000)))</f>
        <v/>
      </c>
      <c r="J302" s="18">
        <f>IF(K302="","",IF(K302&lt;10000,"Online form","Paper"))</f>
        <v/>
      </c>
      <c r="K302" s="22">
        <f>IF(ISNUMBER(MATCH(297,'Responses'!$AV$2:$AV$501,0)),MATCH(297,'Responses'!$AV$2:$AV$501,0),IF(ISNUMBER(MATCH(297,'Paper sign-ups'!$Z$2:$Z$101,0)),10000+MATCH(297,'Paper sign-ups'!$Z$2:$Z$101,0),""))</f>
        <v/>
      </c>
    </row>
    <row r="303">
      <c r="A303" s="18">
        <f>IF(K303="","",298)</f>
        <v/>
      </c>
      <c r="B303" s="10">
        <f>IF(K303="","",IF(K303&lt;10000,INDEX('Responses'!$AE$2:$AE$501,K303),INDEX('Paper sign-ups'!$I$2:$I$101,K303-10000)))</f>
        <v/>
      </c>
      <c r="C303" s="19">
        <f>IF(K303="","",IF(K303&lt;10000,INDEX('Responses'!$AF$2:$AF$501,K303),INDEX('Paper sign-ups'!$J$2:$J$101,K303-10000)))</f>
        <v/>
      </c>
      <c r="D303" s="18">
        <f>IF(K303="","",IF(K303&lt;10000,INDEX('Responses'!$AH$2:$AH$501,K303),INDEX('Paper sign-ups'!$L$2:$L$101,K303-10000)))</f>
        <v/>
      </c>
      <c r="E303" s="20">
        <f>IF(K303="","",IF(K303&lt;10000,INDEX('Responses'!$AL$2:$AL$501,K303),INDEX('Paper sign-ups'!$P$2:$P$101,K303-10000)))</f>
        <v/>
      </c>
      <c r="F303" s="20">
        <f>IF(K303="","",IF(K303&lt;10000,INDEX('Responses'!$AN$2:$AN$501,K303),INDEX('Paper sign-ups'!$R$2:$R$101,K303-10000)))</f>
        <v/>
      </c>
      <c r="G303" s="18">
        <f>IF(K303="","",IF(K303&lt;10000,INDEX('Responses'!$AO$2:$AO$501,K303),INDEX('Paper sign-ups'!$S$2:$S$101,K303-10000)))</f>
        <v/>
      </c>
      <c r="H303" s="19">
        <f>IF(K303="","",IF(K303&lt;10000,INDEX('Responses'!$AI$2:$AI$501,K303),INDEX('Paper sign-ups'!$M$2:$M$101,K303-10000)))</f>
        <v/>
      </c>
      <c r="I303" s="21">
        <f>IF(K303="","",IF(K303&lt;10000,INDEX('Responses'!$AR$2:$AR$501,K303),INDEX('Paper sign-ups'!$V$2:$V$101,K303-10000)))</f>
        <v/>
      </c>
      <c r="J303" s="18">
        <f>IF(K303="","",IF(K303&lt;10000,"Online form","Paper"))</f>
        <v/>
      </c>
      <c r="K303" s="22">
        <f>IF(ISNUMBER(MATCH(298,'Responses'!$AV$2:$AV$501,0)),MATCH(298,'Responses'!$AV$2:$AV$501,0),IF(ISNUMBER(MATCH(298,'Paper sign-ups'!$Z$2:$Z$101,0)),10000+MATCH(298,'Paper sign-ups'!$Z$2:$Z$101,0),""))</f>
        <v/>
      </c>
    </row>
    <row r="304">
      <c r="A304" s="18">
        <f>IF(K304="","",299)</f>
        <v/>
      </c>
      <c r="B304" s="10">
        <f>IF(K304="","",IF(K304&lt;10000,INDEX('Responses'!$AE$2:$AE$501,K304),INDEX('Paper sign-ups'!$I$2:$I$101,K304-10000)))</f>
        <v/>
      </c>
      <c r="C304" s="19">
        <f>IF(K304="","",IF(K304&lt;10000,INDEX('Responses'!$AF$2:$AF$501,K304),INDEX('Paper sign-ups'!$J$2:$J$101,K304-10000)))</f>
        <v/>
      </c>
      <c r="D304" s="18">
        <f>IF(K304="","",IF(K304&lt;10000,INDEX('Responses'!$AH$2:$AH$501,K304),INDEX('Paper sign-ups'!$L$2:$L$101,K304-10000)))</f>
        <v/>
      </c>
      <c r="E304" s="20">
        <f>IF(K304="","",IF(K304&lt;10000,INDEX('Responses'!$AL$2:$AL$501,K304),INDEX('Paper sign-ups'!$P$2:$P$101,K304-10000)))</f>
        <v/>
      </c>
      <c r="F304" s="20">
        <f>IF(K304="","",IF(K304&lt;10000,INDEX('Responses'!$AN$2:$AN$501,K304),INDEX('Paper sign-ups'!$R$2:$R$101,K304-10000)))</f>
        <v/>
      </c>
      <c r="G304" s="18">
        <f>IF(K304="","",IF(K304&lt;10000,INDEX('Responses'!$AO$2:$AO$501,K304),INDEX('Paper sign-ups'!$S$2:$S$101,K304-10000)))</f>
        <v/>
      </c>
      <c r="H304" s="19">
        <f>IF(K304="","",IF(K304&lt;10000,INDEX('Responses'!$AI$2:$AI$501,K304),INDEX('Paper sign-ups'!$M$2:$M$101,K304-10000)))</f>
        <v/>
      </c>
      <c r="I304" s="21">
        <f>IF(K304="","",IF(K304&lt;10000,INDEX('Responses'!$AR$2:$AR$501,K304),INDEX('Paper sign-ups'!$V$2:$V$101,K304-10000)))</f>
        <v/>
      </c>
      <c r="J304" s="18">
        <f>IF(K304="","",IF(K304&lt;10000,"Online form","Paper"))</f>
        <v/>
      </c>
      <c r="K304" s="22">
        <f>IF(ISNUMBER(MATCH(299,'Responses'!$AV$2:$AV$501,0)),MATCH(299,'Responses'!$AV$2:$AV$501,0),IF(ISNUMBER(MATCH(299,'Paper sign-ups'!$Z$2:$Z$101,0)),10000+MATCH(299,'Paper sign-ups'!$Z$2:$Z$101,0),""))</f>
        <v/>
      </c>
    </row>
    <row r="305">
      <c r="A305" s="18">
        <f>IF(K305="","",300)</f>
        <v/>
      </c>
      <c r="B305" s="10">
        <f>IF(K305="","",IF(K305&lt;10000,INDEX('Responses'!$AE$2:$AE$501,K305),INDEX('Paper sign-ups'!$I$2:$I$101,K305-10000)))</f>
        <v/>
      </c>
      <c r="C305" s="19">
        <f>IF(K305="","",IF(K305&lt;10000,INDEX('Responses'!$AF$2:$AF$501,K305),INDEX('Paper sign-ups'!$J$2:$J$101,K305-10000)))</f>
        <v/>
      </c>
      <c r="D305" s="18">
        <f>IF(K305="","",IF(K305&lt;10000,INDEX('Responses'!$AH$2:$AH$501,K305),INDEX('Paper sign-ups'!$L$2:$L$101,K305-10000)))</f>
        <v/>
      </c>
      <c r="E305" s="20">
        <f>IF(K305="","",IF(K305&lt;10000,INDEX('Responses'!$AL$2:$AL$501,K305),INDEX('Paper sign-ups'!$P$2:$P$101,K305-10000)))</f>
        <v/>
      </c>
      <c r="F305" s="20">
        <f>IF(K305="","",IF(K305&lt;10000,INDEX('Responses'!$AN$2:$AN$501,K305),INDEX('Paper sign-ups'!$R$2:$R$101,K305-10000)))</f>
        <v/>
      </c>
      <c r="G305" s="18">
        <f>IF(K305="","",IF(K305&lt;10000,INDEX('Responses'!$AO$2:$AO$501,K305),INDEX('Paper sign-ups'!$S$2:$S$101,K305-10000)))</f>
        <v/>
      </c>
      <c r="H305" s="19">
        <f>IF(K305="","",IF(K305&lt;10000,INDEX('Responses'!$AI$2:$AI$501,K305),INDEX('Paper sign-ups'!$M$2:$M$101,K305-10000)))</f>
        <v/>
      </c>
      <c r="I305" s="21">
        <f>IF(K305="","",IF(K305&lt;10000,INDEX('Responses'!$AR$2:$AR$501,K305),INDEX('Paper sign-ups'!$V$2:$V$101,K305-10000)))</f>
        <v/>
      </c>
      <c r="J305" s="18">
        <f>IF(K305="","",IF(K305&lt;10000,"Online form","Paper"))</f>
        <v/>
      </c>
      <c r="K305" s="22">
        <f>IF(ISNUMBER(MATCH(300,'Responses'!$AV$2:$AV$501,0)),MATCH(300,'Responses'!$AV$2:$AV$501,0),IF(ISNUMBER(MATCH(300,'Paper sign-ups'!$Z$2:$Z$101,0)),10000+MATCH(300,'Paper sign-ups'!$Z$2:$Z$101,0),""))</f>
        <v/>
      </c>
    </row>
    <row r="307">
      <c r="A307" s="14" t="inlineStr">
        <is>
          <t>Room for 300 members. Older rows of a member who joined again are left out (Summary counts them). Sorted by next reminder date; rows with no date come last.</t>
        </is>
      </c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3" customWidth="1" min="3" max="3"/>
    <col width="22" customWidth="1" min="4" max="4"/>
    <col width="16" customWidth="1" min="5" max="5"/>
    <col width="10" customWidth="1" min="6" max="6"/>
  </cols>
  <sheetData>
    <row r="1">
      <c r="A1" s="15" t="inlineStr">
        <is>
          <t>Summary: members at a glance</t>
        </is>
      </c>
    </row>
    <row r="2">
      <c r="A2" s="16">
        <f>"Counts as of "&amp;TEXT(Settings!$D$4,"yyyy-mm-dd")&amp;". Each member counts once, by their newest row."</f>
        <v/>
      </c>
    </row>
    <row r="3">
      <c r="A3" s="17">
        <f>IF(COUNTIF(Responses!$A$2:$A$501,"EXAMPLE*")&gt;0,"You are looking at EXAMPLE data. Clear the example rows on Responses and Paper sign-ups, then add your own.","")</f>
        <v/>
      </c>
    </row>
    <row r="5" ht="30" customHeight="1">
      <c r="A5" s="3" t="inlineStr">
        <is>
          <t>Status</t>
        </is>
      </c>
      <c r="B5" s="3" t="inlineStr">
        <is>
          <t>Members</t>
        </is>
      </c>
      <c r="D5" s="3" t="inlineStr">
        <is>
          <t>Membership type</t>
        </is>
      </c>
      <c r="E5" s="3" t="inlineStr">
        <is>
          <t>Active members</t>
        </is>
      </c>
      <c r="F5" s="3" t="inlineStr">
        <is>
          <t>Lapsed</t>
        </is>
      </c>
    </row>
    <row r="6">
      <c r="A6" s="19" t="inlineStr">
        <is>
          <t>Lapsed</t>
        </is>
      </c>
      <c r="B6" s="18">
        <f>SUMPRODUCT(('Responses'!$AR$2:$AR$501="Lapsed")*'Responses'!$AT$2:$AT$501)+SUMPRODUCT(('Paper sign-ups'!$V$2:$V$101="Lapsed")*'Paper sign-ups'!$X$2:$X$101)</f>
        <v/>
      </c>
      <c r="D6" s="19">
        <f>IF(TRIM(Settings!F4&amp;"")="","",TRIM(Settings!F4&amp;""))</f>
        <v/>
      </c>
      <c r="E6" s="18">
        <f>IF(D6="","",SUMPRODUCT(('Responses'!$AH$2:$AH$501=D6)*(('Responses'!$AR$2:$AR$501="Current")+('Responses'!$AR$2:$AR$501="Remind soon")+('Responses'!$AR$2:$AR$501="No reminder"))*'Responses'!$AT$2:$AT$501)+SUMPRODUCT(('Paper sign-ups'!$L$2:$L$101=D6)*(('Paper sign-ups'!$V$2:$V$101="Current")+('Paper sign-ups'!$V$2:$V$101="Remind soon")+('Paper sign-ups'!$V$2:$V$101="No reminder"))*'Paper sign-ups'!$X$2:$X$101))</f>
        <v/>
      </c>
      <c r="F6" s="18">
        <f>IF(D6="","",SUMPRODUCT(('Responses'!$AH$2:$AH$501=D6)*('Responses'!$AR$2:$AR$501="Lapsed")*'Responses'!$AT$2:$AT$501)+SUMPRODUCT(('Paper sign-ups'!$L$2:$L$101=D6)*('Paper sign-ups'!$V$2:$V$101="Lapsed")*'Paper sign-ups'!$X$2:$X$101))</f>
        <v/>
      </c>
    </row>
    <row r="7">
      <c r="A7" s="19" t="inlineStr">
        <is>
          <t>Remind soon</t>
        </is>
      </c>
      <c r="B7" s="18">
        <f>SUMPRODUCT(('Responses'!$AR$2:$AR$501="Remind soon")*'Responses'!$AT$2:$AT$501)+SUMPRODUCT(('Paper sign-ups'!$V$2:$V$101="Remind soon")*'Paper sign-ups'!$X$2:$X$101)</f>
        <v/>
      </c>
      <c r="D7" s="19">
        <f>IF(TRIM(Settings!F5&amp;"")="","",TRIM(Settings!F5&amp;""))</f>
        <v/>
      </c>
      <c r="E7" s="18">
        <f>IF(D7="","",SUMPRODUCT(('Responses'!$AH$2:$AH$501=D7)*(('Responses'!$AR$2:$AR$501="Current")+('Responses'!$AR$2:$AR$501="Remind soon")+('Responses'!$AR$2:$AR$501="No reminder"))*'Responses'!$AT$2:$AT$501)+SUMPRODUCT(('Paper sign-ups'!$L$2:$L$101=D7)*(('Paper sign-ups'!$V$2:$V$101="Current")+('Paper sign-ups'!$V$2:$V$101="Remind soon")+('Paper sign-ups'!$V$2:$V$101="No reminder"))*'Paper sign-ups'!$X$2:$X$101))</f>
        <v/>
      </c>
      <c r="F7" s="18">
        <f>IF(D7="","",SUMPRODUCT(('Responses'!$AH$2:$AH$501=D7)*('Responses'!$AR$2:$AR$501="Lapsed")*'Responses'!$AT$2:$AT$501)+SUMPRODUCT(('Paper sign-ups'!$L$2:$L$101=D7)*('Paper sign-ups'!$V$2:$V$101="Lapsed")*'Paper sign-ups'!$X$2:$X$101))</f>
        <v/>
      </c>
    </row>
    <row r="8">
      <c r="A8" s="19" t="inlineStr">
        <is>
          <t>Current</t>
        </is>
      </c>
      <c r="B8" s="18">
        <f>SUMPRODUCT(('Responses'!$AR$2:$AR$501="Current")*'Responses'!$AT$2:$AT$501)+SUMPRODUCT(('Paper sign-ups'!$V$2:$V$101="Current")*'Paper sign-ups'!$X$2:$X$101)</f>
        <v/>
      </c>
      <c r="D8" s="19">
        <f>IF(TRIM(Settings!F6&amp;"")="","",TRIM(Settings!F6&amp;""))</f>
        <v/>
      </c>
      <c r="E8" s="18">
        <f>IF(D8="","",SUMPRODUCT(('Responses'!$AH$2:$AH$501=D8)*(('Responses'!$AR$2:$AR$501="Current")+('Responses'!$AR$2:$AR$501="Remind soon")+('Responses'!$AR$2:$AR$501="No reminder"))*'Responses'!$AT$2:$AT$501)+SUMPRODUCT(('Paper sign-ups'!$L$2:$L$101=D8)*(('Paper sign-ups'!$V$2:$V$101="Current")+('Paper sign-ups'!$V$2:$V$101="Remind soon")+('Paper sign-ups'!$V$2:$V$101="No reminder"))*'Paper sign-ups'!$X$2:$X$101))</f>
        <v/>
      </c>
      <c r="F8" s="18">
        <f>IF(D8="","",SUMPRODUCT(('Responses'!$AH$2:$AH$501=D8)*('Responses'!$AR$2:$AR$501="Lapsed")*'Responses'!$AT$2:$AT$501)+SUMPRODUCT(('Paper sign-ups'!$L$2:$L$101=D8)*('Paper sign-ups'!$V$2:$V$101="Lapsed")*'Paper sign-ups'!$X$2:$X$101))</f>
        <v/>
      </c>
    </row>
    <row r="9">
      <c r="A9" s="19" t="inlineStr">
        <is>
          <t>No reminder</t>
        </is>
      </c>
      <c r="B9" s="18">
        <f>SUMPRODUCT(('Responses'!$AR$2:$AR$501="No reminder")*'Responses'!$AT$2:$AT$501)+SUMPRODUCT(('Paper sign-ups'!$V$2:$V$101="No reminder")*'Paper sign-ups'!$X$2:$X$101)</f>
        <v/>
      </c>
      <c r="D9" s="19">
        <f>IF(TRIM(Settings!F7&amp;"")="","",TRIM(Settings!F7&amp;""))</f>
        <v/>
      </c>
      <c r="E9" s="18">
        <f>IF(D9="","",SUMPRODUCT(('Responses'!$AH$2:$AH$501=D9)*(('Responses'!$AR$2:$AR$501="Current")+('Responses'!$AR$2:$AR$501="Remind soon")+('Responses'!$AR$2:$AR$501="No reminder"))*'Responses'!$AT$2:$AT$501)+SUMPRODUCT(('Paper sign-ups'!$L$2:$L$101=D9)*(('Paper sign-ups'!$V$2:$V$101="Current")+('Paper sign-ups'!$V$2:$V$101="Remind soon")+('Paper sign-ups'!$V$2:$V$101="No reminder"))*'Paper sign-ups'!$X$2:$X$101))</f>
        <v/>
      </c>
      <c r="F9" s="18">
        <f>IF(D9="","",SUMPRODUCT(('Responses'!$AH$2:$AH$501=D9)*('Responses'!$AR$2:$AR$501="Lapsed")*'Responses'!$AT$2:$AT$501)+SUMPRODUCT(('Paper sign-ups'!$L$2:$L$101=D9)*('Paper sign-ups'!$V$2:$V$101="Lapsed")*'Paper sign-ups'!$X$2:$X$101))</f>
        <v/>
      </c>
    </row>
    <row r="10">
      <c r="A10" s="19" t="inlineStr">
        <is>
          <t>Unpaid</t>
        </is>
      </c>
      <c r="B10" s="18">
        <f>SUMPRODUCT(('Responses'!$AR$2:$AR$501="Unpaid")*'Responses'!$AT$2:$AT$501)+SUMPRODUCT(('Paper sign-ups'!$V$2:$V$101="Unpaid")*'Paper sign-ups'!$X$2:$X$101)</f>
        <v/>
      </c>
      <c r="D10" s="19">
        <f>IF(TRIM(Settings!F8&amp;"")="","",TRIM(Settings!F8&amp;""))</f>
        <v/>
      </c>
      <c r="E10" s="18">
        <f>IF(D10="","",SUMPRODUCT(('Responses'!$AH$2:$AH$501=D10)*(('Responses'!$AR$2:$AR$501="Current")+('Responses'!$AR$2:$AR$501="Remind soon")+('Responses'!$AR$2:$AR$501="No reminder"))*'Responses'!$AT$2:$AT$501)+SUMPRODUCT(('Paper sign-ups'!$L$2:$L$101=D10)*(('Paper sign-ups'!$V$2:$V$101="Current")+('Paper sign-ups'!$V$2:$V$101="Remind soon")+('Paper sign-ups'!$V$2:$V$101="No reminder"))*'Paper sign-ups'!$X$2:$X$101))</f>
        <v/>
      </c>
      <c r="F10" s="18">
        <f>IF(D10="","",SUMPRODUCT(('Responses'!$AH$2:$AH$501=D10)*('Responses'!$AR$2:$AR$501="Lapsed")*'Responses'!$AT$2:$AT$501)+SUMPRODUCT(('Paper sign-ups'!$L$2:$L$101=D10)*('Paper sign-ups'!$V$2:$V$101="Lapsed")*'Paper sign-ups'!$X$2:$X$101))</f>
        <v/>
      </c>
    </row>
    <row r="11">
      <c r="A11" s="19" t="inlineStr">
        <is>
          <t>Add a join date</t>
        </is>
      </c>
      <c r="B11" s="18">
        <f>SUMPRODUCT(('Responses'!$AR$2:$AR$501="Add a join date")*'Responses'!$AT$2:$AT$501)+SUMPRODUCT(('Paper sign-ups'!$V$2:$V$101="Add a join date")*'Paper sign-ups'!$X$2:$X$101)</f>
        <v/>
      </c>
      <c r="D11" s="19">
        <f>IF(TRIM(Settings!F9&amp;"")="","",TRIM(Settings!F9&amp;""))</f>
        <v/>
      </c>
      <c r="E11" s="18">
        <f>IF(D11="","",SUMPRODUCT(('Responses'!$AH$2:$AH$501=D11)*(('Responses'!$AR$2:$AR$501="Current")+('Responses'!$AR$2:$AR$501="Remind soon")+('Responses'!$AR$2:$AR$501="No reminder"))*'Responses'!$AT$2:$AT$501)+SUMPRODUCT(('Paper sign-ups'!$L$2:$L$101=D11)*(('Paper sign-ups'!$V$2:$V$101="Current")+('Paper sign-ups'!$V$2:$V$101="Remind soon")+('Paper sign-ups'!$V$2:$V$101="No reminder"))*'Paper sign-ups'!$X$2:$X$101))</f>
        <v/>
      </c>
      <c r="F11" s="18">
        <f>IF(D11="","",SUMPRODUCT(('Responses'!$AH$2:$AH$501=D11)*('Responses'!$AR$2:$AR$501="Lapsed")*'Responses'!$AT$2:$AT$501)+SUMPRODUCT(('Paper sign-ups'!$L$2:$L$101=D11)*('Paper sign-ups'!$V$2:$V$101="Lapsed")*'Paper sign-ups'!$X$2:$X$101))</f>
        <v/>
      </c>
    </row>
    <row r="12">
      <c r="A12" s="10" t="inlineStr">
        <is>
          <t>Members on the Members tab</t>
        </is>
      </c>
      <c r="B12" s="21">
        <f>SUM(B6:B11)</f>
        <v/>
      </c>
      <c r="D12" s="19">
        <f>IF(TRIM(Settings!F10&amp;"")="","",TRIM(Settings!F10&amp;""))</f>
        <v/>
      </c>
      <c r="E12" s="18">
        <f>IF(D12="","",SUMPRODUCT(('Responses'!$AH$2:$AH$501=D12)*(('Responses'!$AR$2:$AR$501="Current")+('Responses'!$AR$2:$AR$501="Remind soon")+('Responses'!$AR$2:$AR$501="No reminder"))*'Responses'!$AT$2:$AT$501)+SUMPRODUCT(('Paper sign-ups'!$L$2:$L$101=D12)*(('Paper sign-ups'!$V$2:$V$101="Current")+('Paper sign-ups'!$V$2:$V$101="Remind soon")+('Paper sign-ups'!$V$2:$V$101="No reminder"))*'Paper sign-ups'!$X$2:$X$101))</f>
        <v/>
      </c>
      <c r="F12" s="18">
        <f>IF(D12="","",SUMPRODUCT(('Responses'!$AH$2:$AH$501=D12)*('Responses'!$AR$2:$AR$501="Lapsed")*'Responses'!$AT$2:$AT$501)+SUMPRODUCT(('Paper sign-ups'!$L$2:$L$101=D12)*('Paper sign-ups'!$V$2:$V$101="Lapsed")*'Paper sign-ups'!$X$2:$X$101))</f>
        <v/>
      </c>
    </row>
    <row r="13">
      <c r="A13" s="10" t="inlineStr">
        <is>
          <t>Active members (Current, Remind soon, No reminder)</t>
        </is>
      </c>
      <c r="B13" s="21">
        <f>B7+B8+B9</f>
        <v/>
      </c>
      <c r="D13" s="19">
        <f>IF(TRIM(Settings!F11&amp;"")="","",TRIM(Settings!F11&amp;""))</f>
        <v/>
      </c>
      <c r="E13" s="18">
        <f>IF(D13="","",SUMPRODUCT(('Responses'!$AH$2:$AH$501=D13)*(('Responses'!$AR$2:$AR$501="Current")+('Responses'!$AR$2:$AR$501="Remind soon")+('Responses'!$AR$2:$AR$501="No reminder"))*'Responses'!$AT$2:$AT$501)+SUMPRODUCT(('Paper sign-ups'!$L$2:$L$101=D13)*(('Paper sign-ups'!$V$2:$V$101="Current")+('Paper sign-ups'!$V$2:$V$101="Remind soon")+('Paper sign-ups'!$V$2:$V$101="No reminder"))*'Paper sign-ups'!$X$2:$X$101))</f>
        <v/>
      </c>
      <c r="F13" s="18">
        <f>IF(D13="","",SUMPRODUCT(('Responses'!$AH$2:$AH$501=D13)*('Responses'!$AR$2:$AR$501="Lapsed")*'Responses'!$AT$2:$AT$501)+SUMPRODUCT(('Paper sign-ups'!$L$2:$L$101=D13)*('Paper sign-ups'!$V$2:$V$101="Lapsed")*'Paper sign-ups'!$X$2:$X$101))</f>
        <v/>
      </c>
    </row>
    <row r="14">
      <c r="A14" s="19" t="inlineStr">
        <is>
          <t>Older rows replaced by a newer one</t>
        </is>
      </c>
      <c r="B14" s="18">
        <f>SUM('Responses'!$AQ$2:$AQ$501)+SUM('Paper sign-ups'!$U$2:$U$101)</f>
        <v/>
      </c>
      <c r="D14" s="10" t="inlineStr">
        <is>
          <t>All types</t>
        </is>
      </c>
      <c r="E14" s="21">
        <f>SUM(E6:E13)</f>
        <v/>
      </c>
      <c r="F14" s="21">
        <f>SUM(F6:F13)</f>
        <v/>
      </c>
    </row>
    <row r="17">
      <c r="A17" s="23" t="inlineStr">
        <is>
          <t>Dues collected in these rows (paid minus refunded)</t>
        </is>
      </c>
      <c r="B17" s="24">
        <f>SUM('Responses'!$AS$2:$AS$501)+SUM('Paper sign-ups'!$W$2:$W$101)</f>
        <v/>
      </c>
    </row>
    <row r="18">
      <c r="A18" s="23" t="inlineStr">
        <is>
          <t>Of which on paper</t>
        </is>
      </c>
      <c r="B18" s="24">
        <f>SUM('Paper sign-ups'!$W$2:$W$101)</f>
        <v/>
      </c>
    </row>
    <row r="20">
      <c r="A20" s="14" t="inlineStr">
        <is>
          <t>Amounts are what members paid, before Stripe's processing fees, in the currency of your form. Your fees and payouts are in your Stripe account.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B83D"/>
    <outlinePr summaryBelow="1" summaryRight="1"/>
    <pageSetUpPr/>
  </sheetPr>
  <dimension ref="A1:AV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" customWidth="1" min="27" max="27"/>
    <col width="14" customWidth="1" min="28" max="28"/>
    <col width="26" customWidth="1" min="29" max="29"/>
    <col width="2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48" max="48"/>
  </cols>
  <sheetData>
    <row r="1" ht="62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Full name</t>
        </is>
      </c>
      <c r="E1" s="3" t="inlineStr">
        <is>
          <t>Email</t>
        </is>
      </c>
      <c r="F1" s="3" t="inlineStr">
        <is>
          <t>Phone</t>
        </is>
      </c>
      <c r="G1" s="3" t="inlineStr">
        <is>
          <t>Mailing address</t>
        </is>
      </c>
      <c r="H1" s="3" t="inlineStr">
        <is>
          <t>source</t>
        </is>
      </c>
      <c r="I1" s="3" t="inlineStr">
        <is>
          <t>Membership type</t>
        </is>
      </c>
      <c r="J1" s="3" t="inlineStr">
        <is>
          <t>Family members' names</t>
        </is>
      </c>
      <c r="K1" s="3" t="inlineStr">
        <is>
          <t>How would you like to get involved?</t>
        </is>
      </c>
      <c r="L1" s="3" t="inlineStr">
        <is>
          <t>Can we email you club news?</t>
        </is>
      </c>
      <c r="M1" s="3" t="inlineStr">
        <is>
          <t>Club rules</t>
        </is>
      </c>
      <c r="N1" s="3" t="inlineStr">
        <is>
          <t>dues</t>
        </is>
      </c>
      <c r="O1" s="3" t="inlineStr">
        <is>
          <t>Payment status</t>
        </is>
      </c>
      <c r="P1" s="3" t="inlineStr">
        <is>
          <t>Payment amount</t>
        </is>
      </c>
      <c r="Q1" s="3" t="inlineStr">
        <is>
          <t>Payment currency</t>
        </is>
      </c>
      <c r="R1" s="3" t="inlineStr">
        <is>
          <t>Refunded amount</t>
        </is>
      </c>
      <c r="S1" s="3" t="inlineStr">
        <is>
          <t>Payment paid at</t>
        </is>
      </c>
      <c r="T1" s="3" t="inlineStr">
        <is>
          <t>Stripe payment ID</t>
        </is>
      </c>
      <c r="U1" s="3" t="inlineStr">
        <is>
          <t>Form version</t>
        </is>
      </c>
      <c r="V1" s="3" t="n"/>
      <c r="W1" s="3" t="n"/>
      <c r="X1" s="3" t="n"/>
      <c r="Y1" s="3" t="n"/>
      <c r="Z1" s="3" t="n"/>
      <c r="AA1" s="25" t="n"/>
      <c r="AB1" s="26" t="inlineStr">
        <is>
          <t>Paid another way (Y)</t>
        </is>
      </c>
      <c r="AC1" s="26" t="inlineStr">
        <is>
          <t>Notes</t>
        </is>
      </c>
      <c r="AD1" s="25" t="n"/>
      <c r="AE1" s="27" t="inlineStr">
        <is>
          <t>Name (worked out)</t>
        </is>
      </c>
      <c r="AF1" s="27" t="inlineStr">
        <is>
          <t>Email (worked out)</t>
        </is>
      </c>
      <c r="AG1" s="27" t="inlineStr">
        <is>
          <t>Member key (worked out)</t>
        </is>
      </c>
      <c r="AH1" s="27" t="inlineStr">
        <is>
          <t>Membership type (worked out)</t>
        </is>
      </c>
      <c r="AI1" s="27" t="inlineStr">
        <is>
          <t>Payment status (worked out)</t>
        </is>
      </c>
      <c r="AJ1" s="27" t="inlineStr">
        <is>
          <t>Paid (1 = yes) (worked out)</t>
        </is>
      </c>
      <c r="AK1" s="27" t="inlineStr">
        <is>
          <t>Paid on (worked out)</t>
        </is>
      </c>
      <c r="AL1" s="27" t="inlineStr">
        <is>
          <t>Joined (worked out)</t>
        </is>
      </c>
      <c r="AM1" s="27" t="inlineStr">
        <is>
          <t>Term (months) (worked out)</t>
        </is>
      </c>
      <c r="AN1" s="27" t="inlineStr">
        <is>
          <t>Next reminder date (your own) (worked out)</t>
        </is>
      </c>
      <c r="AO1" s="27" t="inlineStr">
        <is>
          <t>Days to reminder (worked out)</t>
        </is>
      </c>
      <c r="AP1" s="27" t="inlineStr">
        <is>
          <t>Sort key (worked out)</t>
        </is>
      </c>
      <c r="AQ1" s="27" t="inlineStr">
        <is>
          <t>Joined again later (1 = yes) (worked out)</t>
        </is>
      </c>
      <c r="AR1" s="27" t="inlineStr">
        <is>
          <t>Status (worked out)</t>
        </is>
      </c>
      <c r="AS1" s="27" t="inlineStr">
        <is>
          <t>Collected (paid minus refunded) (worked out)</t>
        </is>
      </c>
      <c r="AT1" s="27" t="inlineStr">
        <is>
          <t>On the list (1 = yes) (worked out)</t>
        </is>
      </c>
      <c r="AU1" s="27" t="inlineStr">
        <is>
          <t>Order value (worked out)</t>
        </is>
      </c>
      <c r="AV1" s="27" t="inlineStr">
        <is>
          <t>List order (worked out)</t>
        </is>
      </c>
    </row>
    <row r="2">
      <c r="A2" s="28" t="inlineStr">
        <is>
          <t>EXAMPLE-01 (delete me)</t>
        </is>
      </c>
      <c r="B2" s="28" t="inlineStr">
        <is>
          <t>2026-03-02T10:12:00.000Z</t>
        </is>
      </c>
      <c r="C2" s="28" t="inlineStr">
        <is>
          <t>2026-03-02T10:09:00.000Z</t>
        </is>
      </c>
      <c r="D2" s="28" t="inlineStr">
        <is>
          <t>Maya Chen</t>
        </is>
      </c>
      <c r="E2" s="28" t="inlineStr">
        <is>
          <t>maya@example.com</t>
        </is>
      </c>
      <c r="F2" s="28" t="inlineStr"/>
      <c r="G2" s="28" t="inlineStr"/>
      <c r="H2" s="28" t="inlineStr">
        <is>
          <t>newsletter</t>
        </is>
      </c>
      <c r="I2" s="28" t="inlineStr">
        <is>
          <t>Individual</t>
        </is>
      </c>
      <c r="J2" s="28" t="inlineStr"/>
      <c r="K2" s="28" t="inlineStr">
        <is>
          <t>Events, Newsletter</t>
        </is>
      </c>
      <c r="L2" s="28" t="inlineStr">
        <is>
          <t>No thanks</t>
        </is>
      </c>
      <c r="M2" s="28" t="inlineStr">
        <is>
          <t>I have read the club rules and agree to follow them</t>
        </is>
      </c>
      <c r="N2" s="28" t="n">
        <v>30</v>
      </c>
      <c r="O2" s="28" t="inlineStr">
        <is>
          <t>Paid</t>
        </is>
      </c>
      <c r="P2" s="28" t="inlineStr">
        <is>
          <t>30.00</t>
        </is>
      </c>
      <c r="Q2" s="28" t="inlineStr">
        <is>
          <t>USD</t>
        </is>
      </c>
      <c r="R2" s="28" t="inlineStr">
        <is>
          <t>0.00</t>
        </is>
      </c>
      <c r="S2" s="28" t="inlineStr">
        <is>
          <t>2026-03-02T10:14:00.000Z</t>
        </is>
      </c>
      <c r="T2" s="28" t="inlineStr">
        <is>
          <t>pi_example01</t>
        </is>
      </c>
      <c r="U2" s="28" t="n">
        <v>1</v>
      </c>
      <c r="AA2" s="29" t="n"/>
      <c r="AB2" s="30" t="n"/>
      <c r="AC2" s="30" t="n"/>
      <c r="AD2" s="29" t="n"/>
      <c r="AE2" s="31">
        <f>IFERROR(TRIM(INDEX($A2:$Z2,MATCH(Settings!$L$4,$A$1:$Z$1,0))&amp;""),"")</f>
        <v/>
      </c>
      <c r="AF2" s="31">
        <f>IFERROR(TRIM(INDEX($A2:$Z2,MATCH(Settings!$L$5,$A$1:$Z$1,0))&amp;""),"")</f>
        <v/>
      </c>
      <c r="AG2" s="31">
        <f>IF(AE2="","",LOWER(IF(AF2&lt;&gt;"",AF2,AE2)))</f>
        <v/>
      </c>
      <c r="AH2" s="31">
        <f>IFERROR(TRIM(INDEX($A2:$Z2,MATCH(Settings!$L$6,$A$1:$Z$1,0))&amp;""),"")</f>
        <v/>
      </c>
      <c r="AI2" s="31">
        <f>IF(AE2="","",IF(UPPER(TRIM(AB2&amp;""))="Y","Paid another way",IF(IFERROR(TRIM(INDEX($A2:$Z2,MATCH(Settings!$L$7,$A$1:$Z$1,0))&amp;""),"")="","No payment status",IFERROR(TRIM(INDEX($A2:$Z2,MATCH(Settings!$L$7,$A$1:$Z$1,0))&amp;""),""))))</f>
        <v/>
      </c>
      <c r="AJ2" s="31">
        <f>IF(AE2="",0,IF(IFERROR(INDEX(Settings!$J$4:$J$14,MATCH(AI2,Settings!$I$4:$I$14,0)),"N")="Y",1,0))</f>
        <v/>
      </c>
      <c r="AK2" s="32">
        <f>IFERROR(INT(IFERROR(IF(ISNUMBER(INDEX($A2:$Z2,MATCH(Settings!$L$10,$A$1:$Z$1,0))),INDEX($A2:$Z2,MATCH(Settings!$L$10,$A$1:$Z$1,0)),DATE(VALUE(LEFT(IFERROR(TRIM(INDEX($A2:$Z2,MATCH(Settings!$L$10,$A$1:$Z$1,0))&amp;""),""),4)),VALUE(MID(IFERROR(TRIM(INDEX($A2:$Z2,MATCH(Settings!$L$10,$A$1:$Z$1,0))&amp;""),""),6,2)),VALUE(MID(IFERROR(TRIM(INDEX($A2:$Z2,MATCH(Settings!$L$10,$A$1:$Z$1,0))&amp;""),""),9,2)))+TIME(VALUE(MID(IFERROR(TRIM(INDEX($A2:$Z2,MATCH(Settings!$L$10,$A$1:$Z$1,0))&amp;""),""),12,2)),VALUE(MID(IFERROR(TRIM(INDEX($A2:$Z2,MATCH(Settings!$L$10,$A$1:$Z$1,0))&amp;""),""),15,2)),VALUE(MID(IFERROR(TRIM(INDEX($A2:$Z2,MATCH(Settings!$L$10,$A$1:$Z$1,0))&amp;""),""),18,2)))),"")),"")</f>
        <v/>
      </c>
      <c r="AL2" s="32">
        <f>IF(AE2="","",IF(ISNUMBER(AK2),AK2,IFERROR(INT(IFERROR(IF(ISNUMBER(INDEX($A2:$Z2,MATCH(Settings!$L$11,$A$1:$Z$1,0))),INDEX($A2:$Z2,MATCH(Settings!$L$11,$A$1:$Z$1,0)),DATE(VALUE(LEFT(IFERROR(TRIM(INDEX($A2:$Z2,MATCH(Settings!$L$11,$A$1:$Z$1,0))&amp;""),""),4)),VALUE(MID(IFERROR(TRIM(INDEX($A2:$Z2,MATCH(Settings!$L$11,$A$1:$Z$1,0))&amp;""),""),6,2)),VALUE(MID(IFERROR(TRIM(INDEX($A2:$Z2,MATCH(Settings!$L$11,$A$1:$Z$1,0))&amp;""),""),9,2)))+TIME(VALUE(MID(IFERROR(TRIM(INDEX($A2:$Z2,MATCH(Settings!$L$11,$A$1:$Z$1,0))&amp;""),""),12,2)),VALUE(MID(IFERROR(TRIM(INDEX($A2:$Z2,MATCH(Settings!$L$11,$A$1:$Z$1,0))&amp;""),""),15,2)),VALUE(MID(IFERROR(TRIM(INDEX($A2:$Z2,MATCH(Settings!$L$11,$A$1:$Z$1,0))&amp;""),""),18,2)))),"")),"")))</f>
        <v/>
      </c>
      <c r="AM2" s="31">
        <f>IF(AE2="","",IF(ISNUMBER(IFERROR(INDEX(Settings!$G$4:$G$11,MATCH(AH2,Settings!$F$4:$F$11,0)),"")),INDEX(Settings!$G$4:$G$11,MATCH(AH2,Settings!$F$4:$F$11,0)),Settings!$D$5))</f>
        <v/>
      </c>
      <c r="AN2" s="32">
        <f>IF(OR(AE2="",NOT(ISNUMBER(AL2)),NOT(ISNUMBER(AM2))),"",IF(AM2&lt;=0,"",IF(ISNUMBER(Settings!$D$8),DATE(YEAR(AL2)+IF(DATE(YEAR(AL2),MONTH(Settings!$D$8),DAY(Settings!$D$8))&gt;AL2,0,1),MONTH(Settings!$D$8),DAY(Settings!$D$8)),MIN(DATE(YEAR(AL2),MONTH(AL2)+AM2,DAY(AL2)),DATE(YEAR(AL2),MONTH(AL2)+AM2+1,0)))))</f>
        <v/>
      </c>
      <c r="AO2" s="31">
        <f>IF(ISNUMBER(AN2),AN2-Settings!$D$4,"")</f>
        <v/>
      </c>
      <c r="AP2" s="31">
        <f>IF(ISNUMBER(AL2),AL2+0+ROW()/100000,"")</f>
        <v/>
      </c>
      <c r="AQ2" s="31">
        <f>IF(OR(AG2="",NOT(ISNUMBER(AP2))),0,IF(SUMPRODUCT(('Responses'!$AG$2:$AG$501=AG2)*('Responses'!$AJ$2:$AJ$501=1)*ISNUMBER('Responses'!$AP$2:$AP$501)*('Responses'!$AP$2:$AP$501&gt;AP2)) + SUMPRODUCT(('Paper sign-ups'!$K$2:$K$101=AG2)*('Paper sign-ups'!$N$2:$N$101=1)*ISNUMBER('Paper sign-ups'!$T$2:$T$101)*('Paper sign-ups'!$T$2:$T$101&gt;AP2))&gt;0,1,0))</f>
        <v/>
      </c>
      <c r="AR2" s="31">
        <f>IF(AE2="","",IF(AQ2=1,"Joined again",IF(AJ2=0,"Unpaid",IF(NOT(ISNUMBER(AL2)),"Add a join date",IF(AN2="","No reminder",IF(AO2&lt;0,"Lapsed",IF(AO2&lt;=Settings!$D$6,"Remind soon","Current")))))))</f>
        <v/>
      </c>
      <c r="AS2" s="33">
        <f>IF(AJ2=1,IFERROR(VALUE(IFERROR(TRIM(INDEX($A2:$Z2,MATCH(Settings!$L$8,$A$1:$Z$1,0))&amp;""),"")),0)-IFERROR(VALUE(IFERROR(TRIM(INDEX($A2:$Z2,MATCH(Settings!$L$9,$A$1:$Z$1,0))&amp;""),"")),0),0)</f>
        <v/>
      </c>
      <c r="AT2" s="31">
        <f>IF(AND(AE2&lt;&gt;"",AQ2=0),1,0)</f>
        <v/>
      </c>
      <c r="AU2" s="31">
        <f>IF(AT2=0,"",IF(ISNUMBER(AN2),AN2,100000)+0+ROW()/1000000)</f>
        <v/>
      </c>
      <c r="AV2" s="31">
        <f>IF(ISNUMBER(AU2),SUMPRODUCT(ISNUMBER('Responses'!$AU$2:$AU$501)*('Responses'!$AU$2:$AU$501&lt;AU2)) + SUMPRODUCT(ISNUMBER('Paper sign-ups'!$Y$2:$Y$101)*('Paper sign-ups'!$Y$2:$Y$101&lt;AU2))+1,"")</f>
        <v/>
      </c>
    </row>
    <row r="3">
      <c r="A3" s="28" t="inlineStr">
        <is>
          <t>EXAMPLE-02 (delete me)</t>
        </is>
      </c>
      <c r="B3" s="28" t="inlineStr">
        <is>
          <t>2026-01-20T18:40:00.000Z</t>
        </is>
      </c>
      <c r="C3" s="28" t="inlineStr">
        <is>
          <t>2026-01-20T18:37:00.000Z</t>
        </is>
      </c>
      <c r="D3" s="28" t="inlineStr">
        <is>
          <t>Luis Ortega</t>
        </is>
      </c>
      <c r="E3" s="28" t="inlineStr">
        <is>
          <t>luis@example.com</t>
        </is>
      </c>
      <c r="F3" s="28" t="inlineStr"/>
      <c r="G3" s="28" t="inlineStr"/>
      <c r="H3" s="28" t="inlineStr"/>
      <c r="I3" s="28" t="inlineStr">
        <is>
          <t>Student</t>
        </is>
      </c>
      <c r="J3" s="28" t="inlineStr"/>
      <c r="K3" s="28" t="inlineStr">
        <is>
          <t>Committee</t>
        </is>
      </c>
      <c r="L3" s="28" t="inlineStr">
        <is>
          <t>Yes, please</t>
        </is>
      </c>
      <c r="M3" s="28" t="inlineStr">
        <is>
          <t>I have read the club rules and agree to follow them</t>
        </is>
      </c>
      <c r="N3" s="28" t="n">
        <v>15</v>
      </c>
      <c r="O3" s="28" t="inlineStr">
        <is>
          <t>Paid</t>
        </is>
      </c>
      <c r="P3" s="28" t="inlineStr">
        <is>
          <t>15.00</t>
        </is>
      </c>
      <c r="Q3" s="28" t="inlineStr">
        <is>
          <t>USD</t>
        </is>
      </c>
      <c r="R3" s="28" t="inlineStr">
        <is>
          <t>0.00</t>
        </is>
      </c>
      <c r="S3" s="28" t="inlineStr">
        <is>
          <t>2026-01-20T18:42:00.000Z</t>
        </is>
      </c>
      <c r="T3" s="28" t="inlineStr">
        <is>
          <t>pi_example02</t>
        </is>
      </c>
      <c r="U3" s="28" t="n">
        <v>1</v>
      </c>
      <c r="AA3" s="29" t="n"/>
      <c r="AB3" s="30" t="n"/>
      <c r="AC3" s="30" t="n"/>
      <c r="AD3" s="29" t="n"/>
      <c r="AE3" s="31">
        <f>IFERROR(TRIM(INDEX($A3:$Z3,MATCH(Settings!$L$4,$A$1:$Z$1,0))&amp;""),"")</f>
        <v/>
      </c>
      <c r="AF3" s="31">
        <f>IFERROR(TRIM(INDEX($A3:$Z3,MATCH(Settings!$L$5,$A$1:$Z$1,0))&amp;""),"")</f>
        <v/>
      </c>
      <c r="AG3" s="31">
        <f>IF(AE3="","",LOWER(IF(AF3&lt;&gt;"",AF3,AE3)))</f>
        <v/>
      </c>
      <c r="AH3" s="31">
        <f>IFERROR(TRIM(INDEX($A3:$Z3,MATCH(Settings!$L$6,$A$1:$Z$1,0))&amp;""),"")</f>
        <v/>
      </c>
      <c r="AI3" s="31">
        <f>IF(AE3="","",IF(UPPER(TRIM(AB3&amp;""))="Y","Paid another way",IF(IFERROR(TRIM(INDEX($A3:$Z3,MATCH(Settings!$L$7,$A$1:$Z$1,0))&amp;""),"")="","No payment status",IFERROR(TRIM(INDEX($A3:$Z3,MATCH(Settings!$L$7,$A$1:$Z$1,0))&amp;""),""))))</f>
        <v/>
      </c>
      <c r="AJ3" s="31">
        <f>IF(AE3="",0,IF(IFERROR(INDEX(Settings!$J$4:$J$14,MATCH(AI3,Settings!$I$4:$I$14,0)),"N")="Y",1,0))</f>
        <v/>
      </c>
      <c r="AK3" s="32">
        <f>IFERROR(INT(IFERROR(IF(ISNUMBER(INDEX($A3:$Z3,MATCH(Settings!$L$10,$A$1:$Z$1,0))),INDEX($A3:$Z3,MATCH(Settings!$L$10,$A$1:$Z$1,0)),DATE(VALUE(LEFT(IFERROR(TRIM(INDEX($A3:$Z3,MATCH(Settings!$L$10,$A$1:$Z$1,0))&amp;""),""),4)),VALUE(MID(IFERROR(TRIM(INDEX($A3:$Z3,MATCH(Settings!$L$10,$A$1:$Z$1,0))&amp;""),""),6,2)),VALUE(MID(IFERROR(TRIM(INDEX($A3:$Z3,MATCH(Settings!$L$10,$A$1:$Z$1,0))&amp;""),""),9,2)))+TIME(VALUE(MID(IFERROR(TRIM(INDEX($A3:$Z3,MATCH(Settings!$L$10,$A$1:$Z$1,0))&amp;""),""),12,2)),VALUE(MID(IFERROR(TRIM(INDEX($A3:$Z3,MATCH(Settings!$L$10,$A$1:$Z$1,0))&amp;""),""),15,2)),VALUE(MID(IFERROR(TRIM(INDEX($A3:$Z3,MATCH(Settings!$L$10,$A$1:$Z$1,0))&amp;""),""),18,2)))),"")),"")</f>
        <v/>
      </c>
      <c r="AL3" s="32">
        <f>IF(AE3="","",IF(ISNUMBER(AK3),AK3,IFERROR(INT(IFERROR(IF(ISNUMBER(INDEX($A3:$Z3,MATCH(Settings!$L$11,$A$1:$Z$1,0))),INDEX($A3:$Z3,MATCH(Settings!$L$11,$A$1:$Z$1,0)),DATE(VALUE(LEFT(IFERROR(TRIM(INDEX($A3:$Z3,MATCH(Settings!$L$11,$A$1:$Z$1,0))&amp;""),""),4)),VALUE(MID(IFERROR(TRIM(INDEX($A3:$Z3,MATCH(Settings!$L$11,$A$1:$Z$1,0))&amp;""),""),6,2)),VALUE(MID(IFERROR(TRIM(INDEX($A3:$Z3,MATCH(Settings!$L$11,$A$1:$Z$1,0))&amp;""),""),9,2)))+TIME(VALUE(MID(IFERROR(TRIM(INDEX($A3:$Z3,MATCH(Settings!$L$11,$A$1:$Z$1,0))&amp;""),""),12,2)),VALUE(MID(IFERROR(TRIM(INDEX($A3:$Z3,MATCH(Settings!$L$11,$A$1:$Z$1,0))&amp;""),""),15,2)),VALUE(MID(IFERROR(TRIM(INDEX($A3:$Z3,MATCH(Settings!$L$11,$A$1:$Z$1,0))&amp;""),""),18,2)))),"")),"")))</f>
        <v/>
      </c>
      <c r="AM3" s="31">
        <f>IF(AE3="","",IF(ISNUMBER(IFERROR(INDEX(Settings!$G$4:$G$11,MATCH(AH3,Settings!$F$4:$F$11,0)),"")),INDEX(Settings!$G$4:$G$11,MATCH(AH3,Settings!$F$4:$F$11,0)),Settings!$D$5))</f>
        <v/>
      </c>
      <c r="AN3" s="32">
        <f>IF(OR(AE3="",NOT(ISNUMBER(AL3)),NOT(ISNUMBER(AM3))),"",IF(AM3&lt;=0,"",IF(ISNUMBER(Settings!$D$8),DATE(YEAR(AL3)+IF(DATE(YEAR(AL3),MONTH(Settings!$D$8),DAY(Settings!$D$8))&gt;AL3,0,1),MONTH(Settings!$D$8),DAY(Settings!$D$8)),MIN(DATE(YEAR(AL3),MONTH(AL3)+AM3,DAY(AL3)),DATE(YEAR(AL3),MONTH(AL3)+AM3+1,0)))))</f>
        <v/>
      </c>
      <c r="AO3" s="31">
        <f>IF(ISNUMBER(AN3),AN3-Settings!$D$4,"")</f>
        <v/>
      </c>
      <c r="AP3" s="31">
        <f>IF(ISNUMBER(AL3),AL3+0+ROW()/100000,"")</f>
        <v/>
      </c>
      <c r="AQ3" s="31">
        <f>IF(OR(AG3="",NOT(ISNUMBER(AP3))),0,IF(SUMPRODUCT(('Responses'!$AG$2:$AG$501=AG3)*('Responses'!$AJ$2:$AJ$501=1)*ISNUMBER('Responses'!$AP$2:$AP$501)*('Responses'!$AP$2:$AP$501&gt;AP3)) + SUMPRODUCT(('Paper sign-ups'!$K$2:$K$101=AG3)*('Paper sign-ups'!$N$2:$N$101=1)*ISNUMBER('Paper sign-ups'!$T$2:$T$101)*('Paper sign-ups'!$T$2:$T$101&gt;AP3))&gt;0,1,0))</f>
        <v/>
      </c>
      <c r="AR3" s="31">
        <f>IF(AE3="","",IF(AQ3=1,"Joined again",IF(AJ3=0,"Unpaid",IF(NOT(ISNUMBER(AL3)),"Add a join date",IF(AN3="","No reminder",IF(AO3&lt;0,"Lapsed",IF(AO3&lt;=Settings!$D$6,"Remind soon","Current")))))))</f>
        <v/>
      </c>
      <c r="AS3" s="33">
        <f>IF(AJ3=1,IFERROR(VALUE(IFERROR(TRIM(INDEX($A3:$Z3,MATCH(Settings!$L$8,$A$1:$Z$1,0))&amp;""),"")),0)-IFERROR(VALUE(IFERROR(TRIM(INDEX($A3:$Z3,MATCH(Settings!$L$9,$A$1:$Z$1,0))&amp;""),"")),0),0)</f>
        <v/>
      </c>
      <c r="AT3" s="31">
        <f>IF(AND(AE3&lt;&gt;"",AQ3=0),1,0)</f>
        <v/>
      </c>
      <c r="AU3" s="31">
        <f>IF(AT3=0,"",IF(ISNUMBER(AN3),AN3,100000)+0+ROW()/1000000)</f>
        <v/>
      </c>
      <c r="AV3" s="31">
        <f>IF(ISNUMBER(AU3),SUMPRODUCT(ISNUMBER('Responses'!$AU$2:$AU$501)*('Responses'!$AU$2:$AU$501&lt;AU3)) + SUMPRODUCT(ISNUMBER('Paper sign-ups'!$Y$2:$Y$101)*('Paper sign-ups'!$Y$2:$Y$101&lt;AU3))+1,"")</f>
        <v/>
      </c>
    </row>
    <row r="4">
      <c r="A4" s="28" t="inlineStr">
        <is>
          <t>EXAMPLE-03 (delete me)</t>
        </is>
      </c>
      <c r="B4" s="28" t="inlineStr">
        <is>
          <t>2026-09-14T09:05:00.000Z</t>
        </is>
      </c>
      <c r="C4" s="28" t="inlineStr">
        <is>
          <t>2026-09-14T09:02:00.000Z</t>
        </is>
      </c>
      <c r="D4" s="28" t="inlineStr">
        <is>
          <t>Priya Raman</t>
        </is>
      </c>
      <c r="E4" s="28" t="inlineStr">
        <is>
          <t>priya@example.com</t>
        </is>
      </c>
      <c r="F4" s="28" t="inlineStr"/>
      <c r="G4" s="28" t="inlineStr"/>
      <c r="H4" s="28" t="inlineStr">
        <is>
          <t>reminder-email</t>
        </is>
      </c>
      <c r="I4" s="28" t="inlineStr">
        <is>
          <t>Family</t>
        </is>
      </c>
      <c r="J4" s="28" t="inlineStr">
        <is>
          <t>Sam Raman, Leela Raman</t>
        </is>
      </c>
      <c r="K4" s="28" t="inlineStr">
        <is>
          <t>Events, Newsletter</t>
        </is>
      </c>
      <c r="L4" s="28" t="inlineStr">
        <is>
          <t>Yes, please</t>
        </is>
      </c>
      <c r="M4" s="28" t="inlineStr">
        <is>
          <t>I have read the club rules and agree to follow them</t>
        </is>
      </c>
      <c r="N4" s="28" t="n">
        <v>50</v>
      </c>
      <c r="O4" s="28" t="inlineStr">
        <is>
          <t>Paid</t>
        </is>
      </c>
      <c r="P4" s="28" t="inlineStr">
        <is>
          <t>50.00</t>
        </is>
      </c>
      <c r="Q4" s="28" t="inlineStr">
        <is>
          <t>USD</t>
        </is>
      </c>
      <c r="R4" s="28" t="inlineStr">
        <is>
          <t>0.00</t>
        </is>
      </c>
      <c r="S4" s="28" t="inlineStr">
        <is>
          <t>2026-09-14T09:07:00.000Z</t>
        </is>
      </c>
      <c r="T4" s="28" t="inlineStr">
        <is>
          <t>pi_example03</t>
        </is>
      </c>
      <c r="U4" s="28" t="n">
        <v>1</v>
      </c>
      <c r="AA4" s="29" t="n"/>
      <c r="AB4" s="30" t="n"/>
      <c r="AC4" s="30" t="n"/>
      <c r="AD4" s="29" t="n"/>
      <c r="AE4" s="31">
        <f>IFERROR(TRIM(INDEX($A4:$Z4,MATCH(Settings!$L$4,$A$1:$Z$1,0))&amp;""),"")</f>
        <v/>
      </c>
      <c r="AF4" s="31">
        <f>IFERROR(TRIM(INDEX($A4:$Z4,MATCH(Settings!$L$5,$A$1:$Z$1,0))&amp;""),"")</f>
        <v/>
      </c>
      <c r="AG4" s="31">
        <f>IF(AE4="","",LOWER(IF(AF4&lt;&gt;"",AF4,AE4)))</f>
        <v/>
      </c>
      <c r="AH4" s="31">
        <f>IFERROR(TRIM(INDEX($A4:$Z4,MATCH(Settings!$L$6,$A$1:$Z$1,0))&amp;""),"")</f>
        <v/>
      </c>
      <c r="AI4" s="31">
        <f>IF(AE4="","",IF(UPPER(TRIM(AB4&amp;""))="Y","Paid another way",IF(IFERROR(TRIM(INDEX($A4:$Z4,MATCH(Settings!$L$7,$A$1:$Z$1,0))&amp;""),"")="","No payment status",IFERROR(TRIM(INDEX($A4:$Z4,MATCH(Settings!$L$7,$A$1:$Z$1,0))&amp;""),""))))</f>
        <v/>
      </c>
      <c r="AJ4" s="31">
        <f>IF(AE4="",0,IF(IFERROR(INDEX(Settings!$J$4:$J$14,MATCH(AI4,Settings!$I$4:$I$14,0)),"N")="Y",1,0))</f>
        <v/>
      </c>
      <c r="AK4" s="32">
        <f>IFERROR(INT(IFERROR(IF(ISNUMBER(INDEX($A4:$Z4,MATCH(Settings!$L$10,$A$1:$Z$1,0))),INDEX($A4:$Z4,MATCH(Settings!$L$10,$A$1:$Z$1,0)),DATE(VALUE(LEFT(IFERROR(TRIM(INDEX($A4:$Z4,MATCH(Settings!$L$10,$A$1:$Z$1,0))&amp;""),""),4)),VALUE(MID(IFERROR(TRIM(INDEX($A4:$Z4,MATCH(Settings!$L$10,$A$1:$Z$1,0))&amp;""),""),6,2)),VALUE(MID(IFERROR(TRIM(INDEX($A4:$Z4,MATCH(Settings!$L$10,$A$1:$Z$1,0))&amp;""),""),9,2)))+TIME(VALUE(MID(IFERROR(TRIM(INDEX($A4:$Z4,MATCH(Settings!$L$10,$A$1:$Z$1,0))&amp;""),""),12,2)),VALUE(MID(IFERROR(TRIM(INDEX($A4:$Z4,MATCH(Settings!$L$10,$A$1:$Z$1,0))&amp;""),""),15,2)),VALUE(MID(IFERROR(TRIM(INDEX($A4:$Z4,MATCH(Settings!$L$10,$A$1:$Z$1,0))&amp;""),""),18,2)))),"")),"")</f>
        <v/>
      </c>
      <c r="AL4" s="32">
        <f>IF(AE4="","",IF(ISNUMBER(AK4),AK4,IFERROR(INT(IFERROR(IF(ISNUMBER(INDEX($A4:$Z4,MATCH(Settings!$L$11,$A$1:$Z$1,0))),INDEX($A4:$Z4,MATCH(Settings!$L$11,$A$1:$Z$1,0)),DATE(VALUE(LEFT(IFERROR(TRIM(INDEX($A4:$Z4,MATCH(Settings!$L$11,$A$1:$Z$1,0))&amp;""),""),4)),VALUE(MID(IFERROR(TRIM(INDEX($A4:$Z4,MATCH(Settings!$L$11,$A$1:$Z$1,0))&amp;""),""),6,2)),VALUE(MID(IFERROR(TRIM(INDEX($A4:$Z4,MATCH(Settings!$L$11,$A$1:$Z$1,0))&amp;""),""),9,2)))+TIME(VALUE(MID(IFERROR(TRIM(INDEX($A4:$Z4,MATCH(Settings!$L$11,$A$1:$Z$1,0))&amp;""),""),12,2)),VALUE(MID(IFERROR(TRIM(INDEX($A4:$Z4,MATCH(Settings!$L$11,$A$1:$Z$1,0))&amp;""),""),15,2)),VALUE(MID(IFERROR(TRIM(INDEX($A4:$Z4,MATCH(Settings!$L$11,$A$1:$Z$1,0))&amp;""),""),18,2)))),"")),"")))</f>
        <v/>
      </c>
      <c r="AM4" s="31">
        <f>IF(AE4="","",IF(ISNUMBER(IFERROR(INDEX(Settings!$G$4:$G$11,MATCH(AH4,Settings!$F$4:$F$11,0)),"")),INDEX(Settings!$G$4:$G$11,MATCH(AH4,Settings!$F$4:$F$11,0)),Settings!$D$5))</f>
        <v/>
      </c>
      <c r="AN4" s="32">
        <f>IF(OR(AE4="",NOT(ISNUMBER(AL4)),NOT(ISNUMBER(AM4))),"",IF(AM4&lt;=0,"",IF(ISNUMBER(Settings!$D$8),DATE(YEAR(AL4)+IF(DATE(YEAR(AL4),MONTH(Settings!$D$8),DAY(Settings!$D$8))&gt;AL4,0,1),MONTH(Settings!$D$8),DAY(Settings!$D$8)),MIN(DATE(YEAR(AL4),MONTH(AL4)+AM4,DAY(AL4)),DATE(YEAR(AL4),MONTH(AL4)+AM4+1,0)))))</f>
        <v/>
      </c>
      <c r="AO4" s="31">
        <f>IF(ISNUMBER(AN4),AN4-Settings!$D$4,"")</f>
        <v/>
      </c>
      <c r="AP4" s="31">
        <f>IF(ISNUMBER(AL4),AL4+0+ROW()/100000,"")</f>
        <v/>
      </c>
      <c r="AQ4" s="31">
        <f>IF(OR(AG4="",NOT(ISNUMBER(AP4))),0,IF(SUMPRODUCT(('Responses'!$AG$2:$AG$501=AG4)*('Responses'!$AJ$2:$AJ$501=1)*ISNUMBER('Responses'!$AP$2:$AP$501)*('Responses'!$AP$2:$AP$501&gt;AP4)) + SUMPRODUCT(('Paper sign-ups'!$K$2:$K$101=AG4)*('Paper sign-ups'!$N$2:$N$101=1)*ISNUMBER('Paper sign-ups'!$T$2:$T$101)*('Paper sign-ups'!$T$2:$T$101&gt;AP4))&gt;0,1,0))</f>
        <v/>
      </c>
      <c r="AR4" s="31">
        <f>IF(AE4="","",IF(AQ4=1,"Joined again",IF(AJ4=0,"Unpaid",IF(NOT(ISNUMBER(AL4)),"Add a join date",IF(AN4="","No reminder",IF(AO4&lt;0,"Lapsed",IF(AO4&lt;=Settings!$D$6,"Remind soon","Current")))))))</f>
        <v/>
      </c>
      <c r="AS4" s="33">
        <f>IF(AJ4=1,IFERROR(VALUE(IFERROR(TRIM(INDEX($A4:$Z4,MATCH(Settings!$L$8,$A$1:$Z$1,0))&amp;""),"")),0)-IFERROR(VALUE(IFERROR(TRIM(INDEX($A4:$Z4,MATCH(Settings!$L$9,$A$1:$Z$1,0))&amp;""),"")),0),0)</f>
        <v/>
      </c>
      <c r="AT4" s="31">
        <f>IF(AND(AE4&lt;&gt;"",AQ4=0),1,0)</f>
        <v/>
      </c>
      <c r="AU4" s="31">
        <f>IF(AT4=0,"",IF(ISNUMBER(AN4),AN4,100000)+0+ROW()/1000000)</f>
        <v/>
      </c>
      <c r="AV4" s="31">
        <f>IF(ISNUMBER(AU4),SUMPRODUCT(ISNUMBER('Responses'!$AU$2:$AU$501)*('Responses'!$AU$2:$AU$501&lt;AU4)) + SUMPRODUCT(ISNUMBER('Paper sign-ups'!$Y$2:$Y$101)*('Paper sign-ups'!$Y$2:$Y$101&lt;AU4))+1,"")</f>
        <v/>
      </c>
    </row>
    <row r="5">
      <c r="A5" s="28" t="inlineStr">
        <is>
          <t>EXAMPLE-04 (delete me)</t>
        </is>
      </c>
      <c r="B5" s="28" t="inlineStr">
        <is>
          <t>2027-02-05T20:31:00.000Z</t>
        </is>
      </c>
      <c r="C5" s="28" t="inlineStr">
        <is>
          <t>2027-02-05T20:28:00.000Z</t>
        </is>
      </c>
      <c r="D5" s="28" t="inlineStr">
        <is>
          <t>Tom Becker</t>
        </is>
      </c>
      <c r="E5" s="28" t="inlineStr">
        <is>
          <t>tom@example.com</t>
        </is>
      </c>
      <c r="F5" s="28" t="inlineStr"/>
      <c r="G5" s="28" t="inlineStr"/>
      <c r="H5" s="28" t="inlineStr"/>
      <c r="I5" s="28" t="inlineStr">
        <is>
          <t>Individual</t>
        </is>
      </c>
      <c r="J5" s="28" t="inlineStr"/>
      <c r="K5" s="28" t="inlineStr">
        <is>
          <t>Committee</t>
        </is>
      </c>
      <c r="L5" s="28" t="inlineStr">
        <is>
          <t>No thanks</t>
        </is>
      </c>
      <c r="M5" s="28" t="inlineStr">
        <is>
          <t>I have read the club rules and agree to follow them</t>
        </is>
      </c>
      <c r="N5" s="28" t="n">
        <v>30</v>
      </c>
      <c r="O5" s="28" t="inlineStr">
        <is>
          <t>Awaiting payment</t>
        </is>
      </c>
      <c r="P5" s="28" t="inlineStr">
        <is>
          <t>30.00</t>
        </is>
      </c>
      <c r="Q5" s="28" t="inlineStr">
        <is>
          <t>USD</t>
        </is>
      </c>
      <c r="R5" s="28" t="inlineStr">
        <is>
          <t>0.00</t>
        </is>
      </c>
      <c r="S5" s="28" t="inlineStr"/>
      <c r="T5" s="28" t="inlineStr"/>
      <c r="U5" s="28" t="n">
        <v>1</v>
      </c>
      <c r="AA5" s="29" t="n"/>
      <c r="AB5" s="30" t="n"/>
      <c r="AC5" s="30" t="n"/>
      <c r="AD5" s="29" t="n"/>
      <c r="AE5" s="31">
        <f>IFERROR(TRIM(INDEX($A5:$Z5,MATCH(Settings!$L$4,$A$1:$Z$1,0))&amp;""),"")</f>
        <v/>
      </c>
      <c r="AF5" s="31">
        <f>IFERROR(TRIM(INDEX($A5:$Z5,MATCH(Settings!$L$5,$A$1:$Z$1,0))&amp;""),"")</f>
        <v/>
      </c>
      <c r="AG5" s="31">
        <f>IF(AE5="","",LOWER(IF(AF5&lt;&gt;"",AF5,AE5)))</f>
        <v/>
      </c>
      <c r="AH5" s="31">
        <f>IFERROR(TRIM(INDEX($A5:$Z5,MATCH(Settings!$L$6,$A$1:$Z$1,0))&amp;""),"")</f>
        <v/>
      </c>
      <c r="AI5" s="31">
        <f>IF(AE5="","",IF(UPPER(TRIM(AB5&amp;""))="Y","Paid another way",IF(IFERROR(TRIM(INDEX($A5:$Z5,MATCH(Settings!$L$7,$A$1:$Z$1,0))&amp;""),"")="","No payment status",IFERROR(TRIM(INDEX($A5:$Z5,MATCH(Settings!$L$7,$A$1:$Z$1,0))&amp;""),""))))</f>
        <v/>
      </c>
      <c r="AJ5" s="31">
        <f>IF(AE5="",0,IF(IFERROR(INDEX(Settings!$J$4:$J$14,MATCH(AI5,Settings!$I$4:$I$14,0)),"N")="Y",1,0))</f>
        <v/>
      </c>
      <c r="AK5" s="32">
        <f>IFERROR(INT(IFERROR(IF(ISNUMBER(INDEX($A5:$Z5,MATCH(Settings!$L$10,$A$1:$Z$1,0))),INDEX($A5:$Z5,MATCH(Settings!$L$10,$A$1:$Z$1,0)),DATE(VALUE(LEFT(IFERROR(TRIM(INDEX($A5:$Z5,MATCH(Settings!$L$10,$A$1:$Z$1,0))&amp;""),""),4)),VALUE(MID(IFERROR(TRIM(INDEX($A5:$Z5,MATCH(Settings!$L$10,$A$1:$Z$1,0))&amp;""),""),6,2)),VALUE(MID(IFERROR(TRIM(INDEX($A5:$Z5,MATCH(Settings!$L$10,$A$1:$Z$1,0))&amp;""),""),9,2)))+TIME(VALUE(MID(IFERROR(TRIM(INDEX($A5:$Z5,MATCH(Settings!$L$10,$A$1:$Z$1,0))&amp;""),""),12,2)),VALUE(MID(IFERROR(TRIM(INDEX($A5:$Z5,MATCH(Settings!$L$10,$A$1:$Z$1,0))&amp;""),""),15,2)),VALUE(MID(IFERROR(TRIM(INDEX($A5:$Z5,MATCH(Settings!$L$10,$A$1:$Z$1,0))&amp;""),""),18,2)))),"")),"")</f>
        <v/>
      </c>
      <c r="AL5" s="32">
        <f>IF(AE5="","",IF(ISNUMBER(AK5),AK5,IFERROR(INT(IFERROR(IF(ISNUMBER(INDEX($A5:$Z5,MATCH(Settings!$L$11,$A$1:$Z$1,0))),INDEX($A5:$Z5,MATCH(Settings!$L$11,$A$1:$Z$1,0)),DATE(VALUE(LEFT(IFERROR(TRIM(INDEX($A5:$Z5,MATCH(Settings!$L$11,$A$1:$Z$1,0))&amp;""),""),4)),VALUE(MID(IFERROR(TRIM(INDEX($A5:$Z5,MATCH(Settings!$L$11,$A$1:$Z$1,0))&amp;""),""),6,2)),VALUE(MID(IFERROR(TRIM(INDEX($A5:$Z5,MATCH(Settings!$L$11,$A$1:$Z$1,0))&amp;""),""),9,2)))+TIME(VALUE(MID(IFERROR(TRIM(INDEX($A5:$Z5,MATCH(Settings!$L$11,$A$1:$Z$1,0))&amp;""),""),12,2)),VALUE(MID(IFERROR(TRIM(INDEX($A5:$Z5,MATCH(Settings!$L$11,$A$1:$Z$1,0))&amp;""),""),15,2)),VALUE(MID(IFERROR(TRIM(INDEX($A5:$Z5,MATCH(Settings!$L$11,$A$1:$Z$1,0))&amp;""),""),18,2)))),"")),"")))</f>
        <v/>
      </c>
      <c r="AM5" s="31">
        <f>IF(AE5="","",IF(ISNUMBER(IFERROR(INDEX(Settings!$G$4:$G$11,MATCH(AH5,Settings!$F$4:$F$11,0)),"")),INDEX(Settings!$G$4:$G$11,MATCH(AH5,Settings!$F$4:$F$11,0)),Settings!$D$5))</f>
        <v/>
      </c>
      <c r="AN5" s="32">
        <f>IF(OR(AE5="",NOT(ISNUMBER(AL5)),NOT(ISNUMBER(AM5))),"",IF(AM5&lt;=0,"",IF(ISNUMBER(Settings!$D$8),DATE(YEAR(AL5)+IF(DATE(YEAR(AL5),MONTH(Settings!$D$8),DAY(Settings!$D$8))&gt;AL5,0,1),MONTH(Settings!$D$8),DAY(Settings!$D$8)),MIN(DATE(YEAR(AL5),MONTH(AL5)+AM5,DAY(AL5)),DATE(YEAR(AL5),MONTH(AL5)+AM5+1,0)))))</f>
        <v/>
      </c>
      <c r="AO5" s="31">
        <f>IF(ISNUMBER(AN5),AN5-Settings!$D$4,"")</f>
        <v/>
      </c>
      <c r="AP5" s="31">
        <f>IF(ISNUMBER(AL5),AL5+0+ROW()/100000,"")</f>
        <v/>
      </c>
      <c r="AQ5" s="31">
        <f>IF(OR(AG5="",NOT(ISNUMBER(AP5))),0,IF(SUMPRODUCT(('Responses'!$AG$2:$AG$501=AG5)*('Responses'!$AJ$2:$AJ$501=1)*ISNUMBER('Responses'!$AP$2:$AP$501)*('Responses'!$AP$2:$AP$501&gt;AP5)) + SUMPRODUCT(('Paper sign-ups'!$K$2:$K$101=AG5)*('Paper sign-ups'!$N$2:$N$101=1)*ISNUMBER('Paper sign-ups'!$T$2:$T$101)*('Paper sign-ups'!$T$2:$T$101&gt;AP5))&gt;0,1,0))</f>
        <v/>
      </c>
      <c r="AR5" s="31">
        <f>IF(AE5="","",IF(AQ5=1,"Joined again",IF(AJ5=0,"Unpaid",IF(NOT(ISNUMBER(AL5)),"Add a join date",IF(AN5="","No reminder",IF(AO5&lt;0,"Lapsed",IF(AO5&lt;=Settings!$D$6,"Remind soon","Current")))))))</f>
        <v/>
      </c>
      <c r="AS5" s="33">
        <f>IF(AJ5=1,IFERROR(VALUE(IFERROR(TRIM(INDEX($A5:$Z5,MATCH(Settings!$L$8,$A$1:$Z$1,0))&amp;""),"")),0)-IFERROR(VALUE(IFERROR(TRIM(INDEX($A5:$Z5,MATCH(Settings!$L$9,$A$1:$Z$1,0))&amp;""),"")),0),0)</f>
        <v/>
      </c>
      <c r="AT5" s="31">
        <f>IF(AND(AE5&lt;&gt;"",AQ5=0),1,0)</f>
        <v/>
      </c>
      <c r="AU5" s="31">
        <f>IF(AT5=0,"",IF(ISNUMBER(AN5),AN5,100000)+0+ROW()/1000000)</f>
        <v/>
      </c>
      <c r="AV5" s="31">
        <f>IF(ISNUMBER(AU5),SUMPRODUCT(ISNUMBER('Responses'!$AU$2:$AU$501)*('Responses'!$AU$2:$AU$501&lt;AU5)) + SUMPRODUCT(ISNUMBER('Paper sign-ups'!$Y$2:$Y$101)*('Paper sign-ups'!$Y$2:$Y$101&lt;AU5))+1,"")</f>
        <v/>
      </c>
    </row>
    <row r="6">
      <c r="A6" s="28" t="inlineStr">
        <is>
          <t>EXAMPLE-05 (delete me)</t>
        </is>
      </c>
      <c r="B6" s="28" t="inlineStr">
        <is>
          <t>2026-05-10T12:00:00.000Z</t>
        </is>
      </c>
      <c r="C6" s="28" t="inlineStr">
        <is>
          <t>2026-05-10T12:00:00.000Z</t>
        </is>
      </c>
      <c r="D6" s="28" t="inlineStr">
        <is>
          <t>Aisha Khan</t>
        </is>
      </c>
      <c r="E6" s="28" t="inlineStr">
        <is>
          <t>aisha@example.com</t>
        </is>
      </c>
      <c r="F6" s="28" t="inlineStr"/>
      <c r="G6" s="28" t="inlineStr"/>
      <c r="H6" s="28" t="inlineStr">
        <is>
          <t>flyer</t>
        </is>
      </c>
      <c r="I6" s="28" t="inlineStr">
        <is>
          <t>Life member</t>
        </is>
      </c>
      <c r="J6" s="28" t="inlineStr"/>
      <c r="K6" s="28" t="inlineStr">
        <is>
          <t>Events, Newsletter</t>
        </is>
      </c>
      <c r="L6" s="28" t="inlineStr">
        <is>
          <t>Yes, please</t>
        </is>
      </c>
      <c r="M6" s="28" t="inlineStr">
        <is>
          <t>I have read the club rules and agree to follow them</t>
        </is>
      </c>
      <c r="N6" s="28" t="n">
        <v>300</v>
      </c>
      <c r="O6" s="28" t="inlineStr">
        <is>
          <t>Paid</t>
        </is>
      </c>
      <c r="P6" s="28" t="inlineStr">
        <is>
          <t>300.00</t>
        </is>
      </c>
      <c r="Q6" s="28" t="inlineStr">
        <is>
          <t>USD</t>
        </is>
      </c>
      <c r="R6" s="28" t="inlineStr">
        <is>
          <t>0.00</t>
        </is>
      </c>
      <c r="S6" s="28" t="inlineStr">
        <is>
          <t>2026-05-10T12:03:00.000Z</t>
        </is>
      </c>
      <c r="T6" s="28" t="inlineStr">
        <is>
          <t>pi_example05</t>
        </is>
      </c>
      <c r="U6" s="28" t="n">
        <v>1</v>
      </c>
      <c r="AA6" s="29" t="n"/>
      <c r="AB6" s="30" t="n"/>
      <c r="AC6" s="30" t="n"/>
      <c r="AD6" s="29" t="n"/>
      <c r="AE6" s="31">
        <f>IFERROR(TRIM(INDEX($A6:$Z6,MATCH(Settings!$L$4,$A$1:$Z$1,0))&amp;""),"")</f>
        <v/>
      </c>
      <c r="AF6" s="31">
        <f>IFERROR(TRIM(INDEX($A6:$Z6,MATCH(Settings!$L$5,$A$1:$Z$1,0))&amp;""),"")</f>
        <v/>
      </c>
      <c r="AG6" s="31">
        <f>IF(AE6="","",LOWER(IF(AF6&lt;&gt;"",AF6,AE6)))</f>
        <v/>
      </c>
      <c r="AH6" s="31">
        <f>IFERROR(TRIM(INDEX($A6:$Z6,MATCH(Settings!$L$6,$A$1:$Z$1,0))&amp;""),"")</f>
        <v/>
      </c>
      <c r="AI6" s="31">
        <f>IF(AE6="","",IF(UPPER(TRIM(AB6&amp;""))="Y","Paid another way",IF(IFERROR(TRIM(INDEX($A6:$Z6,MATCH(Settings!$L$7,$A$1:$Z$1,0))&amp;""),"")="","No payment status",IFERROR(TRIM(INDEX($A6:$Z6,MATCH(Settings!$L$7,$A$1:$Z$1,0))&amp;""),""))))</f>
        <v/>
      </c>
      <c r="AJ6" s="31">
        <f>IF(AE6="",0,IF(IFERROR(INDEX(Settings!$J$4:$J$14,MATCH(AI6,Settings!$I$4:$I$14,0)),"N")="Y",1,0))</f>
        <v/>
      </c>
      <c r="AK6" s="32">
        <f>IFERROR(INT(IFERROR(IF(ISNUMBER(INDEX($A6:$Z6,MATCH(Settings!$L$10,$A$1:$Z$1,0))),INDEX($A6:$Z6,MATCH(Settings!$L$10,$A$1:$Z$1,0)),DATE(VALUE(LEFT(IFERROR(TRIM(INDEX($A6:$Z6,MATCH(Settings!$L$10,$A$1:$Z$1,0))&amp;""),""),4)),VALUE(MID(IFERROR(TRIM(INDEX($A6:$Z6,MATCH(Settings!$L$10,$A$1:$Z$1,0))&amp;""),""),6,2)),VALUE(MID(IFERROR(TRIM(INDEX($A6:$Z6,MATCH(Settings!$L$10,$A$1:$Z$1,0))&amp;""),""),9,2)))+TIME(VALUE(MID(IFERROR(TRIM(INDEX($A6:$Z6,MATCH(Settings!$L$10,$A$1:$Z$1,0))&amp;""),""),12,2)),VALUE(MID(IFERROR(TRIM(INDEX($A6:$Z6,MATCH(Settings!$L$10,$A$1:$Z$1,0))&amp;""),""),15,2)),VALUE(MID(IFERROR(TRIM(INDEX($A6:$Z6,MATCH(Settings!$L$10,$A$1:$Z$1,0))&amp;""),""),18,2)))),"")),"")</f>
        <v/>
      </c>
      <c r="AL6" s="32">
        <f>IF(AE6="","",IF(ISNUMBER(AK6),AK6,IFERROR(INT(IFERROR(IF(ISNUMBER(INDEX($A6:$Z6,MATCH(Settings!$L$11,$A$1:$Z$1,0))),INDEX($A6:$Z6,MATCH(Settings!$L$11,$A$1:$Z$1,0)),DATE(VALUE(LEFT(IFERROR(TRIM(INDEX($A6:$Z6,MATCH(Settings!$L$11,$A$1:$Z$1,0))&amp;""),""),4)),VALUE(MID(IFERROR(TRIM(INDEX($A6:$Z6,MATCH(Settings!$L$11,$A$1:$Z$1,0))&amp;""),""),6,2)),VALUE(MID(IFERROR(TRIM(INDEX($A6:$Z6,MATCH(Settings!$L$11,$A$1:$Z$1,0))&amp;""),""),9,2)))+TIME(VALUE(MID(IFERROR(TRIM(INDEX($A6:$Z6,MATCH(Settings!$L$11,$A$1:$Z$1,0))&amp;""),""),12,2)),VALUE(MID(IFERROR(TRIM(INDEX($A6:$Z6,MATCH(Settings!$L$11,$A$1:$Z$1,0))&amp;""),""),15,2)),VALUE(MID(IFERROR(TRIM(INDEX($A6:$Z6,MATCH(Settings!$L$11,$A$1:$Z$1,0))&amp;""),""),18,2)))),"")),"")))</f>
        <v/>
      </c>
      <c r="AM6" s="31">
        <f>IF(AE6="","",IF(ISNUMBER(IFERROR(INDEX(Settings!$G$4:$G$11,MATCH(AH6,Settings!$F$4:$F$11,0)),"")),INDEX(Settings!$G$4:$G$11,MATCH(AH6,Settings!$F$4:$F$11,0)),Settings!$D$5))</f>
        <v/>
      </c>
      <c r="AN6" s="32">
        <f>IF(OR(AE6="",NOT(ISNUMBER(AL6)),NOT(ISNUMBER(AM6))),"",IF(AM6&lt;=0,"",IF(ISNUMBER(Settings!$D$8),DATE(YEAR(AL6)+IF(DATE(YEAR(AL6),MONTH(Settings!$D$8),DAY(Settings!$D$8))&gt;AL6,0,1),MONTH(Settings!$D$8),DAY(Settings!$D$8)),MIN(DATE(YEAR(AL6),MONTH(AL6)+AM6,DAY(AL6)),DATE(YEAR(AL6),MONTH(AL6)+AM6+1,0)))))</f>
        <v/>
      </c>
      <c r="AO6" s="31">
        <f>IF(ISNUMBER(AN6),AN6-Settings!$D$4,"")</f>
        <v/>
      </c>
      <c r="AP6" s="31">
        <f>IF(ISNUMBER(AL6),AL6+0+ROW()/100000,"")</f>
        <v/>
      </c>
      <c r="AQ6" s="31">
        <f>IF(OR(AG6="",NOT(ISNUMBER(AP6))),0,IF(SUMPRODUCT(('Responses'!$AG$2:$AG$501=AG6)*('Responses'!$AJ$2:$AJ$501=1)*ISNUMBER('Responses'!$AP$2:$AP$501)*('Responses'!$AP$2:$AP$501&gt;AP6)) + SUMPRODUCT(('Paper sign-ups'!$K$2:$K$101=AG6)*('Paper sign-ups'!$N$2:$N$101=1)*ISNUMBER('Paper sign-ups'!$T$2:$T$101)*('Paper sign-ups'!$T$2:$T$101&gt;AP6))&gt;0,1,0))</f>
        <v/>
      </c>
      <c r="AR6" s="31">
        <f>IF(AE6="","",IF(AQ6=1,"Joined again",IF(AJ6=0,"Unpaid",IF(NOT(ISNUMBER(AL6)),"Add a join date",IF(AN6="","No reminder",IF(AO6&lt;0,"Lapsed",IF(AO6&lt;=Settings!$D$6,"Remind soon","Current")))))))</f>
        <v/>
      </c>
      <c r="AS6" s="33">
        <f>IF(AJ6=1,IFERROR(VALUE(IFERROR(TRIM(INDEX($A6:$Z6,MATCH(Settings!$L$8,$A$1:$Z$1,0))&amp;""),"")),0)-IFERROR(VALUE(IFERROR(TRIM(INDEX($A6:$Z6,MATCH(Settings!$L$9,$A$1:$Z$1,0))&amp;""),"")),0),0)</f>
        <v/>
      </c>
      <c r="AT6" s="31">
        <f>IF(AND(AE6&lt;&gt;"",AQ6=0),1,0)</f>
        <v/>
      </c>
      <c r="AU6" s="31">
        <f>IF(AT6=0,"",IF(ISNUMBER(AN6),AN6,100000)+0+ROW()/1000000)</f>
        <v/>
      </c>
      <c r="AV6" s="31">
        <f>IF(ISNUMBER(AU6),SUMPRODUCT(ISNUMBER('Responses'!$AU$2:$AU$501)*('Responses'!$AU$2:$AU$501&lt;AU6)) + SUMPRODUCT(ISNUMBER('Paper sign-ups'!$Y$2:$Y$101)*('Paper sign-ups'!$Y$2:$Y$101&lt;AU6))+1,"")</f>
        <v/>
      </c>
    </row>
    <row r="7">
      <c r="A7" s="28" t="inlineStr">
        <is>
          <t>EXAMPLE-06 (delete me)</t>
        </is>
      </c>
      <c r="B7" s="28" t="inlineStr">
        <is>
          <t>2026-02-01T08:15:00.000Z</t>
        </is>
      </c>
      <c r="C7" s="28" t="inlineStr">
        <is>
          <t>2026-02-01T08:12:00.000Z</t>
        </is>
      </c>
      <c r="D7" s="28" t="inlineStr">
        <is>
          <t>Jon Larsen</t>
        </is>
      </c>
      <c r="E7" s="28" t="inlineStr">
        <is>
          <t>jon@example.com</t>
        </is>
      </c>
      <c r="F7" s="28" t="inlineStr"/>
      <c r="G7" s="28" t="inlineStr"/>
      <c r="H7" s="28" t="inlineStr">
        <is>
          <t>newsletter</t>
        </is>
      </c>
      <c r="I7" s="28" t="inlineStr">
        <is>
          <t>Individual</t>
        </is>
      </c>
      <c r="J7" s="28" t="inlineStr"/>
      <c r="K7" s="28" t="inlineStr">
        <is>
          <t>Committee</t>
        </is>
      </c>
      <c r="L7" s="28" t="inlineStr">
        <is>
          <t>Yes, please</t>
        </is>
      </c>
      <c r="M7" s="28" t="inlineStr">
        <is>
          <t>I have read the club rules and agree to follow them</t>
        </is>
      </c>
      <c r="N7" s="28" t="n">
        <v>30</v>
      </c>
      <c r="O7" s="28" t="inlineStr">
        <is>
          <t>Paid</t>
        </is>
      </c>
      <c r="P7" s="28" t="inlineStr">
        <is>
          <t>30.00</t>
        </is>
      </c>
      <c r="Q7" s="28" t="inlineStr">
        <is>
          <t>USD</t>
        </is>
      </c>
      <c r="R7" s="28" t="inlineStr">
        <is>
          <t>0.00</t>
        </is>
      </c>
      <c r="S7" s="28" t="inlineStr">
        <is>
          <t>2026-02-01T08:16:00.000Z</t>
        </is>
      </c>
      <c r="T7" s="28" t="inlineStr">
        <is>
          <t>pi_example06</t>
        </is>
      </c>
      <c r="U7" s="28" t="n">
        <v>1</v>
      </c>
      <c r="AA7" s="29" t="n"/>
      <c r="AB7" s="30" t="n"/>
      <c r="AC7" s="30" t="n"/>
      <c r="AD7" s="29" t="n"/>
      <c r="AE7" s="31">
        <f>IFERROR(TRIM(INDEX($A7:$Z7,MATCH(Settings!$L$4,$A$1:$Z$1,0))&amp;""),"")</f>
        <v/>
      </c>
      <c r="AF7" s="31">
        <f>IFERROR(TRIM(INDEX($A7:$Z7,MATCH(Settings!$L$5,$A$1:$Z$1,0))&amp;""),"")</f>
        <v/>
      </c>
      <c r="AG7" s="31">
        <f>IF(AE7="","",LOWER(IF(AF7&lt;&gt;"",AF7,AE7)))</f>
        <v/>
      </c>
      <c r="AH7" s="31">
        <f>IFERROR(TRIM(INDEX($A7:$Z7,MATCH(Settings!$L$6,$A$1:$Z$1,0))&amp;""),"")</f>
        <v/>
      </c>
      <c r="AI7" s="31">
        <f>IF(AE7="","",IF(UPPER(TRIM(AB7&amp;""))="Y","Paid another way",IF(IFERROR(TRIM(INDEX($A7:$Z7,MATCH(Settings!$L$7,$A$1:$Z$1,0))&amp;""),"")="","No payment status",IFERROR(TRIM(INDEX($A7:$Z7,MATCH(Settings!$L$7,$A$1:$Z$1,0))&amp;""),""))))</f>
        <v/>
      </c>
      <c r="AJ7" s="31">
        <f>IF(AE7="",0,IF(IFERROR(INDEX(Settings!$J$4:$J$14,MATCH(AI7,Settings!$I$4:$I$14,0)),"N")="Y",1,0))</f>
        <v/>
      </c>
      <c r="AK7" s="32">
        <f>IFERROR(INT(IFERROR(IF(ISNUMBER(INDEX($A7:$Z7,MATCH(Settings!$L$10,$A$1:$Z$1,0))),INDEX($A7:$Z7,MATCH(Settings!$L$10,$A$1:$Z$1,0)),DATE(VALUE(LEFT(IFERROR(TRIM(INDEX($A7:$Z7,MATCH(Settings!$L$10,$A$1:$Z$1,0))&amp;""),""),4)),VALUE(MID(IFERROR(TRIM(INDEX($A7:$Z7,MATCH(Settings!$L$10,$A$1:$Z$1,0))&amp;""),""),6,2)),VALUE(MID(IFERROR(TRIM(INDEX($A7:$Z7,MATCH(Settings!$L$10,$A$1:$Z$1,0))&amp;""),""),9,2)))+TIME(VALUE(MID(IFERROR(TRIM(INDEX($A7:$Z7,MATCH(Settings!$L$10,$A$1:$Z$1,0))&amp;""),""),12,2)),VALUE(MID(IFERROR(TRIM(INDEX($A7:$Z7,MATCH(Settings!$L$10,$A$1:$Z$1,0))&amp;""),""),15,2)),VALUE(MID(IFERROR(TRIM(INDEX($A7:$Z7,MATCH(Settings!$L$10,$A$1:$Z$1,0))&amp;""),""),18,2)))),"")),"")</f>
        <v/>
      </c>
      <c r="AL7" s="32">
        <f>IF(AE7="","",IF(ISNUMBER(AK7),AK7,IFERROR(INT(IFERROR(IF(ISNUMBER(INDEX($A7:$Z7,MATCH(Settings!$L$11,$A$1:$Z$1,0))),INDEX($A7:$Z7,MATCH(Settings!$L$11,$A$1:$Z$1,0)),DATE(VALUE(LEFT(IFERROR(TRIM(INDEX($A7:$Z7,MATCH(Settings!$L$11,$A$1:$Z$1,0))&amp;""),""),4)),VALUE(MID(IFERROR(TRIM(INDEX($A7:$Z7,MATCH(Settings!$L$11,$A$1:$Z$1,0))&amp;""),""),6,2)),VALUE(MID(IFERROR(TRIM(INDEX($A7:$Z7,MATCH(Settings!$L$11,$A$1:$Z$1,0))&amp;""),""),9,2)))+TIME(VALUE(MID(IFERROR(TRIM(INDEX($A7:$Z7,MATCH(Settings!$L$11,$A$1:$Z$1,0))&amp;""),""),12,2)),VALUE(MID(IFERROR(TRIM(INDEX($A7:$Z7,MATCH(Settings!$L$11,$A$1:$Z$1,0))&amp;""),""),15,2)),VALUE(MID(IFERROR(TRIM(INDEX($A7:$Z7,MATCH(Settings!$L$11,$A$1:$Z$1,0))&amp;""),""),18,2)))),"")),"")))</f>
        <v/>
      </c>
      <c r="AM7" s="31">
        <f>IF(AE7="","",IF(ISNUMBER(IFERROR(INDEX(Settings!$G$4:$G$11,MATCH(AH7,Settings!$F$4:$F$11,0)),"")),INDEX(Settings!$G$4:$G$11,MATCH(AH7,Settings!$F$4:$F$11,0)),Settings!$D$5))</f>
        <v/>
      </c>
      <c r="AN7" s="32">
        <f>IF(OR(AE7="",NOT(ISNUMBER(AL7)),NOT(ISNUMBER(AM7))),"",IF(AM7&lt;=0,"",IF(ISNUMBER(Settings!$D$8),DATE(YEAR(AL7)+IF(DATE(YEAR(AL7),MONTH(Settings!$D$8),DAY(Settings!$D$8))&gt;AL7,0,1),MONTH(Settings!$D$8),DAY(Settings!$D$8)),MIN(DATE(YEAR(AL7),MONTH(AL7)+AM7,DAY(AL7)),DATE(YEAR(AL7),MONTH(AL7)+AM7+1,0)))))</f>
        <v/>
      </c>
      <c r="AO7" s="31">
        <f>IF(ISNUMBER(AN7),AN7-Settings!$D$4,"")</f>
        <v/>
      </c>
      <c r="AP7" s="31">
        <f>IF(ISNUMBER(AL7),AL7+0+ROW()/100000,"")</f>
        <v/>
      </c>
      <c r="AQ7" s="31">
        <f>IF(OR(AG7="",NOT(ISNUMBER(AP7))),0,IF(SUMPRODUCT(('Responses'!$AG$2:$AG$501=AG7)*('Responses'!$AJ$2:$AJ$501=1)*ISNUMBER('Responses'!$AP$2:$AP$501)*('Responses'!$AP$2:$AP$501&gt;AP7)) + SUMPRODUCT(('Paper sign-ups'!$K$2:$K$101=AG7)*('Paper sign-ups'!$N$2:$N$101=1)*ISNUMBER('Paper sign-ups'!$T$2:$T$101)*('Paper sign-ups'!$T$2:$T$101&gt;AP7))&gt;0,1,0))</f>
        <v/>
      </c>
      <c r="AR7" s="31">
        <f>IF(AE7="","",IF(AQ7=1,"Joined again",IF(AJ7=0,"Unpaid",IF(NOT(ISNUMBER(AL7)),"Add a join date",IF(AN7="","No reminder",IF(AO7&lt;0,"Lapsed",IF(AO7&lt;=Settings!$D$6,"Remind soon","Current")))))))</f>
        <v/>
      </c>
      <c r="AS7" s="33">
        <f>IF(AJ7=1,IFERROR(VALUE(IFERROR(TRIM(INDEX($A7:$Z7,MATCH(Settings!$L$8,$A$1:$Z$1,0))&amp;""),"")),0)-IFERROR(VALUE(IFERROR(TRIM(INDEX($A7:$Z7,MATCH(Settings!$L$9,$A$1:$Z$1,0))&amp;""),"")),0),0)</f>
        <v/>
      </c>
      <c r="AT7" s="31">
        <f>IF(AND(AE7&lt;&gt;"",AQ7=0),1,0)</f>
        <v/>
      </c>
      <c r="AU7" s="31">
        <f>IF(AT7=0,"",IF(ISNUMBER(AN7),AN7,100000)+0+ROW()/1000000)</f>
        <v/>
      </c>
      <c r="AV7" s="31">
        <f>IF(ISNUMBER(AU7),SUMPRODUCT(ISNUMBER('Responses'!$AU$2:$AU$501)*('Responses'!$AU$2:$AU$501&lt;AU7)) + SUMPRODUCT(ISNUMBER('Paper sign-ups'!$Y$2:$Y$101)*('Paper sign-ups'!$Y$2:$Y$101&lt;AU7))+1,"")</f>
        <v/>
      </c>
    </row>
    <row r="8">
      <c r="A8" s="28" t="inlineStr">
        <is>
          <t>EXAMPLE-07 (delete me)</t>
        </is>
      </c>
      <c r="B8" s="28" t="inlineStr">
        <is>
          <t>2026-11-03T15:20:00.000Z</t>
        </is>
      </c>
      <c r="C8" s="28" t="inlineStr">
        <is>
          <t>2026-11-03T15:17:00.000Z</t>
        </is>
      </c>
      <c r="D8" s="28" t="inlineStr">
        <is>
          <t>Zara Ali</t>
        </is>
      </c>
      <c r="E8" s="28" t="inlineStr">
        <is>
          <t>zara@example.com</t>
        </is>
      </c>
      <c r="F8" s="28" t="inlineStr"/>
      <c r="G8" s="28" t="inlineStr"/>
      <c r="H8" s="28" t="inlineStr"/>
      <c r="I8" s="28" t="inlineStr">
        <is>
          <t>Family</t>
        </is>
      </c>
      <c r="J8" s="28" t="inlineStr">
        <is>
          <t>Omar Ali</t>
        </is>
      </c>
      <c r="K8" s="28" t="inlineStr">
        <is>
          <t>Events, Newsletter</t>
        </is>
      </c>
      <c r="L8" s="28" t="inlineStr">
        <is>
          <t>No thanks</t>
        </is>
      </c>
      <c r="M8" s="28" t="inlineStr">
        <is>
          <t>I have read the club rules and agree to follow them</t>
        </is>
      </c>
      <c r="N8" s="28" t="n">
        <v>50</v>
      </c>
      <c r="O8" s="28" t="inlineStr">
        <is>
          <t>Refunded</t>
        </is>
      </c>
      <c r="P8" s="28" t="inlineStr">
        <is>
          <t>50.00</t>
        </is>
      </c>
      <c r="Q8" s="28" t="inlineStr">
        <is>
          <t>USD</t>
        </is>
      </c>
      <c r="R8" s="28" t="inlineStr">
        <is>
          <t>50.00</t>
        </is>
      </c>
      <c r="S8" s="28" t="inlineStr">
        <is>
          <t>2026-11-03T15:22:00.000Z</t>
        </is>
      </c>
      <c r="T8" s="28" t="inlineStr">
        <is>
          <t>pi_example07</t>
        </is>
      </c>
      <c r="U8" s="28" t="n">
        <v>1</v>
      </c>
      <c r="AA8" s="29" t="n"/>
      <c r="AB8" s="30" t="n"/>
      <c r="AC8" s="30" t="n"/>
      <c r="AD8" s="29" t="n"/>
      <c r="AE8" s="31">
        <f>IFERROR(TRIM(INDEX($A8:$Z8,MATCH(Settings!$L$4,$A$1:$Z$1,0))&amp;""),"")</f>
        <v/>
      </c>
      <c r="AF8" s="31">
        <f>IFERROR(TRIM(INDEX($A8:$Z8,MATCH(Settings!$L$5,$A$1:$Z$1,0))&amp;""),"")</f>
        <v/>
      </c>
      <c r="AG8" s="31">
        <f>IF(AE8="","",LOWER(IF(AF8&lt;&gt;"",AF8,AE8)))</f>
        <v/>
      </c>
      <c r="AH8" s="31">
        <f>IFERROR(TRIM(INDEX($A8:$Z8,MATCH(Settings!$L$6,$A$1:$Z$1,0))&amp;""),"")</f>
        <v/>
      </c>
      <c r="AI8" s="31">
        <f>IF(AE8="","",IF(UPPER(TRIM(AB8&amp;""))="Y","Paid another way",IF(IFERROR(TRIM(INDEX($A8:$Z8,MATCH(Settings!$L$7,$A$1:$Z$1,0))&amp;""),"")="","No payment status",IFERROR(TRIM(INDEX($A8:$Z8,MATCH(Settings!$L$7,$A$1:$Z$1,0))&amp;""),""))))</f>
        <v/>
      </c>
      <c r="AJ8" s="31">
        <f>IF(AE8="",0,IF(IFERROR(INDEX(Settings!$J$4:$J$14,MATCH(AI8,Settings!$I$4:$I$14,0)),"N")="Y",1,0))</f>
        <v/>
      </c>
      <c r="AK8" s="32">
        <f>IFERROR(INT(IFERROR(IF(ISNUMBER(INDEX($A8:$Z8,MATCH(Settings!$L$10,$A$1:$Z$1,0))),INDEX($A8:$Z8,MATCH(Settings!$L$10,$A$1:$Z$1,0)),DATE(VALUE(LEFT(IFERROR(TRIM(INDEX($A8:$Z8,MATCH(Settings!$L$10,$A$1:$Z$1,0))&amp;""),""),4)),VALUE(MID(IFERROR(TRIM(INDEX($A8:$Z8,MATCH(Settings!$L$10,$A$1:$Z$1,0))&amp;""),""),6,2)),VALUE(MID(IFERROR(TRIM(INDEX($A8:$Z8,MATCH(Settings!$L$10,$A$1:$Z$1,0))&amp;""),""),9,2)))+TIME(VALUE(MID(IFERROR(TRIM(INDEX($A8:$Z8,MATCH(Settings!$L$10,$A$1:$Z$1,0))&amp;""),""),12,2)),VALUE(MID(IFERROR(TRIM(INDEX($A8:$Z8,MATCH(Settings!$L$10,$A$1:$Z$1,0))&amp;""),""),15,2)),VALUE(MID(IFERROR(TRIM(INDEX($A8:$Z8,MATCH(Settings!$L$10,$A$1:$Z$1,0))&amp;""),""),18,2)))),"")),"")</f>
        <v/>
      </c>
      <c r="AL8" s="32">
        <f>IF(AE8="","",IF(ISNUMBER(AK8),AK8,IFERROR(INT(IFERROR(IF(ISNUMBER(INDEX($A8:$Z8,MATCH(Settings!$L$11,$A$1:$Z$1,0))),INDEX($A8:$Z8,MATCH(Settings!$L$11,$A$1:$Z$1,0)),DATE(VALUE(LEFT(IFERROR(TRIM(INDEX($A8:$Z8,MATCH(Settings!$L$11,$A$1:$Z$1,0))&amp;""),""),4)),VALUE(MID(IFERROR(TRIM(INDEX($A8:$Z8,MATCH(Settings!$L$11,$A$1:$Z$1,0))&amp;""),""),6,2)),VALUE(MID(IFERROR(TRIM(INDEX($A8:$Z8,MATCH(Settings!$L$11,$A$1:$Z$1,0))&amp;""),""),9,2)))+TIME(VALUE(MID(IFERROR(TRIM(INDEX($A8:$Z8,MATCH(Settings!$L$11,$A$1:$Z$1,0))&amp;""),""),12,2)),VALUE(MID(IFERROR(TRIM(INDEX($A8:$Z8,MATCH(Settings!$L$11,$A$1:$Z$1,0))&amp;""),""),15,2)),VALUE(MID(IFERROR(TRIM(INDEX($A8:$Z8,MATCH(Settings!$L$11,$A$1:$Z$1,0))&amp;""),""),18,2)))),"")),"")))</f>
        <v/>
      </c>
      <c r="AM8" s="31">
        <f>IF(AE8="","",IF(ISNUMBER(IFERROR(INDEX(Settings!$G$4:$G$11,MATCH(AH8,Settings!$F$4:$F$11,0)),"")),INDEX(Settings!$G$4:$G$11,MATCH(AH8,Settings!$F$4:$F$11,0)),Settings!$D$5))</f>
        <v/>
      </c>
      <c r="AN8" s="32">
        <f>IF(OR(AE8="",NOT(ISNUMBER(AL8)),NOT(ISNUMBER(AM8))),"",IF(AM8&lt;=0,"",IF(ISNUMBER(Settings!$D$8),DATE(YEAR(AL8)+IF(DATE(YEAR(AL8),MONTH(Settings!$D$8),DAY(Settings!$D$8))&gt;AL8,0,1),MONTH(Settings!$D$8),DAY(Settings!$D$8)),MIN(DATE(YEAR(AL8),MONTH(AL8)+AM8,DAY(AL8)),DATE(YEAR(AL8),MONTH(AL8)+AM8+1,0)))))</f>
        <v/>
      </c>
      <c r="AO8" s="31">
        <f>IF(ISNUMBER(AN8),AN8-Settings!$D$4,"")</f>
        <v/>
      </c>
      <c r="AP8" s="31">
        <f>IF(ISNUMBER(AL8),AL8+0+ROW()/100000,"")</f>
        <v/>
      </c>
      <c r="AQ8" s="31">
        <f>IF(OR(AG8="",NOT(ISNUMBER(AP8))),0,IF(SUMPRODUCT(('Responses'!$AG$2:$AG$501=AG8)*('Responses'!$AJ$2:$AJ$501=1)*ISNUMBER('Responses'!$AP$2:$AP$501)*('Responses'!$AP$2:$AP$501&gt;AP8)) + SUMPRODUCT(('Paper sign-ups'!$K$2:$K$101=AG8)*('Paper sign-ups'!$N$2:$N$101=1)*ISNUMBER('Paper sign-ups'!$T$2:$T$101)*('Paper sign-ups'!$T$2:$T$101&gt;AP8))&gt;0,1,0))</f>
        <v/>
      </c>
      <c r="AR8" s="31">
        <f>IF(AE8="","",IF(AQ8=1,"Joined again",IF(AJ8=0,"Unpaid",IF(NOT(ISNUMBER(AL8)),"Add a join date",IF(AN8="","No reminder",IF(AO8&lt;0,"Lapsed",IF(AO8&lt;=Settings!$D$6,"Remind soon","Current")))))))</f>
        <v/>
      </c>
      <c r="AS8" s="33">
        <f>IF(AJ8=1,IFERROR(VALUE(IFERROR(TRIM(INDEX($A8:$Z8,MATCH(Settings!$L$8,$A$1:$Z$1,0))&amp;""),"")),0)-IFERROR(VALUE(IFERROR(TRIM(INDEX($A8:$Z8,MATCH(Settings!$L$9,$A$1:$Z$1,0))&amp;""),"")),0),0)</f>
        <v/>
      </c>
      <c r="AT8" s="31">
        <f>IF(AND(AE8&lt;&gt;"",AQ8=0),1,0)</f>
        <v/>
      </c>
      <c r="AU8" s="31">
        <f>IF(AT8=0,"",IF(ISNUMBER(AN8),AN8,100000)+0+ROW()/1000000)</f>
        <v/>
      </c>
      <c r="AV8" s="31">
        <f>IF(ISNUMBER(AU8),SUMPRODUCT(ISNUMBER('Responses'!$AU$2:$AU$501)*('Responses'!$AU$2:$AU$501&lt;AU8)) + SUMPRODUCT(ISNUMBER('Paper sign-ups'!$Y$2:$Y$101)*('Paper sign-ups'!$Y$2:$Y$101&lt;AU8))+1,"")</f>
        <v/>
      </c>
    </row>
    <row r="9">
      <c r="A9" s="28" t="inlineStr">
        <is>
          <t>EXAMPLE-08 (delete me)</t>
        </is>
      </c>
      <c r="B9" s="28" t="inlineStr">
        <is>
          <t>2026-02-20T11:45:00.000Z</t>
        </is>
      </c>
      <c r="C9" s="28" t="inlineStr">
        <is>
          <t>2026-02-20T11:42:00.000Z</t>
        </is>
      </c>
      <c r="D9" s="28" t="inlineStr">
        <is>
          <t>Ben Okoye</t>
        </is>
      </c>
      <c r="E9" s="28" t="inlineStr">
        <is>
          <t>ben@example.com</t>
        </is>
      </c>
      <c r="F9" s="28" t="inlineStr"/>
      <c r="G9" s="28" t="inlineStr"/>
      <c r="H9" s="28" t="inlineStr">
        <is>
          <t>reminder-email</t>
        </is>
      </c>
      <c r="I9" s="28" t="inlineStr">
        <is>
          <t>Student</t>
        </is>
      </c>
      <c r="J9" s="28" t="inlineStr"/>
      <c r="K9" s="28" t="inlineStr">
        <is>
          <t>Committee</t>
        </is>
      </c>
      <c r="L9" s="28" t="inlineStr">
        <is>
          <t>Yes, please</t>
        </is>
      </c>
      <c r="M9" s="28" t="inlineStr">
        <is>
          <t>I have read the club rules and agree to follow them</t>
        </is>
      </c>
      <c r="N9" s="28" t="n">
        <v>15</v>
      </c>
      <c r="O9" s="28" t="inlineStr">
        <is>
          <t>Paid</t>
        </is>
      </c>
      <c r="P9" s="28" t="inlineStr">
        <is>
          <t>15.00</t>
        </is>
      </c>
      <c r="Q9" s="28" t="inlineStr">
        <is>
          <t>USD</t>
        </is>
      </c>
      <c r="R9" s="28" t="inlineStr">
        <is>
          <t>0.00</t>
        </is>
      </c>
      <c r="S9" s="28" t="inlineStr">
        <is>
          <t>2026-02-20T11:47:00.000Z</t>
        </is>
      </c>
      <c r="T9" s="28" t="inlineStr">
        <is>
          <t>pi_example08</t>
        </is>
      </c>
      <c r="U9" s="28" t="n">
        <v>1</v>
      </c>
      <c r="AA9" s="29" t="n"/>
      <c r="AB9" s="30" t="n"/>
      <c r="AC9" s="30" t="n"/>
      <c r="AD9" s="29" t="n"/>
      <c r="AE9" s="31">
        <f>IFERROR(TRIM(INDEX($A9:$Z9,MATCH(Settings!$L$4,$A$1:$Z$1,0))&amp;""),"")</f>
        <v/>
      </c>
      <c r="AF9" s="31">
        <f>IFERROR(TRIM(INDEX($A9:$Z9,MATCH(Settings!$L$5,$A$1:$Z$1,0))&amp;""),"")</f>
        <v/>
      </c>
      <c r="AG9" s="31">
        <f>IF(AE9="","",LOWER(IF(AF9&lt;&gt;"",AF9,AE9)))</f>
        <v/>
      </c>
      <c r="AH9" s="31">
        <f>IFERROR(TRIM(INDEX($A9:$Z9,MATCH(Settings!$L$6,$A$1:$Z$1,0))&amp;""),"")</f>
        <v/>
      </c>
      <c r="AI9" s="31">
        <f>IF(AE9="","",IF(UPPER(TRIM(AB9&amp;""))="Y","Paid another way",IF(IFERROR(TRIM(INDEX($A9:$Z9,MATCH(Settings!$L$7,$A$1:$Z$1,0))&amp;""),"")="","No payment status",IFERROR(TRIM(INDEX($A9:$Z9,MATCH(Settings!$L$7,$A$1:$Z$1,0))&amp;""),""))))</f>
        <v/>
      </c>
      <c r="AJ9" s="31">
        <f>IF(AE9="",0,IF(IFERROR(INDEX(Settings!$J$4:$J$14,MATCH(AI9,Settings!$I$4:$I$14,0)),"N")="Y",1,0))</f>
        <v/>
      </c>
      <c r="AK9" s="32">
        <f>IFERROR(INT(IFERROR(IF(ISNUMBER(INDEX($A9:$Z9,MATCH(Settings!$L$10,$A$1:$Z$1,0))),INDEX($A9:$Z9,MATCH(Settings!$L$10,$A$1:$Z$1,0)),DATE(VALUE(LEFT(IFERROR(TRIM(INDEX($A9:$Z9,MATCH(Settings!$L$10,$A$1:$Z$1,0))&amp;""),""),4)),VALUE(MID(IFERROR(TRIM(INDEX($A9:$Z9,MATCH(Settings!$L$10,$A$1:$Z$1,0))&amp;""),""),6,2)),VALUE(MID(IFERROR(TRIM(INDEX($A9:$Z9,MATCH(Settings!$L$10,$A$1:$Z$1,0))&amp;""),""),9,2)))+TIME(VALUE(MID(IFERROR(TRIM(INDEX($A9:$Z9,MATCH(Settings!$L$10,$A$1:$Z$1,0))&amp;""),""),12,2)),VALUE(MID(IFERROR(TRIM(INDEX($A9:$Z9,MATCH(Settings!$L$10,$A$1:$Z$1,0))&amp;""),""),15,2)),VALUE(MID(IFERROR(TRIM(INDEX($A9:$Z9,MATCH(Settings!$L$10,$A$1:$Z$1,0))&amp;""),""),18,2)))),"")),"")</f>
        <v/>
      </c>
      <c r="AL9" s="32">
        <f>IF(AE9="","",IF(ISNUMBER(AK9),AK9,IFERROR(INT(IFERROR(IF(ISNUMBER(INDEX($A9:$Z9,MATCH(Settings!$L$11,$A$1:$Z$1,0))),INDEX($A9:$Z9,MATCH(Settings!$L$11,$A$1:$Z$1,0)),DATE(VALUE(LEFT(IFERROR(TRIM(INDEX($A9:$Z9,MATCH(Settings!$L$11,$A$1:$Z$1,0))&amp;""),""),4)),VALUE(MID(IFERROR(TRIM(INDEX($A9:$Z9,MATCH(Settings!$L$11,$A$1:$Z$1,0))&amp;""),""),6,2)),VALUE(MID(IFERROR(TRIM(INDEX($A9:$Z9,MATCH(Settings!$L$11,$A$1:$Z$1,0))&amp;""),""),9,2)))+TIME(VALUE(MID(IFERROR(TRIM(INDEX($A9:$Z9,MATCH(Settings!$L$11,$A$1:$Z$1,0))&amp;""),""),12,2)),VALUE(MID(IFERROR(TRIM(INDEX($A9:$Z9,MATCH(Settings!$L$11,$A$1:$Z$1,0))&amp;""),""),15,2)),VALUE(MID(IFERROR(TRIM(INDEX($A9:$Z9,MATCH(Settings!$L$11,$A$1:$Z$1,0))&amp;""),""),18,2)))),"")),"")))</f>
        <v/>
      </c>
      <c r="AM9" s="31">
        <f>IF(AE9="","",IF(ISNUMBER(IFERROR(INDEX(Settings!$G$4:$G$11,MATCH(AH9,Settings!$F$4:$F$11,0)),"")),INDEX(Settings!$G$4:$G$11,MATCH(AH9,Settings!$F$4:$F$11,0)),Settings!$D$5))</f>
        <v/>
      </c>
      <c r="AN9" s="32">
        <f>IF(OR(AE9="",NOT(ISNUMBER(AL9)),NOT(ISNUMBER(AM9))),"",IF(AM9&lt;=0,"",IF(ISNUMBER(Settings!$D$8),DATE(YEAR(AL9)+IF(DATE(YEAR(AL9),MONTH(Settings!$D$8),DAY(Settings!$D$8))&gt;AL9,0,1),MONTH(Settings!$D$8),DAY(Settings!$D$8)),MIN(DATE(YEAR(AL9),MONTH(AL9)+AM9,DAY(AL9)),DATE(YEAR(AL9),MONTH(AL9)+AM9+1,0)))))</f>
        <v/>
      </c>
      <c r="AO9" s="31">
        <f>IF(ISNUMBER(AN9),AN9-Settings!$D$4,"")</f>
        <v/>
      </c>
      <c r="AP9" s="31">
        <f>IF(ISNUMBER(AL9),AL9+0+ROW()/100000,"")</f>
        <v/>
      </c>
      <c r="AQ9" s="31">
        <f>IF(OR(AG9="",NOT(ISNUMBER(AP9))),0,IF(SUMPRODUCT(('Responses'!$AG$2:$AG$501=AG9)*('Responses'!$AJ$2:$AJ$501=1)*ISNUMBER('Responses'!$AP$2:$AP$501)*('Responses'!$AP$2:$AP$501&gt;AP9)) + SUMPRODUCT(('Paper sign-ups'!$K$2:$K$101=AG9)*('Paper sign-ups'!$N$2:$N$101=1)*ISNUMBER('Paper sign-ups'!$T$2:$T$101)*('Paper sign-ups'!$T$2:$T$101&gt;AP9))&gt;0,1,0))</f>
        <v/>
      </c>
      <c r="AR9" s="31">
        <f>IF(AE9="","",IF(AQ9=1,"Joined again",IF(AJ9=0,"Unpaid",IF(NOT(ISNUMBER(AL9)),"Add a join date",IF(AN9="","No reminder",IF(AO9&lt;0,"Lapsed",IF(AO9&lt;=Settings!$D$6,"Remind soon","Current")))))))</f>
        <v/>
      </c>
      <c r="AS9" s="33">
        <f>IF(AJ9=1,IFERROR(VALUE(IFERROR(TRIM(INDEX($A9:$Z9,MATCH(Settings!$L$8,$A$1:$Z$1,0))&amp;""),"")),0)-IFERROR(VALUE(IFERROR(TRIM(INDEX($A9:$Z9,MATCH(Settings!$L$9,$A$1:$Z$1,0))&amp;""),"")),0),0)</f>
        <v/>
      </c>
      <c r="AT9" s="31">
        <f>IF(AND(AE9&lt;&gt;"",AQ9=0),1,0)</f>
        <v/>
      </c>
      <c r="AU9" s="31">
        <f>IF(AT9=0,"",IF(ISNUMBER(AN9),AN9,100000)+0+ROW()/1000000)</f>
        <v/>
      </c>
      <c r="AV9" s="31">
        <f>IF(ISNUMBER(AU9),SUMPRODUCT(ISNUMBER('Responses'!$AU$2:$AU$501)*('Responses'!$AU$2:$AU$501&lt;AU9)) + SUMPRODUCT(ISNUMBER('Paper sign-ups'!$Y$2:$Y$101)*('Paper sign-ups'!$Y$2:$Y$101&lt;AU9))+1,"")</f>
        <v/>
      </c>
    </row>
    <row r="10">
      <c r="A10" s="28" t="inlineStr">
        <is>
          <t>EXAMPLE-09 (delete me)</t>
        </is>
      </c>
      <c r="B10" s="28" t="inlineStr">
        <is>
          <t>2027-02-03T19:02:00.000Z</t>
        </is>
      </c>
      <c r="C10" s="28" t="inlineStr">
        <is>
          <t>2027-02-03T19:00:00.000Z</t>
        </is>
      </c>
      <c r="D10" s="28" t="inlineStr">
        <is>
          <t>Jon Larsen</t>
        </is>
      </c>
      <c r="E10" s="28" t="inlineStr">
        <is>
          <t>jon@example.com</t>
        </is>
      </c>
      <c r="F10" s="28" t="inlineStr"/>
      <c r="G10" s="28" t="inlineStr"/>
      <c r="H10" s="28" t="inlineStr"/>
      <c r="I10" s="28" t="inlineStr">
        <is>
          <t>Individual</t>
        </is>
      </c>
      <c r="J10" s="28" t="inlineStr"/>
      <c r="K10" s="28" t="inlineStr">
        <is>
          <t>Events, Newsletter</t>
        </is>
      </c>
      <c r="L10" s="28" t="inlineStr">
        <is>
          <t>Yes, please</t>
        </is>
      </c>
      <c r="M10" s="28" t="inlineStr">
        <is>
          <t>I have read the club rules and agree to follow them</t>
        </is>
      </c>
      <c r="N10" s="28" t="n">
        <v>30</v>
      </c>
      <c r="O10" s="28" t="inlineStr">
        <is>
          <t>Paid</t>
        </is>
      </c>
      <c r="P10" s="28" t="inlineStr">
        <is>
          <t>30.00</t>
        </is>
      </c>
      <c r="Q10" s="28" t="inlineStr">
        <is>
          <t>USD</t>
        </is>
      </c>
      <c r="R10" s="28" t="inlineStr">
        <is>
          <t>0.00</t>
        </is>
      </c>
      <c r="S10" s="28" t="inlineStr">
        <is>
          <t>2027-02-03T19:04:00.000Z</t>
        </is>
      </c>
      <c r="T10" s="28" t="inlineStr">
        <is>
          <t>pi_example09</t>
        </is>
      </c>
      <c r="U10" s="28" t="n">
        <v>1</v>
      </c>
      <c r="AA10" s="29" t="n"/>
      <c r="AB10" s="30" t="n"/>
      <c r="AC10" s="30" t="n"/>
      <c r="AD10" s="29" t="n"/>
      <c r="AE10" s="31">
        <f>IFERROR(TRIM(INDEX($A10:$Z10,MATCH(Settings!$L$4,$A$1:$Z$1,0))&amp;""),"")</f>
        <v/>
      </c>
      <c r="AF10" s="31">
        <f>IFERROR(TRIM(INDEX($A10:$Z10,MATCH(Settings!$L$5,$A$1:$Z$1,0))&amp;""),"")</f>
        <v/>
      </c>
      <c r="AG10" s="31">
        <f>IF(AE10="","",LOWER(IF(AF10&lt;&gt;"",AF10,AE10)))</f>
        <v/>
      </c>
      <c r="AH10" s="31">
        <f>IFERROR(TRIM(INDEX($A10:$Z10,MATCH(Settings!$L$6,$A$1:$Z$1,0))&amp;""),"")</f>
        <v/>
      </c>
      <c r="AI10" s="31">
        <f>IF(AE10="","",IF(UPPER(TRIM(AB10&amp;""))="Y","Paid another way",IF(IFERROR(TRIM(INDEX($A10:$Z10,MATCH(Settings!$L$7,$A$1:$Z$1,0))&amp;""),"")="","No payment status",IFERROR(TRIM(INDEX($A10:$Z10,MATCH(Settings!$L$7,$A$1:$Z$1,0))&amp;""),""))))</f>
        <v/>
      </c>
      <c r="AJ10" s="31">
        <f>IF(AE10="",0,IF(IFERROR(INDEX(Settings!$J$4:$J$14,MATCH(AI10,Settings!$I$4:$I$14,0)),"N")="Y",1,0))</f>
        <v/>
      </c>
      <c r="AK10" s="32">
        <f>IFERROR(INT(IFERROR(IF(ISNUMBER(INDEX($A10:$Z10,MATCH(Settings!$L$10,$A$1:$Z$1,0))),INDEX($A10:$Z10,MATCH(Settings!$L$10,$A$1:$Z$1,0)),DATE(VALUE(LEFT(IFERROR(TRIM(INDEX($A10:$Z10,MATCH(Settings!$L$10,$A$1:$Z$1,0))&amp;""),""),4)),VALUE(MID(IFERROR(TRIM(INDEX($A10:$Z10,MATCH(Settings!$L$10,$A$1:$Z$1,0))&amp;""),""),6,2)),VALUE(MID(IFERROR(TRIM(INDEX($A10:$Z10,MATCH(Settings!$L$10,$A$1:$Z$1,0))&amp;""),""),9,2)))+TIME(VALUE(MID(IFERROR(TRIM(INDEX($A10:$Z10,MATCH(Settings!$L$10,$A$1:$Z$1,0))&amp;""),""),12,2)),VALUE(MID(IFERROR(TRIM(INDEX($A10:$Z10,MATCH(Settings!$L$10,$A$1:$Z$1,0))&amp;""),""),15,2)),VALUE(MID(IFERROR(TRIM(INDEX($A10:$Z10,MATCH(Settings!$L$10,$A$1:$Z$1,0))&amp;""),""),18,2)))),"")),"")</f>
        <v/>
      </c>
      <c r="AL10" s="32">
        <f>IF(AE10="","",IF(ISNUMBER(AK10),AK10,IFERROR(INT(IFERROR(IF(ISNUMBER(INDEX($A10:$Z10,MATCH(Settings!$L$11,$A$1:$Z$1,0))),INDEX($A10:$Z10,MATCH(Settings!$L$11,$A$1:$Z$1,0)),DATE(VALUE(LEFT(IFERROR(TRIM(INDEX($A10:$Z10,MATCH(Settings!$L$11,$A$1:$Z$1,0))&amp;""),""),4)),VALUE(MID(IFERROR(TRIM(INDEX($A10:$Z10,MATCH(Settings!$L$11,$A$1:$Z$1,0))&amp;""),""),6,2)),VALUE(MID(IFERROR(TRIM(INDEX($A10:$Z10,MATCH(Settings!$L$11,$A$1:$Z$1,0))&amp;""),""),9,2)))+TIME(VALUE(MID(IFERROR(TRIM(INDEX($A10:$Z10,MATCH(Settings!$L$11,$A$1:$Z$1,0))&amp;""),""),12,2)),VALUE(MID(IFERROR(TRIM(INDEX($A10:$Z10,MATCH(Settings!$L$11,$A$1:$Z$1,0))&amp;""),""),15,2)),VALUE(MID(IFERROR(TRIM(INDEX($A10:$Z10,MATCH(Settings!$L$11,$A$1:$Z$1,0))&amp;""),""),18,2)))),"")),"")))</f>
        <v/>
      </c>
      <c r="AM10" s="31">
        <f>IF(AE10="","",IF(ISNUMBER(IFERROR(INDEX(Settings!$G$4:$G$11,MATCH(AH10,Settings!$F$4:$F$11,0)),"")),INDEX(Settings!$G$4:$G$11,MATCH(AH10,Settings!$F$4:$F$11,0)),Settings!$D$5))</f>
        <v/>
      </c>
      <c r="AN10" s="32">
        <f>IF(OR(AE10="",NOT(ISNUMBER(AL10)),NOT(ISNUMBER(AM10))),"",IF(AM10&lt;=0,"",IF(ISNUMBER(Settings!$D$8),DATE(YEAR(AL10)+IF(DATE(YEAR(AL10),MONTH(Settings!$D$8),DAY(Settings!$D$8))&gt;AL10,0,1),MONTH(Settings!$D$8),DAY(Settings!$D$8)),MIN(DATE(YEAR(AL10),MONTH(AL10)+AM10,DAY(AL10)),DATE(YEAR(AL10),MONTH(AL10)+AM10+1,0)))))</f>
        <v/>
      </c>
      <c r="AO10" s="31">
        <f>IF(ISNUMBER(AN10),AN10-Settings!$D$4,"")</f>
        <v/>
      </c>
      <c r="AP10" s="31">
        <f>IF(ISNUMBER(AL10),AL10+0+ROW()/100000,"")</f>
        <v/>
      </c>
      <c r="AQ10" s="31">
        <f>IF(OR(AG10="",NOT(ISNUMBER(AP10))),0,IF(SUMPRODUCT(('Responses'!$AG$2:$AG$501=AG10)*('Responses'!$AJ$2:$AJ$501=1)*ISNUMBER('Responses'!$AP$2:$AP$501)*('Responses'!$AP$2:$AP$501&gt;AP10)) + SUMPRODUCT(('Paper sign-ups'!$K$2:$K$101=AG10)*('Paper sign-ups'!$N$2:$N$101=1)*ISNUMBER('Paper sign-ups'!$T$2:$T$101)*('Paper sign-ups'!$T$2:$T$101&gt;AP10))&gt;0,1,0))</f>
        <v/>
      </c>
      <c r="AR10" s="31">
        <f>IF(AE10="","",IF(AQ10=1,"Joined again",IF(AJ10=0,"Unpaid",IF(NOT(ISNUMBER(AL10)),"Add a join date",IF(AN10="","No reminder",IF(AO10&lt;0,"Lapsed",IF(AO10&lt;=Settings!$D$6,"Remind soon","Current")))))))</f>
        <v/>
      </c>
      <c r="AS10" s="33">
        <f>IF(AJ10=1,IFERROR(VALUE(IFERROR(TRIM(INDEX($A10:$Z10,MATCH(Settings!$L$8,$A$1:$Z$1,0))&amp;""),"")),0)-IFERROR(VALUE(IFERROR(TRIM(INDEX($A10:$Z10,MATCH(Settings!$L$9,$A$1:$Z$1,0))&amp;""),"")),0),0)</f>
        <v/>
      </c>
      <c r="AT10" s="31">
        <f>IF(AND(AE10&lt;&gt;"",AQ10=0),1,0)</f>
        <v/>
      </c>
      <c r="AU10" s="31">
        <f>IF(AT10=0,"",IF(ISNUMBER(AN10),AN10,100000)+0+ROW()/1000000)</f>
        <v/>
      </c>
      <c r="AV10" s="31">
        <f>IF(ISNUMBER(AU10),SUMPRODUCT(ISNUMBER('Responses'!$AU$2:$AU$501)*('Responses'!$AU$2:$AU$501&lt;AU10)) + SUMPRODUCT(ISNUMBER('Paper sign-ups'!$Y$2:$Y$101)*('Paper sign-ups'!$Y$2:$Y$101&lt;AU10))+1,"")</f>
        <v/>
      </c>
    </row>
    <row r="11">
      <c r="A11" s="28" t="inlineStr">
        <is>
          <t>EXAMPLE-10 (delete me)</t>
        </is>
      </c>
      <c r="B11" s="28" t="inlineStr">
        <is>
          <t>2027-01-30T07:55:00.000Z</t>
        </is>
      </c>
      <c r="C11" s="28" t="inlineStr">
        <is>
          <t>2027-01-30T07:52:00.000Z</t>
        </is>
      </c>
      <c r="D11" s="28" t="inlineStr">
        <is>
          <t>Chloe Dubois</t>
        </is>
      </c>
      <c r="E11" s="28" t="inlineStr">
        <is>
          <t>chloe@example.com</t>
        </is>
      </c>
      <c r="F11" s="28" t="inlineStr"/>
      <c r="G11" s="28" t="inlineStr"/>
      <c r="H11" s="28" t="inlineStr">
        <is>
          <t>flyer</t>
        </is>
      </c>
      <c r="I11" s="28" t="inlineStr">
        <is>
          <t>Individual</t>
        </is>
      </c>
      <c r="J11" s="28" t="inlineStr"/>
      <c r="K11" s="28" t="inlineStr">
        <is>
          <t>Committee</t>
        </is>
      </c>
      <c r="L11" s="28" t="inlineStr">
        <is>
          <t>No thanks</t>
        </is>
      </c>
      <c r="M11" s="28" t="inlineStr">
        <is>
          <t>I have read the club rules and agree to follow them</t>
        </is>
      </c>
      <c r="N11" s="28" t="n">
        <v>30</v>
      </c>
      <c r="O11" s="28" t="inlineStr">
        <is>
          <t>Payment failed</t>
        </is>
      </c>
      <c r="P11" s="28" t="inlineStr">
        <is>
          <t>30.00</t>
        </is>
      </c>
      <c r="Q11" s="28" t="inlineStr">
        <is>
          <t>USD</t>
        </is>
      </c>
      <c r="R11" s="28" t="inlineStr">
        <is>
          <t>0.00</t>
        </is>
      </c>
      <c r="S11" s="28" t="inlineStr"/>
      <c r="T11" s="28" t="inlineStr"/>
      <c r="U11" s="28" t="n">
        <v>1</v>
      </c>
      <c r="AA11" s="29" t="n"/>
      <c r="AB11" s="30" t="n"/>
      <c r="AC11" s="30" t="n"/>
      <c r="AD11" s="29" t="n"/>
      <c r="AE11" s="31">
        <f>IFERROR(TRIM(INDEX($A11:$Z11,MATCH(Settings!$L$4,$A$1:$Z$1,0))&amp;""),"")</f>
        <v/>
      </c>
      <c r="AF11" s="31">
        <f>IFERROR(TRIM(INDEX($A11:$Z11,MATCH(Settings!$L$5,$A$1:$Z$1,0))&amp;""),"")</f>
        <v/>
      </c>
      <c r="AG11" s="31">
        <f>IF(AE11="","",LOWER(IF(AF11&lt;&gt;"",AF11,AE11)))</f>
        <v/>
      </c>
      <c r="AH11" s="31">
        <f>IFERROR(TRIM(INDEX($A11:$Z11,MATCH(Settings!$L$6,$A$1:$Z$1,0))&amp;""),"")</f>
        <v/>
      </c>
      <c r="AI11" s="31">
        <f>IF(AE11="","",IF(UPPER(TRIM(AB11&amp;""))="Y","Paid another way",IF(IFERROR(TRIM(INDEX($A11:$Z11,MATCH(Settings!$L$7,$A$1:$Z$1,0))&amp;""),"")="","No payment status",IFERROR(TRIM(INDEX($A11:$Z11,MATCH(Settings!$L$7,$A$1:$Z$1,0))&amp;""),""))))</f>
        <v/>
      </c>
      <c r="AJ11" s="31">
        <f>IF(AE11="",0,IF(IFERROR(INDEX(Settings!$J$4:$J$14,MATCH(AI11,Settings!$I$4:$I$14,0)),"N")="Y",1,0))</f>
        <v/>
      </c>
      <c r="AK11" s="32">
        <f>IFERROR(INT(IFERROR(IF(ISNUMBER(INDEX($A11:$Z11,MATCH(Settings!$L$10,$A$1:$Z$1,0))),INDEX($A11:$Z11,MATCH(Settings!$L$10,$A$1:$Z$1,0)),DATE(VALUE(LEFT(IFERROR(TRIM(INDEX($A11:$Z11,MATCH(Settings!$L$10,$A$1:$Z$1,0))&amp;""),""),4)),VALUE(MID(IFERROR(TRIM(INDEX($A11:$Z11,MATCH(Settings!$L$10,$A$1:$Z$1,0))&amp;""),""),6,2)),VALUE(MID(IFERROR(TRIM(INDEX($A11:$Z11,MATCH(Settings!$L$10,$A$1:$Z$1,0))&amp;""),""),9,2)))+TIME(VALUE(MID(IFERROR(TRIM(INDEX($A11:$Z11,MATCH(Settings!$L$10,$A$1:$Z$1,0))&amp;""),""),12,2)),VALUE(MID(IFERROR(TRIM(INDEX($A11:$Z11,MATCH(Settings!$L$10,$A$1:$Z$1,0))&amp;""),""),15,2)),VALUE(MID(IFERROR(TRIM(INDEX($A11:$Z11,MATCH(Settings!$L$10,$A$1:$Z$1,0))&amp;""),""),18,2)))),"")),"")</f>
        <v/>
      </c>
      <c r="AL11" s="32">
        <f>IF(AE11="","",IF(ISNUMBER(AK11),AK11,IFERROR(INT(IFERROR(IF(ISNUMBER(INDEX($A11:$Z11,MATCH(Settings!$L$11,$A$1:$Z$1,0))),INDEX($A11:$Z11,MATCH(Settings!$L$11,$A$1:$Z$1,0)),DATE(VALUE(LEFT(IFERROR(TRIM(INDEX($A11:$Z11,MATCH(Settings!$L$11,$A$1:$Z$1,0))&amp;""),""),4)),VALUE(MID(IFERROR(TRIM(INDEX($A11:$Z11,MATCH(Settings!$L$11,$A$1:$Z$1,0))&amp;""),""),6,2)),VALUE(MID(IFERROR(TRIM(INDEX($A11:$Z11,MATCH(Settings!$L$11,$A$1:$Z$1,0))&amp;""),""),9,2)))+TIME(VALUE(MID(IFERROR(TRIM(INDEX($A11:$Z11,MATCH(Settings!$L$11,$A$1:$Z$1,0))&amp;""),""),12,2)),VALUE(MID(IFERROR(TRIM(INDEX($A11:$Z11,MATCH(Settings!$L$11,$A$1:$Z$1,0))&amp;""),""),15,2)),VALUE(MID(IFERROR(TRIM(INDEX($A11:$Z11,MATCH(Settings!$L$11,$A$1:$Z$1,0))&amp;""),""),18,2)))),"")),"")))</f>
        <v/>
      </c>
      <c r="AM11" s="31">
        <f>IF(AE11="","",IF(ISNUMBER(IFERROR(INDEX(Settings!$G$4:$G$11,MATCH(AH11,Settings!$F$4:$F$11,0)),"")),INDEX(Settings!$G$4:$G$11,MATCH(AH11,Settings!$F$4:$F$11,0)),Settings!$D$5))</f>
        <v/>
      </c>
      <c r="AN11" s="32">
        <f>IF(OR(AE11="",NOT(ISNUMBER(AL11)),NOT(ISNUMBER(AM11))),"",IF(AM11&lt;=0,"",IF(ISNUMBER(Settings!$D$8),DATE(YEAR(AL11)+IF(DATE(YEAR(AL11),MONTH(Settings!$D$8),DAY(Settings!$D$8))&gt;AL11,0,1),MONTH(Settings!$D$8),DAY(Settings!$D$8)),MIN(DATE(YEAR(AL11),MONTH(AL11)+AM11,DAY(AL11)),DATE(YEAR(AL11),MONTH(AL11)+AM11+1,0)))))</f>
        <v/>
      </c>
      <c r="AO11" s="31">
        <f>IF(ISNUMBER(AN11),AN11-Settings!$D$4,"")</f>
        <v/>
      </c>
      <c r="AP11" s="31">
        <f>IF(ISNUMBER(AL11),AL11+0+ROW()/100000,"")</f>
        <v/>
      </c>
      <c r="AQ11" s="31">
        <f>IF(OR(AG11="",NOT(ISNUMBER(AP11))),0,IF(SUMPRODUCT(('Responses'!$AG$2:$AG$501=AG11)*('Responses'!$AJ$2:$AJ$501=1)*ISNUMBER('Responses'!$AP$2:$AP$501)*('Responses'!$AP$2:$AP$501&gt;AP11)) + SUMPRODUCT(('Paper sign-ups'!$K$2:$K$101=AG11)*('Paper sign-ups'!$N$2:$N$101=1)*ISNUMBER('Paper sign-ups'!$T$2:$T$101)*('Paper sign-ups'!$T$2:$T$101&gt;AP11))&gt;0,1,0))</f>
        <v/>
      </c>
      <c r="AR11" s="31">
        <f>IF(AE11="","",IF(AQ11=1,"Joined again",IF(AJ11=0,"Unpaid",IF(NOT(ISNUMBER(AL11)),"Add a join date",IF(AN11="","No reminder",IF(AO11&lt;0,"Lapsed",IF(AO11&lt;=Settings!$D$6,"Remind soon","Current")))))))</f>
        <v/>
      </c>
      <c r="AS11" s="33">
        <f>IF(AJ11=1,IFERROR(VALUE(IFERROR(TRIM(INDEX($A11:$Z11,MATCH(Settings!$L$8,$A$1:$Z$1,0))&amp;""),"")),0)-IFERROR(VALUE(IFERROR(TRIM(INDEX($A11:$Z11,MATCH(Settings!$L$9,$A$1:$Z$1,0))&amp;""),"")),0),0)</f>
        <v/>
      </c>
      <c r="AT11" s="31">
        <f>IF(AND(AE11&lt;&gt;"",AQ11=0),1,0)</f>
        <v/>
      </c>
      <c r="AU11" s="31">
        <f>IF(AT11=0,"",IF(ISNUMBER(AN11),AN11,100000)+0+ROW()/1000000)</f>
        <v/>
      </c>
      <c r="AV11" s="31">
        <f>IF(ISNUMBER(AU11),SUMPRODUCT(ISNUMBER('Responses'!$AU$2:$AU$501)*('Responses'!$AU$2:$AU$501&lt;AU11)) + SUMPRODUCT(ISNUMBER('Paper sign-ups'!$Y$2:$Y$101)*('Paper sign-ups'!$Y$2:$Y$101&lt;AU11))+1,"")</f>
        <v/>
      </c>
    </row>
    <row r="12">
      <c r="AA12" s="29" t="n"/>
      <c r="AB12" s="30" t="n"/>
      <c r="AC12" s="30" t="n"/>
      <c r="AD12" s="29" t="n"/>
      <c r="AE12" s="31">
        <f>IFERROR(TRIM(INDEX($A12:$Z12,MATCH(Settings!$L$4,$A$1:$Z$1,0))&amp;""),"")</f>
        <v/>
      </c>
      <c r="AF12" s="31">
        <f>IFERROR(TRIM(INDEX($A12:$Z12,MATCH(Settings!$L$5,$A$1:$Z$1,0))&amp;""),"")</f>
        <v/>
      </c>
      <c r="AG12" s="31">
        <f>IF(AE12="","",LOWER(IF(AF12&lt;&gt;"",AF12,AE12)))</f>
        <v/>
      </c>
      <c r="AH12" s="31">
        <f>IFERROR(TRIM(INDEX($A12:$Z12,MATCH(Settings!$L$6,$A$1:$Z$1,0))&amp;""),"")</f>
        <v/>
      </c>
      <c r="AI12" s="31">
        <f>IF(AE12="","",IF(UPPER(TRIM(AB12&amp;""))="Y","Paid another way",IF(IFERROR(TRIM(INDEX($A12:$Z12,MATCH(Settings!$L$7,$A$1:$Z$1,0))&amp;""),"")="","No payment status",IFERROR(TRIM(INDEX($A12:$Z12,MATCH(Settings!$L$7,$A$1:$Z$1,0))&amp;""),""))))</f>
        <v/>
      </c>
      <c r="AJ12" s="31">
        <f>IF(AE12="",0,IF(IFERROR(INDEX(Settings!$J$4:$J$14,MATCH(AI12,Settings!$I$4:$I$14,0)),"N")="Y",1,0))</f>
        <v/>
      </c>
      <c r="AK12" s="32">
        <f>IFERROR(INT(IFERROR(IF(ISNUMBER(INDEX($A12:$Z12,MATCH(Settings!$L$10,$A$1:$Z$1,0))),INDEX($A12:$Z12,MATCH(Settings!$L$10,$A$1:$Z$1,0)),DATE(VALUE(LEFT(IFERROR(TRIM(INDEX($A12:$Z12,MATCH(Settings!$L$10,$A$1:$Z$1,0))&amp;""),""),4)),VALUE(MID(IFERROR(TRIM(INDEX($A12:$Z12,MATCH(Settings!$L$10,$A$1:$Z$1,0))&amp;""),""),6,2)),VALUE(MID(IFERROR(TRIM(INDEX($A12:$Z12,MATCH(Settings!$L$10,$A$1:$Z$1,0))&amp;""),""),9,2)))+TIME(VALUE(MID(IFERROR(TRIM(INDEX($A12:$Z12,MATCH(Settings!$L$10,$A$1:$Z$1,0))&amp;""),""),12,2)),VALUE(MID(IFERROR(TRIM(INDEX($A12:$Z12,MATCH(Settings!$L$10,$A$1:$Z$1,0))&amp;""),""),15,2)),VALUE(MID(IFERROR(TRIM(INDEX($A12:$Z12,MATCH(Settings!$L$10,$A$1:$Z$1,0))&amp;""),""),18,2)))),"")),"")</f>
        <v/>
      </c>
      <c r="AL12" s="32">
        <f>IF(AE12="","",IF(ISNUMBER(AK12),AK12,IFERROR(INT(IFERROR(IF(ISNUMBER(INDEX($A12:$Z12,MATCH(Settings!$L$11,$A$1:$Z$1,0))),INDEX($A12:$Z12,MATCH(Settings!$L$11,$A$1:$Z$1,0)),DATE(VALUE(LEFT(IFERROR(TRIM(INDEX($A12:$Z12,MATCH(Settings!$L$11,$A$1:$Z$1,0))&amp;""),""),4)),VALUE(MID(IFERROR(TRIM(INDEX($A12:$Z12,MATCH(Settings!$L$11,$A$1:$Z$1,0))&amp;""),""),6,2)),VALUE(MID(IFERROR(TRIM(INDEX($A12:$Z12,MATCH(Settings!$L$11,$A$1:$Z$1,0))&amp;""),""),9,2)))+TIME(VALUE(MID(IFERROR(TRIM(INDEX($A12:$Z12,MATCH(Settings!$L$11,$A$1:$Z$1,0))&amp;""),""),12,2)),VALUE(MID(IFERROR(TRIM(INDEX($A12:$Z12,MATCH(Settings!$L$11,$A$1:$Z$1,0))&amp;""),""),15,2)),VALUE(MID(IFERROR(TRIM(INDEX($A12:$Z12,MATCH(Settings!$L$11,$A$1:$Z$1,0))&amp;""),""),18,2)))),"")),"")))</f>
        <v/>
      </c>
      <c r="AM12" s="31">
        <f>IF(AE12="","",IF(ISNUMBER(IFERROR(INDEX(Settings!$G$4:$G$11,MATCH(AH12,Settings!$F$4:$F$11,0)),"")),INDEX(Settings!$G$4:$G$11,MATCH(AH12,Settings!$F$4:$F$11,0)),Settings!$D$5))</f>
        <v/>
      </c>
      <c r="AN12" s="32">
        <f>IF(OR(AE12="",NOT(ISNUMBER(AL12)),NOT(ISNUMBER(AM12))),"",IF(AM12&lt;=0,"",IF(ISNUMBER(Settings!$D$8),DATE(YEAR(AL12)+IF(DATE(YEAR(AL12),MONTH(Settings!$D$8),DAY(Settings!$D$8))&gt;AL12,0,1),MONTH(Settings!$D$8),DAY(Settings!$D$8)),MIN(DATE(YEAR(AL12),MONTH(AL12)+AM12,DAY(AL12)),DATE(YEAR(AL12),MONTH(AL12)+AM12+1,0)))))</f>
        <v/>
      </c>
      <c r="AO12" s="31">
        <f>IF(ISNUMBER(AN12),AN12-Settings!$D$4,"")</f>
        <v/>
      </c>
      <c r="AP12" s="31">
        <f>IF(ISNUMBER(AL12),AL12+0+ROW()/100000,"")</f>
        <v/>
      </c>
      <c r="AQ12" s="31">
        <f>IF(OR(AG12="",NOT(ISNUMBER(AP12))),0,IF(SUMPRODUCT(('Responses'!$AG$2:$AG$501=AG12)*('Responses'!$AJ$2:$AJ$501=1)*ISNUMBER('Responses'!$AP$2:$AP$501)*('Responses'!$AP$2:$AP$501&gt;AP12)) + SUMPRODUCT(('Paper sign-ups'!$K$2:$K$101=AG12)*('Paper sign-ups'!$N$2:$N$101=1)*ISNUMBER('Paper sign-ups'!$T$2:$T$101)*('Paper sign-ups'!$T$2:$T$101&gt;AP12))&gt;0,1,0))</f>
        <v/>
      </c>
      <c r="AR12" s="31">
        <f>IF(AE12="","",IF(AQ12=1,"Joined again",IF(AJ12=0,"Unpaid",IF(NOT(ISNUMBER(AL12)),"Add a join date",IF(AN12="","No reminder",IF(AO12&lt;0,"Lapsed",IF(AO12&lt;=Settings!$D$6,"Remind soon","Current")))))))</f>
        <v/>
      </c>
      <c r="AS12" s="33">
        <f>IF(AJ12=1,IFERROR(VALUE(IFERROR(TRIM(INDEX($A12:$Z12,MATCH(Settings!$L$8,$A$1:$Z$1,0))&amp;""),"")),0)-IFERROR(VALUE(IFERROR(TRIM(INDEX($A12:$Z12,MATCH(Settings!$L$9,$A$1:$Z$1,0))&amp;""),"")),0),0)</f>
        <v/>
      </c>
      <c r="AT12" s="31">
        <f>IF(AND(AE12&lt;&gt;"",AQ12=0),1,0)</f>
        <v/>
      </c>
      <c r="AU12" s="31">
        <f>IF(AT12=0,"",IF(ISNUMBER(AN12),AN12,100000)+0+ROW()/1000000)</f>
        <v/>
      </c>
      <c r="AV12" s="31">
        <f>IF(ISNUMBER(AU12),SUMPRODUCT(ISNUMBER('Responses'!$AU$2:$AU$501)*('Responses'!$AU$2:$AU$501&lt;AU12)) + SUMPRODUCT(ISNUMBER('Paper sign-ups'!$Y$2:$Y$101)*('Paper sign-ups'!$Y$2:$Y$101&lt;AU12))+1,"")</f>
        <v/>
      </c>
    </row>
    <row r="13">
      <c r="AA13" s="29" t="n"/>
      <c r="AB13" s="30" t="n"/>
      <c r="AC13" s="30" t="n"/>
      <c r="AD13" s="29" t="n"/>
      <c r="AE13" s="31">
        <f>IFERROR(TRIM(INDEX($A13:$Z13,MATCH(Settings!$L$4,$A$1:$Z$1,0))&amp;""),"")</f>
        <v/>
      </c>
      <c r="AF13" s="31">
        <f>IFERROR(TRIM(INDEX($A13:$Z13,MATCH(Settings!$L$5,$A$1:$Z$1,0))&amp;""),"")</f>
        <v/>
      </c>
      <c r="AG13" s="31">
        <f>IF(AE13="","",LOWER(IF(AF13&lt;&gt;"",AF13,AE13)))</f>
        <v/>
      </c>
      <c r="AH13" s="31">
        <f>IFERROR(TRIM(INDEX($A13:$Z13,MATCH(Settings!$L$6,$A$1:$Z$1,0))&amp;""),"")</f>
        <v/>
      </c>
      <c r="AI13" s="31">
        <f>IF(AE13="","",IF(UPPER(TRIM(AB13&amp;""))="Y","Paid another way",IF(IFERROR(TRIM(INDEX($A13:$Z13,MATCH(Settings!$L$7,$A$1:$Z$1,0))&amp;""),"")="","No payment status",IFERROR(TRIM(INDEX($A13:$Z13,MATCH(Settings!$L$7,$A$1:$Z$1,0))&amp;""),""))))</f>
        <v/>
      </c>
      <c r="AJ13" s="31">
        <f>IF(AE13="",0,IF(IFERROR(INDEX(Settings!$J$4:$J$14,MATCH(AI13,Settings!$I$4:$I$14,0)),"N")="Y",1,0))</f>
        <v/>
      </c>
      <c r="AK13" s="32">
        <f>IFERROR(INT(IFERROR(IF(ISNUMBER(INDEX($A13:$Z13,MATCH(Settings!$L$10,$A$1:$Z$1,0))),INDEX($A13:$Z13,MATCH(Settings!$L$10,$A$1:$Z$1,0)),DATE(VALUE(LEFT(IFERROR(TRIM(INDEX($A13:$Z13,MATCH(Settings!$L$10,$A$1:$Z$1,0))&amp;""),""),4)),VALUE(MID(IFERROR(TRIM(INDEX($A13:$Z13,MATCH(Settings!$L$10,$A$1:$Z$1,0))&amp;""),""),6,2)),VALUE(MID(IFERROR(TRIM(INDEX($A13:$Z13,MATCH(Settings!$L$10,$A$1:$Z$1,0))&amp;""),""),9,2)))+TIME(VALUE(MID(IFERROR(TRIM(INDEX($A13:$Z13,MATCH(Settings!$L$10,$A$1:$Z$1,0))&amp;""),""),12,2)),VALUE(MID(IFERROR(TRIM(INDEX($A13:$Z13,MATCH(Settings!$L$10,$A$1:$Z$1,0))&amp;""),""),15,2)),VALUE(MID(IFERROR(TRIM(INDEX($A13:$Z13,MATCH(Settings!$L$10,$A$1:$Z$1,0))&amp;""),""),18,2)))),"")),"")</f>
        <v/>
      </c>
      <c r="AL13" s="32">
        <f>IF(AE13="","",IF(ISNUMBER(AK13),AK13,IFERROR(INT(IFERROR(IF(ISNUMBER(INDEX($A13:$Z13,MATCH(Settings!$L$11,$A$1:$Z$1,0))),INDEX($A13:$Z13,MATCH(Settings!$L$11,$A$1:$Z$1,0)),DATE(VALUE(LEFT(IFERROR(TRIM(INDEX($A13:$Z13,MATCH(Settings!$L$11,$A$1:$Z$1,0))&amp;""),""),4)),VALUE(MID(IFERROR(TRIM(INDEX($A13:$Z13,MATCH(Settings!$L$11,$A$1:$Z$1,0))&amp;""),""),6,2)),VALUE(MID(IFERROR(TRIM(INDEX($A13:$Z13,MATCH(Settings!$L$11,$A$1:$Z$1,0))&amp;""),""),9,2)))+TIME(VALUE(MID(IFERROR(TRIM(INDEX($A13:$Z13,MATCH(Settings!$L$11,$A$1:$Z$1,0))&amp;""),""),12,2)),VALUE(MID(IFERROR(TRIM(INDEX($A13:$Z13,MATCH(Settings!$L$11,$A$1:$Z$1,0))&amp;""),""),15,2)),VALUE(MID(IFERROR(TRIM(INDEX($A13:$Z13,MATCH(Settings!$L$11,$A$1:$Z$1,0))&amp;""),""),18,2)))),"")),"")))</f>
        <v/>
      </c>
      <c r="AM13" s="31">
        <f>IF(AE13="","",IF(ISNUMBER(IFERROR(INDEX(Settings!$G$4:$G$11,MATCH(AH13,Settings!$F$4:$F$11,0)),"")),INDEX(Settings!$G$4:$G$11,MATCH(AH13,Settings!$F$4:$F$11,0)),Settings!$D$5))</f>
        <v/>
      </c>
      <c r="AN13" s="32">
        <f>IF(OR(AE13="",NOT(ISNUMBER(AL13)),NOT(ISNUMBER(AM13))),"",IF(AM13&lt;=0,"",IF(ISNUMBER(Settings!$D$8),DATE(YEAR(AL13)+IF(DATE(YEAR(AL13),MONTH(Settings!$D$8),DAY(Settings!$D$8))&gt;AL13,0,1),MONTH(Settings!$D$8),DAY(Settings!$D$8)),MIN(DATE(YEAR(AL13),MONTH(AL13)+AM13,DAY(AL13)),DATE(YEAR(AL13),MONTH(AL13)+AM13+1,0)))))</f>
        <v/>
      </c>
      <c r="AO13" s="31">
        <f>IF(ISNUMBER(AN13),AN13-Settings!$D$4,"")</f>
        <v/>
      </c>
      <c r="AP13" s="31">
        <f>IF(ISNUMBER(AL13),AL13+0+ROW()/100000,"")</f>
        <v/>
      </c>
      <c r="AQ13" s="31">
        <f>IF(OR(AG13="",NOT(ISNUMBER(AP13))),0,IF(SUMPRODUCT(('Responses'!$AG$2:$AG$501=AG13)*('Responses'!$AJ$2:$AJ$501=1)*ISNUMBER('Responses'!$AP$2:$AP$501)*('Responses'!$AP$2:$AP$501&gt;AP13)) + SUMPRODUCT(('Paper sign-ups'!$K$2:$K$101=AG13)*('Paper sign-ups'!$N$2:$N$101=1)*ISNUMBER('Paper sign-ups'!$T$2:$T$101)*('Paper sign-ups'!$T$2:$T$101&gt;AP13))&gt;0,1,0))</f>
        <v/>
      </c>
      <c r="AR13" s="31">
        <f>IF(AE13="","",IF(AQ13=1,"Joined again",IF(AJ13=0,"Unpaid",IF(NOT(ISNUMBER(AL13)),"Add a join date",IF(AN13="","No reminder",IF(AO13&lt;0,"Lapsed",IF(AO13&lt;=Settings!$D$6,"Remind soon","Current")))))))</f>
        <v/>
      </c>
      <c r="AS13" s="33">
        <f>IF(AJ13=1,IFERROR(VALUE(IFERROR(TRIM(INDEX($A13:$Z13,MATCH(Settings!$L$8,$A$1:$Z$1,0))&amp;""),"")),0)-IFERROR(VALUE(IFERROR(TRIM(INDEX($A13:$Z13,MATCH(Settings!$L$9,$A$1:$Z$1,0))&amp;""),"")),0),0)</f>
        <v/>
      </c>
      <c r="AT13" s="31">
        <f>IF(AND(AE13&lt;&gt;"",AQ13=0),1,0)</f>
        <v/>
      </c>
      <c r="AU13" s="31">
        <f>IF(AT13=0,"",IF(ISNUMBER(AN13),AN13,100000)+0+ROW()/1000000)</f>
        <v/>
      </c>
      <c r="AV13" s="31">
        <f>IF(ISNUMBER(AU13),SUMPRODUCT(ISNUMBER('Responses'!$AU$2:$AU$501)*('Responses'!$AU$2:$AU$501&lt;AU13)) + SUMPRODUCT(ISNUMBER('Paper sign-ups'!$Y$2:$Y$101)*('Paper sign-ups'!$Y$2:$Y$101&lt;AU13))+1,"")</f>
        <v/>
      </c>
    </row>
    <row r="14">
      <c r="AA14" s="29" t="n"/>
      <c r="AB14" s="30" t="n"/>
      <c r="AC14" s="30" t="n"/>
      <c r="AD14" s="29" t="n"/>
      <c r="AE14" s="31">
        <f>IFERROR(TRIM(INDEX($A14:$Z14,MATCH(Settings!$L$4,$A$1:$Z$1,0))&amp;""),"")</f>
        <v/>
      </c>
      <c r="AF14" s="31">
        <f>IFERROR(TRIM(INDEX($A14:$Z14,MATCH(Settings!$L$5,$A$1:$Z$1,0))&amp;""),"")</f>
        <v/>
      </c>
      <c r="AG14" s="31">
        <f>IF(AE14="","",LOWER(IF(AF14&lt;&gt;"",AF14,AE14)))</f>
        <v/>
      </c>
      <c r="AH14" s="31">
        <f>IFERROR(TRIM(INDEX($A14:$Z14,MATCH(Settings!$L$6,$A$1:$Z$1,0))&amp;""),"")</f>
        <v/>
      </c>
      <c r="AI14" s="31">
        <f>IF(AE14="","",IF(UPPER(TRIM(AB14&amp;""))="Y","Paid another way",IF(IFERROR(TRIM(INDEX($A14:$Z14,MATCH(Settings!$L$7,$A$1:$Z$1,0))&amp;""),"")="","No payment status",IFERROR(TRIM(INDEX($A14:$Z14,MATCH(Settings!$L$7,$A$1:$Z$1,0))&amp;""),""))))</f>
        <v/>
      </c>
      <c r="AJ14" s="31">
        <f>IF(AE14="",0,IF(IFERROR(INDEX(Settings!$J$4:$J$14,MATCH(AI14,Settings!$I$4:$I$14,0)),"N")="Y",1,0))</f>
        <v/>
      </c>
      <c r="AK14" s="32">
        <f>IFERROR(INT(IFERROR(IF(ISNUMBER(INDEX($A14:$Z14,MATCH(Settings!$L$10,$A$1:$Z$1,0))),INDEX($A14:$Z14,MATCH(Settings!$L$10,$A$1:$Z$1,0)),DATE(VALUE(LEFT(IFERROR(TRIM(INDEX($A14:$Z14,MATCH(Settings!$L$10,$A$1:$Z$1,0))&amp;""),""),4)),VALUE(MID(IFERROR(TRIM(INDEX($A14:$Z14,MATCH(Settings!$L$10,$A$1:$Z$1,0))&amp;""),""),6,2)),VALUE(MID(IFERROR(TRIM(INDEX($A14:$Z14,MATCH(Settings!$L$10,$A$1:$Z$1,0))&amp;""),""),9,2)))+TIME(VALUE(MID(IFERROR(TRIM(INDEX($A14:$Z14,MATCH(Settings!$L$10,$A$1:$Z$1,0))&amp;""),""),12,2)),VALUE(MID(IFERROR(TRIM(INDEX($A14:$Z14,MATCH(Settings!$L$10,$A$1:$Z$1,0))&amp;""),""),15,2)),VALUE(MID(IFERROR(TRIM(INDEX($A14:$Z14,MATCH(Settings!$L$10,$A$1:$Z$1,0))&amp;""),""),18,2)))),"")),"")</f>
        <v/>
      </c>
      <c r="AL14" s="32">
        <f>IF(AE14="","",IF(ISNUMBER(AK14),AK14,IFERROR(INT(IFERROR(IF(ISNUMBER(INDEX($A14:$Z14,MATCH(Settings!$L$11,$A$1:$Z$1,0))),INDEX($A14:$Z14,MATCH(Settings!$L$11,$A$1:$Z$1,0)),DATE(VALUE(LEFT(IFERROR(TRIM(INDEX($A14:$Z14,MATCH(Settings!$L$11,$A$1:$Z$1,0))&amp;""),""),4)),VALUE(MID(IFERROR(TRIM(INDEX($A14:$Z14,MATCH(Settings!$L$11,$A$1:$Z$1,0))&amp;""),""),6,2)),VALUE(MID(IFERROR(TRIM(INDEX($A14:$Z14,MATCH(Settings!$L$11,$A$1:$Z$1,0))&amp;""),""),9,2)))+TIME(VALUE(MID(IFERROR(TRIM(INDEX($A14:$Z14,MATCH(Settings!$L$11,$A$1:$Z$1,0))&amp;""),""),12,2)),VALUE(MID(IFERROR(TRIM(INDEX($A14:$Z14,MATCH(Settings!$L$11,$A$1:$Z$1,0))&amp;""),""),15,2)),VALUE(MID(IFERROR(TRIM(INDEX($A14:$Z14,MATCH(Settings!$L$11,$A$1:$Z$1,0))&amp;""),""),18,2)))),"")),"")))</f>
        <v/>
      </c>
      <c r="AM14" s="31">
        <f>IF(AE14="","",IF(ISNUMBER(IFERROR(INDEX(Settings!$G$4:$G$11,MATCH(AH14,Settings!$F$4:$F$11,0)),"")),INDEX(Settings!$G$4:$G$11,MATCH(AH14,Settings!$F$4:$F$11,0)),Settings!$D$5))</f>
        <v/>
      </c>
      <c r="AN14" s="32">
        <f>IF(OR(AE14="",NOT(ISNUMBER(AL14)),NOT(ISNUMBER(AM14))),"",IF(AM14&lt;=0,"",IF(ISNUMBER(Settings!$D$8),DATE(YEAR(AL14)+IF(DATE(YEAR(AL14),MONTH(Settings!$D$8),DAY(Settings!$D$8))&gt;AL14,0,1),MONTH(Settings!$D$8),DAY(Settings!$D$8)),MIN(DATE(YEAR(AL14),MONTH(AL14)+AM14,DAY(AL14)),DATE(YEAR(AL14),MONTH(AL14)+AM14+1,0)))))</f>
        <v/>
      </c>
      <c r="AO14" s="31">
        <f>IF(ISNUMBER(AN14),AN14-Settings!$D$4,"")</f>
        <v/>
      </c>
      <c r="AP14" s="31">
        <f>IF(ISNUMBER(AL14),AL14+0+ROW()/100000,"")</f>
        <v/>
      </c>
      <c r="AQ14" s="31">
        <f>IF(OR(AG14="",NOT(ISNUMBER(AP14))),0,IF(SUMPRODUCT(('Responses'!$AG$2:$AG$501=AG14)*('Responses'!$AJ$2:$AJ$501=1)*ISNUMBER('Responses'!$AP$2:$AP$501)*('Responses'!$AP$2:$AP$501&gt;AP14)) + SUMPRODUCT(('Paper sign-ups'!$K$2:$K$101=AG14)*('Paper sign-ups'!$N$2:$N$101=1)*ISNUMBER('Paper sign-ups'!$T$2:$T$101)*('Paper sign-ups'!$T$2:$T$101&gt;AP14))&gt;0,1,0))</f>
        <v/>
      </c>
      <c r="AR14" s="31">
        <f>IF(AE14="","",IF(AQ14=1,"Joined again",IF(AJ14=0,"Unpaid",IF(NOT(ISNUMBER(AL14)),"Add a join date",IF(AN14="","No reminder",IF(AO14&lt;0,"Lapsed",IF(AO14&lt;=Settings!$D$6,"Remind soon","Current")))))))</f>
        <v/>
      </c>
      <c r="AS14" s="33">
        <f>IF(AJ14=1,IFERROR(VALUE(IFERROR(TRIM(INDEX($A14:$Z14,MATCH(Settings!$L$8,$A$1:$Z$1,0))&amp;""),"")),0)-IFERROR(VALUE(IFERROR(TRIM(INDEX($A14:$Z14,MATCH(Settings!$L$9,$A$1:$Z$1,0))&amp;""),"")),0),0)</f>
        <v/>
      </c>
      <c r="AT14" s="31">
        <f>IF(AND(AE14&lt;&gt;"",AQ14=0),1,0)</f>
        <v/>
      </c>
      <c r="AU14" s="31">
        <f>IF(AT14=0,"",IF(ISNUMBER(AN14),AN14,100000)+0+ROW()/1000000)</f>
        <v/>
      </c>
      <c r="AV14" s="31">
        <f>IF(ISNUMBER(AU14),SUMPRODUCT(ISNUMBER('Responses'!$AU$2:$AU$501)*('Responses'!$AU$2:$AU$501&lt;AU14)) + SUMPRODUCT(ISNUMBER('Paper sign-ups'!$Y$2:$Y$101)*('Paper sign-ups'!$Y$2:$Y$101&lt;AU14))+1,"")</f>
        <v/>
      </c>
    </row>
    <row r="15">
      <c r="AA15" s="29" t="n"/>
      <c r="AB15" s="30" t="n"/>
      <c r="AC15" s="30" t="n"/>
      <c r="AD15" s="29" t="n"/>
      <c r="AE15" s="31">
        <f>IFERROR(TRIM(INDEX($A15:$Z15,MATCH(Settings!$L$4,$A$1:$Z$1,0))&amp;""),"")</f>
        <v/>
      </c>
      <c r="AF15" s="31">
        <f>IFERROR(TRIM(INDEX($A15:$Z15,MATCH(Settings!$L$5,$A$1:$Z$1,0))&amp;""),"")</f>
        <v/>
      </c>
      <c r="AG15" s="31">
        <f>IF(AE15="","",LOWER(IF(AF15&lt;&gt;"",AF15,AE15)))</f>
        <v/>
      </c>
      <c r="AH15" s="31">
        <f>IFERROR(TRIM(INDEX($A15:$Z15,MATCH(Settings!$L$6,$A$1:$Z$1,0))&amp;""),"")</f>
        <v/>
      </c>
      <c r="AI15" s="31">
        <f>IF(AE15="","",IF(UPPER(TRIM(AB15&amp;""))="Y","Paid another way",IF(IFERROR(TRIM(INDEX($A15:$Z15,MATCH(Settings!$L$7,$A$1:$Z$1,0))&amp;""),"")="","No payment status",IFERROR(TRIM(INDEX($A15:$Z15,MATCH(Settings!$L$7,$A$1:$Z$1,0))&amp;""),""))))</f>
        <v/>
      </c>
      <c r="AJ15" s="31">
        <f>IF(AE15="",0,IF(IFERROR(INDEX(Settings!$J$4:$J$14,MATCH(AI15,Settings!$I$4:$I$14,0)),"N")="Y",1,0))</f>
        <v/>
      </c>
      <c r="AK15" s="32">
        <f>IFERROR(INT(IFERROR(IF(ISNUMBER(INDEX($A15:$Z15,MATCH(Settings!$L$10,$A$1:$Z$1,0))),INDEX($A15:$Z15,MATCH(Settings!$L$10,$A$1:$Z$1,0)),DATE(VALUE(LEFT(IFERROR(TRIM(INDEX($A15:$Z15,MATCH(Settings!$L$10,$A$1:$Z$1,0))&amp;""),""),4)),VALUE(MID(IFERROR(TRIM(INDEX($A15:$Z15,MATCH(Settings!$L$10,$A$1:$Z$1,0))&amp;""),""),6,2)),VALUE(MID(IFERROR(TRIM(INDEX($A15:$Z15,MATCH(Settings!$L$10,$A$1:$Z$1,0))&amp;""),""),9,2)))+TIME(VALUE(MID(IFERROR(TRIM(INDEX($A15:$Z15,MATCH(Settings!$L$10,$A$1:$Z$1,0))&amp;""),""),12,2)),VALUE(MID(IFERROR(TRIM(INDEX($A15:$Z15,MATCH(Settings!$L$10,$A$1:$Z$1,0))&amp;""),""),15,2)),VALUE(MID(IFERROR(TRIM(INDEX($A15:$Z15,MATCH(Settings!$L$10,$A$1:$Z$1,0))&amp;""),""),18,2)))),"")),"")</f>
        <v/>
      </c>
      <c r="AL15" s="32">
        <f>IF(AE15="","",IF(ISNUMBER(AK15),AK15,IFERROR(INT(IFERROR(IF(ISNUMBER(INDEX($A15:$Z15,MATCH(Settings!$L$11,$A$1:$Z$1,0))),INDEX($A15:$Z15,MATCH(Settings!$L$11,$A$1:$Z$1,0)),DATE(VALUE(LEFT(IFERROR(TRIM(INDEX($A15:$Z15,MATCH(Settings!$L$11,$A$1:$Z$1,0))&amp;""),""),4)),VALUE(MID(IFERROR(TRIM(INDEX($A15:$Z15,MATCH(Settings!$L$11,$A$1:$Z$1,0))&amp;""),""),6,2)),VALUE(MID(IFERROR(TRIM(INDEX($A15:$Z15,MATCH(Settings!$L$11,$A$1:$Z$1,0))&amp;""),""),9,2)))+TIME(VALUE(MID(IFERROR(TRIM(INDEX($A15:$Z15,MATCH(Settings!$L$11,$A$1:$Z$1,0))&amp;""),""),12,2)),VALUE(MID(IFERROR(TRIM(INDEX($A15:$Z15,MATCH(Settings!$L$11,$A$1:$Z$1,0))&amp;""),""),15,2)),VALUE(MID(IFERROR(TRIM(INDEX($A15:$Z15,MATCH(Settings!$L$11,$A$1:$Z$1,0))&amp;""),""),18,2)))),"")),"")))</f>
        <v/>
      </c>
      <c r="AM15" s="31">
        <f>IF(AE15="","",IF(ISNUMBER(IFERROR(INDEX(Settings!$G$4:$G$11,MATCH(AH15,Settings!$F$4:$F$11,0)),"")),INDEX(Settings!$G$4:$G$11,MATCH(AH15,Settings!$F$4:$F$11,0)),Settings!$D$5))</f>
        <v/>
      </c>
      <c r="AN15" s="32">
        <f>IF(OR(AE15="",NOT(ISNUMBER(AL15)),NOT(ISNUMBER(AM15))),"",IF(AM15&lt;=0,"",IF(ISNUMBER(Settings!$D$8),DATE(YEAR(AL15)+IF(DATE(YEAR(AL15),MONTH(Settings!$D$8),DAY(Settings!$D$8))&gt;AL15,0,1),MONTH(Settings!$D$8),DAY(Settings!$D$8)),MIN(DATE(YEAR(AL15),MONTH(AL15)+AM15,DAY(AL15)),DATE(YEAR(AL15),MONTH(AL15)+AM15+1,0)))))</f>
        <v/>
      </c>
      <c r="AO15" s="31">
        <f>IF(ISNUMBER(AN15),AN15-Settings!$D$4,"")</f>
        <v/>
      </c>
      <c r="AP15" s="31">
        <f>IF(ISNUMBER(AL15),AL15+0+ROW()/100000,"")</f>
        <v/>
      </c>
      <c r="AQ15" s="31">
        <f>IF(OR(AG15="",NOT(ISNUMBER(AP15))),0,IF(SUMPRODUCT(('Responses'!$AG$2:$AG$501=AG15)*('Responses'!$AJ$2:$AJ$501=1)*ISNUMBER('Responses'!$AP$2:$AP$501)*('Responses'!$AP$2:$AP$501&gt;AP15)) + SUMPRODUCT(('Paper sign-ups'!$K$2:$K$101=AG15)*('Paper sign-ups'!$N$2:$N$101=1)*ISNUMBER('Paper sign-ups'!$T$2:$T$101)*('Paper sign-ups'!$T$2:$T$101&gt;AP15))&gt;0,1,0))</f>
        <v/>
      </c>
      <c r="AR15" s="31">
        <f>IF(AE15="","",IF(AQ15=1,"Joined again",IF(AJ15=0,"Unpaid",IF(NOT(ISNUMBER(AL15)),"Add a join date",IF(AN15="","No reminder",IF(AO15&lt;0,"Lapsed",IF(AO15&lt;=Settings!$D$6,"Remind soon","Current")))))))</f>
        <v/>
      </c>
      <c r="AS15" s="33">
        <f>IF(AJ15=1,IFERROR(VALUE(IFERROR(TRIM(INDEX($A15:$Z15,MATCH(Settings!$L$8,$A$1:$Z$1,0))&amp;""),"")),0)-IFERROR(VALUE(IFERROR(TRIM(INDEX($A15:$Z15,MATCH(Settings!$L$9,$A$1:$Z$1,0))&amp;""),"")),0),0)</f>
        <v/>
      </c>
      <c r="AT15" s="31">
        <f>IF(AND(AE15&lt;&gt;"",AQ15=0),1,0)</f>
        <v/>
      </c>
      <c r="AU15" s="31">
        <f>IF(AT15=0,"",IF(ISNUMBER(AN15),AN15,100000)+0+ROW()/1000000)</f>
        <v/>
      </c>
      <c r="AV15" s="31">
        <f>IF(ISNUMBER(AU15),SUMPRODUCT(ISNUMBER('Responses'!$AU$2:$AU$501)*('Responses'!$AU$2:$AU$501&lt;AU15)) + SUMPRODUCT(ISNUMBER('Paper sign-ups'!$Y$2:$Y$101)*('Paper sign-ups'!$Y$2:$Y$101&lt;AU15))+1,"")</f>
        <v/>
      </c>
    </row>
    <row r="16">
      <c r="AA16" s="29" t="n"/>
      <c r="AB16" s="30" t="n"/>
      <c r="AC16" s="30" t="n"/>
      <c r="AD16" s="29" t="n"/>
      <c r="AE16" s="31">
        <f>IFERROR(TRIM(INDEX($A16:$Z16,MATCH(Settings!$L$4,$A$1:$Z$1,0))&amp;""),"")</f>
        <v/>
      </c>
      <c r="AF16" s="31">
        <f>IFERROR(TRIM(INDEX($A16:$Z16,MATCH(Settings!$L$5,$A$1:$Z$1,0))&amp;""),"")</f>
        <v/>
      </c>
      <c r="AG16" s="31">
        <f>IF(AE16="","",LOWER(IF(AF16&lt;&gt;"",AF16,AE16)))</f>
        <v/>
      </c>
      <c r="AH16" s="31">
        <f>IFERROR(TRIM(INDEX($A16:$Z16,MATCH(Settings!$L$6,$A$1:$Z$1,0))&amp;""),"")</f>
        <v/>
      </c>
      <c r="AI16" s="31">
        <f>IF(AE16="","",IF(UPPER(TRIM(AB16&amp;""))="Y","Paid another way",IF(IFERROR(TRIM(INDEX($A16:$Z16,MATCH(Settings!$L$7,$A$1:$Z$1,0))&amp;""),"")="","No payment status",IFERROR(TRIM(INDEX($A16:$Z16,MATCH(Settings!$L$7,$A$1:$Z$1,0))&amp;""),""))))</f>
        <v/>
      </c>
      <c r="AJ16" s="31">
        <f>IF(AE16="",0,IF(IFERROR(INDEX(Settings!$J$4:$J$14,MATCH(AI16,Settings!$I$4:$I$14,0)),"N")="Y",1,0))</f>
        <v/>
      </c>
      <c r="AK16" s="32">
        <f>IFERROR(INT(IFERROR(IF(ISNUMBER(INDEX($A16:$Z16,MATCH(Settings!$L$10,$A$1:$Z$1,0))),INDEX($A16:$Z16,MATCH(Settings!$L$10,$A$1:$Z$1,0)),DATE(VALUE(LEFT(IFERROR(TRIM(INDEX($A16:$Z16,MATCH(Settings!$L$10,$A$1:$Z$1,0))&amp;""),""),4)),VALUE(MID(IFERROR(TRIM(INDEX($A16:$Z16,MATCH(Settings!$L$10,$A$1:$Z$1,0))&amp;""),""),6,2)),VALUE(MID(IFERROR(TRIM(INDEX($A16:$Z16,MATCH(Settings!$L$10,$A$1:$Z$1,0))&amp;""),""),9,2)))+TIME(VALUE(MID(IFERROR(TRIM(INDEX($A16:$Z16,MATCH(Settings!$L$10,$A$1:$Z$1,0))&amp;""),""),12,2)),VALUE(MID(IFERROR(TRIM(INDEX($A16:$Z16,MATCH(Settings!$L$10,$A$1:$Z$1,0))&amp;""),""),15,2)),VALUE(MID(IFERROR(TRIM(INDEX($A16:$Z16,MATCH(Settings!$L$10,$A$1:$Z$1,0))&amp;""),""),18,2)))),"")),"")</f>
        <v/>
      </c>
      <c r="AL16" s="32">
        <f>IF(AE16="","",IF(ISNUMBER(AK16),AK16,IFERROR(INT(IFERROR(IF(ISNUMBER(INDEX($A16:$Z16,MATCH(Settings!$L$11,$A$1:$Z$1,0))),INDEX($A16:$Z16,MATCH(Settings!$L$11,$A$1:$Z$1,0)),DATE(VALUE(LEFT(IFERROR(TRIM(INDEX($A16:$Z16,MATCH(Settings!$L$11,$A$1:$Z$1,0))&amp;""),""),4)),VALUE(MID(IFERROR(TRIM(INDEX($A16:$Z16,MATCH(Settings!$L$11,$A$1:$Z$1,0))&amp;""),""),6,2)),VALUE(MID(IFERROR(TRIM(INDEX($A16:$Z16,MATCH(Settings!$L$11,$A$1:$Z$1,0))&amp;""),""),9,2)))+TIME(VALUE(MID(IFERROR(TRIM(INDEX($A16:$Z16,MATCH(Settings!$L$11,$A$1:$Z$1,0))&amp;""),""),12,2)),VALUE(MID(IFERROR(TRIM(INDEX($A16:$Z16,MATCH(Settings!$L$11,$A$1:$Z$1,0))&amp;""),""),15,2)),VALUE(MID(IFERROR(TRIM(INDEX($A16:$Z16,MATCH(Settings!$L$11,$A$1:$Z$1,0))&amp;""),""),18,2)))),"")),"")))</f>
        <v/>
      </c>
      <c r="AM16" s="31">
        <f>IF(AE16="","",IF(ISNUMBER(IFERROR(INDEX(Settings!$G$4:$G$11,MATCH(AH16,Settings!$F$4:$F$11,0)),"")),INDEX(Settings!$G$4:$G$11,MATCH(AH16,Settings!$F$4:$F$11,0)),Settings!$D$5))</f>
        <v/>
      </c>
      <c r="AN16" s="32">
        <f>IF(OR(AE16="",NOT(ISNUMBER(AL16)),NOT(ISNUMBER(AM16))),"",IF(AM16&lt;=0,"",IF(ISNUMBER(Settings!$D$8),DATE(YEAR(AL16)+IF(DATE(YEAR(AL16),MONTH(Settings!$D$8),DAY(Settings!$D$8))&gt;AL16,0,1),MONTH(Settings!$D$8),DAY(Settings!$D$8)),MIN(DATE(YEAR(AL16),MONTH(AL16)+AM16,DAY(AL16)),DATE(YEAR(AL16),MONTH(AL16)+AM16+1,0)))))</f>
        <v/>
      </c>
      <c r="AO16" s="31">
        <f>IF(ISNUMBER(AN16),AN16-Settings!$D$4,"")</f>
        <v/>
      </c>
      <c r="AP16" s="31">
        <f>IF(ISNUMBER(AL16),AL16+0+ROW()/100000,"")</f>
        <v/>
      </c>
      <c r="AQ16" s="31">
        <f>IF(OR(AG16="",NOT(ISNUMBER(AP16))),0,IF(SUMPRODUCT(('Responses'!$AG$2:$AG$501=AG16)*('Responses'!$AJ$2:$AJ$501=1)*ISNUMBER('Responses'!$AP$2:$AP$501)*('Responses'!$AP$2:$AP$501&gt;AP16)) + SUMPRODUCT(('Paper sign-ups'!$K$2:$K$101=AG16)*('Paper sign-ups'!$N$2:$N$101=1)*ISNUMBER('Paper sign-ups'!$T$2:$T$101)*('Paper sign-ups'!$T$2:$T$101&gt;AP16))&gt;0,1,0))</f>
        <v/>
      </c>
      <c r="AR16" s="31">
        <f>IF(AE16="","",IF(AQ16=1,"Joined again",IF(AJ16=0,"Unpaid",IF(NOT(ISNUMBER(AL16)),"Add a join date",IF(AN16="","No reminder",IF(AO16&lt;0,"Lapsed",IF(AO16&lt;=Settings!$D$6,"Remind soon","Current")))))))</f>
        <v/>
      </c>
      <c r="AS16" s="33">
        <f>IF(AJ16=1,IFERROR(VALUE(IFERROR(TRIM(INDEX($A16:$Z16,MATCH(Settings!$L$8,$A$1:$Z$1,0))&amp;""),"")),0)-IFERROR(VALUE(IFERROR(TRIM(INDEX($A16:$Z16,MATCH(Settings!$L$9,$A$1:$Z$1,0))&amp;""),"")),0),0)</f>
        <v/>
      </c>
      <c r="AT16" s="31">
        <f>IF(AND(AE16&lt;&gt;"",AQ16=0),1,0)</f>
        <v/>
      </c>
      <c r="AU16" s="31">
        <f>IF(AT16=0,"",IF(ISNUMBER(AN16),AN16,100000)+0+ROW()/1000000)</f>
        <v/>
      </c>
      <c r="AV16" s="31">
        <f>IF(ISNUMBER(AU16),SUMPRODUCT(ISNUMBER('Responses'!$AU$2:$AU$501)*('Responses'!$AU$2:$AU$501&lt;AU16)) + SUMPRODUCT(ISNUMBER('Paper sign-ups'!$Y$2:$Y$101)*('Paper sign-ups'!$Y$2:$Y$101&lt;AU16))+1,"")</f>
        <v/>
      </c>
    </row>
    <row r="17">
      <c r="AA17" s="29" t="n"/>
      <c r="AB17" s="30" t="n"/>
      <c r="AC17" s="30" t="n"/>
      <c r="AD17" s="29" t="n"/>
      <c r="AE17" s="31">
        <f>IFERROR(TRIM(INDEX($A17:$Z17,MATCH(Settings!$L$4,$A$1:$Z$1,0))&amp;""),"")</f>
        <v/>
      </c>
      <c r="AF17" s="31">
        <f>IFERROR(TRIM(INDEX($A17:$Z17,MATCH(Settings!$L$5,$A$1:$Z$1,0))&amp;""),"")</f>
        <v/>
      </c>
      <c r="AG17" s="31">
        <f>IF(AE17="","",LOWER(IF(AF17&lt;&gt;"",AF17,AE17)))</f>
        <v/>
      </c>
      <c r="AH17" s="31">
        <f>IFERROR(TRIM(INDEX($A17:$Z17,MATCH(Settings!$L$6,$A$1:$Z$1,0))&amp;""),"")</f>
        <v/>
      </c>
      <c r="AI17" s="31">
        <f>IF(AE17="","",IF(UPPER(TRIM(AB17&amp;""))="Y","Paid another way",IF(IFERROR(TRIM(INDEX($A17:$Z17,MATCH(Settings!$L$7,$A$1:$Z$1,0))&amp;""),"")="","No payment status",IFERROR(TRIM(INDEX($A17:$Z17,MATCH(Settings!$L$7,$A$1:$Z$1,0))&amp;""),""))))</f>
        <v/>
      </c>
      <c r="AJ17" s="31">
        <f>IF(AE17="",0,IF(IFERROR(INDEX(Settings!$J$4:$J$14,MATCH(AI17,Settings!$I$4:$I$14,0)),"N")="Y",1,0))</f>
        <v/>
      </c>
      <c r="AK17" s="32">
        <f>IFERROR(INT(IFERROR(IF(ISNUMBER(INDEX($A17:$Z17,MATCH(Settings!$L$10,$A$1:$Z$1,0))),INDEX($A17:$Z17,MATCH(Settings!$L$10,$A$1:$Z$1,0)),DATE(VALUE(LEFT(IFERROR(TRIM(INDEX($A17:$Z17,MATCH(Settings!$L$10,$A$1:$Z$1,0))&amp;""),""),4)),VALUE(MID(IFERROR(TRIM(INDEX($A17:$Z17,MATCH(Settings!$L$10,$A$1:$Z$1,0))&amp;""),""),6,2)),VALUE(MID(IFERROR(TRIM(INDEX($A17:$Z17,MATCH(Settings!$L$10,$A$1:$Z$1,0))&amp;""),""),9,2)))+TIME(VALUE(MID(IFERROR(TRIM(INDEX($A17:$Z17,MATCH(Settings!$L$10,$A$1:$Z$1,0))&amp;""),""),12,2)),VALUE(MID(IFERROR(TRIM(INDEX($A17:$Z17,MATCH(Settings!$L$10,$A$1:$Z$1,0))&amp;""),""),15,2)),VALUE(MID(IFERROR(TRIM(INDEX($A17:$Z17,MATCH(Settings!$L$10,$A$1:$Z$1,0))&amp;""),""),18,2)))),"")),"")</f>
        <v/>
      </c>
      <c r="AL17" s="32">
        <f>IF(AE17="","",IF(ISNUMBER(AK17),AK17,IFERROR(INT(IFERROR(IF(ISNUMBER(INDEX($A17:$Z17,MATCH(Settings!$L$11,$A$1:$Z$1,0))),INDEX($A17:$Z17,MATCH(Settings!$L$11,$A$1:$Z$1,0)),DATE(VALUE(LEFT(IFERROR(TRIM(INDEX($A17:$Z17,MATCH(Settings!$L$11,$A$1:$Z$1,0))&amp;""),""),4)),VALUE(MID(IFERROR(TRIM(INDEX($A17:$Z17,MATCH(Settings!$L$11,$A$1:$Z$1,0))&amp;""),""),6,2)),VALUE(MID(IFERROR(TRIM(INDEX($A17:$Z17,MATCH(Settings!$L$11,$A$1:$Z$1,0))&amp;""),""),9,2)))+TIME(VALUE(MID(IFERROR(TRIM(INDEX($A17:$Z17,MATCH(Settings!$L$11,$A$1:$Z$1,0))&amp;""),""),12,2)),VALUE(MID(IFERROR(TRIM(INDEX($A17:$Z17,MATCH(Settings!$L$11,$A$1:$Z$1,0))&amp;""),""),15,2)),VALUE(MID(IFERROR(TRIM(INDEX($A17:$Z17,MATCH(Settings!$L$11,$A$1:$Z$1,0))&amp;""),""),18,2)))),"")),"")))</f>
        <v/>
      </c>
      <c r="AM17" s="31">
        <f>IF(AE17="","",IF(ISNUMBER(IFERROR(INDEX(Settings!$G$4:$G$11,MATCH(AH17,Settings!$F$4:$F$11,0)),"")),INDEX(Settings!$G$4:$G$11,MATCH(AH17,Settings!$F$4:$F$11,0)),Settings!$D$5))</f>
        <v/>
      </c>
      <c r="AN17" s="32">
        <f>IF(OR(AE17="",NOT(ISNUMBER(AL17)),NOT(ISNUMBER(AM17))),"",IF(AM17&lt;=0,"",IF(ISNUMBER(Settings!$D$8),DATE(YEAR(AL17)+IF(DATE(YEAR(AL17),MONTH(Settings!$D$8),DAY(Settings!$D$8))&gt;AL17,0,1),MONTH(Settings!$D$8),DAY(Settings!$D$8)),MIN(DATE(YEAR(AL17),MONTH(AL17)+AM17,DAY(AL17)),DATE(YEAR(AL17),MONTH(AL17)+AM17+1,0)))))</f>
        <v/>
      </c>
      <c r="AO17" s="31">
        <f>IF(ISNUMBER(AN17),AN17-Settings!$D$4,"")</f>
        <v/>
      </c>
      <c r="AP17" s="31">
        <f>IF(ISNUMBER(AL17),AL17+0+ROW()/100000,"")</f>
        <v/>
      </c>
      <c r="AQ17" s="31">
        <f>IF(OR(AG17="",NOT(ISNUMBER(AP17))),0,IF(SUMPRODUCT(('Responses'!$AG$2:$AG$501=AG17)*('Responses'!$AJ$2:$AJ$501=1)*ISNUMBER('Responses'!$AP$2:$AP$501)*('Responses'!$AP$2:$AP$501&gt;AP17)) + SUMPRODUCT(('Paper sign-ups'!$K$2:$K$101=AG17)*('Paper sign-ups'!$N$2:$N$101=1)*ISNUMBER('Paper sign-ups'!$T$2:$T$101)*('Paper sign-ups'!$T$2:$T$101&gt;AP17))&gt;0,1,0))</f>
        <v/>
      </c>
      <c r="AR17" s="31">
        <f>IF(AE17="","",IF(AQ17=1,"Joined again",IF(AJ17=0,"Unpaid",IF(NOT(ISNUMBER(AL17)),"Add a join date",IF(AN17="","No reminder",IF(AO17&lt;0,"Lapsed",IF(AO17&lt;=Settings!$D$6,"Remind soon","Current")))))))</f>
        <v/>
      </c>
      <c r="AS17" s="33">
        <f>IF(AJ17=1,IFERROR(VALUE(IFERROR(TRIM(INDEX($A17:$Z17,MATCH(Settings!$L$8,$A$1:$Z$1,0))&amp;""),"")),0)-IFERROR(VALUE(IFERROR(TRIM(INDEX($A17:$Z17,MATCH(Settings!$L$9,$A$1:$Z$1,0))&amp;""),"")),0),0)</f>
        <v/>
      </c>
      <c r="AT17" s="31">
        <f>IF(AND(AE17&lt;&gt;"",AQ17=0),1,0)</f>
        <v/>
      </c>
      <c r="AU17" s="31">
        <f>IF(AT17=0,"",IF(ISNUMBER(AN17),AN17,100000)+0+ROW()/1000000)</f>
        <v/>
      </c>
      <c r="AV17" s="31">
        <f>IF(ISNUMBER(AU17),SUMPRODUCT(ISNUMBER('Responses'!$AU$2:$AU$501)*('Responses'!$AU$2:$AU$501&lt;AU17)) + SUMPRODUCT(ISNUMBER('Paper sign-ups'!$Y$2:$Y$101)*('Paper sign-ups'!$Y$2:$Y$101&lt;AU17))+1,"")</f>
        <v/>
      </c>
    </row>
    <row r="18">
      <c r="AA18" s="29" t="n"/>
      <c r="AB18" s="30" t="n"/>
      <c r="AC18" s="30" t="n"/>
      <c r="AD18" s="29" t="n"/>
      <c r="AE18" s="31">
        <f>IFERROR(TRIM(INDEX($A18:$Z18,MATCH(Settings!$L$4,$A$1:$Z$1,0))&amp;""),"")</f>
        <v/>
      </c>
      <c r="AF18" s="31">
        <f>IFERROR(TRIM(INDEX($A18:$Z18,MATCH(Settings!$L$5,$A$1:$Z$1,0))&amp;""),"")</f>
        <v/>
      </c>
      <c r="AG18" s="31">
        <f>IF(AE18="","",LOWER(IF(AF18&lt;&gt;"",AF18,AE18)))</f>
        <v/>
      </c>
      <c r="AH18" s="31">
        <f>IFERROR(TRIM(INDEX($A18:$Z18,MATCH(Settings!$L$6,$A$1:$Z$1,0))&amp;""),"")</f>
        <v/>
      </c>
      <c r="AI18" s="31">
        <f>IF(AE18="","",IF(UPPER(TRIM(AB18&amp;""))="Y","Paid another way",IF(IFERROR(TRIM(INDEX($A18:$Z18,MATCH(Settings!$L$7,$A$1:$Z$1,0))&amp;""),"")="","No payment status",IFERROR(TRIM(INDEX($A18:$Z18,MATCH(Settings!$L$7,$A$1:$Z$1,0))&amp;""),""))))</f>
        <v/>
      </c>
      <c r="AJ18" s="31">
        <f>IF(AE18="",0,IF(IFERROR(INDEX(Settings!$J$4:$J$14,MATCH(AI18,Settings!$I$4:$I$14,0)),"N")="Y",1,0))</f>
        <v/>
      </c>
      <c r="AK18" s="32">
        <f>IFERROR(INT(IFERROR(IF(ISNUMBER(INDEX($A18:$Z18,MATCH(Settings!$L$10,$A$1:$Z$1,0))),INDEX($A18:$Z18,MATCH(Settings!$L$10,$A$1:$Z$1,0)),DATE(VALUE(LEFT(IFERROR(TRIM(INDEX($A18:$Z18,MATCH(Settings!$L$10,$A$1:$Z$1,0))&amp;""),""),4)),VALUE(MID(IFERROR(TRIM(INDEX($A18:$Z18,MATCH(Settings!$L$10,$A$1:$Z$1,0))&amp;""),""),6,2)),VALUE(MID(IFERROR(TRIM(INDEX($A18:$Z18,MATCH(Settings!$L$10,$A$1:$Z$1,0))&amp;""),""),9,2)))+TIME(VALUE(MID(IFERROR(TRIM(INDEX($A18:$Z18,MATCH(Settings!$L$10,$A$1:$Z$1,0))&amp;""),""),12,2)),VALUE(MID(IFERROR(TRIM(INDEX($A18:$Z18,MATCH(Settings!$L$10,$A$1:$Z$1,0))&amp;""),""),15,2)),VALUE(MID(IFERROR(TRIM(INDEX($A18:$Z18,MATCH(Settings!$L$10,$A$1:$Z$1,0))&amp;""),""),18,2)))),"")),"")</f>
        <v/>
      </c>
      <c r="AL18" s="32">
        <f>IF(AE18="","",IF(ISNUMBER(AK18),AK18,IFERROR(INT(IFERROR(IF(ISNUMBER(INDEX($A18:$Z18,MATCH(Settings!$L$11,$A$1:$Z$1,0))),INDEX($A18:$Z18,MATCH(Settings!$L$11,$A$1:$Z$1,0)),DATE(VALUE(LEFT(IFERROR(TRIM(INDEX($A18:$Z18,MATCH(Settings!$L$11,$A$1:$Z$1,0))&amp;""),""),4)),VALUE(MID(IFERROR(TRIM(INDEX($A18:$Z18,MATCH(Settings!$L$11,$A$1:$Z$1,0))&amp;""),""),6,2)),VALUE(MID(IFERROR(TRIM(INDEX($A18:$Z18,MATCH(Settings!$L$11,$A$1:$Z$1,0))&amp;""),""),9,2)))+TIME(VALUE(MID(IFERROR(TRIM(INDEX($A18:$Z18,MATCH(Settings!$L$11,$A$1:$Z$1,0))&amp;""),""),12,2)),VALUE(MID(IFERROR(TRIM(INDEX($A18:$Z18,MATCH(Settings!$L$11,$A$1:$Z$1,0))&amp;""),""),15,2)),VALUE(MID(IFERROR(TRIM(INDEX($A18:$Z18,MATCH(Settings!$L$11,$A$1:$Z$1,0))&amp;""),""),18,2)))),"")),"")))</f>
        <v/>
      </c>
      <c r="AM18" s="31">
        <f>IF(AE18="","",IF(ISNUMBER(IFERROR(INDEX(Settings!$G$4:$G$11,MATCH(AH18,Settings!$F$4:$F$11,0)),"")),INDEX(Settings!$G$4:$G$11,MATCH(AH18,Settings!$F$4:$F$11,0)),Settings!$D$5))</f>
        <v/>
      </c>
      <c r="AN18" s="32">
        <f>IF(OR(AE18="",NOT(ISNUMBER(AL18)),NOT(ISNUMBER(AM18))),"",IF(AM18&lt;=0,"",IF(ISNUMBER(Settings!$D$8),DATE(YEAR(AL18)+IF(DATE(YEAR(AL18),MONTH(Settings!$D$8),DAY(Settings!$D$8))&gt;AL18,0,1),MONTH(Settings!$D$8),DAY(Settings!$D$8)),MIN(DATE(YEAR(AL18),MONTH(AL18)+AM18,DAY(AL18)),DATE(YEAR(AL18),MONTH(AL18)+AM18+1,0)))))</f>
        <v/>
      </c>
      <c r="AO18" s="31">
        <f>IF(ISNUMBER(AN18),AN18-Settings!$D$4,"")</f>
        <v/>
      </c>
      <c r="AP18" s="31">
        <f>IF(ISNUMBER(AL18),AL18+0+ROW()/100000,"")</f>
        <v/>
      </c>
      <c r="AQ18" s="31">
        <f>IF(OR(AG18="",NOT(ISNUMBER(AP18))),0,IF(SUMPRODUCT(('Responses'!$AG$2:$AG$501=AG18)*('Responses'!$AJ$2:$AJ$501=1)*ISNUMBER('Responses'!$AP$2:$AP$501)*('Responses'!$AP$2:$AP$501&gt;AP18)) + SUMPRODUCT(('Paper sign-ups'!$K$2:$K$101=AG18)*('Paper sign-ups'!$N$2:$N$101=1)*ISNUMBER('Paper sign-ups'!$T$2:$T$101)*('Paper sign-ups'!$T$2:$T$101&gt;AP18))&gt;0,1,0))</f>
        <v/>
      </c>
      <c r="AR18" s="31">
        <f>IF(AE18="","",IF(AQ18=1,"Joined again",IF(AJ18=0,"Unpaid",IF(NOT(ISNUMBER(AL18)),"Add a join date",IF(AN18="","No reminder",IF(AO18&lt;0,"Lapsed",IF(AO18&lt;=Settings!$D$6,"Remind soon","Current")))))))</f>
        <v/>
      </c>
      <c r="AS18" s="33">
        <f>IF(AJ18=1,IFERROR(VALUE(IFERROR(TRIM(INDEX($A18:$Z18,MATCH(Settings!$L$8,$A$1:$Z$1,0))&amp;""),"")),0)-IFERROR(VALUE(IFERROR(TRIM(INDEX($A18:$Z18,MATCH(Settings!$L$9,$A$1:$Z$1,0))&amp;""),"")),0),0)</f>
        <v/>
      </c>
      <c r="AT18" s="31">
        <f>IF(AND(AE18&lt;&gt;"",AQ18=0),1,0)</f>
        <v/>
      </c>
      <c r="AU18" s="31">
        <f>IF(AT18=0,"",IF(ISNUMBER(AN18),AN18,100000)+0+ROW()/1000000)</f>
        <v/>
      </c>
      <c r="AV18" s="31">
        <f>IF(ISNUMBER(AU18),SUMPRODUCT(ISNUMBER('Responses'!$AU$2:$AU$501)*('Responses'!$AU$2:$AU$501&lt;AU18)) + SUMPRODUCT(ISNUMBER('Paper sign-ups'!$Y$2:$Y$101)*('Paper sign-ups'!$Y$2:$Y$101&lt;AU18))+1,"")</f>
        <v/>
      </c>
    </row>
    <row r="19">
      <c r="AA19" s="29" t="n"/>
      <c r="AB19" s="30" t="n"/>
      <c r="AC19" s="30" t="n"/>
      <c r="AD19" s="29" t="n"/>
      <c r="AE19" s="31">
        <f>IFERROR(TRIM(INDEX($A19:$Z19,MATCH(Settings!$L$4,$A$1:$Z$1,0))&amp;""),"")</f>
        <v/>
      </c>
      <c r="AF19" s="31">
        <f>IFERROR(TRIM(INDEX($A19:$Z19,MATCH(Settings!$L$5,$A$1:$Z$1,0))&amp;""),"")</f>
        <v/>
      </c>
      <c r="AG19" s="31">
        <f>IF(AE19="","",LOWER(IF(AF19&lt;&gt;"",AF19,AE19)))</f>
        <v/>
      </c>
      <c r="AH19" s="31">
        <f>IFERROR(TRIM(INDEX($A19:$Z19,MATCH(Settings!$L$6,$A$1:$Z$1,0))&amp;""),"")</f>
        <v/>
      </c>
      <c r="AI19" s="31">
        <f>IF(AE19="","",IF(UPPER(TRIM(AB19&amp;""))="Y","Paid another way",IF(IFERROR(TRIM(INDEX($A19:$Z19,MATCH(Settings!$L$7,$A$1:$Z$1,0))&amp;""),"")="","No payment status",IFERROR(TRIM(INDEX($A19:$Z19,MATCH(Settings!$L$7,$A$1:$Z$1,0))&amp;""),""))))</f>
        <v/>
      </c>
      <c r="AJ19" s="31">
        <f>IF(AE19="",0,IF(IFERROR(INDEX(Settings!$J$4:$J$14,MATCH(AI19,Settings!$I$4:$I$14,0)),"N")="Y",1,0))</f>
        <v/>
      </c>
      <c r="AK19" s="32">
        <f>IFERROR(INT(IFERROR(IF(ISNUMBER(INDEX($A19:$Z19,MATCH(Settings!$L$10,$A$1:$Z$1,0))),INDEX($A19:$Z19,MATCH(Settings!$L$10,$A$1:$Z$1,0)),DATE(VALUE(LEFT(IFERROR(TRIM(INDEX($A19:$Z19,MATCH(Settings!$L$10,$A$1:$Z$1,0))&amp;""),""),4)),VALUE(MID(IFERROR(TRIM(INDEX($A19:$Z19,MATCH(Settings!$L$10,$A$1:$Z$1,0))&amp;""),""),6,2)),VALUE(MID(IFERROR(TRIM(INDEX($A19:$Z19,MATCH(Settings!$L$10,$A$1:$Z$1,0))&amp;""),""),9,2)))+TIME(VALUE(MID(IFERROR(TRIM(INDEX($A19:$Z19,MATCH(Settings!$L$10,$A$1:$Z$1,0))&amp;""),""),12,2)),VALUE(MID(IFERROR(TRIM(INDEX($A19:$Z19,MATCH(Settings!$L$10,$A$1:$Z$1,0))&amp;""),""),15,2)),VALUE(MID(IFERROR(TRIM(INDEX($A19:$Z19,MATCH(Settings!$L$10,$A$1:$Z$1,0))&amp;""),""),18,2)))),"")),"")</f>
        <v/>
      </c>
      <c r="AL19" s="32">
        <f>IF(AE19="","",IF(ISNUMBER(AK19),AK19,IFERROR(INT(IFERROR(IF(ISNUMBER(INDEX($A19:$Z19,MATCH(Settings!$L$11,$A$1:$Z$1,0))),INDEX($A19:$Z19,MATCH(Settings!$L$11,$A$1:$Z$1,0)),DATE(VALUE(LEFT(IFERROR(TRIM(INDEX($A19:$Z19,MATCH(Settings!$L$11,$A$1:$Z$1,0))&amp;""),""),4)),VALUE(MID(IFERROR(TRIM(INDEX($A19:$Z19,MATCH(Settings!$L$11,$A$1:$Z$1,0))&amp;""),""),6,2)),VALUE(MID(IFERROR(TRIM(INDEX($A19:$Z19,MATCH(Settings!$L$11,$A$1:$Z$1,0))&amp;""),""),9,2)))+TIME(VALUE(MID(IFERROR(TRIM(INDEX($A19:$Z19,MATCH(Settings!$L$11,$A$1:$Z$1,0))&amp;""),""),12,2)),VALUE(MID(IFERROR(TRIM(INDEX($A19:$Z19,MATCH(Settings!$L$11,$A$1:$Z$1,0))&amp;""),""),15,2)),VALUE(MID(IFERROR(TRIM(INDEX($A19:$Z19,MATCH(Settings!$L$11,$A$1:$Z$1,0))&amp;""),""),18,2)))),"")),"")))</f>
        <v/>
      </c>
      <c r="AM19" s="31">
        <f>IF(AE19="","",IF(ISNUMBER(IFERROR(INDEX(Settings!$G$4:$G$11,MATCH(AH19,Settings!$F$4:$F$11,0)),"")),INDEX(Settings!$G$4:$G$11,MATCH(AH19,Settings!$F$4:$F$11,0)),Settings!$D$5))</f>
        <v/>
      </c>
      <c r="AN19" s="32">
        <f>IF(OR(AE19="",NOT(ISNUMBER(AL19)),NOT(ISNUMBER(AM19))),"",IF(AM19&lt;=0,"",IF(ISNUMBER(Settings!$D$8),DATE(YEAR(AL19)+IF(DATE(YEAR(AL19),MONTH(Settings!$D$8),DAY(Settings!$D$8))&gt;AL19,0,1),MONTH(Settings!$D$8),DAY(Settings!$D$8)),MIN(DATE(YEAR(AL19),MONTH(AL19)+AM19,DAY(AL19)),DATE(YEAR(AL19),MONTH(AL19)+AM19+1,0)))))</f>
        <v/>
      </c>
      <c r="AO19" s="31">
        <f>IF(ISNUMBER(AN19),AN19-Settings!$D$4,"")</f>
        <v/>
      </c>
      <c r="AP19" s="31">
        <f>IF(ISNUMBER(AL19),AL19+0+ROW()/100000,"")</f>
        <v/>
      </c>
      <c r="AQ19" s="31">
        <f>IF(OR(AG19="",NOT(ISNUMBER(AP19))),0,IF(SUMPRODUCT(('Responses'!$AG$2:$AG$501=AG19)*('Responses'!$AJ$2:$AJ$501=1)*ISNUMBER('Responses'!$AP$2:$AP$501)*('Responses'!$AP$2:$AP$501&gt;AP19)) + SUMPRODUCT(('Paper sign-ups'!$K$2:$K$101=AG19)*('Paper sign-ups'!$N$2:$N$101=1)*ISNUMBER('Paper sign-ups'!$T$2:$T$101)*('Paper sign-ups'!$T$2:$T$101&gt;AP19))&gt;0,1,0))</f>
        <v/>
      </c>
      <c r="AR19" s="31">
        <f>IF(AE19="","",IF(AQ19=1,"Joined again",IF(AJ19=0,"Unpaid",IF(NOT(ISNUMBER(AL19)),"Add a join date",IF(AN19="","No reminder",IF(AO19&lt;0,"Lapsed",IF(AO19&lt;=Settings!$D$6,"Remind soon","Current")))))))</f>
        <v/>
      </c>
      <c r="AS19" s="33">
        <f>IF(AJ19=1,IFERROR(VALUE(IFERROR(TRIM(INDEX($A19:$Z19,MATCH(Settings!$L$8,$A$1:$Z$1,0))&amp;""),"")),0)-IFERROR(VALUE(IFERROR(TRIM(INDEX($A19:$Z19,MATCH(Settings!$L$9,$A$1:$Z$1,0))&amp;""),"")),0),0)</f>
        <v/>
      </c>
      <c r="AT19" s="31">
        <f>IF(AND(AE19&lt;&gt;"",AQ19=0),1,0)</f>
        <v/>
      </c>
      <c r="AU19" s="31">
        <f>IF(AT19=0,"",IF(ISNUMBER(AN19),AN19,100000)+0+ROW()/1000000)</f>
        <v/>
      </c>
      <c r="AV19" s="31">
        <f>IF(ISNUMBER(AU19),SUMPRODUCT(ISNUMBER('Responses'!$AU$2:$AU$501)*('Responses'!$AU$2:$AU$501&lt;AU19)) + SUMPRODUCT(ISNUMBER('Paper sign-ups'!$Y$2:$Y$101)*('Paper sign-ups'!$Y$2:$Y$101&lt;AU19))+1,"")</f>
        <v/>
      </c>
    </row>
    <row r="20">
      <c r="AA20" s="29" t="n"/>
      <c r="AB20" s="30" t="n"/>
      <c r="AC20" s="30" t="n"/>
      <c r="AD20" s="29" t="n"/>
      <c r="AE20" s="31">
        <f>IFERROR(TRIM(INDEX($A20:$Z20,MATCH(Settings!$L$4,$A$1:$Z$1,0))&amp;""),"")</f>
        <v/>
      </c>
      <c r="AF20" s="31">
        <f>IFERROR(TRIM(INDEX($A20:$Z20,MATCH(Settings!$L$5,$A$1:$Z$1,0))&amp;""),"")</f>
        <v/>
      </c>
      <c r="AG20" s="31">
        <f>IF(AE20="","",LOWER(IF(AF20&lt;&gt;"",AF20,AE20)))</f>
        <v/>
      </c>
      <c r="AH20" s="31">
        <f>IFERROR(TRIM(INDEX($A20:$Z20,MATCH(Settings!$L$6,$A$1:$Z$1,0))&amp;""),"")</f>
        <v/>
      </c>
      <c r="AI20" s="31">
        <f>IF(AE20="","",IF(UPPER(TRIM(AB20&amp;""))="Y","Paid another way",IF(IFERROR(TRIM(INDEX($A20:$Z20,MATCH(Settings!$L$7,$A$1:$Z$1,0))&amp;""),"")="","No payment status",IFERROR(TRIM(INDEX($A20:$Z20,MATCH(Settings!$L$7,$A$1:$Z$1,0))&amp;""),""))))</f>
        <v/>
      </c>
      <c r="AJ20" s="31">
        <f>IF(AE20="",0,IF(IFERROR(INDEX(Settings!$J$4:$J$14,MATCH(AI20,Settings!$I$4:$I$14,0)),"N")="Y",1,0))</f>
        <v/>
      </c>
      <c r="AK20" s="32">
        <f>IFERROR(INT(IFERROR(IF(ISNUMBER(INDEX($A20:$Z20,MATCH(Settings!$L$10,$A$1:$Z$1,0))),INDEX($A20:$Z20,MATCH(Settings!$L$10,$A$1:$Z$1,0)),DATE(VALUE(LEFT(IFERROR(TRIM(INDEX($A20:$Z20,MATCH(Settings!$L$10,$A$1:$Z$1,0))&amp;""),""),4)),VALUE(MID(IFERROR(TRIM(INDEX($A20:$Z20,MATCH(Settings!$L$10,$A$1:$Z$1,0))&amp;""),""),6,2)),VALUE(MID(IFERROR(TRIM(INDEX($A20:$Z20,MATCH(Settings!$L$10,$A$1:$Z$1,0))&amp;""),""),9,2)))+TIME(VALUE(MID(IFERROR(TRIM(INDEX($A20:$Z20,MATCH(Settings!$L$10,$A$1:$Z$1,0))&amp;""),""),12,2)),VALUE(MID(IFERROR(TRIM(INDEX($A20:$Z20,MATCH(Settings!$L$10,$A$1:$Z$1,0))&amp;""),""),15,2)),VALUE(MID(IFERROR(TRIM(INDEX($A20:$Z20,MATCH(Settings!$L$10,$A$1:$Z$1,0))&amp;""),""),18,2)))),"")),"")</f>
        <v/>
      </c>
      <c r="AL20" s="32">
        <f>IF(AE20="","",IF(ISNUMBER(AK20),AK20,IFERROR(INT(IFERROR(IF(ISNUMBER(INDEX($A20:$Z20,MATCH(Settings!$L$11,$A$1:$Z$1,0))),INDEX($A20:$Z20,MATCH(Settings!$L$11,$A$1:$Z$1,0)),DATE(VALUE(LEFT(IFERROR(TRIM(INDEX($A20:$Z20,MATCH(Settings!$L$11,$A$1:$Z$1,0))&amp;""),""),4)),VALUE(MID(IFERROR(TRIM(INDEX($A20:$Z20,MATCH(Settings!$L$11,$A$1:$Z$1,0))&amp;""),""),6,2)),VALUE(MID(IFERROR(TRIM(INDEX($A20:$Z20,MATCH(Settings!$L$11,$A$1:$Z$1,0))&amp;""),""),9,2)))+TIME(VALUE(MID(IFERROR(TRIM(INDEX($A20:$Z20,MATCH(Settings!$L$11,$A$1:$Z$1,0))&amp;""),""),12,2)),VALUE(MID(IFERROR(TRIM(INDEX($A20:$Z20,MATCH(Settings!$L$11,$A$1:$Z$1,0))&amp;""),""),15,2)),VALUE(MID(IFERROR(TRIM(INDEX($A20:$Z20,MATCH(Settings!$L$11,$A$1:$Z$1,0))&amp;""),""),18,2)))),"")),"")))</f>
        <v/>
      </c>
      <c r="AM20" s="31">
        <f>IF(AE20="","",IF(ISNUMBER(IFERROR(INDEX(Settings!$G$4:$G$11,MATCH(AH20,Settings!$F$4:$F$11,0)),"")),INDEX(Settings!$G$4:$G$11,MATCH(AH20,Settings!$F$4:$F$11,0)),Settings!$D$5))</f>
        <v/>
      </c>
      <c r="AN20" s="32">
        <f>IF(OR(AE20="",NOT(ISNUMBER(AL20)),NOT(ISNUMBER(AM20))),"",IF(AM20&lt;=0,"",IF(ISNUMBER(Settings!$D$8),DATE(YEAR(AL20)+IF(DATE(YEAR(AL20),MONTH(Settings!$D$8),DAY(Settings!$D$8))&gt;AL20,0,1),MONTH(Settings!$D$8),DAY(Settings!$D$8)),MIN(DATE(YEAR(AL20),MONTH(AL20)+AM20,DAY(AL20)),DATE(YEAR(AL20),MONTH(AL20)+AM20+1,0)))))</f>
        <v/>
      </c>
      <c r="AO20" s="31">
        <f>IF(ISNUMBER(AN20),AN20-Settings!$D$4,"")</f>
        <v/>
      </c>
      <c r="AP20" s="31">
        <f>IF(ISNUMBER(AL20),AL20+0+ROW()/100000,"")</f>
        <v/>
      </c>
      <c r="AQ20" s="31">
        <f>IF(OR(AG20="",NOT(ISNUMBER(AP20))),0,IF(SUMPRODUCT(('Responses'!$AG$2:$AG$501=AG20)*('Responses'!$AJ$2:$AJ$501=1)*ISNUMBER('Responses'!$AP$2:$AP$501)*('Responses'!$AP$2:$AP$501&gt;AP20)) + SUMPRODUCT(('Paper sign-ups'!$K$2:$K$101=AG20)*('Paper sign-ups'!$N$2:$N$101=1)*ISNUMBER('Paper sign-ups'!$T$2:$T$101)*('Paper sign-ups'!$T$2:$T$101&gt;AP20))&gt;0,1,0))</f>
        <v/>
      </c>
      <c r="AR20" s="31">
        <f>IF(AE20="","",IF(AQ20=1,"Joined again",IF(AJ20=0,"Unpaid",IF(NOT(ISNUMBER(AL20)),"Add a join date",IF(AN20="","No reminder",IF(AO20&lt;0,"Lapsed",IF(AO20&lt;=Settings!$D$6,"Remind soon","Current")))))))</f>
        <v/>
      </c>
      <c r="AS20" s="33">
        <f>IF(AJ20=1,IFERROR(VALUE(IFERROR(TRIM(INDEX($A20:$Z20,MATCH(Settings!$L$8,$A$1:$Z$1,0))&amp;""),"")),0)-IFERROR(VALUE(IFERROR(TRIM(INDEX($A20:$Z20,MATCH(Settings!$L$9,$A$1:$Z$1,0))&amp;""),"")),0),0)</f>
        <v/>
      </c>
      <c r="AT20" s="31">
        <f>IF(AND(AE20&lt;&gt;"",AQ20=0),1,0)</f>
        <v/>
      </c>
      <c r="AU20" s="31">
        <f>IF(AT20=0,"",IF(ISNUMBER(AN20),AN20,100000)+0+ROW()/1000000)</f>
        <v/>
      </c>
      <c r="AV20" s="31">
        <f>IF(ISNUMBER(AU20),SUMPRODUCT(ISNUMBER('Responses'!$AU$2:$AU$501)*('Responses'!$AU$2:$AU$501&lt;AU20)) + SUMPRODUCT(ISNUMBER('Paper sign-ups'!$Y$2:$Y$101)*('Paper sign-ups'!$Y$2:$Y$101&lt;AU20))+1,"")</f>
        <v/>
      </c>
    </row>
    <row r="21">
      <c r="AA21" s="29" t="n"/>
      <c r="AB21" s="30" t="n"/>
      <c r="AC21" s="30" t="n"/>
      <c r="AD21" s="29" t="n"/>
      <c r="AE21" s="31">
        <f>IFERROR(TRIM(INDEX($A21:$Z21,MATCH(Settings!$L$4,$A$1:$Z$1,0))&amp;""),"")</f>
        <v/>
      </c>
      <c r="AF21" s="31">
        <f>IFERROR(TRIM(INDEX($A21:$Z21,MATCH(Settings!$L$5,$A$1:$Z$1,0))&amp;""),"")</f>
        <v/>
      </c>
      <c r="AG21" s="31">
        <f>IF(AE21="","",LOWER(IF(AF21&lt;&gt;"",AF21,AE21)))</f>
        <v/>
      </c>
      <c r="AH21" s="31">
        <f>IFERROR(TRIM(INDEX($A21:$Z21,MATCH(Settings!$L$6,$A$1:$Z$1,0))&amp;""),"")</f>
        <v/>
      </c>
      <c r="AI21" s="31">
        <f>IF(AE21="","",IF(UPPER(TRIM(AB21&amp;""))="Y","Paid another way",IF(IFERROR(TRIM(INDEX($A21:$Z21,MATCH(Settings!$L$7,$A$1:$Z$1,0))&amp;""),"")="","No payment status",IFERROR(TRIM(INDEX($A21:$Z21,MATCH(Settings!$L$7,$A$1:$Z$1,0))&amp;""),""))))</f>
        <v/>
      </c>
      <c r="AJ21" s="31">
        <f>IF(AE21="",0,IF(IFERROR(INDEX(Settings!$J$4:$J$14,MATCH(AI21,Settings!$I$4:$I$14,0)),"N")="Y",1,0))</f>
        <v/>
      </c>
      <c r="AK21" s="32">
        <f>IFERROR(INT(IFERROR(IF(ISNUMBER(INDEX($A21:$Z21,MATCH(Settings!$L$10,$A$1:$Z$1,0))),INDEX($A21:$Z21,MATCH(Settings!$L$10,$A$1:$Z$1,0)),DATE(VALUE(LEFT(IFERROR(TRIM(INDEX($A21:$Z21,MATCH(Settings!$L$10,$A$1:$Z$1,0))&amp;""),""),4)),VALUE(MID(IFERROR(TRIM(INDEX($A21:$Z21,MATCH(Settings!$L$10,$A$1:$Z$1,0))&amp;""),""),6,2)),VALUE(MID(IFERROR(TRIM(INDEX($A21:$Z21,MATCH(Settings!$L$10,$A$1:$Z$1,0))&amp;""),""),9,2)))+TIME(VALUE(MID(IFERROR(TRIM(INDEX($A21:$Z21,MATCH(Settings!$L$10,$A$1:$Z$1,0))&amp;""),""),12,2)),VALUE(MID(IFERROR(TRIM(INDEX($A21:$Z21,MATCH(Settings!$L$10,$A$1:$Z$1,0))&amp;""),""),15,2)),VALUE(MID(IFERROR(TRIM(INDEX($A21:$Z21,MATCH(Settings!$L$10,$A$1:$Z$1,0))&amp;""),""),18,2)))),"")),"")</f>
        <v/>
      </c>
      <c r="AL21" s="32">
        <f>IF(AE21="","",IF(ISNUMBER(AK21),AK21,IFERROR(INT(IFERROR(IF(ISNUMBER(INDEX($A21:$Z21,MATCH(Settings!$L$11,$A$1:$Z$1,0))),INDEX($A21:$Z21,MATCH(Settings!$L$11,$A$1:$Z$1,0)),DATE(VALUE(LEFT(IFERROR(TRIM(INDEX($A21:$Z21,MATCH(Settings!$L$11,$A$1:$Z$1,0))&amp;""),""),4)),VALUE(MID(IFERROR(TRIM(INDEX($A21:$Z21,MATCH(Settings!$L$11,$A$1:$Z$1,0))&amp;""),""),6,2)),VALUE(MID(IFERROR(TRIM(INDEX($A21:$Z21,MATCH(Settings!$L$11,$A$1:$Z$1,0))&amp;""),""),9,2)))+TIME(VALUE(MID(IFERROR(TRIM(INDEX($A21:$Z21,MATCH(Settings!$L$11,$A$1:$Z$1,0))&amp;""),""),12,2)),VALUE(MID(IFERROR(TRIM(INDEX($A21:$Z21,MATCH(Settings!$L$11,$A$1:$Z$1,0))&amp;""),""),15,2)),VALUE(MID(IFERROR(TRIM(INDEX($A21:$Z21,MATCH(Settings!$L$11,$A$1:$Z$1,0))&amp;""),""),18,2)))),"")),"")))</f>
        <v/>
      </c>
      <c r="AM21" s="31">
        <f>IF(AE21="","",IF(ISNUMBER(IFERROR(INDEX(Settings!$G$4:$G$11,MATCH(AH21,Settings!$F$4:$F$11,0)),"")),INDEX(Settings!$G$4:$G$11,MATCH(AH21,Settings!$F$4:$F$11,0)),Settings!$D$5))</f>
        <v/>
      </c>
      <c r="AN21" s="32">
        <f>IF(OR(AE21="",NOT(ISNUMBER(AL21)),NOT(ISNUMBER(AM21))),"",IF(AM21&lt;=0,"",IF(ISNUMBER(Settings!$D$8),DATE(YEAR(AL21)+IF(DATE(YEAR(AL21),MONTH(Settings!$D$8),DAY(Settings!$D$8))&gt;AL21,0,1),MONTH(Settings!$D$8),DAY(Settings!$D$8)),MIN(DATE(YEAR(AL21),MONTH(AL21)+AM21,DAY(AL21)),DATE(YEAR(AL21),MONTH(AL21)+AM21+1,0)))))</f>
        <v/>
      </c>
      <c r="AO21" s="31">
        <f>IF(ISNUMBER(AN21),AN21-Settings!$D$4,"")</f>
        <v/>
      </c>
      <c r="AP21" s="31">
        <f>IF(ISNUMBER(AL21),AL21+0+ROW()/100000,"")</f>
        <v/>
      </c>
      <c r="AQ21" s="31">
        <f>IF(OR(AG21="",NOT(ISNUMBER(AP21))),0,IF(SUMPRODUCT(('Responses'!$AG$2:$AG$501=AG21)*('Responses'!$AJ$2:$AJ$501=1)*ISNUMBER('Responses'!$AP$2:$AP$501)*('Responses'!$AP$2:$AP$501&gt;AP21)) + SUMPRODUCT(('Paper sign-ups'!$K$2:$K$101=AG21)*('Paper sign-ups'!$N$2:$N$101=1)*ISNUMBER('Paper sign-ups'!$T$2:$T$101)*('Paper sign-ups'!$T$2:$T$101&gt;AP21))&gt;0,1,0))</f>
        <v/>
      </c>
      <c r="AR21" s="31">
        <f>IF(AE21="","",IF(AQ21=1,"Joined again",IF(AJ21=0,"Unpaid",IF(NOT(ISNUMBER(AL21)),"Add a join date",IF(AN21="","No reminder",IF(AO21&lt;0,"Lapsed",IF(AO21&lt;=Settings!$D$6,"Remind soon","Current")))))))</f>
        <v/>
      </c>
      <c r="AS21" s="33">
        <f>IF(AJ21=1,IFERROR(VALUE(IFERROR(TRIM(INDEX($A21:$Z21,MATCH(Settings!$L$8,$A$1:$Z$1,0))&amp;""),"")),0)-IFERROR(VALUE(IFERROR(TRIM(INDEX($A21:$Z21,MATCH(Settings!$L$9,$A$1:$Z$1,0))&amp;""),"")),0),0)</f>
        <v/>
      </c>
      <c r="AT21" s="31">
        <f>IF(AND(AE21&lt;&gt;"",AQ21=0),1,0)</f>
        <v/>
      </c>
      <c r="AU21" s="31">
        <f>IF(AT21=0,"",IF(ISNUMBER(AN21),AN21,100000)+0+ROW()/1000000)</f>
        <v/>
      </c>
      <c r="AV21" s="31">
        <f>IF(ISNUMBER(AU21),SUMPRODUCT(ISNUMBER('Responses'!$AU$2:$AU$501)*('Responses'!$AU$2:$AU$501&lt;AU21)) + SUMPRODUCT(ISNUMBER('Paper sign-ups'!$Y$2:$Y$101)*('Paper sign-ups'!$Y$2:$Y$101&lt;AU21))+1,"")</f>
        <v/>
      </c>
    </row>
    <row r="22">
      <c r="AA22" s="29" t="n"/>
      <c r="AB22" s="30" t="n"/>
      <c r="AC22" s="30" t="n"/>
      <c r="AD22" s="29" t="n"/>
      <c r="AE22" s="31">
        <f>IFERROR(TRIM(INDEX($A22:$Z22,MATCH(Settings!$L$4,$A$1:$Z$1,0))&amp;""),"")</f>
        <v/>
      </c>
      <c r="AF22" s="31">
        <f>IFERROR(TRIM(INDEX($A22:$Z22,MATCH(Settings!$L$5,$A$1:$Z$1,0))&amp;""),"")</f>
        <v/>
      </c>
      <c r="AG22" s="31">
        <f>IF(AE22="","",LOWER(IF(AF22&lt;&gt;"",AF22,AE22)))</f>
        <v/>
      </c>
      <c r="AH22" s="31">
        <f>IFERROR(TRIM(INDEX($A22:$Z22,MATCH(Settings!$L$6,$A$1:$Z$1,0))&amp;""),"")</f>
        <v/>
      </c>
      <c r="AI22" s="31">
        <f>IF(AE22="","",IF(UPPER(TRIM(AB22&amp;""))="Y","Paid another way",IF(IFERROR(TRIM(INDEX($A22:$Z22,MATCH(Settings!$L$7,$A$1:$Z$1,0))&amp;""),"")="","No payment status",IFERROR(TRIM(INDEX($A22:$Z22,MATCH(Settings!$L$7,$A$1:$Z$1,0))&amp;""),""))))</f>
        <v/>
      </c>
      <c r="AJ22" s="31">
        <f>IF(AE22="",0,IF(IFERROR(INDEX(Settings!$J$4:$J$14,MATCH(AI22,Settings!$I$4:$I$14,0)),"N")="Y",1,0))</f>
        <v/>
      </c>
      <c r="AK22" s="32">
        <f>IFERROR(INT(IFERROR(IF(ISNUMBER(INDEX($A22:$Z22,MATCH(Settings!$L$10,$A$1:$Z$1,0))),INDEX($A22:$Z22,MATCH(Settings!$L$10,$A$1:$Z$1,0)),DATE(VALUE(LEFT(IFERROR(TRIM(INDEX($A22:$Z22,MATCH(Settings!$L$10,$A$1:$Z$1,0))&amp;""),""),4)),VALUE(MID(IFERROR(TRIM(INDEX($A22:$Z22,MATCH(Settings!$L$10,$A$1:$Z$1,0))&amp;""),""),6,2)),VALUE(MID(IFERROR(TRIM(INDEX($A22:$Z22,MATCH(Settings!$L$10,$A$1:$Z$1,0))&amp;""),""),9,2)))+TIME(VALUE(MID(IFERROR(TRIM(INDEX($A22:$Z22,MATCH(Settings!$L$10,$A$1:$Z$1,0))&amp;""),""),12,2)),VALUE(MID(IFERROR(TRIM(INDEX($A22:$Z22,MATCH(Settings!$L$10,$A$1:$Z$1,0))&amp;""),""),15,2)),VALUE(MID(IFERROR(TRIM(INDEX($A22:$Z22,MATCH(Settings!$L$10,$A$1:$Z$1,0))&amp;""),""),18,2)))),"")),"")</f>
        <v/>
      </c>
      <c r="AL22" s="32">
        <f>IF(AE22="","",IF(ISNUMBER(AK22),AK22,IFERROR(INT(IFERROR(IF(ISNUMBER(INDEX($A22:$Z22,MATCH(Settings!$L$11,$A$1:$Z$1,0))),INDEX($A22:$Z22,MATCH(Settings!$L$11,$A$1:$Z$1,0)),DATE(VALUE(LEFT(IFERROR(TRIM(INDEX($A22:$Z22,MATCH(Settings!$L$11,$A$1:$Z$1,0))&amp;""),""),4)),VALUE(MID(IFERROR(TRIM(INDEX($A22:$Z22,MATCH(Settings!$L$11,$A$1:$Z$1,0))&amp;""),""),6,2)),VALUE(MID(IFERROR(TRIM(INDEX($A22:$Z22,MATCH(Settings!$L$11,$A$1:$Z$1,0))&amp;""),""),9,2)))+TIME(VALUE(MID(IFERROR(TRIM(INDEX($A22:$Z22,MATCH(Settings!$L$11,$A$1:$Z$1,0))&amp;""),""),12,2)),VALUE(MID(IFERROR(TRIM(INDEX($A22:$Z22,MATCH(Settings!$L$11,$A$1:$Z$1,0))&amp;""),""),15,2)),VALUE(MID(IFERROR(TRIM(INDEX($A22:$Z22,MATCH(Settings!$L$11,$A$1:$Z$1,0))&amp;""),""),18,2)))),"")),"")))</f>
        <v/>
      </c>
      <c r="AM22" s="31">
        <f>IF(AE22="","",IF(ISNUMBER(IFERROR(INDEX(Settings!$G$4:$G$11,MATCH(AH22,Settings!$F$4:$F$11,0)),"")),INDEX(Settings!$G$4:$G$11,MATCH(AH22,Settings!$F$4:$F$11,0)),Settings!$D$5))</f>
        <v/>
      </c>
      <c r="AN22" s="32">
        <f>IF(OR(AE22="",NOT(ISNUMBER(AL22)),NOT(ISNUMBER(AM22))),"",IF(AM22&lt;=0,"",IF(ISNUMBER(Settings!$D$8),DATE(YEAR(AL22)+IF(DATE(YEAR(AL22),MONTH(Settings!$D$8),DAY(Settings!$D$8))&gt;AL22,0,1),MONTH(Settings!$D$8),DAY(Settings!$D$8)),MIN(DATE(YEAR(AL22),MONTH(AL22)+AM22,DAY(AL22)),DATE(YEAR(AL22),MONTH(AL22)+AM22+1,0)))))</f>
        <v/>
      </c>
      <c r="AO22" s="31">
        <f>IF(ISNUMBER(AN22),AN22-Settings!$D$4,"")</f>
        <v/>
      </c>
      <c r="AP22" s="31">
        <f>IF(ISNUMBER(AL22),AL22+0+ROW()/100000,"")</f>
        <v/>
      </c>
      <c r="AQ22" s="31">
        <f>IF(OR(AG22="",NOT(ISNUMBER(AP22))),0,IF(SUMPRODUCT(('Responses'!$AG$2:$AG$501=AG22)*('Responses'!$AJ$2:$AJ$501=1)*ISNUMBER('Responses'!$AP$2:$AP$501)*('Responses'!$AP$2:$AP$501&gt;AP22)) + SUMPRODUCT(('Paper sign-ups'!$K$2:$K$101=AG22)*('Paper sign-ups'!$N$2:$N$101=1)*ISNUMBER('Paper sign-ups'!$T$2:$T$101)*('Paper sign-ups'!$T$2:$T$101&gt;AP22))&gt;0,1,0))</f>
        <v/>
      </c>
      <c r="AR22" s="31">
        <f>IF(AE22="","",IF(AQ22=1,"Joined again",IF(AJ22=0,"Unpaid",IF(NOT(ISNUMBER(AL22)),"Add a join date",IF(AN22="","No reminder",IF(AO22&lt;0,"Lapsed",IF(AO22&lt;=Settings!$D$6,"Remind soon","Current")))))))</f>
        <v/>
      </c>
      <c r="AS22" s="33">
        <f>IF(AJ22=1,IFERROR(VALUE(IFERROR(TRIM(INDEX($A22:$Z22,MATCH(Settings!$L$8,$A$1:$Z$1,0))&amp;""),"")),0)-IFERROR(VALUE(IFERROR(TRIM(INDEX($A22:$Z22,MATCH(Settings!$L$9,$A$1:$Z$1,0))&amp;""),"")),0),0)</f>
        <v/>
      </c>
      <c r="AT22" s="31">
        <f>IF(AND(AE22&lt;&gt;"",AQ22=0),1,0)</f>
        <v/>
      </c>
      <c r="AU22" s="31">
        <f>IF(AT22=0,"",IF(ISNUMBER(AN22),AN22,100000)+0+ROW()/1000000)</f>
        <v/>
      </c>
      <c r="AV22" s="31">
        <f>IF(ISNUMBER(AU22),SUMPRODUCT(ISNUMBER('Responses'!$AU$2:$AU$501)*('Responses'!$AU$2:$AU$501&lt;AU22)) + SUMPRODUCT(ISNUMBER('Paper sign-ups'!$Y$2:$Y$101)*('Paper sign-ups'!$Y$2:$Y$101&lt;AU22))+1,"")</f>
        <v/>
      </c>
    </row>
    <row r="23">
      <c r="AA23" s="29" t="n"/>
      <c r="AB23" s="30" t="n"/>
      <c r="AC23" s="30" t="n"/>
      <c r="AD23" s="29" t="n"/>
      <c r="AE23" s="31">
        <f>IFERROR(TRIM(INDEX($A23:$Z23,MATCH(Settings!$L$4,$A$1:$Z$1,0))&amp;""),"")</f>
        <v/>
      </c>
      <c r="AF23" s="31">
        <f>IFERROR(TRIM(INDEX($A23:$Z23,MATCH(Settings!$L$5,$A$1:$Z$1,0))&amp;""),"")</f>
        <v/>
      </c>
      <c r="AG23" s="31">
        <f>IF(AE23="","",LOWER(IF(AF23&lt;&gt;"",AF23,AE23)))</f>
        <v/>
      </c>
      <c r="AH23" s="31">
        <f>IFERROR(TRIM(INDEX($A23:$Z23,MATCH(Settings!$L$6,$A$1:$Z$1,0))&amp;""),"")</f>
        <v/>
      </c>
      <c r="AI23" s="31">
        <f>IF(AE23="","",IF(UPPER(TRIM(AB23&amp;""))="Y","Paid another way",IF(IFERROR(TRIM(INDEX($A23:$Z23,MATCH(Settings!$L$7,$A$1:$Z$1,0))&amp;""),"")="","No payment status",IFERROR(TRIM(INDEX($A23:$Z23,MATCH(Settings!$L$7,$A$1:$Z$1,0))&amp;""),""))))</f>
        <v/>
      </c>
      <c r="AJ23" s="31">
        <f>IF(AE23="",0,IF(IFERROR(INDEX(Settings!$J$4:$J$14,MATCH(AI23,Settings!$I$4:$I$14,0)),"N")="Y",1,0))</f>
        <v/>
      </c>
      <c r="AK23" s="32">
        <f>IFERROR(INT(IFERROR(IF(ISNUMBER(INDEX($A23:$Z23,MATCH(Settings!$L$10,$A$1:$Z$1,0))),INDEX($A23:$Z23,MATCH(Settings!$L$10,$A$1:$Z$1,0)),DATE(VALUE(LEFT(IFERROR(TRIM(INDEX($A23:$Z23,MATCH(Settings!$L$10,$A$1:$Z$1,0))&amp;""),""),4)),VALUE(MID(IFERROR(TRIM(INDEX($A23:$Z23,MATCH(Settings!$L$10,$A$1:$Z$1,0))&amp;""),""),6,2)),VALUE(MID(IFERROR(TRIM(INDEX($A23:$Z23,MATCH(Settings!$L$10,$A$1:$Z$1,0))&amp;""),""),9,2)))+TIME(VALUE(MID(IFERROR(TRIM(INDEX($A23:$Z23,MATCH(Settings!$L$10,$A$1:$Z$1,0))&amp;""),""),12,2)),VALUE(MID(IFERROR(TRIM(INDEX($A23:$Z23,MATCH(Settings!$L$10,$A$1:$Z$1,0))&amp;""),""),15,2)),VALUE(MID(IFERROR(TRIM(INDEX($A23:$Z23,MATCH(Settings!$L$10,$A$1:$Z$1,0))&amp;""),""),18,2)))),"")),"")</f>
        <v/>
      </c>
      <c r="AL23" s="32">
        <f>IF(AE23="","",IF(ISNUMBER(AK23),AK23,IFERROR(INT(IFERROR(IF(ISNUMBER(INDEX($A23:$Z23,MATCH(Settings!$L$11,$A$1:$Z$1,0))),INDEX($A23:$Z23,MATCH(Settings!$L$11,$A$1:$Z$1,0)),DATE(VALUE(LEFT(IFERROR(TRIM(INDEX($A23:$Z23,MATCH(Settings!$L$11,$A$1:$Z$1,0))&amp;""),""),4)),VALUE(MID(IFERROR(TRIM(INDEX($A23:$Z23,MATCH(Settings!$L$11,$A$1:$Z$1,0))&amp;""),""),6,2)),VALUE(MID(IFERROR(TRIM(INDEX($A23:$Z23,MATCH(Settings!$L$11,$A$1:$Z$1,0))&amp;""),""),9,2)))+TIME(VALUE(MID(IFERROR(TRIM(INDEX($A23:$Z23,MATCH(Settings!$L$11,$A$1:$Z$1,0))&amp;""),""),12,2)),VALUE(MID(IFERROR(TRIM(INDEX($A23:$Z23,MATCH(Settings!$L$11,$A$1:$Z$1,0))&amp;""),""),15,2)),VALUE(MID(IFERROR(TRIM(INDEX($A23:$Z23,MATCH(Settings!$L$11,$A$1:$Z$1,0))&amp;""),""),18,2)))),"")),"")))</f>
        <v/>
      </c>
      <c r="AM23" s="31">
        <f>IF(AE23="","",IF(ISNUMBER(IFERROR(INDEX(Settings!$G$4:$G$11,MATCH(AH23,Settings!$F$4:$F$11,0)),"")),INDEX(Settings!$G$4:$G$11,MATCH(AH23,Settings!$F$4:$F$11,0)),Settings!$D$5))</f>
        <v/>
      </c>
      <c r="AN23" s="32">
        <f>IF(OR(AE23="",NOT(ISNUMBER(AL23)),NOT(ISNUMBER(AM23))),"",IF(AM23&lt;=0,"",IF(ISNUMBER(Settings!$D$8),DATE(YEAR(AL23)+IF(DATE(YEAR(AL23),MONTH(Settings!$D$8),DAY(Settings!$D$8))&gt;AL23,0,1),MONTH(Settings!$D$8),DAY(Settings!$D$8)),MIN(DATE(YEAR(AL23),MONTH(AL23)+AM23,DAY(AL23)),DATE(YEAR(AL23),MONTH(AL23)+AM23+1,0)))))</f>
        <v/>
      </c>
      <c r="AO23" s="31">
        <f>IF(ISNUMBER(AN23),AN23-Settings!$D$4,"")</f>
        <v/>
      </c>
      <c r="AP23" s="31">
        <f>IF(ISNUMBER(AL23),AL23+0+ROW()/100000,"")</f>
        <v/>
      </c>
      <c r="AQ23" s="31">
        <f>IF(OR(AG23="",NOT(ISNUMBER(AP23))),0,IF(SUMPRODUCT(('Responses'!$AG$2:$AG$501=AG23)*('Responses'!$AJ$2:$AJ$501=1)*ISNUMBER('Responses'!$AP$2:$AP$501)*('Responses'!$AP$2:$AP$501&gt;AP23)) + SUMPRODUCT(('Paper sign-ups'!$K$2:$K$101=AG23)*('Paper sign-ups'!$N$2:$N$101=1)*ISNUMBER('Paper sign-ups'!$T$2:$T$101)*('Paper sign-ups'!$T$2:$T$101&gt;AP23))&gt;0,1,0))</f>
        <v/>
      </c>
      <c r="AR23" s="31">
        <f>IF(AE23="","",IF(AQ23=1,"Joined again",IF(AJ23=0,"Unpaid",IF(NOT(ISNUMBER(AL23)),"Add a join date",IF(AN23="","No reminder",IF(AO23&lt;0,"Lapsed",IF(AO23&lt;=Settings!$D$6,"Remind soon","Current")))))))</f>
        <v/>
      </c>
      <c r="AS23" s="33">
        <f>IF(AJ23=1,IFERROR(VALUE(IFERROR(TRIM(INDEX($A23:$Z23,MATCH(Settings!$L$8,$A$1:$Z$1,0))&amp;""),"")),0)-IFERROR(VALUE(IFERROR(TRIM(INDEX($A23:$Z23,MATCH(Settings!$L$9,$A$1:$Z$1,0))&amp;""),"")),0),0)</f>
        <v/>
      </c>
      <c r="AT23" s="31">
        <f>IF(AND(AE23&lt;&gt;"",AQ23=0),1,0)</f>
        <v/>
      </c>
      <c r="AU23" s="31">
        <f>IF(AT23=0,"",IF(ISNUMBER(AN23),AN23,100000)+0+ROW()/1000000)</f>
        <v/>
      </c>
      <c r="AV23" s="31">
        <f>IF(ISNUMBER(AU23),SUMPRODUCT(ISNUMBER('Responses'!$AU$2:$AU$501)*('Responses'!$AU$2:$AU$501&lt;AU23)) + SUMPRODUCT(ISNUMBER('Paper sign-ups'!$Y$2:$Y$101)*('Paper sign-ups'!$Y$2:$Y$101&lt;AU23))+1,"")</f>
        <v/>
      </c>
    </row>
    <row r="24">
      <c r="AA24" s="29" t="n"/>
      <c r="AB24" s="30" t="n"/>
      <c r="AC24" s="30" t="n"/>
      <c r="AD24" s="29" t="n"/>
      <c r="AE24" s="31">
        <f>IFERROR(TRIM(INDEX($A24:$Z24,MATCH(Settings!$L$4,$A$1:$Z$1,0))&amp;""),"")</f>
        <v/>
      </c>
      <c r="AF24" s="31">
        <f>IFERROR(TRIM(INDEX($A24:$Z24,MATCH(Settings!$L$5,$A$1:$Z$1,0))&amp;""),"")</f>
        <v/>
      </c>
      <c r="AG24" s="31">
        <f>IF(AE24="","",LOWER(IF(AF24&lt;&gt;"",AF24,AE24)))</f>
        <v/>
      </c>
      <c r="AH24" s="31">
        <f>IFERROR(TRIM(INDEX($A24:$Z24,MATCH(Settings!$L$6,$A$1:$Z$1,0))&amp;""),"")</f>
        <v/>
      </c>
      <c r="AI24" s="31">
        <f>IF(AE24="","",IF(UPPER(TRIM(AB24&amp;""))="Y","Paid another way",IF(IFERROR(TRIM(INDEX($A24:$Z24,MATCH(Settings!$L$7,$A$1:$Z$1,0))&amp;""),"")="","No payment status",IFERROR(TRIM(INDEX($A24:$Z24,MATCH(Settings!$L$7,$A$1:$Z$1,0))&amp;""),""))))</f>
        <v/>
      </c>
      <c r="AJ24" s="31">
        <f>IF(AE24="",0,IF(IFERROR(INDEX(Settings!$J$4:$J$14,MATCH(AI24,Settings!$I$4:$I$14,0)),"N")="Y",1,0))</f>
        <v/>
      </c>
      <c r="AK24" s="32">
        <f>IFERROR(INT(IFERROR(IF(ISNUMBER(INDEX($A24:$Z24,MATCH(Settings!$L$10,$A$1:$Z$1,0))),INDEX($A24:$Z24,MATCH(Settings!$L$10,$A$1:$Z$1,0)),DATE(VALUE(LEFT(IFERROR(TRIM(INDEX($A24:$Z24,MATCH(Settings!$L$10,$A$1:$Z$1,0))&amp;""),""),4)),VALUE(MID(IFERROR(TRIM(INDEX($A24:$Z24,MATCH(Settings!$L$10,$A$1:$Z$1,0))&amp;""),""),6,2)),VALUE(MID(IFERROR(TRIM(INDEX($A24:$Z24,MATCH(Settings!$L$10,$A$1:$Z$1,0))&amp;""),""),9,2)))+TIME(VALUE(MID(IFERROR(TRIM(INDEX($A24:$Z24,MATCH(Settings!$L$10,$A$1:$Z$1,0))&amp;""),""),12,2)),VALUE(MID(IFERROR(TRIM(INDEX($A24:$Z24,MATCH(Settings!$L$10,$A$1:$Z$1,0))&amp;""),""),15,2)),VALUE(MID(IFERROR(TRIM(INDEX($A24:$Z24,MATCH(Settings!$L$10,$A$1:$Z$1,0))&amp;""),""),18,2)))),"")),"")</f>
        <v/>
      </c>
      <c r="AL24" s="32">
        <f>IF(AE24="","",IF(ISNUMBER(AK24),AK24,IFERROR(INT(IFERROR(IF(ISNUMBER(INDEX($A24:$Z24,MATCH(Settings!$L$11,$A$1:$Z$1,0))),INDEX($A24:$Z24,MATCH(Settings!$L$11,$A$1:$Z$1,0)),DATE(VALUE(LEFT(IFERROR(TRIM(INDEX($A24:$Z24,MATCH(Settings!$L$11,$A$1:$Z$1,0))&amp;""),""),4)),VALUE(MID(IFERROR(TRIM(INDEX($A24:$Z24,MATCH(Settings!$L$11,$A$1:$Z$1,0))&amp;""),""),6,2)),VALUE(MID(IFERROR(TRIM(INDEX($A24:$Z24,MATCH(Settings!$L$11,$A$1:$Z$1,0))&amp;""),""),9,2)))+TIME(VALUE(MID(IFERROR(TRIM(INDEX($A24:$Z24,MATCH(Settings!$L$11,$A$1:$Z$1,0))&amp;""),""),12,2)),VALUE(MID(IFERROR(TRIM(INDEX($A24:$Z24,MATCH(Settings!$L$11,$A$1:$Z$1,0))&amp;""),""),15,2)),VALUE(MID(IFERROR(TRIM(INDEX($A24:$Z24,MATCH(Settings!$L$11,$A$1:$Z$1,0))&amp;""),""),18,2)))),"")),"")))</f>
        <v/>
      </c>
      <c r="AM24" s="31">
        <f>IF(AE24="","",IF(ISNUMBER(IFERROR(INDEX(Settings!$G$4:$G$11,MATCH(AH24,Settings!$F$4:$F$11,0)),"")),INDEX(Settings!$G$4:$G$11,MATCH(AH24,Settings!$F$4:$F$11,0)),Settings!$D$5))</f>
        <v/>
      </c>
      <c r="AN24" s="32">
        <f>IF(OR(AE24="",NOT(ISNUMBER(AL24)),NOT(ISNUMBER(AM24))),"",IF(AM24&lt;=0,"",IF(ISNUMBER(Settings!$D$8),DATE(YEAR(AL24)+IF(DATE(YEAR(AL24),MONTH(Settings!$D$8),DAY(Settings!$D$8))&gt;AL24,0,1),MONTH(Settings!$D$8),DAY(Settings!$D$8)),MIN(DATE(YEAR(AL24),MONTH(AL24)+AM24,DAY(AL24)),DATE(YEAR(AL24),MONTH(AL24)+AM24+1,0)))))</f>
        <v/>
      </c>
      <c r="AO24" s="31">
        <f>IF(ISNUMBER(AN24),AN24-Settings!$D$4,"")</f>
        <v/>
      </c>
      <c r="AP24" s="31">
        <f>IF(ISNUMBER(AL24),AL24+0+ROW()/100000,"")</f>
        <v/>
      </c>
      <c r="AQ24" s="31">
        <f>IF(OR(AG24="",NOT(ISNUMBER(AP24))),0,IF(SUMPRODUCT(('Responses'!$AG$2:$AG$501=AG24)*('Responses'!$AJ$2:$AJ$501=1)*ISNUMBER('Responses'!$AP$2:$AP$501)*('Responses'!$AP$2:$AP$501&gt;AP24)) + SUMPRODUCT(('Paper sign-ups'!$K$2:$K$101=AG24)*('Paper sign-ups'!$N$2:$N$101=1)*ISNUMBER('Paper sign-ups'!$T$2:$T$101)*('Paper sign-ups'!$T$2:$T$101&gt;AP24))&gt;0,1,0))</f>
        <v/>
      </c>
      <c r="AR24" s="31">
        <f>IF(AE24="","",IF(AQ24=1,"Joined again",IF(AJ24=0,"Unpaid",IF(NOT(ISNUMBER(AL24)),"Add a join date",IF(AN24="","No reminder",IF(AO24&lt;0,"Lapsed",IF(AO24&lt;=Settings!$D$6,"Remind soon","Current")))))))</f>
        <v/>
      </c>
      <c r="AS24" s="33">
        <f>IF(AJ24=1,IFERROR(VALUE(IFERROR(TRIM(INDEX($A24:$Z24,MATCH(Settings!$L$8,$A$1:$Z$1,0))&amp;""),"")),0)-IFERROR(VALUE(IFERROR(TRIM(INDEX($A24:$Z24,MATCH(Settings!$L$9,$A$1:$Z$1,0))&amp;""),"")),0),0)</f>
        <v/>
      </c>
      <c r="AT24" s="31">
        <f>IF(AND(AE24&lt;&gt;"",AQ24=0),1,0)</f>
        <v/>
      </c>
      <c r="AU24" s="31">
        <f>IF(AT24=0,"",IF(ISNUMBER(AN24),AN24,100000)+0+ROW()/1000000)</f>
        <v/>
      </c>
      <c r="AV24" s="31">
        <f>IF(ISNUMBER(AU24),SUMPRODUCT(ISNUMBER('Responses'!$AU$2:$AU$501)*('Responses'!$AU$2:$AU$501&lt;AU24)) + SUMPRODUCT(ISNUMBER('Paper sign-ups'!$Y$2:$Y$101)*('Paper sign-ups'!$Y$2:$Y$101&lt;AU24))+1,"")</f>
        <v/>
      </c>
    </row>
    <row r="25">
      <c r="AA25" s="29" t="n"/>
      <c r="AB25" s="30" t="n"/>
      <c r="AC25" s="30" t="n"/>
      <c r="AD25" s="29" t="n"/>
      <c r="AE25" s="31">
        <f>IFERROR(TRIM(INDEX($A25:$Z25,MATCH(Settings!$L$4,$A$1:$Z$1,0))&amp;""),"")</f>
        <v/>
      </c>
      <c r="AF25" s="31">
        <f>IFERROR(TRIM(INDEX($A25:$Z25,MATCH(Settings!$L$5,$A$1:$Z$1,0))&amp;""),"")</f>
        <v/>
      </c>
      <c r="AG25" s="31">
        <f>IF(AE25="","",LOWER(IF(AF25&lt;&gt;"",AF25,AE25)))</f>
        <v/>
      </c>
      <c r="AH25" s="31">
        <f>IFERROR(TRIM(INDEX($A25:$Z25,MATCH(Settings!$L$6,$A$1:$Z$1,0))&amp;""),"")</f>
        <v/>
      </c>
      <c r="AI25" s="31">
        <f>IF(AE25="","",IF(UPPER(TRIM(AB25&amp;""))="Y","Paid another way",IF(IFERROR(TRIM(INDEX($A25:$Z25,MATCH(Settings!$L$7,$A$1:$Z$1,0))&amp;""),"")="","No payment status",IFERROR(TRIM(INDEX($A25:$Z25,MATCH(Settings!$L$7,$A$1:$Z$1,0))&amp;""),""))))</f>
        <v/>
      </c>
      <c r="AJ25" s="31">
        <f>IF(AE25="",0,IF(IFERROR(INDEX(Settings!$J$4:$J$14,MATCH(AI25,Settings!$I$4:$I$14,0)),"N")="Y",1,0))</f>
        <v/>
      </c>
      <c r="AK25" s="32">
        <f>IFERROR(INT(IFERROR(IF(ISNUMBER(INDEX($A25:$Z25,MATCH(Settings!$L$10,$A$1:$Z$1,0))),INDEX($A25:$Z25,MATCH(Settings!$L$10,$A$1:$Z$1,0)),DATE(VALUE(LEFT(IFERROR(TRIM(INDEX($A25:$Z25,MATCH(Settings!$L$10,$A$1:$Z$1,0))&amp;""),""),4)),VALUE(MID(IFERROR(TRIM(INDEX($A25:$Z25,MATCH(Settings!$L$10,$A$1:$Z$1,0))&amp;""),""),6,2)),VALUE(MID(IFERROR(TRIM(INDEX($A25:$Z25,MATCH(Settings!$L$10,$A$1:$Z$1,0))&amp;""),""),9,2)))+TIME(VALUE(MID(IFERROR(TRIM(INDEX($A25:$Z25,MATCH(Settings!$L$10,$A$1:$Z$1,0))&amp;""),""),12,2)),VALUE(MID(IFERROR(TRIM(INDEX($A25:$Z25,MATCH(Settings!$L$10,$A$1:$Z$1,0))&amp;""),""),15,2)),VALUE(MID(IFERROR(TRIM(INDEX($A25:$Z25,MATCH(Settings!$L$10,$A$1:$Z$1,0))&amp;""),""),18,2)))),"")),"")</f>
        <v/>
      </c>
      <c r="AL25" s="32">
        <f>IF(AE25="","",IF(ISNUMBER(AK25),AK25,IFERROR(INT(IFERROR(IF(ISNUMBER(INDEX($A25:$Z25,MATCH(Settings!$L$11,$A$1:$Z$1,0))),INDEX($A25:$Z25,MATCH(Settings!$L$11,$A$1:$Z$1,0)),DATE(VALUE(LEFT(IFERROR(TRIM(INDEX($A25:$Z25,MATCH(Settings!$L$11,$A$1:$Z$1,0))&amp;""),""),4)),VALUE(MID(IFERROR(TRIM(INDEX($A25:$Z25,MATCH(Settings!$L$11,$A$1:$Z$1,0))&amp;""),""),6,2)),VALUE(MID(IFERROR(TRIM(INDEX($A25:$Z25,MATCH(Settings!$L$11,$A$1:$Z$1,0))&amp;""),""),9,2)))+TIME(VALUE(MID(IFERROR(TRIM(INDEX($A25:$Z25,MATCH(Settings!$L$11,$A$1:$Z$1,0))&amp;""),""),12,2)),VALUE(MID(IFERROR(TRIM(INDEX($A25:$Z25,MATCH(Settings!$L$11,$A$1:$Z$1,0))&amp;""),""),15,2)),VALUE(MID(IFERROR(TRIM(INDEX($A25:$Z25,MATCH(Settings!$L$11,$A$1:$Z$1,0))&amp;""),""),18,2)))),"")),"")))</f>
        <v/>
      </c>
      <c r="AM25" s="31">
        <f>IF(AE25="","",IF(ISNUMBER(IFERROR(INDEX(Settings!$G$4:$G$11,MATCH(AH25,Settings!$F$4:$F$11,0)),"")),INDEX(Settings!$G$4:$G$11,MATCH(AH25,Settings!$F$4:$F$11,0)),Settings!$D$5))</f>
        <v/>
      </c>
      <c r="AN25" s="32">
        <f>IF(OR(AE25="",NOT(ISNUMBER(AL25)),NOT(ISNUMBER(AM25))),"",IF(AM25&lt;=0,"",IF(ISNUMBER(Settings!$D$8),DATE(YEAR(AL25)+IF(DATE(YEAR(AL25),MONTH(Settings!$D$8),DAY(Settings!$D$8))&gt;AL25,0,1),MONTH(Settings!$D$8),DAY(Settings!$D$8)),MIN(DATE(YEAR(AL25),MONTH(AL25)+AM25,DAY(AL25)),DATE(YEAR(AL25),MONTH(AL25)+AM25+1,0)))))</f>
        <v/>
      </c>
      <c r="AO25" s="31">
        <f>IF(ISNUMBER(AN25),AN25-Settings!$D$4,"")</f>
        <v/>
      </c>
      <c r="AP25" s="31">
        <f>IF(ISNUMBER(AL25),AL25+0+ROW()/100000,"")</f>
        <v/>
      </c>
      <c r="AQ25" s="31">
        <f>IF(OR(AG25="",NOT(ISNUMBER(AP25))),0,IF(SUMPRODUCT(('Responses'!$AG$2:$AG$501=AG25)*('Responses'!$AJ$2:$AJ$501=1)*ISNUMBER('Responses'!$AP$2:$AP$501)*('Responses'!$AP$2:$AP$501&gt;AP25)) + SUMPRODUCT(('Paper sign-ups'!$K$2:$K$101=AG25)*('Paper sign-ups'!$N$2:$N$101=1)*ISNUMBER('Paper sign-ups'!$T$2:$T$101)*('Paper sign-ups'!$T$2:$T$101&gt;AP25))&gt;0,1,0))</f>
        <v/>
      </c>
      <c r="AR25" s="31">
        <f>IF(AE25="","",IF(AQ25=1,"Joined again",IF(AJ25=0,"Unpaid",IF(NOT(ISNUMBER(AL25)),"Add a join date",IF(AN25="","No reminder",IF(AO25&lt;0,"Lapsed",IF(AO25&lt;=Settings!$D$6,"Remind soon","Current")))))))</f>
        <v/>
      </c>
      <c r="AS25" s="33">
        <f>IF(AJ25=1,IFERROR(VALUE(IFERROR(TRIM(INDEX($A25:$Z25,MATCH(Settings!$L$8,$A$1:$Z$1,0))&amp;""),"")),0)-IFERROR(VALUE(IFERROR(TRIM(INDEX($A25:$Z25,MATCH(Settings!$L$9,$A$1:$Z$1,0))&amp;""),"")),0),0)</f>
        <v/>
      </c>
      <c r="AT25" s="31">
        <f>IF(AND(AE25&lt;&gt;"",AQ25=0),1,0)</f>
        <v/>
      </c>
      <c r="AU25" s="31">
        <f>IF(AT25=0,"",IF(ISNUMBER(AN25),AN25,100000)+0+ROW()/1000000)</f>
        <v/>
      </c>
      <c r="AV25" s="31">
        <f>IF(ISNUMBER(AU25),SUMPRODUCT(ISNUMBER('Responses'!$AU$2:$AU$501)*('Responses'!$AU$2:$AU$501&lt;AU25)) + SUMPRODUCT(ISNUMBER('Paper sign-ups'!$Y$2:$Y$101)*('Paper sign-ups'!$Y$2:$Y$101&lt;AU25))+1,"")</f>
        <v/>
      </c>
    </row>
    <row r="26">
      <c r="AA26" s="29" t="n"/>
      <c r="AB26" s="30" t="n"/>
      <c r="AC26" s="30" t="n"/>
      <c r="AD26" s="29" t="n"/>
      <c r="AE26" s="31">
        <f>IFERROR(TRIM(INDEX($A26:$Z26,MATCH(Settings!$L$4,$A$1:$Z$1,0))&amp;""),"")</f>
        <v/>
      </c>
      <c r="AF26" s="31">
        <f>IFERROR(TRIM(INDEX($A26:$Z26,MATCH(Settings!$L$5,$A$1:$Z$1,0))&amp;""),"")</f>
        <v/>
      </c>
      <c r="AG26" s="31">
        <f>IF(AE26="","",LOWER(IF(AF26&lt;&gt;"",AF26,AE26)))</f>
        <v/>
      </c>
      <c r="AH26" s="31">
        <f>IFERROR(TRIM(INDEX($A26:$Z26,MATCH(Settings!$L$6,$A$1:$Z$1,0))&amp;""),"")</f>
        <v/>
      </c>
      <c r="AI26" s="31">
        <f>IF(AE26="","",IF(UPPER(TRIM(AB26&amp;""))="Y","Paid another way",IF(IFERROR(TRIM(INDEX($A26:$Z26,MATCH(Settings!$L$7,$A$1:$Z$1,0))&amp;""),"")="","No payment status",IFERROR(TRIM(INDEX($A26:$Z26,MATCH(Settings!$L$7,$A$1:$Z$1,0))&amp;""),""))))</f>
        <v/>
      </c>
      <c r="AJ26" s="31">
        <f>IF(AE26="",0,IF(IFERROR(INDEX(Settings!$J$4:$J$14,MATCH(AI26,Settings!$I$4:$I$14,0)),"N")="Y",1,0))</f>
        <v/>
      </c>
      <c r="AK26" s="32">
        <f>IFERROR(INT(IFERROR(IF(ISNUMBER(INDEX($A26:$Z26,MATCH(Settings!$L$10,$A$1:$Z$1,0))),INDEX($A26:$Z26,MATCH(Settings!$L$10,$A$1:$Z$1,0)),DATE(VALUE(LEFT(IFERROR(TRIM(INDEX($A26:$Z26,MATCH(Settings!$L$10,$A$1:$Z$1,0))&amp;""),""),4)),VALUE(MID(IFERROR(TRIM(INDEX($A26:$Z26,MATCH(Settings!$L$10,$A$1:$Z$1,0))&amp;""),""),6,2)),VALUE(MID(IFERROR(TRIM(INDEX($A26:$Z26,MATCH(Settings!$L$10,$A$1:$Z$1,0))&amp;""),""),9,2)))+TIME(VALUE(MID(IFERROR(TRIM(INDEX($A26:$Z26,MATCH(Settings!$L$10,$A$1:$Z$1,0))&amp;""),""),12,2)),VALUE(MID(IFERROR(TRIM(INDEX($A26:$Z26,MATCH(Settings!$L$10,$A$1:$Z$1,0))&amp;""),""),15,2)),VALUE(MID(IFERROR(TRIM(INDEX($A26:$Z26,MATCH(Settings!$L$10,$A$1:$Z$1,0))&amp;""),""),18,2)))),"")),"")</f>
        <v/>
      </c>
      <c r="AL26" s="32">
        <f>IF(AE26="","",IF(ISNUMBER(AK26),AK26,IFERROR(INT(IFERROR(IF(ISNUMBER(INDEX($A26:$Z26,MATCH(Settings!$L$11,$A$1:$Z$1,0))),INDEX($A26:$Z26,MATCH(Settings!$L$11,$A$1:$Z$1,0)),DATE(VALUE(LEFT(IFERROR(TRIM(INDEX($A26:$Z26,MATCH(Settings!$L$11,$A$1:$Z$1,0))&amp;""),""),4)),VALUE(MID(IFERROR(TRIM(INDEX($A26:$Z26,MATCH(Settings!$L$11,$A$1:$Z$1,0))&amp;""),""),6,2)),VALUE(MID(IFERROR(TRIM(INDEX($A26:$Z26,MATCH(Settings!$L$11,$A$1:$Z$1,0))&amp;""),""),9,2)))+TIME(VALUE(MID(IFERROR(TRIM(INDEX($A26:$Z26,MATCH(Settings!$L$11,$A$1:$Z$1,0))&amp;""),""),12,2)),VALUE(MID(IFERROR(TRIM(INDEX($A26:$Z26,MATCH(Settings!$L$11,$A$1:$Z$1,0))&amp;""),""),15,2)),VALUE(MID(IFERROR(TRIM(INDEX($A26:$Z26,MATCH(Settings!$L$11,$A$1:$Z$1,0))&amp;""),""),18,2)))),"")),"")))</f>
        <v/>
      </c>
      <c r="AM26" s="31">
        <f>IF(AE26="","",IF(ISNUMBER(IFERROR(INDEX(Settings!$G$4:$G$11,MATCH(AH26,Settings!$F$4:$F$11,0)),"")),INDEX(Settings!$G$4:$G$11,MATCH(AH26,Settings!$F$4:$F$11,0)),Settings!$D$5))</f>
        <v/>
      </c>
      <c r="AN26" s="32">
        <f>IF(OR(AE26="",NOT(ISNUMBER(AL26)),NOT(ISNUMBER(AM26))),"",IF(AM26&lt;=0,"",IF(ISNUMBER(Settings!$D$8),DATE(YEAR(AL26)+IF(DATE(YEAR(AL26),MONTH(Settings!$D$8),DAY(Settings!$D$8))&gt;AL26,0,1),MONTH(Settings!$D$8),DAY(Settings!$D$8)),MIN(DATE(YEAR(AL26),MONTH(AL26)+AM26,DAY(AL26)),DATE(YEAR(AL26),MONTH(AL26)+AM26+1,0)))))</f>
        <v/>
      </c>
      <c r="AO26" s="31">
        <f>IF(ISNUMBER(AN26),AN26-Settings!$D$4,"")</f>
        <v/>
      </c>
      <c r="AP26" s="31">
        <f>IF(ISNUMBER(AL26),AL26+0+ROW()/100000,"")</f>
        <v/>
      </c>
      <c r="AQ26" s="31">
        <f>IF(OR(AG26="",NOT(ISNUMBER(AP26))),0,IF(SUMPRODUCT(('Responses'!$AG$2:$AG$501=AG26)*('Responses'!$AJ$2:$AJ$501=1)*ISNUMBER('Responses'!$AP$2:$AP$501)*('Responses'!$AP$2:$AP$501&gt;AP26)) + SUMPRODUCT(('Paper sign-ups'!$K$2:$K$101=AG26)*('Paper sign-ups'!$N$2:$N$101=1)*ISNUMBER('Paper sign-ups'!$T$2:$T$101)*('Paper sign-ups'!$T$2:$T$101&gt;AP26))&gt;0,1,0))</f>
        <v/>
      </c>
      <c r="AR26" s="31">
        <f>IF(AE26="","",IF(AQ26=1,"Joined again",IF(AJ26=0,"Unpaid",IF(NOT(ISNUMBER(AL26)),"Add a join date",IF(AN26="","No reminder",IF(AO26&lt;0,"Lapsed",IF(AO26&lt;=Settings!$D$6,"Remind soon","Current")))))))</f>
        <v/>
      </c>
      <c r="AS26" s="33">
        <f>IF(AJ26=1,IFERROR(VALUE(IFERROR(TRIM(INDEX($A26:$Z26,MATCH(Settings!$L$8,$A$1:$Z$1,0))&amp;""),"")),0)-IFERROR(VALUE(IFERROR(TRIM(INDEX($A26:$Z26,MATCH(Settings!$L$9,$A$1:$Z$1,0))&amp;""),"")),0),0)</f>
        <v/>
      </c>
      <c r="AT26" s="31">
        <f>IF(AND(AE26&lt;&gt;"",AQ26=0),1,0)</f>
        <v/>
      </c>
      <c r="AU26" s="31">
        <f>IF(AT26=0,"",IF(ISNUMBER(AN26),AN26,100000)+0+ROW()/1000000)</f>
        <v/>
      </c>
      <c r="AV26" s="31">
        <f>IF(ISNUMBER(AU26),SUMPRODUCT(ISNUMBER('Responses'!$AU$2:$AU$501)*('Responses'!$AU$2:$AU$501&lt;AU26)) + SUMPRODUCT(ISNUMBER('Paper sign-ups'!$Y$2:$Y$101)*('Paper sign-ups'!$Y$2:$Y$101&lt;AU26))+1,"")</f>
        <v/>
      </c>
    </row>
    <row r="27">
      <c r="AA27" s="29" t="n"/>
      <c r="AB27" s="30" t="n"/>
      <c r="AC27" s="30" t="n"/>
      <c r="AD27" s="29" t="n"/>
      <c r="AE27" s="31">
        <f>IFERROR(TRIM(INDEX($A27:$Z27,MATCH(Settings!$L$4,$A$1:$Z$1,0))&amp;""),"")</f>
        <v/>
      </c>
      <c r="AF27" s="31">
        <f>IFERROR(TRIM(INDEX($A27:$Z27,MATCH(Settings!$L$5,$A$1:$Z$1,0))&amp;""),"")</f>
        <v/>
      </c>
      <c r="AG27" s="31">
        <f>IF(AE27="","",LOWER(IF(AF27&lt;&gt;"",AF27,AE27)))</f>
        <v/>
      </c>
      <c r="AH27" s="31">
        <f>IFERROR(TRIM(INDEX($A27:$Z27,MATCH(Settings!$L$6,$A$1:$Z$1,0))&amp;""),"")</f>
        <v/>
      </c>
      <c r="AI27" s="31">
        <f>IF(AE27="","",IF(UPPER(TRIM(AB27&amp;""))="Y","Paid another way",IF(IFERROR(TRIM(INDEX($A27:$Z27,MATCH(Settings!$L$7,$A$1:$Z$1,0))&amp;""),"")="","No payment status",IFERROR(TRIM(INDEX($A27:$Z27,MATCH(Settings!$L$7,$A$1:$Z$1,0))&amp;""),""))))</f>
        <v/>
      </c>
      <c r="AJ27" s="31">
        <f>IF(AE27="",0,IF(IFERROR(INDEX(Settings!$J$4:$J$14,MATCH(AI27,Settings!$I$4:$I$14,0)),"N")="Y",1,0))</f>
        <v/>
      </c>
      <c r="AK27" s="32">
        <f>IFERROR(INT(IFERROR(IF(ISNUMBER(INDEX($A27:$Z27,MATCH(Settings!$L$10,$A$1:$Z$1,0))),INDEX($A27:$Z27,MATCH(Settings!$L$10,$A$1:$Z$1,0)),DATE(VALUE(LEFT(IFERROR(TRIM(INDEX($A27:$Z27,MATCH(Settings!$L$10,$A$1:$Z$1,0))&amp;""),""),4)),VALUE(MID(IFERROR(TRIM(INDEX($A27:$Z27,MATCH(Settings!$L$10,$A$1:$Z$1,0))&amp;""),""),6,2)),VALUE(MID(IFERROR(TRIM(INDEX($A27:$Z27,MATCH(Settings!$L$10,$A$1:$Z$1,0))&amp;""),""),9,2)))+TIME(VALUE(MID(IFERROR(TRIM(INDEX($A27:$Z27,MATCH(Settings!$L$10,$A$1:$Z$1,0))&amp;""),""),12,2)),VALUE(MID(IFERROR(TRIM(INDEX($A27:$Z27,MATCH(Settings!$L$10,$A$1:$Z$1,0))&amp;""),""),15,2)),VALUE(MID(IFERROR(TRIM(INDEX($A27:$Z27,MATCH(Settings!$L$10,$A$1:$Z$1,0))&amp;""),""),18,2)))),"")),"")</f>
        <v/>
      </c>
      <c r="AL27" s="32">
        <f>IF(AE27="","",IF(ISNUMBER(AK27),AK27,IFERROR(INT(IFERROR(IF(ISNUMBER(INDEX($A27:$Z27,MATCH(Settings!$L$11,$A$1:$Z$1,0))),INDEX($A27:$Z27,MATCH(Settings!$L$11,$A$1:$Z$1,0)),DATE(VALUE(LEFT(IFERROR(TRIM(INDEX($A27:$Z27,MATCH(Settings!$L$11,$A$1:$Z$1,0))&amp;""),""),4)),VALUE(MID(IFERROR(TRIM(INDEX($A27:$Z27,MATCH(Settings!$L$11,$A$1:$Z$1,0))&amp;""),""),6,2)),VALUE(MID(IFERROR(TRIM(INDEX($A27:$Z27,MATCH(Settings!$L$11,$A$1:$Z$1,0))&amp;""),""),9,2)))+TIME(VALUE(MID(IFERROR(TRIM(INDEX($A27:$Z27,MATCH(Settings!$L$11,$A$1:$Z$1,0))&amp;""),""),12,2)),VALUE(MID(IFERROR(TRIM(INDEX($A27:$Z27,MATCH(Settings!$L$11,$A$1:$Z$1,0))&amp;""),""),15,2)),VALUE(MID(IFERROR(TRIM(INDEX($A27:$Z27,MATCH(Settings!$L$11,$A$1:$Z$1,0))&amp;""),""),18,2)))),"")),"")))</f>
        <v/>
      </c>
      <c r="AM27" s="31">
        <f>IF(AE27="","",IF(ISNUMBER(IFERROR(INDEX(Settings!$G$4:$G$11,MATCH(AH27,Settings!$F$4:$F$11,0)),"")),INDEX(Settings!$G$4:$G$11,MATCH(AH27,Settings!$F$4:$F$11,0)),Settings!$D$5))</f>
        <v/>
      </c>
      <c r="AN27" s="32">
        <f>IF(OR(AE27="",NOT(ISNUMBER(AL27)),NOT(ISNUMBER(AM27))),"",IF(AM27&lt;=0,"",IF(ISNUMBER(Settings!$D$8),DATE(YEAR(AL27)+IF(DATE(YEAR(AL27),MONTH(Settings!$D$8),DAY(Settings!$D$8))&gt;AL27,0,1),MONTH(Settings!$D$8),DAY(Settings!$D$8)),MIN(DATE(YEAR(AL27),MONTH(AL27)+AM27,DAY(AL27)),DATE(YEAR(AL27),MONTH(AL27)+AM27+1,0)))))</f>
        <v/>
      </c>
      <c r="AO27" s="31">
        <f>IF(ISNUMBER(AN27),AN27-Settings!$D$4,"")</f>
        <v/>
      </c>
      <c r="AP27" s="31">
        <f>IF(ISNUMBER(AL27),AL27+0+ROW()/100000,"")</f>
        <v/>
      </c>
      <c r="AQ27" s="31">
        <f>IF(OR(AG27="",NOT(ISNUMBER(AP27))),0,IF(SUMPRODUCT(('Responses'!$AG$2:$AG$501=AG27)*('Responses'!$AJ$2:$AJ$501=1)*ISNUMBER('Responses'!$AP$2:$AP$501)*('Responses'!$AP$2:$AP$501&gt;AP27)) + SUMPRODUCT(('Paper sign-ups'!$K$2:$K$101=AG27)*('Paper sign-ups'!$N$2:$N$101=1)*ISNUMBER('Paper sign-ups'!$T$2:$T$101)*('Paper sign-ups'!$T$2:$T$101&gt;AP27))&gt;0,1,0))</f>
        <v/>
      </c>
      <c r="AR27" s="31">
        <f>IF(AE27="","",IF(AQ27=1,"Joined again",IF(AJ27=0,"Unpaid",IF(NOT(ISNUMBER(AL27)),"Add a join date",IF(AN27="","No reminder",IF(AO27&lt;0,"Lapsed",IF(AO27&lt;=Settings!$D$6,"Remind soon","Current")))))))</f>
        <v/>
      </c>
      <c r="AS27" s="33">
        <f>IF(AJ27=1,IFERROR(VALUE(IFERROR(TRIM(INDEX($A27:$Z27,MATCH(Settings!$L$8,$A$1:$Z$1,0))&amp;""),"")),0)-IFERROR(VALUE(IFERROR(TRIM(INDEX($A27:$Z27,MATCH(Settings!$L$9,$A$1:$Z$1,0))&amp;""),"")),0),0)</f>
        <v/>
      </c>
      <c r="AT27" s="31">
        <f>IF(AND(AE27&lt;&gt;"",AQ27=0),1,0)</f>
        <v/>
      </c>
      <c r="AU27" s="31">
        <f>IF(AT27=0,"",IF(ISNUMBER(AN27),AN27,100000)+0+ROW()/1000000)</f>
        <v/>
      </c>
      <c r="AV27" s="31">
        <f>IF(ISNUMBER(AU27),SUMPRODUCT(ISNUMBER('Responses'!$AU$2:$AU$501)*('Responses'!$AU$2:$AU$501&lt;AU27)) + SUMPRODUCT(ISNUMBER('Paper sign-ups'!$Y$2:$Y$101)*('Paper sign-ups'!$Y$2:$Y$101&lt;AU27))+1,"")</f>
        <v/>
      </c>
    </row>
    <row r="28">
      <c r="AA28" s="29" t="n"/>
      <c r="AB28" s="30" t="n"/>
      <c r="AC28" s="30" t="n"/>
      <c r="AD28" s="29" t="n"/>
      <c r="AE28" s="31">
        <f>IFERROR(TRIM(INDEX($A28:$Z28,MATCH(Settings!$L$4,$A$1:$Z$1,0))&amp;""),"")</f>
        <v/>
      </c>
      <c r="AF28" s="31">
        <f>IFERROR(TRIM(INDEX($A28:$Z28,MATCH(Settings!$L$5,$A$1:$Z$1,0))&amp;""),"")</f>
        <v/>
      </c>
      <c r="AG28" s="31">
        <f>IF(AE28="","",LOWER(IF(AF28&lt;&gt;"",AF28,AE28)))</f>
        <v/>
      </c>
      <c r="AH28" s="31">
        <f>IFERROR(TRIM(INDEX($A28:$Z28,MATCH(Settings!$L$6,$A$1:$Z$1,0))&amp;""),"")</f>
        <v/>
      </c>
      <c r="AI28" s="31">
        <f>IF(AE28="","",IF(UPPER(TRIM(AB28&amp;""))="Y","Paid another way",IF(IFERROR(TRIM(INDEX($A28:$Z28,MATCH(Settings!$L$7,$A$1:$Z$1,0))&amp;""),"")="","No payment status",IFERROR(TRIM(INDEX($A28:$Z28,MATCH(Settings!$L$7,$A$1:$Z$1,0))&amp;""),""))))</f>
        <v/>
      </c>
      <c r="AJ28" s="31">
        <f>IF(AE28="",0,IF(IFERROR(INDEX(Settings!$J$4:$J$14,MATCH(AI28,Settings!$I$4:$I$14,0)),"N")="Y",1,0))</f>
        <v/>
      </c>
      <c r="AK28" s="32">
        <f>IFERROR(INT(IFERROR(IF(ISNUMBER(INDEX($A28:$Z28,MATCH(Settings!$L$10,$A$1:$Z$1,0))),INDEX($A28:$Z28,MATCH(Settings!$L$10,$A$1:$Z$1,0)),DATE(VALUE(LEFT(IFERROR(TRIM(INDEX($A28:$Z28,MATCH(Settings!$L$10,$A$1:$Z$1,0))&amp;""),""),4)),VALUE(MID(IFERROR(TRIM(INDEX($A28:$Z28,MATCH(Settings!$L$10,$A$1:$Z$1,0))&amp;""),""),6,2)),VALUE(MID(IFERROR(TRIM(INDEX($A28:$Z28,MATCH(Settings!$L$10,$A$1:$Z$1,0))&amp;""),""),9,2)))+TIME(VALUE(MID(IFERROR(TRIM(INDEX($A28:$Z28,MATCH(Settings!$L$10,$A$1:$Z$1,0))&amp;""),""),12,2)),VALUE(MID(IFERROR(TRIM(INDEX($A28:$Z28,MATCH(Settings!$L$10,$A$1:$Z$1,0))&amp;""),""),15,2)),VALUE(MID(IFERROR(TRIM(INDEX($A28:$Z28,MATCH(Settings!$L$10,$A$1:$Z$1,0))&amp;""),""),18,2)))),"")),"")</f>
        <v/>
      </c>
      <c r="AL28" s="32">
        <f>IF(AE28="","",IF(ISNUMBER(AK28),AK28,IFERROR(INT(IFERROR(IF(ISNUMBER(INDEX($A28:$Z28,MATCH(Settings!$L$11,$A$1:$Z$1,0))),INDEX($A28:$Z28,MATCH(Settings!$L$11,$A$1:$Z$1,0)),DATE(VALUE(LEFT(IFERROR(TRIM(INDEX($A28:$Z28,MATCH(Settings!$L$11,$A$1:$Z$1,0))&amp;""),""),4)),VALUE(MID(IFERROR(TRIM(INDEX($A28:$Z28,MATCH(Settings!$L$11,$A$1:$Z$1,0))&amp;""),""),6,2)),VALUE(MID(IFERROR(TRIM(INDEX($A28:$Z28,MATCH(Settings!$L$11,$A$1:$Z$1,0))&amp;""),""),9,2)))+TIME(VALUE(MID(IFERROR(TRIM(INDEX($A28:$Z28,MATCH(Settings!$L$11,$A$1:$Z$1,0))&amp;""),""),12,2)),VALUE(MID(IFERROR(TRIM(INDEX($A28:$Z28,MATCH(Settings!$L$11,$A$1:$Z$1,0))&amp;""),""),15,2)),VALUE(MID(IFERROR(TRIM(INDEX($A28:$Z28,MATCH(Settings!$L$11,$A$1:$Z$1,0))&amp;""),""),18,2)))),"")),"")))</f>
        <v/>
      </c>
      <c r="AM28" s="31">
        <f>IF(AE28="","",IF(ISNUMBER(IFERROR(INDEX(Settings!$G$4:$G$11,MATCH(AH28,Settings!$F$4:$F$11,0)),"")),INDEX(Settings!$G$4:$G$11,MATCH(AH28,Settings!$F$4:$F$11,0)),Settings!$D$5))</f>
        <v/>
      </c>
      <c r="AN28" s="32">
        <f>IF(OR(AE28="",NOT(ISNUMBER(AL28)),NOT(ISNUMBER(AM28))),"",IF(AM28&lt;=0,"",IF(ISNUMBER(Settings!$D$8),DATE(YEAR(AL28)+IF(DATE(YEAR(AL28),MONTH(Settings!$D$8),DAY(Settings!$D$8))&gt;AL28,0,1),MONTH(Settings!$D$8),DAY(Settings!$D$8)),MIN(DATE(YEAR(AL28),MONTH(AL28)+AM28,DAY(AL28)),DATE(YEAR(AL28),MONTH(AL28)+AM28+1,0)))))</f>
        <v/>
      </c>
      <c r="AO28" s="31">
        <f>IF(ISNUMBER(AN28),AN28-Settings!$D$4,"")</f>
        <v/>
      </c>
      <c r="AP28" s="31">
        <f>IF(ISNUMBER(AL28),AL28+0+ROW()/100000,"")</f>
        <v/>
      </c>
      <c r="AQ28" s="31">
        <f>IF(OR(AG28="",NOT(ISNUMBER(AP28))),0,IF(SUMPRODUCT(('Responses'!$AG$2:$AG$501=AG28)*('Responses'!$AJ$2:$AJ$501=1)*ISNUMBER('Responses'!$AP$2:$AP$501)*('Responses'!$AP$2:$AP$501&gt;AP28)) + SUMPRODUCT(('Paper sign-ups'!$K$2:$K$101=AG28)*('Paper sign-ups'!$N$2:$N$101=1)*ISNUMBER('Paper sign-ups'!$T$2:$T$101)*('Paper sign-ups'!$T$2:$T$101&gt;AP28))&gt;0,1,0))</f>
        <v/>
      </c>
      <c r="AR28" s="31">
        <f>IF(AE28="","",IF(AQ28=1,"Joined again",IF(AJ28=0,"Unpaid",IF(NOT(ISNUMBER(AL28)),"Add a join date",IF(AN28="","No reminder",IF(AO28&lt;0,"Lapsed",IF(AO28&lt;=Settings!$D$6,"Remind soon","Current")))))))</f>
        <v/>
      </c>
      <c r="AS28" s="33">
        <f>IF(AJ28=1,IFERROR(VALUE(IFERROR(TRIM(INDEX($A28:$Z28,MATCH(Settings!$L$8,$A$1:$Z$1,0))&amp;""),"")),0)-IFERROR(VALUE(IFERROR(TRIM(INDEX($A28:$Z28,MATCH(Settings!$L$9,$A$1:$Z$1,0))&amp;""),"")),0),0)</f>
        <v/>
      </c>
      <c r="AT28" s="31">
        <f>IF(AND(AE28&lt;&gt;"",AQ28=0),1,0)</f>
        <v/>
      </c>
      <c r="AU28" s="31">
        <f>IF(AT28=0,"",IF(ISNUMBER(AN28),AN28,100000)+0+ROW()/1000000)</f>
        <v/>
      </c>
      <c r="AV28" s="31">
        <f>IF(ISNUMBER(AU28),SUMPRODUCT(ISNUMBER('Responses'!$AU$2:$AU$501)*('Responses'!$AU$2:$AU$501&lt;AU28)) + SUMPRODUCT(ISNUMBER('Paper sign-ups'!$Y$2:$Y$101)*('Paper sign-ups'!$Y$2:$Y$101&lt;AU28))+1,"")</f>
        <v/>
      </c>
    </row>
    <row r="29">
      <c r="AA29" s="29" t="n"/>
      <c r="AB29" s="30" t="n"/>
      <c r="AC29" s="30" t="n"/>
      <c r="AD29" s="29" t="n"/>
      <c r="AE29" s="31">
        <f>IFERROR(TRIM(INDEX($A29:$Z29,MATCH(Settings!$L$4,$A$1:$Z$1,0))&amp;""),"")</f>
        <v/>
      </c>
      <c r="AF29" s="31">
        <f>IFERROR(TRIM(INDEX($A29:$Z29,MATCH(Settings!$L$5,$A$1:$Z$1,0))&amp;""),"")</f>
        <v/>
      </c>
      <c r="AG29" s="31">
        <f>IF(AE29="","",LOWER(IF(AF29&lt;&gt;"",AF29,AE29)))</f>
        <v/>
      </c>
      <c r="AH29" s="31">
        <f>IFERROR(TRIM(INDEX($A29:$Z29,MATCH(Settings!$L$6,$A$1:$Z$1,0))&amp;""),"")</f>
        <v/>
      </c>
      <c r="AI29" s="31">
        <f>IF(AE29="","",IF(UPPER(TRIM(AB29&amp;""))="Y","Paid another way",IF(IFERROR(TRIM(INDEX($A29:$Z29,MATCH(Settings!$L$7,$A$1:$Z$1,0))&amp;""),"")="","No payment status",IFERROR(TRIM(INDEX($A29:$Z29,MATCH(Settings!$L$7,$A$1:$Z$1,0))&amp;""),""))))</f>
        <v/>
      </c>
      <c r="AJ29" s="31">
        <f>IF(AE29="",0,IF(IFERROR(INDEX(Settings!$J$4:$J$14,MATCH(AI29,Settings!$I$4:$I$14,0)),"N")="Y",1,0))</f>
        <v/>
      </c>
      <c r="AK29" s="32">
        <f>IFERROR(INT(IFERROR(IF(ISNUMBER(INDEX($A29:$Z29,MATCH(Settings!$L$10,$A$1:$Z$1,0))),INDEX($A29:$Z29,MATCH(Settings!$L$10,$A$1:$Z$1,0)),DATE(VALUE(LEFT(IFERROR(TRIM(INDEX($A29:$Z29,MATCH(Settings!$L$10,$A$1:$Z$1,0))&amp;""),""),4)),VALUE(MID(IFERROR(TRIM(INDEX($A29:$Z29,MATCH(Settings!$L$10,$A$1:$Z$1,0))&amp;""),""),6,2)),VALUE(MID(IFERROR(TRIM(INDEX($A29:$Z29,MATCH(Settings!$L$10,$A$1:$Z$1,0))&amp;""),""),9,2)))+TIME(VALUE(MID(IFERROR(TRIM(INDEX($A29:$Z29,MATCH(Settings!$L$10,$A$1:$Z$1,0))&amp;""),""),12,2)),VALUE(MID(IFERROR(TRIM(INDEX($A29:$Z29,MATCH(Settings!$L$10,$A$1:$Z$1,0))&amp;""),""),15,2)),VALUE(MID(IFERROR(TRIM(INDEX($A29:$Z29,MATCH(Settings!$L$10,$A$1:$Z$1,0))&amp;""),""),18,2)))),"")),"")</f>
        <v/>
      </c>
      <c r="AL29" s="32">
        <f>IF(AE29="","",IF(ISNUMBER(AK29),AK29,IFERROR(INT(IFERROR(IF(ISNUMBER(INDEX($A29:$Z29,MATCH(Settings!$L$11,$A$1:$Z$1,0))),INDEX($A29:$Z29,MATCH(Settings!$L$11,$A$1:$Z$1,0)),DATE(VALUE(LEFT(IFERROR(TRIM(INDEX($A29:$Z29,MATCH(Settings!$L$11,$A$1:$Z$1,0))&amp;""),""),4)),VALUE(MID(IFERROR(TRIM(INDEX($A29:$Z29,MATCH(Settings!$L$11,$A$1:$Z$1,0))&amp;""),""),6,2)),VALUE(MID(IFERROR(TRIM(INDEX($A29:$Z29,MATCH(Settings!$L$11,$A$1:$Z$1,0))&amp;""),""),9,2)))+TIME(VALUE(MID(IFERROR(TRIM(INDEX($A29:$Z29,MATCH(Settings!$L$11,$A$1:$Z$1,0))&amp;""),""),12,2)),VALUE(MID(IFERROR(TRIM(INDEX($A29:$Z29,MATCH(Settings!$L$11,$A$1:$Z$1,0))&amp;""),""),15,2)),VALUE(MID(IFERROR(TRIM(INDEX($A29:$Z29,MATCH(Settings!$L$11,$A$1:$Z$1,0))&amp;""),""),18,2)))),"")),"")))</f>
        <v/>
      </c>
      <c r="AM29" s="31">
        <f>IF(AE29="","",IF(ISNUMBER(IFERROR(INDEX(Settings!$G$4:$G$11,MATCH(AH29,Settings!$F$4:$F$11,0)),"")),INDEX(Settings!$G$4:$G$11,MATCH(AH29,Settings!$F$4:$F$11,0)),Settings!$D$5))</f>
        <v/>
      </c>
      <c r="AN29" s="32">
        <f>IF(OR(AE29="",NOT(ISNUMBER(AL29)),NOT(ISNUMBER(AM29))),"",IF(AM29&lt;=0,"",IF(ISNUMBER(Settings!$D$8),DATE(YEAR(AL29)+IF(DATE(YEAR(AL29),MONTH(Settings!$D$8),DAY(Settings!$D$8))&gt;AL29,0,1),MONTH(Settings!$D$8),DAY(Settings!$D$8)),MIN(DATE(YEAR(AL29),MONTH(AL29)+AM29,DAY(AL29)),DATE(YEAR(AL29),MONTH(AL29)+AM29+1,0)))))</f>
        <v/>
      </c>
      <c r="AO29" s="31">
        <f>IF(ISNUMBER(AN29),AN29-Settings!$D$4,"")</f>
        <v/>
      </c>
      <c r="AP29" s="31">
        <f>IF(ISNUMBER(AL29),AL29+0+ROW()/100000,"")</f>
        <v/>
      </c>
      <c r="AQ29" s="31">
        <f>IF(OR(AG29="",NOT(ISNUMBER(AP29))),0,IF(SUMPRODUCT(('Responses'!$AG$2:$AG$501=AG29)*('Responses'!$AJ$2:$AJ$501=1)*ISNUMBER('Responses'!$AP$2:$AP$501)*('Responses'!$AP$2:$AP$501&gt;AP29)) + SUMPRODUCT(('Paper sign-ups'!$K$2:$K$101=AG29)*('Paper sign-ups'!$N$2:$N$101=1)*ISNUMBER('Paper sign-ups'!$T$2:$T$101)*('Paper sign-ups'!$T$2:$T$101&gt;AP29))&gt;0,1,0))</f>
        <v/>
      </c>
      <c r="AR29" s="31">
        <f>IF(AE29="","",IF(AQ29=1,"Joined again",IF(AJ29=0,"Unpaid",IF(NOT(ISNUMBER(AL29)),"Add a join date",IF(AN29="","No reminder",IF(AO29&lt;0,"Lapsed",IF(AO29&lt;=Settings!$D$6,"Remind soon","Current")))))))</f>
        <v/>
      </c>
      <c r="AS29" s="33">
        <f>IF(AJ29=1,IFERROR(VALUE(IFERROR(TRIM(INDEX($A29:$Z29,MATCH(Settings!$L$8,$A$1:$Z$1,0))&amp;""),"")),0)-IFERROR(VALUE(IFERROR(TRIM(INDEX($A29:$Z29,MATCH(Settings!$L$9,$A$1:$Z$1,0))&amp;""),"")),0),0)</f>
        <v/>
      </c>
      <c r="AT29" s="31">
        <f>IF(AND(AE29&lt;&gt;"",AQ29=0),1,0)</f>
        <v/>
      </c>
      <c r="AU29" s="31">
        <f>IF(AT29=0,"",IF(ISNUMBER(AN29),AN29,100000)+0+ROW()/1000000)</f>
        <v/>
      </c>
      <c r="AV29" s="31">
        <f>IF(ISNUMBER(AU29),SUMPRODUCT(ISNUMBER('Responses'!$AU$2:$AU$501)*('Responses'!$AU$2:$AU$501&lt;AU29)) + SUMPRODUCT(ISNUMBER('Paper sign-ups'!$Y$2:$Y$101)*('Paper sign-ups'!$Y$2:$Y$101&lt;AU29))+1,"")</f>
        <v/>
      </c>
    </row>
    <row r="30">
      <c r="AA30" s="29" t="n"/>
      <c r="AB30" s="30" t="n"/>
      <c r="AC30" s="30" t="n"/>
      <c r="AD30" s="29" t="n"/>
      <c r="AE30" s="31">
        <f>IFERROR(TRIM(INDEX($A30:$Z30,MATCH(Settings!$L$4,$A$1:$Z$1,0))&amp;""),"")</f>
        <v/>
      </c>
      <c r="AF30" s="31">
        <f>IFERROR(TRIM(INDEX($A30:$Z30,MATCH(Settings!$L$5,$A$1:$Z$1,0))&amp;""),"")</f>
        <v/>
      </c>
      <c r="AG30" s="31">
        <f>IF(AE30="","",LOWER(IF(AF30&lt;&gt;"",AF30,AE30)))</f>
        <v/>
      </c>
      <c r="AH30" s="31">
        <f>IFERROR(TRIM(INDEX($A30:$Z30,MATCH(Settings!$L$6,$A$1:$Z$1,0))&amp;""),"")</f>
        <v/>
      </c>
      <c r="AI30" s="31">
        <f>IF(AE30="","",IF(UPPER(TRIM(AB30&amp;""))="Y","Paid another way",IF(IFERROR(TRIM(INDEX($A30:$Z30,MATCH(Settings!$L$7,$A$1:$Z$1,0))&amp;""),"")="","No payment status",IFERROR(TRIM(INDEX($A30:$Z30,MATCH(Settings!$L$7,$A$1:$Z$1,0))&amp;""),""))))</f>
        <v/>
      </c>
      <c r="AJ30" s="31">
        <f>IF(AE30="",0,IF(IFERROR(INDEX(Settings!$J$4:$J$14,MATCH(AI30,Settings!$I$4:$I$14,0)),"N")="Y",1,0))</f>
        <v/>
      </c>
      <c r="AK30" s="32">
        <f>IFERROR(INT(IFERROR(IF(ISNUMBER(INDEX($A30:$Z30,MATCH(Settings!$L$10,$A$1:$Z$1,0))),INDEX($A30:$Z30,MATCH(Settings!$L$10,$A$1:$Z$1,0)),DATE(VALUE(LEFT(IFERROR(TRIM(INDEX($A30:$Z30,MATCH(Settings!$L$10,$A$1:$Z$1,0))&amp;""),""),4)),VALUE(MID(IFERROR(TRIM(INDEX($A30:$Z30,MATCH(Settings!$L$10,$A$1:$Z$1,0))&amp;""),""),6,2)),VALUE(MID(IFERROR(TRIM(INDEX($A30:$Z30,MATCH(Settings!$L$10,$A$1:$Z$1,0))&amp;""),""),9,2)))+TIME(VALUE(MID(IFERROR(TRIM(INDEX($A30:$Z30,MATCH(Settings!$L$10,$A$1:$Z$1,0))&amp;""),""),12,2)),VALUE(MID(IFERROR(TRIM(INDEX($A30:$Z30,MATCH(Settings!$L$10,$A$1:$Z$1,0))&amp;""),""),15,2)),VALUE(MID(IFERROR(TRIM(INDEX($A30:$Z30,MATCH(Settings!$L$10,$A$1:$Z$1,0))&amp;""),""),18,2)))),"")),"")</f>
        <v/>
      </c>
      <c r="AL30" s="32">
        <f>IF(AE30="","",IF(ISNUMBER(AK30),AK30,IFERROR(INT(IFERROR(IF(ISNUMBER(INDEX($A30:$Z30,MATCH(Settings!$L$11,$A$1:$Z$1,0))),INDEX($A30:$Z30,MATCH(Settings!$L$11,$A$1:$Z$1,0)),DATE(VALUE(LEFT(IFERROR(TRIM(INDEX($A30:$Z30,MATCH(Settings!$L$11,$A$1:$Z$1,0))&amp;""),""),4)),VALUE(MID(IFERROR(TRIM(INDEX($A30:$Z30,MATCH(Settings!$L$11,$A$1:$Z$1,0))&amp;""),""),6,2)),VALUE(MID(IFERROR(TRIM(INDEX($A30:$Z30,MATCH(Settings!$L$11,$A$1:$Z$1,0))&amp;""),""),9,2)))+TIME(VALUE(MID(IFERROR(TRIM(INDEX($A30:$Z30,MATCH(Settings!$L$11,$A$1:$Z$1,0))&amp;""),""),12,2)),VALUE(MID(IFERROR(TRIM(INDEX($A30:$Z30,MATCH(Settings!$L$11,$A$1:$Z$1,0))&amp;""),""),15,2)),VALUE(MID(IFERROR(TRIM(INDEX($A30:$Z30,MATCH(Settings!$L$11,$A$1:$Z$1,0))&amp;""),""),18,2)))),"")),"")))</f>
        <v/>
      </c>
      <c r="AM30" s="31">
        <f>IF(AE30="","",IF(ISNUMBER(IFERROR(INDEX(Settings!$G$4:$G$11,MATCH(AH30,Settings!$F$4:$F$11,0)),"")),INDEX(Settings!$G$4:$G$11,MATCH(AH30,Settings!$F$4:$F$11,0)),Settings!$D$5))</f>
        <v/>
      </c>
      <c r="AN30" s="32">
        <f>IF(OR(AE30="",NOT(ISNUMBER(AL30)),NOT(ISNUMBER(AM30))),"",IF(AM30&lt;=0,"",IF(ISNUMBER(Settings!$D$8),DATE(YEAR(AL30)+IF(DATE(YEAR(AL30),MONTH(Settings!$D$8),DAY(Settings!$D$8))&gt;AL30,0,1),MONTH(Settings!$D$8),DAY(Settings!$D$8)),MIN(DATE(YEAR(AL30),MONTH(AL30)+AM30,DAY(AL30)),DATE(YEAR(AL30),MONTH(AL30)+AM30+1,0)))))</f>
        <v/>
      </c>
      <c r="AO30" s="31">
        <f>IF(ISNUMBER(AN30),AN30-Settings!$D$4,"")</f>
        <v/>
      </c>
      <c r="AP30" s="31">
        <f>IF(ISNUMBER(AL30),AL30+0+ROW()/100000,"")</f>
        <v/>
      </c>
      <c r="AQ30" s="31">
        <f>IF(OR(AG30="",NOT(ISNUMBER(AP30))),0,IF(SUMPRODUCT(('Responses'!$AG$2:$AG$501=AG30)*('Responses'!$AJ$2:$AJ$501=1)*ISNUMBER('Responses'!$AP$2:$AP$501)*('Responses'!$AP$2:$AP$501&gt;AP30)) + SUMPRODUCT(('Paper sign-ups'!$K$2:$K$101=AG30)*('Paper sign-ups'!$N$2:$N$101=1)*ISNUMBER('Paper sign-ups'!$T$2:$T$101)*('Paper sign-ups'!$T$2:$T$101&gt;AP30))&gt;0,1,0))</f>
        <v/>
      </c>
      <c r="AR30" s="31">
        <f>IF(AE30="","",IF(AQ30=1,"Joined again",IF(AJ30=0,"Unpaid",IF(NOT(ISNUMBER(AL30)),"Add a join date",IF(AN30="","No reminder",IF(AO30&lt;0,"Lapsed",IF(AO30&lt;=Settings!$D$6,"Remind soon","Current")))))))</f>
        <v/>
      </c>
      <c r="AS30" s="33">
        <f>IF(AJ30=1,IFERROR(VALUE(IFERROR(TRIM(INDEX($A30:$Z30,MATCH(Settings!$L$8,$A$1:$Z$1,0))&amp;""),"")),0)-IFERROR(VALUE(IFERROR(TRIM(INDEX($A30:$Z30,MATCH(Settings!$L$9,$A$1:$Z$1,0))&amp;""),"")),0),0)</f>
        <v/>
      </c>
      <c r="AT30" s="31">
        <f>IF(AND(AE30&lt;&gt;"",AQ30=0),1,0)</f>
        <v/>
      </c>
      <c r="AU30" s="31">
        <f>IF(AT30=0,"",IF(ISNUMBER(AN30),AN30,100000)+0+ROW()/1000000)</f>
        <v/>
      </c>
      <c r="AV30" s="31">
        <f>IF(ISNUMBER(AU30),SUMPRODUCT(ISNUMBER('Responses'!$AU$2:$AU$501)*('Responses'!$AU$2:$AU$501&lt;AU30)) + SUMPRODUCT(ISNUMBER('Paper sign-ups'!$Y$2:$Y$101)*('Paper sign-ups'!$Y$2:$Y$101&lt;AU30))+1,"")</f>
        <v/>
      </c>
    </row>
    <row r="31">
      <c r="AA31" s="29" t="n"/>
      <c r="AB31" s="30" t="n"/>
      <c r="AC31" s="30" t="n"/>
      <c r="AD31" s="29" t="n"/>
      <c r="AE31" s="31">
        <f>IFERROR(TRIM(INDEX($A31:$Z31,MATCH(Settings!$L$4,$A$1:$Z$1,0))&amp;""),"")</f>
        <v/>
      </c>
      <c r="AF31" s="31">
        <f>IFERROR(TRIM(INDEX($A31:$Z31,MATCH(Settings!$L$5,$A$1:$Z$1,0))&amp;""),"")</f>
        <v/>
      </c>
      <c r="AG31" s="31">
        <f>IF(AE31="","",LOWER(IF(AF31&lt;&gt;"",AF31,AE31)))</f>
        <v/>
      </c>
      <c r="AH31" s="31">
        <f>IFERROR(TRIM(INDEX($A31:$Z31,MATCH(Settings!$L$6,$A$1:$Z$1,0))&amp;""),"")</f>
        <v/>
      </c>
      <c r="AI31" s="31">
        <f>IF(AE31="","",IF(UPPER(TRIM(AB31&amp;""))="Y","Paid another way",IF(IFERROR(TRIM(INDEX($A31:$Z31,MATCH(Settings!$L$7,$A$1:$Z$1,0))&amp;""),"")="","No payment status",IFERROR(TRIM(INDEX($A31:$Z31,MATCH(Settings!$L$7,$A$1:$Z$1,0))&amp;""),""))))</f>
        <v/>
      </c>
      <c r="AJ31" s="31">
        <f>IF(AE31="",0,IF(IFERROR(INDEX(Settings!$J$4:$J$14,MATCH(AI31,Settings!$I$4:$I$14,0)),"N")="Y",1,0))</f>
        <v/>
      </c>
      <c r="AK31" s="32">
        <f>IFERROR(INT(IFERROR(IF(ISNUMBER(INDEX($A31:$Z31,MATCH(Settings!$L$10,$A$1:$Z$1,0))),INDEX($A31:$Z31,MATCH(Settings!$L$10,$A$1:$Z$1,0)),DATE(VALUE(LEFT(IFERROR(TRIM(INDEX($A31:$Z31,MATCH(Settings!$L$10,$A$1:$Z$1,0))&amp;""),""),4)),VALUE(MID(IFERROR(TRIM(INDEX($A31:$Z31,MATCH(Settings!$L$10,$A$1:$Z$1,0))&amp;""),""),6,2)),VALUE(MID(IFERROR(TRIM(INDEX($A31:$Z31,MATCH(Settings!$L$10,$A$1:$Z$1,0))&amp;""),""),9,2)))+TIME(VALUE(MID(IFERROR(TRIM(INDEX($A31:$Z31,MATCH(Settings!$L$10,$A$1:$Z$1,0))&amp;""),""),12,2)),VALUE(MID(IFERROR(TRIM(INDEX($A31:$Z31,MATCH(Settings!$L$10,$A$1:$Z$1,0))&amp;""),""),15,2)),VALUE(MID(IFERROR(TRIM(INDEX($A31:$Z31,MATCH(Settings!$L$10,$A$1:$Z$1,0))&amp;""),""),18,2)))),"")),"")</f>
        <v/>
      </c>
      <c r="AL31" s="32">
        <f>IF(AE31="","",IF(ISNUMBER(AK31),AK31,IFERROR(INT(IFERROR(IF(ISNUMBER(INDEX($A31:$Z31,MATCH(Settings!$L$11,$A$1:$Z$1,0))),INDEX($A31:$Z31,MATCH(Settings!$L$11,$A$1:$Z$1,0)),DATE(VALUE(LEFT(IFERROR(TRIM(INDEX($A31:$Z31,MATCH(Settings!$L$11,$A$1:$Z$1,0))&amp;""),""),4)),VALUE(MID(IFERROR(TRIM(INDEX($A31:$Z31,MATCH(Settings!$L$11,$A$1:$Z$1,0))&amp;""),""),6,2)),VALUE(MID(IFERROR(TRIM(INDEX($A31:$Z31,MATCH(Settings!$L$11,$A$1:$Z$1,0))&amp;""),""),9,2)))+TIME(VALUE(MID(IFERROR(TRIM(INDEX($A31:$Z31,MATCH(Settings!$L$11,$A$1:$Z$1,0))&amp;""),""),12,2)),VALUE(MID(IFERROR(TRIM(INDEX($A31:$Z31,MATCH(Settings!$L$11,$A$1:$Z$1,0))&amp;""),""),15,2)),VALUE(MID(IFERROR(TRIM(INDEX($A31:$Z31,MATCH(Settings!$L$11,$A$1:$Z$1,0))&amp;""),""),18,2)))),"")),"")))</f>
        <v/>
      </c>
      <c r="AM31" s="31">
        <f>IF(AE31="","",IF(ISNUMBER(IFERROR(INDEX(Settings!$G$4:$G$11,MATCH(AH31,Settings!$F$4:$F$11,0)),"")),INDEX(Settings!$G$4:$G$11,MATCH(AH31,Settings!$F$4:$F$11,0)),Settings!$D$5))</f>
        <v/>
      </c>
      <c r="AN31" s="32">
        <f>IF(OR(AE31="",NOT(ISNUMBER(AL31)),NOT(ISNUMBER(AM31))),"",IF(AM31&lt;=0,"",IF(ISNUMBER(Settings!$D$8),DATE(YEAR(AL31)+IF(DATE(YEAR(AL31),MONTH(Settings!$D$8),DAY(Settings!$D$8))&gt;AL31,0,1),MONTH(Settings!$D$8),DAY(Settings!$D$8)),MIN(DATE(YEAR(AL31),MONTH(AL31)+AM31,DAY(AL31)),DATE(YEAR(AL31),MONTH(AL31)+AM31+1,0)))))</f>
        <v/>
      </c>
      <c r="AO31" s="31">
        <f>IF(ISNUMBER(AN31),AN31-Settings!$D$4,"")</f>
        <v/>
      </c>
      <c r="AP31" s="31">
        <f>IF(ISNUMBER(AL31),AL31+0+ROW()/100000,"")</f>
        <v/>
      </c>
      <c r="AQ31" s="31">
        <f>IF(OR(AG31="",NOT(ISNUMBER(AP31))),0,IF(SUMPRODUCT(('Responses'!$AG$2:$AG$501=AG31)*('Responses'!$AJ$2:$AJ$501=1)*ISNUMBER('Responses'!$AP$2:$AP$501)*('Responses'!$AP$2:$AP$501&gt;AP31)) + SUMPRODUCT(('Paper sign-ups'!$K$2:$K$101=AG31)*('Paper sign-ups'!$N$2:$N$101=1)*ISNUMBER('Paper sign-ups'!$T$2:$T$101)*('Paper sign-ups'!$T$2:$T$101&gt;AP31))&gt;0,1,0))</f>
        <v/>
      </c>
      <c r="AR31" s="31">
        <f>IF(AE31="","",IF(AQ31=1,"Joined again",IF(AJ31=0,"Unpaid",IF(NOT(ISNUMBER(AL31)),"Add a join date",IF(AN31="","No reminder",IF(AO31&lt;0,"Lapsed",IF(AO31&lt;=Settings!$D$6,"Remind soon","Current")))))))</f>
        <v/>
      </c>
      <c r="AS31" s="33">
        <f>IF(AJ31=1,IFERROR(VALUE(IFERROR(TRIM(INDEX($A31:$Z31,MATCH(Settings!$L$8,$A$1:$Z$1,0))&amp;""),"")),0)-IFERROR(VALUE(IFERROR(TRIM(INDEX($A31:$Z31,MATCH(Settings!$L$9,$A$1:$Z$1,0))&amp;""),"")),0),0)</f>
        <v/>
      </c>
      <c r="AT31" s="31">
        <f>IF(AND(AE31&lt;&gt;"",AQ31=0),1,0)</f>
        <v/>
      </c>
      <c r="AU31" s="31">
        <f>IF(AT31=0,"",IF(ISNUMBER(AN31),AN31,100000)+0+ROW()/1000000)</f>
        <v/>
      </c>
      <c r="AV31" s="31">
        <f>IF(ISNUMBER(AU31),SUMPRODUCT(ISNUMBER('Responses'!$AU$2:$AU$501)*('Responses'!$AU$2:$AU$501&lt;AU31)) + SUMPRODUCT(ISNUMBER('Paper sign-ups'!$Y$2:$Y$101)*('Paper sign-ups'!$Y$2:$Y$101&lt;AU31))+1,"")</f>
        <v/>
      </c>
    </row>
    <row r="32">
      <c r="AA32" s="29" t="n"/>
      <c r="AB32" s="30" t="n"/>
      <c r="AC32" s="30" t="n"/>
      <c r="AD32" s="29" t="n"/>
      <c r="AE32" s="31">
        <f>IFERROR(TRIM(INDEX($A32:$Z32,MATCH(Settings!$L$4,$A$1:$Z$1,0))&amp;""),"")</f>
        <v/>
      </c>
      <c r="AF32" s="31">
        <f>IFERROR(TRIM(INDEX($A32:$Z32,MATCH(Settings!$L$5,$A$1:$Z$1,0))&amp;""),"")</f>
        <v/>
      </c>
      <c r="AG32" s="31">
        <f>IF(AE32="","",LOWER(IF(AF32&lt;&gt;"",AF32,AE32)))</f>
        <v/>
      </c>
      <c r="AH32" s="31">
        <f>IFERROR(TRIM(INDEX($A32:$Z32,MATCH(Settings!$L$6,$A$1:$Z$1,0))&amp;""),"")</f>
        <v/>
      </c>
      <c r="AI32" s="31">
        <f>IF(AE32="","",IF(UPPER(TRIM(AB32&amp;""))="Y","Paid another way",IF(IFERROR(TRIM(INDEX($A32:$Z32,MATCH(Settings!$L$7,$A$1:$Z$1,0))&amp;""),"")="","No payment status",IFERROR(TRIM(INDEX($A32:$Z32,MATCH(Settings!$L$7,$A$1:$Z$1,0))&amp;""),""))))</f>
        <v/>
      </c>
      <c r="AJ32" s="31">
        <f>IF(AE32="",0,IF(IFERROR(INDEX(Settings!$J$4:$J$14,MATCH(AI32,Settings!$I$4:$I$14,0)),"N")="Y",1,0))</f>
        <v/>
      </c>
      <c r="AK32" s="32">
        <f>IFERROR(INT(IFERROR(IF(ISNUMBER(INDEX($A32:$Z32,MATCH(Settings!$L$10,$A$1:$Z$1,0))),INDEX($A32:$Z32,MATCH(Settings!$L$10,$A$1:$Z$1,0)),DATE(VALUE(LEFT(IFERROR(TRIM(INDEX($A32:$Z32,MATCH(Settings!$L$10,$A$1:$Z$1,0))&amp;""),""),4)),VALUE(MID(IFERROR(TRIM(INDEX($A32:$Z32,MATCH(Settings!$L$10,$A$1:$Z$1,0))&amp;""),""),6,2)),VALUE(MID(IFERROR(TRIM(INDEX($A32:$Z32,MATCH(Settings!$L$10,$A$1:$Z$1,0))&amp;""),""),9,2)))+TIME(VALUE(MID(IFERROR(TRIM(INDEX($A32:$Z32,MATCH(Settings!$L$10,$A$1:$Z$1,0))&amp;""),""),12,2)),VALUE(MID(IFERROR(TRIM(INDEX($A32:$Z32,MATCH(Settings!$L$10,$A$1:$Z$1,0))&amp;""),""),15,2)),VALUE(MID(IFERROR(TRIM(INDEX($A32:$Z32,MATCH(Settings!$L$10,$A$1:$Z$1,0))&amp;""),""),18,2)))),"")),"")</f>
        <v/>
      </c>
      <c r="AL32" s="32">
        <f>IF(AE32="","",IF(ISNUMBER(AK32),AK32,IFERROR(INT(IFERROR(IF(ISNUMBER(INDEX($A32:$Z32,MATCH(Settings!$L$11,$A$1:$Z$1,0))),INDEX($A32:$Z32,MATCH(Settings!$L$11,$A$1:$Z$1,0)),DATE(VALUE(LEFT(IFERROR(TRIM(INDEX($A32:$Z32,MATCH(Settings!$L$11,$A$1:$Z$1,0))&amp;""),""),4)),VALUE(MID(IFERROR(TRIM(INDEX($A32:$Z32,MATCH(Settings!$L$11,$A$1:$Z$1,0))&amp;""),""),6,2)),VALUE(MID(IFERROR(TRIM(INDEX($A32:$Z32,MATCH(Settings!$L$11,$A$1:$Z$1,0))&amp;""),""),9,2)))+TIME(VALUE(MID(IFERROR(TRIM(INDEX($A32:$Z32,MATCH(Settings!$L$11,$A$1:$Z$1,0))&amp;""),""),12,2)),VALUE(MID(IFERROR(TRIM(INDEX($A32:$Z32,MATCH(Settings!$L$11,$A$1:$Z$1,0))&amp;""),""),15,2)),VALUE(MID(IFERROR(TRIM(INDEX($A32:$Z32,MATCH(Settings!$L$11,$A$1:$Z$1,0))&amp;""),""),18,2)))),"")),"")))</f>
        <v/>
      </c>
      <c r="AM32" s="31">
        <f>IF(AE32="","",IF(ISNUMBER(IFERROR(INDEX(Settings!$G$4:$G$11,MATCH(AH32,Settings!$F$4:$F$11,0)),"")),INDEX(Settings!$G$4:$G$11,MATCH(AH32,Settings!$F$4:$F$11,0)),Settings!$D$5))</f>
        <v/>
      </c>
      <c r="AN32" s="32">
        <f>IF(OR(AE32="",NOT(ISNUMBER(AL32)),NOT(ISNUMBER(AM32))),"",IF(AM32&lt;=0,"",IF(ISNUMBER(Settings!$D$8),DATE(YEAR(AL32)+IF(DATE(YEAR(AL32),MONTH(Settings!$D$8),DAY(Settings!$D$8))&gt;AL32,0,1),MONTH(Settings!$D$8),DAY(Settings!$D$8)),MIN(DATE(YEAR(AL32),MONTH(AL32)+AM32,DAY(AL32)),DATE(YEAR(AL32),MONTH(AL32)+AM32+1,0)))))</f>
        <v/>
      </c>
      <c r="AO32" s="31">
        <f>IF(ISNUMBER(AN32),AN32-Settings!$D$4,"")</f>
        <v/>
      </c>
      <c r="AP32" s="31">
        <f>IF(ISNUMBER(AL32),AL32+0+ROW()/100000,"")</f>
        <v/>
      </c>
      <c r="AQ32" s="31">
        <f>IF(OR(AG32="",NOT(ISNUMBER(AP32))),0,IF(SUMPRODUCT(('Responses'!$AG$2:$AG$501=AG32)*('Responses'!$AJ$2:$AJ$501=1)*ISNUMBER('Responses'!$AP$2:$AP$501)*('Responses'!$AP$2:$AP$501&gt;AP32)) + SUMPRODUCT(('Paper sign-ups'!$K$2:$K$101=AG32)*('Paper sign-ups'!$N$2:$N$101=1)*ISNUMBER('Paper sign-ups'!$T$2:$T$101)*('Paper sign-ups'!$T$2:$T$101&gt;AP32))&gt;0,1,0))</f>
        <v/>
      </c>
      <c r="AR32" s="31">
        <f>IF(AE32="","",IF(AQ32=1,"Joined again",IF(AJ32=0,"Unpaid",IF(NOT(ISNUMBER(AL32)),"Add a join date",IF(AN32="","No reminder",IF(AO32&lt;0,"Lapsed",IF(AO32&lt;=Settings!$D$6,"Remind soon","Current")))))))</f>
        <v/>
      </c>
      <c r="AS32" s="33">
        <f>IF(AJ32=1,IFERROR(VALUE(IFERROR(TRIM(INDEX($A32:$Z32,MATCH(Settings!$L$8,$A$1:$Z$1,0))&amp;""),"")),0)-IFERROR(VALUE(IFERROR(TRIM(INDEX($A32:$Z32,MATCH(Settings!$L$9,$A$1:$Z$1,0))&amp;""),"")),0),0)</f>
        <v/>
      </c>
      <c r="AT32" s="31">
        <f>IF(AND(AE32&lt;&gt;"",AQ32=0),1,0)</f>
        <v/>
      </c>
      <c r="AU32" s="31">
        <f>IF(AT32=0,"",IF(ISNUMBER(AN32),AN32,100000)+0+ROW()/1000000)</f>
        <v/>
      </c>
      <c r="AV32" s="31">
        <f>IF(ISNUMBER(AU32),SUMPRODUCT(ISNUMBER('Responses'!$AU$2:$AU$501)*('Responses'!$AU$2:$AU$501&lt;AU32)) + SUMPRODUCT(ISNUMBER('Paper sign-ups'!$Y$2:$Y$101)*('Paper sign-ups'!$Y$2:$Y$101&lt;AU32))+1,"")</f>
        <v/>
      </c>
    </row>
    <row r="33">
      <c r="AA33" s="29" t="n"/>
      <c r="AB33" s="30" t="n"/>
      <c r="AC33" s="30" t="n"/>
      <c r="AD33" s="29" t="n"/>
      <c r="AE33" s="31">
        <f>IFERROR(TRIM(INDEX($A33:$Z33,MATCH(Settings!$L$4,$A$1:$Z$1,0))&amp;""),"")</f>
        <v/>
      </c>
      <c r="AF33" s="31">
        <f>IFERROR(TRIM(INDEX($A33:$Z33,MATCH(Settings!$L$5,$A$1:$Z$1,0))&amp;""),"")</f>
        <v/>
      </c>
      <c r="AG33" s="31">
        <f>IF(AE33="","",LOWER(IF(AF33&lt;&gt;"",AF33,AE33)))</f>
        <v/>
      </c>
      <c r="AH33" s="31">
        <f>IFERROR(TRIM(INDEX($A33:$Z33,MATCH(Settings!$L$6,$A$1:$Z$1,0))&amp;""),"")</f>
        <v/>
      </c>
      <c r="AI33" s="31">
        <f>IF(AE33="","",IF(UPPER(TRIM(AB33&amp;""))="Y","Paid another way",IF(IFERROR(TRIM(INDEX($A33:$Z33,MATCH(Settings!$L$7,$A$1:$Z$1,0))&amp;""),"")="","No payment status",IFERROR(TRIM(INDEX($A33:$Z33,MATCH(Settings!$L$7,$A$1:$Z$1,0))&amp;""),""))))</f>
        <v/>
      </c>
      <c r="AJ33" s="31">
        <f>IF(AE33="",0,IF(IFERROR(INDEX(Settings!$J$4:$J$14,MATCH(AI33,Settings!$I$4:$I$14,0)),"N")="Y",1,0))</f>
        <v/>
      </c>
      <c r="AK33" s="32">
        <f>IFERROR(INT(IFERROR(IF(ISNUMBER(INDEX($A33:$Z33,MATCH(Settings!$L$10,$A$1:$Z$1,0))),INDEX($A33:$Z33,MATCH(Settings!$L$10,$A$1:$Z$1,0)),DATE(VALUE(LEFT(IFERROR(TRIM(INDEX($A33:$Z33,MATCH(Settings!$L$10,$A$1:$Z$1,0))&amp;""),""),4)),VALUE(MID(IFERROR(TRIM(INDEX($A33:$Z33,MATCH(Settings!$L$10,$A$1:$Z$1,0))&amp;""),""),6,2)),VALUE(MID(IFERROR(TRIM(INDEX($A33:$Z33,MATCH(Settings!$L$10,$A$1:$Z$1,0))&amp;""),""),9,2)))+TIME(VALUE(MID(IFERROR(TRIM(INDEX($A33:$Z33,MATCH(Settings!$L$10,$A$1:$Z$1,0))&amp;""),""),12,2)),VALUE(MID(IFERROR(TRIM(INDEX($A33:$Z33,MATCH(Settings!$L$10,$A$1:$Z$1,0))&amp;""),""),15,2)),VALUE(MID(IFERROR(TRIM(INDEX($A33:$Z33,MATCH(Settings!$L$10,$A$1:$Z$1,0))&amp;""),""),18,2)))),"")),"")</f>
        <v/>
      </c>
      <c r="AL33" s="32">
        <f>IF(AE33="","",IF(ISNUMBER(AK33),AK33,IFERROR(INT(IFERROR(IF(ISNUMBER(INDEX($A33:$Z33,MATCH(Settings!$L$11,$A$1:$Z$1,0))),INDEX($A33:$Z33,MATCH(Settings!$L$11,$A$1:$Z$1,0)),DATE(VALUE(LEFT(IFERROR(TRIM(INDEX($A33:$Z33,MATCH(Settings!$L$11,$A$1:$Z$1,0))&amp;""),""),4)),VALUE(MID(IFERROR(TRIM(INDEX($A33:$Z33,MATCH(Settings!$L$11,$A$1:$Z$1,0))&amp;""),""),6,2)),VALUE(MID(IFERROR(TRIM(INDEX($A33:$Z33,MATCH(Settings!$L$11,$A$1:$Z$1,0))&amp;""),""),9,2)))+TIME(VALUE(MID(IFERROR(TRIM(INDEX($A33:$Z33,MATCH(Settings!$L$11,$A$1:$Z$1,0))&amp;""),""),12,2)),VALUE(MID(IFERROR(TRIM(INDEX($A33:$Z33,MATCH(Settings!$L$11,$A$1:$Z$1,0))&amp;""),""),15,2)),VALUE(MID(IFERROR(TRIM(INDEX($A33:$Z33,MATCH(Settings!$L$11,$A$1:$Z$1,0))&amp;""),""),18,2)))),"")),"")))</f>
        <v/>
      </c>
      <c r="AM33" s="31">
        <f>IF(AE33="","",IF(ISNUMBER(IFERROR(INDEX(Settings!$G$4:$G$11,MATCH(AH33,Settings!$F$4:$F$11,0)),"")),INDEX(Settings!$G$4:$G$11,MATCH(AH33,Settings!$F$4:$F$11,0)),Settings!$D$5))</f>
        <v/>
      </c>
      <c r="AN33" s="32">
        <f>IF(OR(AE33="",NOT(ISNUMBER(AL33)),NOT(ISNUMBER(AM33))),"",IF(AM33&lt;=0,"",IF(ISNUMBER(Settings!$D$8),DATE(YEAR(AL33)+IF(DATE(YEAR(AL33),MONTH(Settings!$D$8),DAY(Settings!$D$8))&gt;AL33,0,1),MONTH(Settings!$D$8),DAY(Settings!$D$8)),MIN(DATE(YEAR(AL33),MONTH(AL33)+AM33,DAY(AL33)),DATE(YEAR(AL33),MONTH(AL33)+AM33+1,0)))))</f>
        <v/>
      </c>
      <c r="AO33" s="31">
        <f>IF(ISNUMBER(AN33),AN33-Settings!$D$4,"")</f>
        <v/>
      </c>
      <c r="AP33" s="31">
        <f>IF(ISNUMBER(AL33),AL33+0+ROW()/100000,"")</f>
        <v/>
      </c>
      <c r="AQ33" s="31">
        <f>IF(OR(AG33="",NOT(ISNUMBER(AP33))),0,IF(SUMPRODUCT(('Responses'!$AG$2:$AG$501=AG33)*('Responses'!$AJ$2:$AJ$501=1)*ISNUMBER('Responses'!$AP$2:$AP$501)*('Responses'!$AP$2:$AP$501&gt;AP33)) + SUMPRODUCT(('Paper sign-ups'!$K$2:$K$101=AG33)*('Paper sign-ups'!$N$2:$N$101=1)*ISNUMBER('Paper sign-ups'!$T$2:$T$101)*('Paper sign-ups'!$T$2:$T$101&gt;AP33))&gt;0,1,0))</f>
        <v/>
      </c>
      <c r="AR33" s="31">
        <f>IF(AE33="","",IF(AQ33=1,"Joined again",IF(AJ33=0,"Unpaid",IF(NOT(ISNUMBER(AL33)),"Add a join date",IF(AN33="","No reminder",IF(AO33&lt;0,"Lapsed",IF(AO33&lt;=Settings!$D$6,"Remind soon","Current")))))))</f>
        <v/>
      </c>
      <c r="AS33" s="33">
        <f>IF(AJ33=1,IFERROR(VALUE(IFERROR(TRIM(INDEX($A33:$Z33,MATCH(Settings!$L$8,$A$1:$Z$1,0))&amp;""),"")),0)-IFERROR(VALUE(IFERROR(TRIM(INDEX($A33:$Z33,MATCH(Settings!$L$9,$A$1:$Z$1,0))&amp;""),"")),0),0)</f>
        <v/>
      </c>
      <c r="AT33" s="31">
        <f>IF(AND(AE33&lt;&gt;"",AQ33=0),1,0)</f>
        <v/>
      </c>
      <c r="AU33" s="31">
        <f>IF(AT33=0,"",IF(ISNUMBER(AN33),AN33,100000)+0+ROW()/1000000)</f>
        <v/>
      </c>
      <c r="AV33" s="31">
        <f>IF(ISNUMBER(AU33),SUMPRODUCT(ISNUMBER('Responses'!$AU$2:$AU$501)*('Responses'!$AU$2:$AU$501&lt;AU33)) + SUMPRODUCT(ISNUMBER('Paper sign-ups'!$Y$2:$Y$101)*('Paper sign-ups'!$Y$2:$Y$101&lt;AU33))+1,"")</f>
        <v/>
      </c>
    </row>
    <row r="34">
      <c r="AA34" s="29" t="n"/>
      <c r="AB34" s="30" t="n"/>
      <c r="AC34" s="30" t="n"/>
      <c r="AD34" s="29" t="n"/>
      <c r="AE34" s="31">
        <f>IFERROR(TRIM(INDEX($A34:$Z34,MATCH(Settings!$L$4,$A$1:$Z$1,0))&amp;""),"")</f>
        <v/>
      </c>
      <c r="AF34" s="31">
        <f>IFERROR(TRIM(INDEX($A34:$Z34,MATCH(Settings!$L$5,$A$1:$Z$1,0))&amp;""),"")</f>
        <v/>
      </c>
      <c r="AG34" s="31">
        <f>IF(AE34="","",LOWER(IF(AF34&lt;&gt;"",AF34,AE34)))</f>
        <v/>
      </c>
      <c r="AH34" s="31">
        <f>IFERROR(TRIM(INDEX($A34:$Z34,MATCH(Settings!$L$6,$A$1:$Z$1,0))&amp;""),"")</f>
        <v/>
      </c>
      <c r="AI34" s="31">
        <f>IF(AE34="","",IF(UPPER(TRIM(AB34&amp;""))="Y","Paid another way",IF(IFERROR(TRIM(INDEX($A34:$Z34,MATCH(Settings!$L$7,$A$1:$Z$1,0))&amp;""),"")="","No payment status",IFERROR(TRIM(INDEX($A34:$Z34,MATCH(Settings!$L$7,$A$1:$Z$1,0))&amp;""),""))))</f>
        <v/>
      </c>
      <c r="AJ34" s="31">
        <f>IF(AE34="",0,IF(IFERROR(INDEX(Settings!$J$4:$J$14,MATCH(AI34,Settings!$I$4:$I$14,0)),"N")="Y",1,0))</f>
        <v/>
      </c>
      <c r="AK34" s="32">
        <f>IFERROR(INT(IFERROR(IF(ISNUMBER(INDEX($A34:$Z34,MATCH(Settings!$L$10,$A$1:$Z$1,0))),INDEX($A34:$Z34,MATCH(Settings!$L$10,$A$1:$Z$1,0)),DATE(VALUE(LEFT(IFERROR(TRIM(INDEX($A34:$Z34,MATCH(Settings!$L$10,$A$1:$Z$1,0))&amp;""),""),4)),VALUE(MID(IFERROR(TRIM(INDEX($A34:$Z34,MATCH(Settings!$L$10,$A$1:$Z$1,0))&amp;""),""),6,2)),VALUE(MID(IFERROR(TRIM(INDEX($A34:$Z34,MATCH(Settings!$L$10,$A$1:$Z$1,0))&amp;""),""),9,2)))+TIME(VALUE(MID(IFERROR(TRIM(INDEX($A34:$Z34,MATCH(Settings!$L$10,$A$1:$Z$1,0))&amp;""),""),12,2)),VALUE(MID(IFERROR(TRIM(INDEX($A34:$Z34,MATCH(Settings!$L$10,$A$1:$Z$1,0))&amp;""),""),15,2)),VALUE(MID(IFERROR(TRIM(INDEX($A34:$Z34,MATCH(Settings!$L$10,$A$1:$Z$1,0))&amp;""),""),18,2)))),"")),"")</f>
        <v/>
      </c>
      <c r="AL34" s="32">
        <f>IF(AE34="","",IF(ISNUMBER(AK34),AK34,IFERROR(INT(IFERROR(IF(ISNUMBER(INDEX($A34:$Z34,MATCH(Settings!$L$11,$A$1:$Z$1,0))),INDEX($A34:$Z34,MATCH(Settings!$L$11,$A$1:$Z$1,0)),DATE(VALUE(LEFT(IFERROR(TRIM(INDEX($A34:$Z34,MATCH(Settings!$L$11,$A$1:$Z$1,0))&amp;""),""),4)),VALUE(MID(IFERROR(TRIM(INDEX($A34:$Z34,MATCH(Settings!$L$11,$A$1:$Z$1,0))&amp;""),""),6,2)),VALUE(MID(IFERROR(TRIM(INDEX($A34:$Z34,MATCH(Settings!$L$11,$A$1:$Z$1,0))&amp;""),""),9,2)))+TIME(VALUE(MID(IFERROR(TRIM(INDEX($A34:$Z34,MATCH(Settings!$L$11,$A$1:$Z$1,0))&amp;""),""),12,2)),VALUE(MID(IFERROR(TRIM(INDEX($A34:$Z34,MATCH(Settings!$L$11,$A$1:$Z$1,0))&amp;""),""),15,2)),VALUE(MID(IFERROR(TRIM(INDEX($A34:$Z34,MATCH(Settings!$L$11,$A$1:$Z$1,0))&amp;""),""),18,2)))),"")),"")))</f>
        <v/>
      </c>
      <c r="AM34" s="31">
        <f>IF(AE34="","",IF(ISNUMBER(IFERROR(INDEX(Settings!$G$4:$G$11,MATCH(AH34,Settings!$F$4:$F$11,0)),"")),INDEX(Settings!$G$4:$G$11,MATCH(AH34,Settings!$F$4:$F$11,0)),Settings!$D$5))</f>
        <v/>
      </c>
      <c r="AN34" s="32">
        <f>IF(OR(AE34="",NOT(ISNUMBER(AL34)),NOT(ISNUMBER(AM34))),"",IF(AM34&lt;=0,"",IF(ISNUMBER(Settings!$D$8),DATE(YEAR(AL34)+IF(DATE(YEAR(AL34),MONTH(Settings!$D$8),DAY(Settings!$D$8))&gt;AL34,0,1),MONTH(Settings!$D$8),DAY(Settings!$D$8)),MIN(DATE(YEAR(AL34),MONTH(AL34)+AM34,DAY(AL34)),DATE(YEAR(AL34),MONTH(AL34)+AM34+1,0)))))</f>
        <v/>
      </c>
      <c r="AO34" s="31">
        <f>IF(ISNUMBER(AN34),AN34-Settings!$D$4,"")</f>
        <v/>
      </c>
      <c r="AP34" s="31">
        <f>IF(ISNUMBER(AL34),AL34+0+ROW()/100000,"")</f>
        <v/>
      </c>
      <c r="AQ34" s="31">
        <f>IF(OR(AG34="",NOT(ISNUMBER(AP34))),0,IF(SUMPRODUCT(('Responses'!$AG$2:$AG$501=AG34)*('Responses'!$AJ$2:$AJ$501=1)*ISNUMBER('Responses'!$AP$2:$AP$501)*('Responses'!$AP$2:$AP$501&gt;AP34)) + SUMPRODUCT(('Paper sign-ups'!$K$2:$K$101=AG34)*('Paper sign-ups'!$N$2:$N$101=1)*ISNUMBER('Paper sign-ups'!$T$2:$T$101)*('Paper sign-ups'!$T$2:$T$101&gt;AP34))&gt;0,1,0))</f>
        <v/>
      </c>
      <c r="AR34" s="31">
        <f>IF(AE34="","",IF(AQ34=1,"Joined again",IF(AJ34=0,"Unpaid",IF(NOT(ISNUMBER(AL34)),"Add a join date",IF(AN34="","No reminder",IF(AO34&lt;0,"Lapsed",IF(AO34&lt;=Settings!$D$6,"Remind soon","Current")))))))</f>
        <v/>
      </c>
      <c r="AS34" s="33">
        <f>IF(AJ34=1,IFERROR(VALUE(IFERROR(TRIM(INDEX($A34:$Z34,MATCH(Settings!$L$8,$A$1:$Z$1,0))&amp;""),"")),0)-IFERROR(VALUE(IFERROR(TRIM(INDEX($A34:$Z34,MATCH(Settings!$L$9,$A$1:$Z$1,0))&amp;""),"")),0),0)</f>
        <v/>
      </c>
      <c r="AT34" s="31">
        <f>IF(AND(AE34&lt;&gt;"",AQ34=0),1,0)</f>
        <v/>
      </c>
      <c r="AU34" s="31">
        <f>IF(AT34=0,"",IF(ISNUMBER(AN34),AN34,100000)+0+ROW()/1000000)</f>
        <v/>
      </c>
      <c r="AV34" s="31">
        <f>IF(ISNUMBER(AU34),SUMPRODUCT(ISNUMBER('Responses'!$AU$2:$AU$501)*('Responses'!$AU$2:$AU$501&lt;AU34)) + SUMPRODUCT(ISNUMBER('Paper sign-ups'!$Y$2:$Y$101)*('Paper sign-ups'!$Y$2:$Y$101&lt;AU34))+1,"")</f>
        <v/>
      </c>
    </row>
    <row r="35">
      <c r="AA35" s="29" t="n"/>
      <c r="AB35" s="30" t="n"/>
      <c r="AC35" s="30" t="n"/>
      <c r="AD35" s="29" t="n"/>
      <c r="AE35" s="31">
        <f>IFERROR(TRIM(INDEX($A35:$Z35,MATCH(Settings!$L$4,$A$1:$Z$1,0))&amp;""),"")</f>
        <v/>
      </c>
      <c r="AF35" s="31">
        <f>IFERROR(TRIM(INDEX($A35:$Z35,MATCH(Settings!$L$5,$A$1:$Z$1,0))&amp;""),"")</f>
        <v/>
      </c>
      <c r="AG35" s="31">
        <f>IF(AE35="","",LOWER(IF(AF35&lt;&gt;"",AF35,AE35)))</f>
        <v/>
      </c>
      <c r="AH35" s="31">
        <f>IFERROR(TRIM(INDEX($A35:$Z35,MATCH(Settings!$L$6,$A$1:$Z$1,0))&amp;""),"")</f>
        <v/>
      </c>
      <c r="AI35" s="31">
        <f>IF(AE35="","",IF(UPPER(TRIM(AB35&amp;""))="Y","Paid another way",IF(IFERROR(TRIM(INDEX($A35:$Z35,MATCH(Settings!$L$7,$A$1:$Z$1,0))&amp;""),"")="","No payment status",IFERROR(TRIM(INDEX($A35:$Z35,MATCH(Settings!$L$7,$A$1:$Z$1,0))&amp;""),""))))</f>
        <v/>
      </c>
      <c r="AJ35" s="31">
        <f>IF(AE35="",0,IF(IFERROR(INDEX(Settings!$J$4:$J$14,MATCH(AI35,Settings!$I$4:$I$14,0)),"N")="Y",1,0))</f>
        <v/>
      </c>
      <c r="AK35" s="32">
        <f>IFERROR(INT(IFERROR(IF(ISNUMBER(INDEX($A35:$Z35,MATCH(Settings!$L$10,$A$1:$Z$1,0))),INDEX($A35:$Z35,MATCH(Settings!$L$10,$A$1:$Z$1,0)),DATE(VALUE(LEFT(IFERROR(TRIM(INDEX($A35:$Z35,MATCH(Settings!$L$10,$A$1:$Z$1,0))&amp;""),""),4)),VALUE(MID(IFERROR(TRIM(INDEX($A35:$Z35,MATCH(Settings!$L$10,$A$1:$Z$1,0))&amp;""),""),6,2)),VALUE(MID(IFERROR(TRIM(INDEX($A35:$Z35,MATCH(Settings!$L$10,$A$1:$Z$1,0))&amp;""),""),9,2)))+TIME(VALUE(MID(IFERROR(TRIM(INDEX($A35:$Z35,MATCH(Settings!$L$10,$A$1:$Z$1,0))&amp;""),""),12,2)),VALUE(MID(IFERROR(TRIM(INDEX($A35:$Z35,MATCH(Settings!$L$10,$A$1:$Z$1,0))&amp;""),""),15,2)),VALUE(MID(IFERROR(TRIM(INDEX($A35:$Z35,MATCH(Settings!$L$10,$A$1:$Z$1,0))&amp;""),""),18,2)))),"")),"")</f>
        <v/>
      </c>
      <c r="AL35" s="32">
        <f>IF(AE35="","",IF(ISNUMBER(AK35),AK35,IFERROR(INT(IFERROR(IF(ISNUMBER(INDEX($A35:$Z35,MATCH(Settings!$L$11,$A$1:$Z$1,0))),INDEX($A35:$Z35,MATCH(Settings!$L$11,$A$1:$Z$1,0)),DATE(VALUE(LEFT(IFERROR(TRIM(INDEX($A35:$Z35,MATCH(Settings!$L$11,$A$1:$Z$1,0))&amp;""),""),4)),VALUE(MID(IFERROR(TRIM(INDEX($A35:$Z35,MATCH(Settings!$L$11,$A$1:$Z$1,0))&amp;""),""),6,2)),VALUE(MID(IFERROR(TRIM(INDEX($A35:$Z35,MATCH(Settings!$L$11,$A$1:$Z$1,0))&amp;""),""),9,2)))+TIME(VALUE(MID(IFERROR(TRIM(INDEX($A35:$Z35,MATCH(Settings!$L$11,$A$1:$Z$1,0))&amp;""),""),12,2)),VALUE(MID(IFERROR(TRIM(INDEX($A35:$Z35,MATCH(Settings!$L$11,$A$1:$Z$1,0))&amp;""),""),15,2)),VALUE(MID(IFERROR(TRIM(INDEX($A35:$Z35,MATCH(Settings!$L$11,$A$1:$Z$1,0))&amp;""),""),18,2)))),"")),"")))</f>
        <v/>
      </c>
      <c r="AM35" s="31">
        <f>IF(AE35="","",IF(ISNUMBER(IFERROR(INDEX(Settings!$G$4:$G$11,MATCH(AH35,Settings!$F$4:$F$11,0)),"")),INDEX(Settings!$G$4:$G$11,MATCH(AH35,Settings!$F$4:$F$11,0)),Settings!$D$5))</f>
        <v/>
      </c>
      <c r="AN35" s="32">
        <f>IF(OR(AE35="",NOT(ISNUMBER(AL35)),NOT(ISNUMBER(AM35))),"",IF(AM35&lt;=0,"",IF(ISNUMBER(Settings!$D$8),DATE(YEAR(AL35)+IF(DATE(YEAR(AL35),MONTH(Settings!$D$8),DAY(Settings!$D$8))&gt;AL35,0,1),MONTH(Settings!$D$8),DAY(Settings!$D$8)),MIN(DATE(YEAR(AL35),MONTH(AL35)+AM35,DAY(AL35)),DATE(YEAR(AL35),MONTH(AL35)+AM35+1,0)))))</f>
        <v/>
      </c>
      <c r="AO35" s="31">
        <f>IF(ISNUMBER(AN35),AN35-Settings!$D$4,"")</f>
        <v/>
      </c>
      <c r="AP35" s="31">
        <f>IF(ISNUMBER(AL35),AL35+0+ROW()/100000,"")</f>
        <v/>
      </c>
      <c r="AQ35" s="31">
        <f>IF(OR(AG35="",NOT(ISNUMBER(AP35))),0,IF(SUMPRODUCT(('Responses'!$AG$2:$AG$501=AG35)*('Responses'!$AJ$2:$AJ$501=1)*ISNUMBER('Responses'!$AP$2:$AP$501)*('Responses'!$AP$2:$AP$501&gt;AP35)) + SUMPRODUCT(('Paper sign-ups'!$K$2:$K$101=AG35)*('Paper sign-ups'!$N$2:$N$101=1)*ISNUMBER('Paper sign-ups'!$T$2:$T$101)*('Paper sign-ups'!$T$2:$T$101&gt;AP35))&gt;0,1,0))</f>
        <v/>
      </c>
      <c r="AR35" s="31">
        <f>IF(AE35="","",IF(AQ35=1,"Joined again",IF(AJ35=0,"Unpaid",IF(NOT(ISNUMBER(AL35)),"Add a join date",IF(AN35="","No reminder",IF(AO35&lt;0,"Lapsed",IF(AO35&lt;=Settings!$D$6,"Remind soon","Current")))))))</f>
        <v/>
      </c>
      <c r="AS35" s="33">
        <f>IF(AJ35=1,IFERROR(VALUE(IFERROR(TRIM(INDEX($A35:$Z35,MATCH(Settings!$L$8,$A$1:$Z$1,0))&amp;""),"")),0)-IFERROR(VALUE(IFERROR(TRIM(INDEX($A35:$Z35,MATCH(Settings!$L$9,$A$1:$Z$1,0))&amp;""),"")),0),0)</f>
        <v/>
      </c>
      <c r="AT35" s="31">
        <f>IF(AND(AE35&lt;&gt;"",AQ35=0),1,0)</f>
        <v/>
      </c>
      <c r="AU35" s="31">
        <f>IF(AT35=0,"",IF(ISNUMBER(AN35),AN35,100000)+0+ROW()/1000000)</f>
        <v/>
      </c>
      <c r="AV35" s="31">
        <f>IF(ISNUMBER(AU35),SUMPRODUCT(ISNUMBER('Responses'!$AU$2:$AU$501)*('Responses'!$AU$2:$AU$501&lt;AU35)) + SUMPRODUCT(ISNUMBER('Paper sign-ups'!$Y$2:$Y$101)*('Paper sign-ups'!$Y$2:$Y$101&lt;AU35))+1,"")</f>
        <v/>
      </c>
    </row>
    <row r="36">
      <c r="AA36" s="29" t="n"/>
      <c r="AB36" s="30" t="n"/>
      <c r="AC36" s="30" t="n"/>
      <c r="AD36" s="29" t="n"/>
      <c r="AE36" s="31">
        <f>IFERROR(TRIM(INDEX($A36:$Z36,MATCH(Settings!$L$4,$A$1:$Z$1,0))&amp;""),"")</f>
        <v/>
      </c>
      <c r="AF36" s="31">
        <f>IFERROR(TRIM(INDEX($A36:$Z36,MATCH(Settings!$L$5,$A$1:$Z$1,0))&amp;""),"")</f>
        <v/>
      </c>
      <c r="AG36" s="31">
        <f>IF(AE36="","",LOWER(IF(AF36&lt;&gt;"",AF36,AE36)))</f>
        <v/>
      </c>
      <c r="AH36" s="31">
        <f>IFERROR(TRIM(INDEX($A36:$Z36,MATCH(Settings!$L$6,$A$1:$Z$1,0))&amp;""),"")</f>
        <v/>
      </c>
      <c r="AI36" s="31">
        <f>IF(AE36="","",IF(UPPER(TRIM(AB36&amp;""))="Y","Paid another way",IF(IFERROR(TRIM(INDEX($A36:$Z36,MATCH(Settings!$L$7,$A$1:$Z$1,0))&amp;""),"")="","No payment status",IFERROR(TRIM(INDEX($A36:$Z36,MATCH(Settings!$L$7,$A$1:$Z$1,0))&amp;""),""))))</f>
        <v/>
      </c>
      <c r="AJ36" s="31">
        <f>IF(AE36="",0,IF(IFERROR(INDEX(Settings!$J$4:$J$14,MATCH(AI36,Settings!$I$4:$I$14,0)),"N")="Y",1,0))</f>
        <v/>
      </c>
      <c r="AK36" s="32">
        <f>IFERROR(INT(IFERROR(IF(ISNUMBER(INDEX($A36:$Z36,MATCH(Settings!$L$10,$A$1:$Z$1,0))),INDEX($A36:$Z36,MATCH(Settings!$L$10,$A$1:$Z$1,0)),DATE(VALUE(LEFT(IFERROR(TRIM(INDEX($A36:$Z36,MATCH(Settings!$L$10,$A$1:$Z$1,0))&amp;""),""),4)),VALUE(MID(IFERROR(TRIM(INDEX($A36:$Z36,MATCH(Settings!$L$10,$A$1:$Z$1,0))&amp;""),""),6,2)),VALUE(MID(IFERROR(TRIM(INDEX($A36:$Z36,MATCH(Settings!$L$10,$A$1:$Z$1,0))&amp;""),""),9,2)))+TIME(VALUE(MID(IFERROR(TRIM(INDEX($A36:$Z36,MATCH(Settings!$L$10,$A$1:$Z$1,0))&amp;""),""),12,2)),VALUE(MID(IFERROR(TRIM(INDEX($A36:$Z36,MATCH(Settings!$L$10,$A$1:$Z$1,0))&amp;""),""),15,2)),VALUE(MID(IFERROR(TRIM(INDEX($A36:$Z36,MATCH(Settings!$L$10,$A$1:$Z$1,0))&amp;""),""),18,2)))),"")),"")</f>
        <v/>
      </c>
      <c r="AL36" s="32">
        <f>IF(AE36="","",IF(ISNUMBER(AK36),AK36,IFERROR(INT(IFERROR(IF(ISNUMBER(INDEX($A36:$Z36,MATCH(Settings!$L$11,$A$1:$Z$1,0))),INDEX($A36:$Z36,MATCH(Settings!$L$11,$A$1:$Z$1,0)),DATE(VALUE(LEFT(IFERROR(TRIM(INDEX($A36:$Z36,MATCH(Settings!$L$11,$A$1:$Z$1,0))&amp;""),""),4)),VALUE(MID(IFERROR(TRIM(INDEX($A36:$Z36,MATCH(Settings!$L$11,$A$1:$Z$1,0))&amp;""),""),6,2)),VALUE(MID(IFERROR(TRIM(INDEX($A36:$Z36,MATCH(Settings!$L$11,$A$1:$Z$1,0))&amp;""),""),9,2)))+TIME(VALUE(MID(IFERROR(TRIM(INDEX($A36:$Z36,MATCH(Settings!$L$11,$A$1:$Z$1,0))&amp;""),""),12,2)),VALUE(MID(IFERROR(TRIM(INDEX($A36:$Z36,MATCH(Settings!$L$11,$A$1:$Z$1,0))&amp;""),""),15,2)),VALUE(MID(IFERROR(TRIM(INDEX($A36:$Z36,MATCH(Settings!$L$11,$A$1:$Z$1,0))&amp;""),""),18,2)))),"")),"")))</f>
        <v/>
      </c>
      <c r="AM36" s="31">
        <f>IF(AE36="","",IF(ISNUMBER(IFERROR(INDEX(Settings!$G$4:$G$11,MATCH(AH36,Settings!$F$4:$F$11,0)),"")),INDEX(Settings!$G$4:$G$11,MATCH(AH36,Settings!$F$4:$F$11,0)),Settings!$D$5))</f>
        <v/>
      </c>
      <c r="AN36" s="32">
        <f>IF(OR(AE36="",NOT(ISNUMBER(AL36)),NOT(ISNUMBER(AM36))),"",IF(AM36&lt;=0,"",IF(ISNUMBER(Settings!$D$8),DATE(YEAR(AL36)+IF(DATE(YEAR(AL36),MONTH(Settings!$D$8),DAY(Settings!$D$8))&gt;AL36,0,1),MONTH(Settings!$D$8),DAY(Settings!$D$8)),MIN(DATE(YEAR(AL36),MONTH(AL36)+AM36,DAY(AL36)),DATE(YEAR(AL36),MONTH(AL36)+AM36+1,0)))))</f>
        <v/>
      </c>
      <c r="AO36" s="31">
        <f>IF(ISNUMBER(AN36),AN36-Settings!$D$4,"")</f>
        <v/>
      </c>
      <c r="AP36" s="31">
        <f>IF(ISNUMBER(AL36),AL36+0+ROW()/100000,"")</f>
        <v/>
      </c>
      <c r="AQ36" s="31">
        <f>IF(OR(AG36="",NOT(ISNUMBER(AP36))),0,IF(SUMPRODUCT(('Responses'!$AG$2:$AG$501=AG36)*('Responses'!$AJ$2:$AJ$501=1)*ISNUMBER('Responses'!$AP$2:$AP$501)*('Responses'!$AP$2:$AP$501&gt;AP36)) + SUMPRODUCT(('Paper sign-ups'!$K$2:$K$101=AG36)*('Paper sign-ups'!$N$2:$N$101=1)*ISNUMBER('Paper sign-ups'!$T$2:$T$101)*('Paper sign-ups'!$T$2:$T$101&gt;AP36))&gt;0,1,0))</f>
        <v/>
      </c>
      <c r="AR36" s="31">
        <f>IF(AE36="","",IF(AQ36=1,"Joined again",IF(AJ36=0,"Unpaid",IF(NOT(ISNUMBER(AL36)),"Add a join date",IF(AN36="","No reminder",IF(AO36&lt;0,"Lapsed",IF(AO36&lt;=Settings!$D$6,"Remind soon","Current")))))))</f>
        <v/>
      </c>
      <c r="AS36" s="33">
        <f>IF(AJ36=1,IFERROR(VALUE(IFERROR(TRIM(INDEX($A36:$Z36,MATCH(Settings!$L$8,$A$1:$Z$1,0))&amp;""),"")),0)-IFERROR(VALUE(IFERROR(TRIM(INDEX($A36:$Z36,MATCH(Settings!$L$9,$A$1:$Z$1,0))&amp;""),"")),0),0)</f>
        <v/>
      </c>
      <c r="AT36" s="31">
        <f>IF(AND(AE36&lt;&gt;"",AQ36=0),1,0)</f>
        <v/>
      </c>
      <c r="AU36" s="31">
        <f>IF(AT36=0,"",IF(ISNUMBER(AN36),AN36,100000)+0+ROW()/1000000)</f>
        <v/>
      </c>
      <c r="AV36" s="31">
        <f>IF(ISNUMBER(AU36),SUMPRODUCT(ISNUMBER('Responses'!$AU$2:$AU$501)*('Responses'!$AU$2:$AU$501&lt;AU36)) + SUMPRODUCT(ISNUMBER('Paper sign-ups'!$Y$2:$Y$101)*('Paper sign-ups'!$Y$2:$Y$101&lt;AU36))+1,"")</f>
        <v/>
      </c>
    </row>
    <row r="37">
      <c r="AA37" s="29" t="n"/>
      <c r="AB37" s="30" t="n"/>
      <c r="AC37" s="30" t="n"/>
      <c r="AD37" s="29" t="n"/>
      <c r="AE37" s="31">
        <f>IFERROR(TRIM(INDEX($A37:$Z37,MATCH(Settings!$L$4,$A$1:$Z$1,0))&amp;""),"")</f>
        <v/>
      </c>
      <c r="AF37" s="31">
        <f>IFERROR(TRIM(INDEX($A37:$Z37,MATCH(Settings!$L$5,$A$1:$Z$1,0))&amp;""),"")</f>
        <v/>
      </c>
      <c r="AG37" s="31">
        <f>IF(AE37="","",LOWER(IF(AF37&lt;&gt;"",AF37,AE37)))</f>
        <v/>
      </c>
      <c r="AH37" s="31">
        <f>IFERROR(TRIM(INDEX($A37:$Z37,MATCH(Settings!$L$6,$A$1:$Z$1,0))&amp;""),"")</f>
        <v/>
      </c>
      <c r="AI37" s="31">
        <f>IF(AE37="","",IF(UPPER(TRIM(AB37&amp;""))="Y","Paid another way",IF(IFERROR(TRIM(INDEX($A37:$Z37,MATCH(Settings!$L$7,$A$1:$Z$1,0))&amp;""),"")="","No payment status",IFERROR(TRIM(INDEX($A37:$Z37,MATCH(Settings!$L$7,$A$1:$Z$1,0))&amp;""),""))))</f>
        <v/>
      </c>
      <c r="AJ37" s="31">
        <f>IF(AE37="",0,IF(IFERROR(INDEX(Settings!$J$4:$J$14,MATCH(AI37,Settings!$I$4:$I$14,0)),"N")="Y",1,0))</f>
        <v/>
      </c>
      <c r="AK37" s="32">
        <f>IFERROR(INT(IFERROR(IF(ISNUMBER(INDEX($A37:$Z37,MATCH(Settings!$L$10,$A$1:$Z$1,0))),INDEX($A37:$Z37,MATCH(Settings!$L$10,$A$1:$Z$1,0)),DATE(VALUE(LEFT(IFERROR(TRIM(INDEX($A37:$Z37,MATCH(Settings!$L$10,$A$1:$Z$1,0))&amp;""),""),4)),VALUE(MID(IFERROR(TRIM(INDEX($A37:$Z37,MATCH(Settings!$L$10,$A$1:$Z$1,0))&amp;""),""),6,2)),VALUE(MID(IFERROR(TRIM(INDEX($A37:$Z37,MATCH(Settings!$L$10,$A$1:$Z$1,0))&amp;""),""),9,2)))+TIME(VALUE(MID(IFERROR(TRIM(INDEX($A37:$Z37,MATCH(Settings!$L$10,$A$1:$Z$1,0))&amp;""),""),12,2)),VALUE(MID(IFERROR(TRIM(INDEX($A37:$Z37,MATCH(Settings!$L$10,$A$1:$Z$1,0))&amp;""),""),15,2)),VALUE(MID(IFERROR(TRIM(INDEX($A37:$Z37,MATCH(Settings!$L$10,$A$1:$Z$1,0))&amp;""),""),18,2)))),"")),"")</f>
        <v/>
      </c>
      <c r="AL37" s="32">
        <f>IF(AE37="","",IF(ISNUMBER(AK37),AK37,IFERROR(INT(IFERROR(IF(ISNUMBER(INDEX($A37:$Z37,MATCH(Settings!$L$11,$A$1:$Z$1,0))),INDEX($A37:$Z37,MATCH(Settings!$L$11,$A$1:$Z$1,0)),DATE(VALUE(LEFT(IFERROR(TRIM(INDEX($A37:$Z37,MATCH(Settings!$L$11,$A$1:$Z$1,0))&amp;""),""),4)),VALUE(MID(IFERROR(TRIM(INDEX($A37:$Z37,MATCH(Settings!$L$11,$A$1:$Z$1,0))&amp;""),""),6,2)),VALUE(MID(IFERROR(TRIM(INDEX($A37:$Z37,MATCH(Settings!$L$11,$A$1:$Z$1,0))&amp;""),""),9,2)))+TIME(VALUE(MID(IFERROR(TRIM(INDEX($A37:$Z37,MATCH(Settings!$L$11,$A$1:$Z$1,0))&amp;""),""),12,2)),VALUE(MID(IFERROR(TRIM(INDEX($A37:$Z37,MATCH(Settings!$L$11,$A$1:$Z$1,0))&amp;""),""),15,2)),VALUE(MID(IFERROR(TRIM(INDEX($A37:$Z37,MATCH(Settings!$L$11,$A$1:$Z$1,0))&amp;""),""),18,2)))),"")),"")))</f>
        <v/>
      </c>
      <c r="AM37" s="31">
        <f>IF(AE37="","",IF(ISNUMBER(IFERROR(INDEX(Settings!$G$4:$G$11,MATCH(AH37,Settings!$F$4:$F$11,0)),"")),INDEX(Settings!$G$4:$G$11,MATCH(AH37,Settings!$F$4:$F$11,0)),Settings!$D$5))</f>
        <v/>
      </c>
      <c r="AN37" s="32">
        <f>IF(OR(AE37="",NOT(ISNUMBER(AL37)),NOT(ISNUMBER(AM37))),"",IF(AM37&lt;=0,"",IF(ISNUMBER(Settings!$D$8),DATE(YEAR(AL37)+IF(DATE(YEAR(AL37),MONTH(Settings!$D$8),DAY(Settings!$D$8))&gt;AL37,0,1),MONTH(Settings!$D$8),DAY(Settings!$D$8)),MIN(DATE(YEAR(AL37),MONTH(AL37)+AM37,DAY(AL37)),DATE(YEAR(AL37),MONTH(AL37)+AM37+1,0)))))</f>
        <v/>
      </c>
      <c r="AO37" s="31">
        <f>IF(ISNUMBER(AN37),AN37-Settings!$D$4,"")</f>
        <v/>
      </c>
      <c r="AP37" s="31">
        <f>IF(ISNUMBER(AL37),AL37+0+ROW()/100000,"")</f>
        <v/>
      </c>
      <c r="AQ37" s="31">
        <f>IF(OR(AG37="",NOT(ISNUMBER(AP37))),0,IF(SUMPRODUCT(('Responses'!$AG$2:$AG$501=AG37)*('Responses'!$AJ$2:$AJ$501=1)*ISNUMBER('Responses'!$AP$2:$AP$501)*('Responses'!$AP$2:$AP$501&gt;AP37)) + SUMPRODUCT(('Paper sign-ups'!$K$2:$K$101=AG37)*('Paper sign-ups'!$N$2:$N$101=1)*ISNUMBER('Paper sign-ups'!$T$2:$T$101)*('Paper sign-ups'!$T$2:$T$101&gt;AP37))&gt;0,1,0))</f>
        <v/>
      </c>
      <c r="AR37" s="31">
        <f>IF(AE37="","",IF(AQ37=1,"Joined again",IF(AJ37=0,"Unpaid",IF(NOT(ISNUMBER(AL37)),"Add a join date",IF(AN37="","No reminder",IF(AO37&lt;0,"Lapsed",IF(AO37&lt;=Settings!$D$6,"Remind soon","Current")))))))</f>
        <v/>
      </c>
      <c r="AS37" s="33">
        <f>IF(AJ37=1,IFERROR(VALUE(IFERROR(TRIM(INDEX($A37:$Z37,MATCH(Settings!$L$8,$A$1:$Z$1,0))&amp;""),"")),0)-IFERROR(VALUE(IFERROR(TRIM(INDEX($A37:$Z37,MATCH(Settings!$L$9,$A$1:$Z$1,0))&amp;""),"")),0),0)</f>
        <v/>
      </c>
      <c r="AT37" s="31">
        <f>IF(AND(AE37&lt;&gt;"",AQ37=0),1,0)</f>
        <v/>
      </c>
      <c r="AU37" s="31">
        <f>IF(AT37=0,"",IF(ISNUMBER(AN37),AN37,100000)+0+ROW()/1000000)</f>
        <v/>
      </c>
      <c r="AV37" s="31">
        <f>IF(ISNUMBER(AU37),SUMPRODUCT(ISNUMBER('Responses'!$AU$2:$AU$501)*('Responses'!$AU$2:$AU$501&lt;AU37)) + SUMPRODUCT(ISNUMBER('Paper sign-ups'!$Y$2:$Y$101)*('Paper sign-ups'!$Y$2:$Y$101&lt;AU37))+1,"")</f>
        <v/>
      </c>
    </row>
    <row r="38">
      <c r="AA38" s="29" t="n"/>
      <c r="AB38" s="30" t="n"/>
      <c r="AC38" s="30" t="n"/>
      <c r="AD38" s="29" t="n"/>
      <c r="AE38" s="31">
        <f>IFERROR(TRIM(INDEX($A38:$Z38,MATCH(Settings!$L$4,$A$1:$Z$1,0))&amp;""),"")</f>
        <v/>
      </c>
      <c r="AF38" s="31">
        <f>IFERROR(TRIM(INDEX($A38:$Z38,MATCH(Settings!$L$5,$A$1:$Z$1,0))&amp;""),"")</f>
        <v/>
      </c>
      <c r="AG38" s="31">
        <f>IF(AE38="","",LOWER(IF(AF38&lt;&gt;"",AF38,AE38)))</f>
        <v/>
      </c>
      <c r="AH38" s="31">
        <f>IFERROR(TRIM(INDEX($A38:$Z38,MATCH(Settings!$L$6,$A$1:$Z$1,0))&amp;""),"")</f>
        <v/>
      </c>
      <c r="AI38" s="31">
        <f>IF(AE38="","",IF(UPPER(TRIM(AB38&amp;""))="Y","Paid another way",IF(IFERROR(TRIM(INDEX($A38:$Z38,MATCH(Settings!$L$7,$A$1:$Z$1,0))&amp;""),"")="","No payment status",IFERROR(TRIM(INDEX($A38:$Z38,MATCH(Settings!$L$7,$A$1:$Z$1,0))&amp;""),""))))</f>
        <v/>
      </c>
      <c r="AJ38" s="31">
        <f>IF(AE38="",0,IF(IFERROR(INDEX(Settings!$J$4:$J$14,MATCH(AI38,Settings!$I$4:$I$14,0)),"N")="Y",1,0))</f>
        <v/>
      </c>
      <c r="AK38" s="32">
        <f>IFERROR(INT(IFERROR(IF(ISNUMBER(INDEX($A38:$Z38,MATCH(Settings!$L$10,$A$1:$Z$1,0))),INDEX($A38:$Z38,MATCH(Settings!$L$10,$A$1:$Z$1,0)),DATE(VALUE(LEFT(IFERROR(TRIM(INDEX($A38:$Z38,MATCH(Settings!$L$10,$A$1:$Z$1,0))&amp;""),""),4)),VALUE(MID(IFERROR(TRIM(INDEX($A38:$Z38,MATCH(Settings!$L$10,$A$1:$Z$1,0))&amp;""),""),6,2)),VALUE(MID(IFERROR(TRIM(INDEX($A38:$Z38,MATCH(Settings!$L$10,$A$1:$Z$1,0))&amp;""),""),9,2)))+TIME(VALUE(MID(IFERROR(TRIM(INDEX($A38:$Z38,MATCH(Settings!$L$10,$A$1:$Z$1,0))&amp;""),""),12,2)),VALUE(MID(IFERROR(TRIM(INDEX($A38:$Z38,MATCH(Settings!$L$10,$A$1:$Z$1,0))&amp;""),""),15,2)),VALUE(MID(IFERROR(TRIM(INDEX($A38:$Z38,MATCH(Settings!$L$10,$A$1:$Z$1,0))&amp;""),""),18,2)))),"")),"")</f>
        <v/>
      </c>
      <c r="AL38" s="32">
        <f>IF(AE38="","",IF(ISNUMBER(AK38),AK38,IFERROR(INT(IFERROR(IF(ISNUMBER(INDEX($A38:$Z38,MATCH(Settings!$L$11,$A$1:$Z$1,0))),INDEX($A38:$Z38,MATCH(Settings!$L$11,$A$1:$Z$1,0)),DATE(VALUE(LEFT(IFERROR(TRIM(INDEX($A38:$Z38,MATCH(Settings!$L$11,$A$1:$Z$1,0))&amp;""),""),4)),VALUE(MID(IFERROR(TRIM(INDEX($A38:$Z38,MATCH(Settings!$L$11,$A$1:$Z$1,0))&amp;""),""),6,2)),VALUE(MID(IFERROR(TRIM(INDEX($A38:$Z38,MATCH(Settings!$L$11,$A$1:$Z$1,0))&amp;""),""),9,2)))+TIME(VALUE(MID(IFERROR(TRIM(INDEX($A38:$Z38,MATCH(Settings!$L$11,$A$1:$Z$1,0))&amp;""),""),12,2)),VALUE(MID(IFERROR(TRIM(INDEX($A38:$Z38,MATCH(Settings!$L$11,$A$1:$Z$1,0))&amp;""),""),15,2)),VALUE(MID(IFERROR(TRIM(INDEX($A38:$Z38,MATCH(Settings!$L$11,$A$1:$Z$1,0))&amp;""),""),18,2)))),"")),"")))</f>
        <v/>
      </c>
      <c r="AM38" s="31">
        <f>IF(AE38="","",IF(ISNUMBER(IFERROR(INDEX(Settings!$G$4:$G$11,MATCH(AH38,Settings!$F$4:$F$11,0)),"")),INDEX(Settings!$G$4:$G$11,MATCH(AH38,Settings!$F$4:$F$11,0)),Settings!$D$5))</f>
        <v/>
      </c>
      <c r="AN38" s="32">
        <f>IF(OR(AE38="",NOT(ISNUMBER(AL38)),NOT(ISNUMBER(AM38))),"",IF(AM38&lt;=0,"",IF(ISNUMBER(Settings!$D$8),DATE(YEAR(AL38)+IF(DATE(YEAR(AL38),MONTH(Settings!$D$8),DAY(Settings!$D$8))&gt;AL38,0,1),MONTH(Settings!$D$8),DAY(Settings!$D$8)),MIN(DATE(YEAR(AL38),MONTH(AL38)+AM38,DAY(AL38)),DATE(YEAR(AL38),MONTH(AL38)+AM38+1,0)))))</f>
        <v/>
      </c>
      <c r="AO38" s="31">
        <f>IF(ISNUMBER(AN38),AN38-Settings!$D$4,"")</f>
        <v/>
      </c>
      <c r="AP38" s="31">
        <f>IF(ISNUMBER(AL38),AL38+0+ROW()/100000,"")</f>
        <v/>
      </c>
      <c r="AQ38" s="31">
        <f>IF(OR(AG38="",NOT(ISNUMBER(AP38))),0,IF(SUMPRODUCT(('Responses'!$AG$2:$AG$501=AG38)*('Responses'!$AJ$2:$AJ$501=1)*ISNUMBER('Responses'!$AP$2:$AP$501)*('Responses'!$AP$2:$AP$501&gt;AP38)) + SUMPRODUCT(('Paper sign-ups'!$K$2:$K$101=AG38)*('Paper sign-ups'!$N$2:$N$101=1)*ISNUMBER('Paper sign-ups'!$T$2:$T$101)*('Paper sign-ups'!$T$2:$T$101&gt;AP38))&gt;0,1,0))</f>
        <v/>
      </c>
      <c r="AR38" s="31">
        <f>IF(AE38="","",IF(AQ38=1,"Joined again",IF(AJ38=0,"Unpaid",IF(NOT(ISNUMBER(AL38)),"Add a join date",IF(AN38="","No reminder",IF(AO38&lt;0,"Lapsed",IF(AO38&lt;=Settings!$D$6,"Remind soon","Current")))))))</f>
        <v/>
      </c>
      <c r="AS38" s="33">
        <f>IF(AJ38=1,IFERROR(VALUE(IFERROR(TRIM(INDEX($A38:$Z38,MATCH(Settings!$L$8,$A$1:$Z$1,0))&amp;""),"")),0)-IFERROR(VALUE(IFERROR(TRIM(INDEX($A38:$Z38,MATCH(Settings!$L$9,$A$1:$Z$1,0))&amp;""),"")),0),0)</f>
        <v/>
      </c>
      <c r="AT38" s="31">
        <f>IF(AND(AE38&lt;&gt;"",AQ38=0),1,0)</f>
        <v/>
      </c>
      <c r="AU38" s="31">
        <f>IF(AT38=0,"",IF(ISNUMBER(AN38),AN38,100000)+0+ROW()/1000000)</f>
        <v/>
      </c>
      <c r="AV38" s="31">
        <f>IF(ISNUMBER(AU38),SUMPRODUCT(ISNUMBER('Responses'!$AU$2:$AU$501)*('Responses'!$AU$2:$AU$501&lt;AU38)) + SUMPRODUCT(ISNUMBER('Paper sign-ups'!$Y$2:$Y$101)*('Paper sign-ups'!$Y$2:$Y$101&lt;AU38))+1,"")</f>
        <v/>
      </c>
    </row>
    <row r="39">
      <c r="AA39" s="29" t="n"/>
      <c r="AB39" s="30" t="n"/>
      <c r="AC39" s="30" t="n"/>
      <c r="AD39" s="29" t="n"/>
      <c r="AE39" s="31">
        <f>IFERROR(TRIM(INDEX($A39:$Z39,MATCH(Settings!$L$4,$A$1:$Z$1,0))&amp;""),"")</f>
        <v/>
      </c>
      <c r="AF39" s="31">
        <f>IFERROR(TRIM(INDEX($A39:$Z39,MATCH(Settings!$L$5,$A$1:$Z$1,0))&amp;""),"")</f>
        <v/>
      </c>
      <c r="AG39" s="31">
        <f>IF(AE39="","",LOWER(IF(AF39&lt;&gt;"",AF39,AE39)))</f>
        <v/>
      </c>
      <c r="AH39" s="31">
        <f>IFERROR(TRIM(INDEX($A39:$Z39,MATCH(Settings!$L$6,$A$1:$Z$1,0))&amp;""),"")</f>
        <v/>
      </c>
      <c r="AI39" s="31">
        <f>IF(AE39="","",IF(UPPER(TRIM(AB39&amp;""))="Y","Paid another way",IF(IFERROR(TRIM(INDEX($A39:$Z39,MATCH(Settings!$L$7,$A$1:$Z$1,0))&amp;""),"")="","No payment status",IFERROR(TRIM(INDEX($A39:$Z39,MATCH(Settings!$L$7,$A$1:$Z$1,0))&amp;""),""))))</f>
        <v/>
      </c>
      <c r="AJ39" s="31">
        <f>IF(AE39="",0,IF(IFERROR(INDEX(Settings!$J$4:$J$14,MATCH(AI39,Settings!$I$4:$I$14,0)),"N")="Y",1,0))</f>
        <v/>
      </c>
      <c r="AK39" s="32">
        <f>IFERROR(INT(IFERROR(IF(ISNUMBER(INDEX($A39:$Z39,MATCH(Settings!$L$10,$A$1:$Z$1,0))),INDEX($A39:$Z39,MATCH(Settings!$L$10,$A$1:$Z$1,0)),DATE(VALUE(LEFT(IFERROR(TRIM(INDEX($A39:$Z39,MATCH(Settings!$L$10,$A$1:$Z$1,0))&amp;""),""),4)),VALUE(MID(IFERROR(TRIM(INDEX($A39:$Z39,MATCH(Settings!$L$10,$A$1:$Z$1,0))&amp;""),""),6,2)),VALUE(MID(IFERROR(TRIM(INDEX($A39:$Z39,MATCH(Settings!$L$10,$A$1:$Z$1,0))&amp;""),""),9,2)))+TIME(VALUE(MID(IFERROR(TRIM(INDEX($A39:$Z39,MATCH(Settings!$L$10,$A$1:$Z$1,0))&amp;""),""),12,2)),VALUE(MID(IFERROR(TRIM(INDEX($A39:$Z39,MATCH(Settings!$L$10,$A$1:$Z$1,0))&amp;""),""),15,2)),VALUE(MID(IFERROR(TRIM(INDEX($A39:$Z39,MATCH(Settings!$L$10,$A$1:$Z$1,0))&amp;""),""),18,2)))),"")),"")</f>
        <v/>
      </c>
      <c r="AL39" s="32">
        <f>IF(AE39="","",IF(ISNUMBER(AK39),AK39,IFERROR(INT(IFERROR(IF(ISNUMBER(INDEX($A39:$Z39,MATCH(Settings!$L$11,$A$1:$Z$1,0))),INDEX($A39:$Z39,MATCH(Settings!$L$11,$A$1:$Z$1,0)),DATE(VALUE(LEFT(IFERROR(TRIM(INDEX($A39:$Z39,MATCH(Settings!$L$11,$A$1:$Z$1,0))&amp;""),""),4)),VALUE(MID(IFERROR(TRIM(INDEX($A39:$Z39,MATCH(Settings!$L$11,$A$1:$Z$1,0))&amp;""),""),6,2)),VALUE(MID(IFERROR(TRIM(INDEX($A39:$Z39,MATCH(Settings!$L$11,$A$1:$Z$1,0))&amp;""),""),9,2)))+TIME(VALUE(MID(IFERROR(TRIM(INDEX($A39:$Z39,MATCH(Settings!$L$11,$A$1:$Z$1,0))&amp;""),""),12,2)),VALUE(MID(IFERROR(TRIM(INDEX($A39:$Z39,MATCH(Settings!$L$11,$A$1:$Z$1,0))&amp;""),""),15,2)),VALUE(MID(IFERROR(TRIM(INDEX($A39:$Z39,MATCH(Settings!$L$11,$A$1:$Z$1,0))&amp;""),""),18,2)))),"")),"")))</f>
        <v/>
      </c>
      <c r="AM39" s="31">
        <f>IF(AE39="","",IF(ISNUMBER(IFERROR(INDEX(Settings!$G$4:$G$11,MATCH(AH39,Settings!$F$4:$F$11,0)),"")),INDEX(Settings!$G$4:$G$11,MATCH(AH39,Settings!$F$4:$F$11,0)),Settings!$D$5))</f>
        <v/>
      </c>
      <c r="AN39" s="32">
        <f>IF(OR(AE39="",NOT(ISNUMBER(AL39)),NOT(ISNUMBER(AM39))),"",IF(AM39&lt;=0,"",IF(ISNUMBER(Settings!$D$8),DATE(YEAR(AL39)+IF(DATE(YEAR(AL39),MONTH(Settings!$D$8),DAY(Settings!$D$8))&gt;AL39,0,1),MONTH(Settings!$D$8),DAY(Settings!$D$8)),MIN(DATE(YEAR(AL39),MONTH(AL39)+AM39,DAY(AL39)),DATE(YEAR(AL39),MONTH(AL39)+AM39+1,0)))))</f>
        <v/>
      </c>
      <c r="AO39" s="31">
        <f>IF(ISNUMBER(AN39),AN39-Settings!$D$4,"")</f>
        <v/>
      </c>
      <c r="AP39" s="31">
        <f>IF(ISNUMBER(AL39),AL39+0+ROW()/100000,"")</f>
        <v/>
      </c>
      <c r="AQ39" s="31">
        <f>IF(OR(AG39="",NOT(ISNUMBER(AP39))),0,IF(SUMPRODUCT(('Responses'!$AG$2:$AG$501=AG39)*('Responses'!$AJ$2:$AJ$501=1)*ISNUMBER('Responses'!$AP$2:$AP$501)*('Responses'!$AP$2:$AP$501&gt;AP39)) + SUMPRODUCT(('Paper sign-ups'!$K$2:$K$101=AG39)*('Paper sign-ups'!$N$2:$N$101=1)*ISNUMBER('Paper sign-ups'!$T$2:$T$101)*('Paper sign-ups'!$T$2:$T$101&gt;AP39))&gt;0,1,0))</f>
        <v/>
      </c>
      <c r="AR39" s="31">
        <f>IF(AE39="","",IF(AQ39=1,"Joined again",IF(AJ39=0,"Unpaid",IF(NOT(ISNUMBER(AL39)),"Add a join date",IF(AN39="","No reminder",IF(AO39&lt;0,"Lapsed",IF(AO39&lt;=Settings!$D$6,"Remind soon","Current")))))))</f>
        <v/>
      </c>
      <c r="AS39" s="33">
        <f>IF(AJ39=1,IFERROR(VALUE(IFERROR(TRIM(INDEX($A39:$Z39,MATCH(Settings!$L$8,$A$1:$Z$1,0))&amp;""),"")),0)-IFERROR(VALUE(IFERROR(TRIM(INDEX($A39:$Z39,MATCH(Settings!$L$9,$A$1:$Z$1,0))&amp;""),"")),0),0)</f>
        <v/>
      </c>
      <c r="AT39" s="31">
        <f>IF(AND(AE39&lt;&gt;"",AQ39=0),1,0)</f>
        <v/>
      </c>
      <c r="AU39" s="31">
        <f>IF(AT39=0,"",IF(ISNUMBER(AN39),AN39,100000)+0+ROW()/1000000)</f>
        <v/>
      </c>
      <c r="AV39" s="31">
        <f>IF(ISNUMBER(AU39),SUMPRODUCT(ISNUMBER('Responses'!$AU$2:$AU$501)*('Responses'!$AU$2:$AU$501&lt;AU39)) + SUMPRODUCT(ISNUMBER('Paper sign-ups'!$Y$2:$Y$101)*('Paper sign-ups'!$Y$2:$Y$101&lt;AU39))+1,"")</f>
        <v/>
      </c>
    </row>
    <row r="40">
      <c r="AA40" s="29" t="n"/>
      <c r="AB40" s="30" t="n"/>
      <c r="AC40" s="30" t="n"/>
      <c r="AD40" s="29" t="n"/>
      <c r="AE40" s="31">
        <f>IFERROR(TRIM(INDEX($A40:$Z40,MATCH(Settings!$L$4,$A$1:$Z$1,0))&amp;""),"")</f>
        <v/>
      </c>
      <c r="AF40" s="31">
        <f>IFERROR(TRIM(INDEX($A40:$Z40,MATCH(Settings!$L$5,$A$1:$Z$1,0))&amp;""),"")</f>
        <v/>
      </c>
      <c r="AG40" s="31">
        <f>IF(AE40="","",LOWER(IF(AF40&lt;&gt;"",AF40,AE40)))</f>
        <v/>
      </c>
      <c r="AH40" s="31">
        <f>IFERROR(TRIM(INDEX($A40:$Z40,MATCH(Settings!$L$6,$A$1:$Z$1,0))&amp;""),"")</f>
        <v/>
      </c>
      <c r="AI40" s="31">
        <f>IF(AE40="","",IF(UPPER(TRIM(AB40&amp;""))="Y","Paid another way",IF(IFERROR(TRIM(INDEX($A40:$Z40,MATCH(Settings!$L$7,$A$1:$Z$1,0))&amp;""),"")="","No payment status",IFERROR(TRIM(INDEX($A40:$Z40,MATCH(Settings!$L$7,$A$1:$Z$1,0))&amp;""),""))))</f>
        <v/>
      </c>
      <c r="AJ40" s="31">
        <f>IF(AE40="",0,IF(IFERROR(INDEX(Settings!$J$4:$J$14,MATCH(AI40,Settings!$I$4:$I$14,0)),"N")="Y",1,0))</f>
        <v/>
      </c>
      <c r="AK40" s="32">
        <f>IFERROR(INT(IFERROR(IF(ISNUMBER(INDEX($A40:$Z40,MATCH(Settings!$L$10,$A$1:$Z$1,0))),INDEX($A40:$Z40,MATCH(Settings!$L$10,$A$1:$Z$1,0)),DATE(VALUE(LEFT(IFERROR(TRIM(INDEX($A40:$Z40,MATCH(Settings!$L$10,$A$1:$Z$1,0))&amp;""),""),4)),VALUE(MID(IFERROR(TRIM(INDEX($A40:$Z40,MATCH(Settings!$L$10,$A$1:$Z$1,0))&amp;""),""),6,2)),VALUE(MID(IFERROR(TRIM(INDEX($A40:$Z40,MATCH(Settings!$L$10,$A$1:$Z$1,0))&amp;""),""),9,2)))+TIME(VALUE(MID(IFERROR(TRIM(INDEX($A40:$Z40,MATCH(Settings!$L$10,$A$1:$Z$1,0))&amp;""),""),12,2)),VALUE(MID(IFERROR(TRIM(INDEX($A40:$Z40,MATCH(Settings!$L$10,$A$1:$Z$1,0))&amp;""),""),15,2)),VALUE(MID(IFERROR(TRIM(INDEX($A40:$Z40,MATCH(Settings!$L$10,$A$1:$Z$1,0))&amp;""),""),18,2)))),"")),"")</f>
        <v/>
      </c>
      <c r="AL40" s="32">
        <f>IF(AE40="","",IF(ISNUMBER(AK40),AK40,IFERROR(INT(IFERROR(IF(ISNUMBER(INDEX($A40:$Z40,MATCH(Settings!$L$11,$A$1:$Z$1,0))),INDEX($A40:$Z40,MATCH(Settings!$L$11,$A$1:$Z$1,0)),DATE(VALUE(LEFT(IFERROR(TRIM(INDEX($A40:$Z40,MATCH(Settings!$L$11,$A$1:$Z$1,0))&amp;""),""),4)),VALUE(MID(IFERROR(TRIM(INDEX($A40:$Z40,MATCH(Settings!$L$11,$A$1:$Z$1,0))&amp;""),""),6,2)),VALUE(MID(IFERROR(TRIM(INDEX($A40:$Z40,MATCH(Settings!$L$11,$A$1:$Z$1,0))&amp;""),""),9,2)))+TIME(VALUE(MID(IFERROR(TRIM(INDEX($A40:$Z40,MATCH(Settings!$L$11,$A$1:$Z$1,0))&amp;""),""),12,2)),VALUE(MID(IFERROR(TRIM(INDEX($A40:$Z40,MATCH(Settings!$L$11,$A$1:$Z$1,0))&amp;""),""),15,2)),VALUE(MID(IFERROR(TRIM(INDEX($A40:$Z40,MATCH(Settings!$L$11,$A$1:$Z$1,0))&amp;""),""),18,2)))),"")),"")))</f>
        <v/>
      </c>
      <c r="AM40" s="31">
        <f>IF(AE40="","",IF(ISNUMBER(IFERROR(INDEX(Settings!$G$4:$G$11,MATCH(AH40,Settings!$F$4:$F$11,0)),"")),INDEX(Settings!$G$4:$G$11,MATCH(AH40,Settings!$F$4:$F$11,0)),Settings!$D$5))</f>
        <v/>
      </c>
      <c r="AN40" s="32">
        <f>IF(OR(AE40="",NOT(ISNUMBER(AL40)),NOT(ISNUMBER(AM40))),"",IF(AM40&lt;=0,"",IF(ISNUMBER(Settings!$D$8),DATE(YEAR(AL40)+IF(DATE(YEAR(AL40),MONTH(Settings!$D$8),DAY(Settings!$D$8))&gt;AL40,0,1),MONTH(Settings!$D$8),DAY(Settings!$D$8)),MIN(DATE(YEAR(AL40),MONTH(AL40)+AM40,DAY(AL40)),DATE(YEAR(AL40),MONTH(AL40)+AM40+1,0)))))</f>
        <v/>
      </c>
      <c r="AO40" s="31">
        <f>IF(ISNUMBER(AN40),AN40-Settings!$D$4,"")</f>
        <v/>
      </c>
      <c r="AP40" s="31">
        <f>IF(ISNUMBER(AL40),AL40+0+ROW()/100000,"")</f>
        <v/>
      </c>
      <c r="AQ40" s="31">
        <f>IF(OR(AG40="",NOT(ISNUMBER(AP40))),0,IF(SUMPRODUCT(('Responses'!$AG$2:$AG$501=AG40)*('Responses'!$AJ$2:$AJ$501=1)*ISNUMBER('Responses'!$AP$2:$AP$501)*('Responses'!$AP$2:$AP$501&gt;AP40)) + SUMPRODUCT(('Paper sign-ups'!$K$2:$K$101=AG40)*('Paper sign-ups'!$N$2:$N$101=1)*ISNUMBER('Paper sign-ups'!$T$2:$T$101)*('Paper sign-ups'!$T$2:$T$101&gt;AP40))&gt;0,1,0))</f>
        <v/>
      </c>
      <c r="AR40" s="31">
        <f>IF(AE40="","",IF(AQ40=1,"Joined again",IF(AJ40=0,"Unpaid",IF(NOT(ISNUMBER(AL40)),"Add a join date",IF(AN40="","No reminder",IF(AO40&lt;0,"Lapsed",IF(AO40&lt;=Settings!$D$6,"Remind soon","Current")))))))</f>
        <v/>
      </c>
      <c r="AS40" s="33">
        <f>IF(AJ40=1,IFERROR(VALUE(IFERROR(TRIM(INDEX($A40:$Z40,MATCH(Settings!$L$8,$A$1:$Z$1,0))&amp;""),"")),0)-IFERROR(VALUE(IFERROR(TRIM(INDEX($A40:$Z40,MATCH(Settings!$L$9,$A$1:$Z$1,0))&amp;""),"")),0),0)</f>
        <v/>
      </c>
      <c r="AT40" s="31">
        <f>IF(AND(AE40&lt;&gt;"",AQ40=0),1,0)</f>
        <v/>
      </c>
      <c r="AU40" s="31">
        <f>IF(AT40=0,"",IF(ISNUMBER(AN40),AN40,100000)+0+ROW()/1000000)</f>
        <v/>
      </c>
      <c r="AV40" s="31">
        <f>IF(ISNUMBER(AU40),SUMPRODUCT(ISNUMBER('Responses'!$AU$2:$AU$501)*('Responses'!$AU$2:$AU$501&lt;AU40)) + SUMPRODUCT(ISNUMBER('Paper sign-ups'!$Y$2:$Y$101)*('Paper sign-ups'!$Y$2:$Y$101&lt;AU40))+1,"")</f>
        <v/>
      </c>
    </row>
    <row r="41">
      <c r="AA41" s="29" t="n"/>
      <c r="AB41" s="30" t="n"/>
      <c r="AC41" s="30" t="n"/>
      <c r="AD41" s="29" t="n"/>
      <c r="AE41" s="31">
        <f>IFERROR(TRIM(INDEX($A41:$Z41,MATCH(Settings!$L$4,$A$1:$Z$1,0))&amp;""),"")</f>
        <v/>
      </c>
      <c r="AF41" s="31">
        <f>IFERROR(TRIM(INDEX($A41:$Z41,MATCH(Settings!$L$5,$A$1:$Z$1,0))&amp;""),"")</f>
        <v/>
      </c>
      <c r="AG41" s="31">
        <f>IF(AE41="","",LOWER(IF(AF41&lt;&gt;"",AF41,AE41)))</f>
        <v/>
      </c>
      <c r="AH41" s="31">
        <f>IFERROR(TRIM(INDEX($A41:$Z41,MATCH(Settings!$L$6,$A$1:$Z$1,0))&amp;""),"")</f>
        <v/>
      </c>
      <c r="AI41" s="31">
        <f>IF(AE41="","",IF(UPPER(TRIM(AB41&amp;""))="Y","Paid another way",IF(IFERROR(TRIM(INDEX($A41:$Z41,MATCH(Settings!$L$7,$A$1:$Z$1,0))&amp;""),"")="","No payment status",IFERROR(TRIM(INDEX($A41:$Z41,MATCH(Settings!$L$7,$A$1:$Z$1,0))&amp;""),""))))</f>
        <v/>
      </c>
      <c r="AJ41" s="31">
        <f>IF(AE41="",0,IF(IFERROR(INDEX(Settings!$J$4:$J$14,MATCH(AI41,Settings!$I$4:$I$14,0)),"N")="Y",1,0))</f>
        <v/>
      </c>
      <c r="AK41" s="32">
        <f>IFERROR(INT(IFERROR(IF(ISNUMBER(INDEX($A41:$Z41,MATCH(Settings!$L$10,$A$1:$Z$1,0))),INDEX($A41:$Z41,MATCH(Settings!$L$10,$A$1:$Z$1,0)),DATE(VALUE(LEFT(IFERROR(TRIM(INDEX($A41:$Z41,MATCH(Settings!$L$10,$A$1:$Z$1,0))&amp;""),""),4)),VALUE(MID(IFERROR(TRIM(INDEX($A41:$Z41,MATCH(Settings!$L$10,$A$1:$Z$1,0))&amp;""),""),6,2)),VALUE(MID(IFERROR(TRIM(INDEX($A41:$Z41,MATCH(Settings!$L$10,$A$1:$Z$1,0))&amp;""),""),9,2)))+TIME(VALUE(MID(IFERROR(TRIM(INDEX($A41:$Z41,MATCH(Settings!$L$10,$A$1:$Z$1,0))&amp;""),""),12,2)),VALUE(MID(IFERROR(TRIM(INDEX($A41:$Z41,MATCH(Settings!$L$10,$A$1:$Z$1,0))&amp;""),""),15,2)),VALUE(MID(IFERROR(TRIM(INDEX($A41:$Z41,MATCH(Settings!$L$10,$A$1:$Z$1,0))&amp;""),""),18,2)))),"")),"")</f>
        <v/>
      </c>
      <c r="AL41" s="32">
        <f>IF(AE41="","",IF(ISNUMBER(AK41),AK41,IFERROR(INT(IFERROR(IF(ISNUMBER(INDEX($A41:$Z41,MATCH(Settings!$L$11,$A$1:$Z$1,0))),INDEX($A41:$Z41,MATCH(Settings!$L$11,$A$1:$Z$1,0)),DATE(VALUE(LEFT(IFERROR(TRIM(INDEX($A41:$Z41,MATCH(Settings!$L$11,$A$1:$Z$1,0))&amp;""),""),4)),VALUE(MID(IFERROR(TRIM(INDEX($A41:$Z41,MATCH(Settings!$L$11,$A$1:$Z$1,0))&amp;""),""),6,2)),VALUE(MID(IFERROR(TRIM(INDEX($A41:$Z41,MATCH(Settings!$L$11,$A$1:$Z$1,0))&amp;""),""),9,2)))+TIME(VALUE(MID(IFERROR(TRIM(INDEX($A41:$Z41,MATCH(Settings!$L$11,$A$1:$Z$1,0))&amp;""),""),12,2)),VALUE(MID(IFERROR(TRIM(INDEX($A41:$Z41,MATCH(Settings!$L$11,$A$1:$Z$1,0))&amp;""),""),15,2)),VALUE(MID(IFERROR(TRIM(INDEX($A41:$Z41,MATCH(Settings!$L$11,$A$1:$Z$1,0))&amp;""),""),18,2)))),"")),"")))</f>
        <v/>
      </c>
      <c r="AM41" s="31">
        <f>IF(AE41="","",IF(ISNUMBER(IFERROR(INDEX(Settings!$G$4:$G$11,MATCH(AH41,Settings!$F$4:$F$11,0)),"")),INDEX(Settings!$G$4:$G$11,MATCH(AH41,Settings!$F$4:$F$11,0)),Settings!$D$5))</f>
        <v/>
      </c>
      <c r="AN41" s="32">
        <f>IF(OR(AE41="",NOT(ISNUMBER(AL41)),NOT(ISNUMBER(AM41))),"",IF(AM41&lt;=0,"",IF(ISNUMBER(Settings!$D$8),DATE(YEAR(AL41)+IF(DATE(YEAR(AL41),MONTH(Settings!$D$8),DAY(Settings!$D$8))&gt;AL41,0,1),MONTH(Settings!$D$8),DAY(Settings!$D$8)),MIN(DATE(YEAR(AL41),MONTH(AL41)+AM41,DAY(AL41)),DATE(YEAR(AL41),MONTH(AL41)+AM41+1,0)))))</f>
        <v/>
      </c>
      <c r="AO41" s="31">
        <f>IF(ISNUMBER(AN41),AN41-Settings!$D$4,"")</f>
        <v/>
      </c>
      <c r="AP41" s="31">
        <f>IF(ISNUMBER(AL41),AL41+0+ROW()/100000,"")</f>
        <v/>
      </c>
      <c r="AQ41" s="31">
        <f>IF(OR(AG41="",NOT(ISNUMBER(AP41))),0,IF(SUMPRODUCT(('Responses'!$AG$2:$AG$501=AG41)*('Responses'!$AJ$2:$AJ$501=1)*ISNUMBER('Responses'!$AP$2:$AP$501)*('Responses'!$AP$2:$AP$501&gt;AP41)) + SUMPRODUCT(('Paper sign-ups'!$K$2:$K$101=AG41)*('Paper sign-ups'!$N$2:$N$101=1)*ISNUMBER('Paper sign-ups'!$T$2:$T$101)*('Paper sign-ups'!$T$2:$T$101&gt;AP41))&gt;0,1,0))</f>
        <v/>
      </c>
      <c r="AR41" s="31">
        <f>IF(AE41="","",IF(AQ41=1,"Joined again",IF(AJ41=0,"Unpaid",IF(NOT(ISNUMBER(AL41)),"Add a join date",IF(AN41="","No reminder",IF(AO41&lt;0,"Lapsed",IF(AO41&lt;=Settings!$D$6,"Remind soon","Current")))))))</f>
        <v/>
      </c>
      <c r="AS41" s="33">
        <f>IF(AJ41=1,IFERROR(VALUE(IFERROR(TRIM(INDEX($A41:$Z41,MATCH(Settings!$L$8,$A$1:$Z$1,0))&amp;""),"")),0)-IFERROR(VALUE(IFERROR(TRIM(INDEX($A41:$Z41,MATCH(Settings!$L$9,$A$1:$Z$1,0))&amp;""),"")),0),0)</f>
        <v/>
      </c>
      <c r="AT41" s="31">
        <f>IF(AND(AE41&lt;&gt;"",AQ41=0),1,0)</f>
        <v/>
      </c>
      <c r="AU41" s="31">
        <f>IF(AT41=0,"",IF(ISNUMBER(AN41),AN41,100000)+0+ROW()/1000000)</f>
        <v/>
      </c>
      <c r="AV41" s="31">
        <f>IF(ISNUMBER(AU41),SUMPRODUCT(ISNUMBER('Responses'!$AU$2:$AU$501)*('Responses'!$AU$2:$AU$501&lt;AU41)) + SUMPRODUCT(ISNUMBER('Paper sign-ups'!$Y$2:$Y$101)*('Paper sign-ups'!$Y$2:$Y$101&lt;AU41))+1,"")</f>
        <v/>
      </c>
    </row>
    <row r="42">
      <c r="AA42" s="29" t="n"/>
      <c r="AB42" s="30" t="n"/>
      <c r="AC42" s="30" t="n"/>
      <c r="AD42" s="29" t="n"/>
      <c r="AE42" s="31">
        <f>IFERROR(TRIM(INDEX($A42:$Z42,MATCH(Settings!$L$4,$A$1:$Z$1,0))&amp;""),"")</f>
        <v/>
      </c>
      <c r="AF42" s="31">
        <f>IFERROR(TRIM(INDEX($A42:$Z42,MATCH(Settings!$L$5,$A$1:$Z$1,0))&amp;""),"")</f>
        <v/>
      </c>
      <c r="AG42" s="31">
        <f>IF(AE42="","",LOWER(IF(AF42&lt;&gt;"",AF42,AE42)))</f>
        <v/>
      </c>
      <c r="AH42" s="31">
        <f>IFERROR(TRIM(INDEX($A42:$Z42,MATCH(Settings!$L$6,$A$1:$Z$1,0))&amp;""),"")</f>
        <v/>
      </c>
      <c r="AI42" s="31">
        <f>IF(AE42="","",IF(UPPER(TRIM(AB42&amp;""))="Y","Paid another way",IF(IFERROR(TRIM(INDEX($A42:$Z42,MATCH(Settings!$L$7,$A$1:$Z$1,0))&amp;""),"")="","No payment status",IFERROR(TRIM(INDEX($A42:$Z42,MATCH(Settings!$L$7,$A$1:$Z$1,0))&amp;""),""))))</f>
        <v/>
      </c>
      <c r="AJ42" s="31">
        <f>IF(AE42="",0,IF(IFERROR(INDEX(Settings!$J$4:$J$14,MATCH(AI42,Settings!$I$4:$I$14,0)),"N")="Y",1,0))</f>
        <v/>
      </c>
      <c r="AK42" s="32">
        <f>IFERROR(INT(IFERROR(IF(ISNUMBER(INDEX($A42:$Z42,MATCH(Settings!$L$10,$A$1:$Z$1,0))),INDEX($A42:$Z42,MATCH(Settings!$L$10,$A$1:$Z$1,0)),DATE(VALUE(LEFT(IFERROR(TRIM(INDEX($A42:$Z42,MATCH(Settings!$L$10,$A$1:$Z$1,0))&amp;""),""),4)),VALUE(MID(IFERROR(TRIM(INDEX($A42:$Z42,MATCH(Settings!$L$10,$A$1:$Z$1,0))&amp;""),""),6,2)),VALUE(MID(IFERROR(TRIM(INDEX($A42:$Z42,MATCH(Settings!$L$10,$A$1:$Z$1,0))&amp;""),""),9,2)))+TIME(VALUE(MID(IFERROR(TRIM(INDEX($A42:$Z42,MATCH(Settings!$L$10,$A$1:$Z$1,0))&amp;""),""),12,2)),VALUE(MID(IFERROR(TRIM(INDEX($A42:$Z42,MATCH(Settings!$L$10,$A$1:$Z$1,0))&amp;""),""),15,2)),VALUE(MID(IFERROR(TRIM(INDEX($A42:$Z42,MATCH(Settings!$L$10,$A$1:$Z$1,0))&amp;""),""),18,2)))),"")),"")</f>
        <v/>
      </c>
      <c r="AL42" s="32">
        <f>IF(AE42="","",IF(ISNUMBER(AK42),AK42,IFERROR(INT(IFERROR(IF(ISNUMBER(INDEX($A42:$Z42,MATCH(Settings!$L$11,$A$1:$Z$1,0))),INDEX($A42:$Z42,MATCH(Settings!$L$11,$A$1:$Z$1,0)),DATE(VALUE(LEFT(IFERROR(TRIM(INDEX($A42:$Z42,MATCH(Settings!$L$11,$A$1:$Z$1,0))&amp;""),""),4)),VALUE(MID(IFERROR(TRIM(INDEX($A42:$Z42,MATCH(Settings!$L$11,$A$1:$Z$1,0))&amp;""),""),6,2)),VALUE(MID(IFERROR(TRIM(INDEX($A42:$Z42,MATCH(Settings!$L$11,$A$1:$Z$1,0))&amp;""),""),9,2)))+TIME(VALUE(MID(IFERROR(TRIM(INDEX($A42:$Z42,MATCH(Settings!$L$11,$A$1:$Z$1,0))&amp;""),""),12,2)),VALUE(MID(IFERROR(TRIM(INDEX($A42:$Z42,MATCH(Settings!$L$11,$A$1:$Z$1,0))&amp;""),""),15,2)),VALUE(MID(IFERROR(TRIM(INDEX($A42:$Z42,MATCH(Settings!$L$11,$A$1:$Z$1,0))&amp;""),""),18,2)))),"")),"")))</f>
        <v/>
      </c>
      <c r="AM42" s="31">
        <f>IF(AE42="","",IF(ISNUMBER(IFERROR(INDEX(Settings!$G$4:$G$11,MATCH(AH42,Settings!$F$4:$F$11,0)),"")),INDEX(Settings!$G$4:$G$11,MATCH(AH42,Settings!$F$4:$F$11,0)),Settings!$D$5))</f>
        <v/>
      </c>
      <c r="AN42" s="32">
        <f>IF(OR(AE42="",NOT(ISNUMBER(AL42)),NOT(ISNUMBER(AM42))),"",IF(AM42&lt;=0,"",IF(ISNUMBER(Settings!$D$8),DATE(YEAR(AL42)+IF(DATE(YEAR(AL42),MONTH(Settings!$D$8),DAY(Settings!$D$8))&gt;AL42,0,1),MONTH(Settings!$D$8),DAY(Settings!$D$8)),MIN(DATE(YEAR(AL42),MONTH(AL42)+AM42,DAY(AL42)),DATE(YEAR(AL42),MONTH(AL42)+AM42+1,0)))))</f>
        <v/>
      </c>
      <c r="AO42" s="31">
        <f>IF(ISNUMBER(AN42),AN42-Settings!$D$4,"")</f>
        <v/>
      </c>
      <c r="AP42" s="31">
        <f>IF(ISNUMBER(AL42),AL42+0+ROW()/100000,"")</f>
        <v/>
      </c>
      <c r="AQ42" s="31">
        <f>IF(OR(AG42="",NOT(ISNUMBER(AP42))),0,IF(SUMPRODUCT(('Responses'!$AG$2:$AG$501=AG42)*('Responses'!$AJ$2:$AJ$501=1)*ISNUMBER('Responses'!$AP$2:$AP$501)*('Responses'!$AP$2:$AP$501&gt;AP42)) + SUMPRODUCT(('Paper sign-ups'!$K$2:$K$101=AG42)*('Paper sign-ups'!$N$2:$N$101=1)*ISNUMBER('Paper sign-ups'!$T$2:$T$101)*('Paper sign-ups'!$T$2:$T$101&gt;AP42))&gt;0,1,0))</f>
        <v/>
      </c>
      <c r="AR42" s="31">
        <f>IF(AE42="","",IF(AQ42=1,"Joined again",IF(AJ42=0,"Unpaid",IF(NOT(ISNUMBER(AL42)),"Add a join date",IF(AN42="","No reminder",IF(AO42&lt;0,"Lapsed",IF(AO42&lt;=Settings!$D$6,"Remind soon","Current")))))))</f>
        <v/>
      </c>
      <c r="AS42" s="33">
        <f>IF(AJ42=1,IFERROR(VALUE(IFERROR(TRIM(INDEX($A42:$Z42,MATCH(Settings!$L$8,$A$1:$Z$1,0))&amp;""),"")),0)-IFERROR(VALUE(IFERROR(TRIM(INDEX($A42:$Z42,MATCH(Settings!$L$9,$A$1:$Z$1,0))&amp;""),"")),0),0)</f>
        <v/>
      </c>
      <c r="AT42" s="31">
        <f>IF(AND(AE42&lt;&gt;"",AQ42=0),1,0)</f>
        <v/>
      </c>
      <c r="AU42" s="31">
        <f>IF(AT42=0,"",IF(ISNUMBER(AN42),AN42,100000)+0+ROW()/1000000)</f>
        <v/>
      </c>
      <c r="AV42" s="31">
        <f>IF(ISNUMBER(AU42),SUMPRODUCT(ISNUMBER('Responses'!$AU$2:$AU$501)*('Responses'!$AU$2:$AU$501&lt;AU42)) + SUMPRODUCT(ISNUMBER('Paper sign-ups'!$Y$2:$Y$101)*('Paper sign-ups'!$Y$2:$Y$101&lt;AU42))+1,"")</f>
        <v/>
      </c>
    </row>
    <row r="43">
      <c r="AA43" s="29" t="n"/>
      <c r="AB43" s="30" t="n"/>
      <c r="AC43" s="30" t="n"/>
      <c r="AD43" s="29" t="n"/>
      <c r="AE43" s="31">
        <f>IFERROR(TRIM(INDEX($A43:$Z43,MATCH(Settings!$L$4,$A$1:$Z$1,0))&amp;""),"")</f>
        <v/>
      </c>
      <c r="AF43" s="31">
        <f>IFERROR(TRIM(INDEX($A43:$Z43,MATCH(Settings!$L$5,$A$1:$Z$1,0))&amp;""),"")</f>
        <v/>
      </c>
      <c r="AG43" s="31">
        <f>IF(AE43="","",LOWER(IF(AF43&lt;&gt;"",AF43,AE43)))</f>
        <v/>
      </c>
      <c r="AH43" s="31">
        <f>IFERROR(TRIM(INDEX($A43:$Z43,MATCH(Settings!$L$6,$A$1:$Z$1,0))&amp;""),"")</f>
        <v/>
      </c>
      <c r="AI43" s="31">
        <f>IF(AE43="","",IF(UPPER(TRIM(AB43&amp;""))="Y","Paid another way",IF(IFERROR(TRIM(INDEX($A43:$Z43,MATCH(Settings!$L$7,$A$1:$Z$1,0))&amp;""),"")="","No payment status",IFERROR(TRIM(INDEX($A43:$Z43,MATCH(Settings!$L$7,$A$1:$Z$1,0))&amp;""),""))))</f>
        <v/>
      </c>
      <c r="AJ43" s="31">
        <f>IF(AE43="",0,IF(IFERROR(INDEX(Settings!$J$4:$J$14,MATCH(AI43,Settings!$I$4:$I$14,0)),"N")="Y",1,0))</f>
        <v/>
      </c>
      <c r="AK43" s="32">
        <f>IFERROR(INT(IFERROR(IF(ISNUMBER(INDEX($A43:$Z43,MATCH(Settings!$L$10,$A$1:$Z$1,0))),INDEX($A43:$Z43,MATCH(Settings!$L$10,$A$1:$Z$1,0)),DATE(VALUE(LEFT(IFERROR(TRIM(INDEX($A43:$Z43,MATCH(Settings!$L$10,$A$1:$Z$1,0))&amp;""),""),4)),VALUE(MID(IFERROR(TRIM(INDEX($A43:$Z43,MATCH(Settings!$L$10,$A$1:$Z$1,0))&amp;""),""),6,2)),VALUE(MID(IFERROR(TRIM(INDEX($A43:$Z43,MATCH(Settings!$L$10,$A$1:$Z$1,0))&amp;""),""),9,2)))+TIME(VALUE(MID(IFERROR(TRIM(INDEX($A43:$Z43,MATCH(Settings!$L$10,$A$1:$Z$1,0))&amp;""),""),12,2)),VALUE(MID(IFERROR(TRIM(INDEX($A43:$Z43,MATCH(Settings!$L$10,$A$1:$Z$1,0))&amp;""),""),15,2)),VALUE(MID(IFERROR(TRIM(INDEX($A43:$Z43,MATCH(Settings!$L$10,$A$1:$Z$1,0))&amp;""),""),18,2)))),"")),"")</f>
        <v/>
      </c>
      <c r="AL43" s="32">
        <f>IF(AE43="","",IF(ISNUMBER(AK43),AK43,IFERROR(INT(IFERROR(IF(ISNUMBER(INDEX($A43:$Z43,MATCH(Settings!$L$11,$A$1:$Z$1,0))),INDEX($A43:$Z43,MATCH(Settings!$L$11,$A$1:$Z$1,0)),DATE(VALUE(LEFT(IFERROR(TRIM(INDEX($A43:$Z43,MATCH(Settings!$L$11,$A$1:$Z$1,0))&amp;""),""),4)),VALUE(MID(IFERROR(TRIM(INDEX($A43:$Z43,MATCH(Settings!$L$11,$A$1:$Z$1,0))&amp;""),""),6,2)),VALUE(MID(IFERROR(TRIM(INDEX($A43:$Z43,MATCH(Settings!$L$11,$A$1:$Z$1,0))&amp;""),""),9,2)))+TIME(VALUE(MID(IFERROR(TRIM(INDEX($A43:$Z43,MATCH(Settings!$L$11,$A$1:$Z$1,0))&amp;""),""),12,2)),VALUE(MID(IFERROR(TRIM(INDEX($A43:$Z43,MATCH(Settings!$L$11,$A$1:$Z$1,0))&amp;""),""),15,2)),VALUE(MID(IFERROR(TRIM(INDEX($A43:$Z43,MATCH(Settings!$L$11,$A$1:$Z$1,0))&amp;""),""),18,2)))),"")),"")))</f>
        <v/>
      </c>
      <c r="AM43" s="31">
        <f>IF(AE43="","",IF(ISNUMBER(IFERROR(INDEX(Settings!$G$4:$G$11,MATCH(AH43,Settings!$F$4:$F$11,0)),"")),INDEX(Settings!$G$4:$G$11,MATCH(AH43,Settings!$F$4:$F$11,0)),Settings!$D$5))</f>
        <v/>
      </c>
      <c r="AN43" s="32">
        <f>IF(OR(AE43="",NOT(ISNUMBER(AL43)),NOT(ISNUMBER(AM43))),"",IF(AM43&lt;=0,"",IF(ISNUMBER(Settings!$D$8),DATE(YEAR(AL43)+IF(DATE(YEAR(AL43),MONTH(Settings!$D$8),DAY(Settings!$D$8))&gt;AL43,0,1),MONTH(Settings!$D$8),DAY(Settings!$D$8)),MIN(DATE(YEAR(AL43),MONTH(AL43)+AM43,DAY(AL43)),DATE(YEAR(AL43),MONTH(AL43)+AM43+1,0)))))</f>
        <v/>
      </c>
      <c r="AO43" s="31">
        <f>IF(ISNUMBER(AN43),AN43-Settings!$D$4,"")</f>
        <v/>
      </c>
      <c r="AP43" s="31">
        <f>IF(ISNUMBER(AL43),AL43+0+ROW()/100000,"")</f>
        <v/>
      </c>
      <c r="AQ43" s="31">
        <f>IF(OR(AG43="",NOT(ISNUMBER(AP43))),0,IF(SUMPRODUCT(('Responses'!$AG$2:$AG$501=AG43)*('Responses'!$AJ$2:$AJ$501=1)*ISNUMBER('Responses'!$AP$2:$AP$501)*('Responses'!$AP$2:$AP$501&gt;AP43)) + SUMPRODUCT(('Paper sign-ups'!$K$2:$K$101=AG43)*('Paper sign-ups'!$N$2:$N$101=1)*ISNUMBER('Paper sign-ups'!$T$2:$T$101)*('Paper sign-ups'!$T$2:$T$101&gt;AP43))&gt;0,1,0))</f>
        <v/>
      </c>
      <c r="AR43" s="31">
        <f>IF(AE43="","",IF(AQ43=1,"Joined again",IF(AJ43=0,"Unpaid",IF(NOT(ISNUMBER(AL43)),"Add a join date",IF(AN43="","No reminder",IF(AO43&lt;0,"Lapsed",IF(AO43&lt;=Settings!$D$6,"Remind soon","Current")))))))</f>
        <v/>
      </c>
      <c r="AS43" s="33">
        <f>IF(AJ43=1,IFERROR(VALUE(IFERROR(TRIM(INDEX($A43:$Z43,MATCH(Settings!$L$8,$A$1:$Z$1,0))&amp;""),"")),0)-IFERROR(VALUE(IFERROR(TRIM(INDEX($A43:$Z43,MATCH(Settings!$L$9,$A$1:$Z$1,0))&amp;""),"")),0),0)</f>
        <v/>
      </c>
      <c r="AT43" s="31">
        <f>IF(AND(AE43&lt;&gt;"",AQ43=0),1,0)</f>
        <v/>
      </c>
      <c r="AU43" s="31">
        <f>IF(AT43=0,"",IF(ISNUMBER(AN43),AN43,100000)+0+ROW()/1000000)</f>
        <v/>
      </c>
      <c r="AV43" s="31">
        <f>IF(ISNUMBER(AU43),SUMPRODUCT(ISNUMBER('Responses'!$AU$2:$AU$501)*('Responses'!$AU$2:$AU$501&lt;AU43)) + SUMPRODUCT(ISNUMBER('Paper sign-ups'!$Y$2:$Y$101)*('Paper sign-ups'!$Y$2:$Y$101&lt;AU43))+1,"")</f>
        <v/>
      </c>
    </row>
    <row r="44">
      <c r="AA44" s="29" t="n"/>
      <c r="AB44" s="30" t="n"/>
      <c r="AC44" s="30" t="n"/>
      <c r="AD44" s="29" t="n"/>
      <c r="AE44" s="31">
        <f>IFERROR(TRIM(INDEX($A44:$Z44,MATCH(Settings!$L$4,$A$1:$Z$1,0))&amp;""),"")</f>
        <v/>
      </c>
      <c r="AF44" s="31">
        <f>IFERROR(TRIM(INDEX($A44:$Z44,MATCH(Settings!$L$5,$A$1:$Z$1,0))&amp;""),"")</f>
        <v/>
      </c>
      <c r="AG44" s="31">
        <f>IF(AE44="","",LOWER(IF(AF44&lt;&gt;"",AF44,AE44)))</f>
        <v/>
      </c>
      <c r="AH44" s="31">
        <f>IFERROR(TRIM(INDEX($A44:$Z44,MATCH(Settings!$L$6,$A$1:$Z$1,0))&amp;""),"")</f>
        <v/>
      </c>
      <c r="AI44" s="31">
        <f>IF(AE44="","",IF(UPPER(TRIM(AB44&amp;""))="Y","Paid another way",IF(IFERROR(TRIM(INDEX($A44:$Z44,MATCH(Settings!$L$7,$A$1:$Z$1,0))&amp;""),"")="","No payment status",IFERROR(TRIM(INDEX($A44:$Z44,MATCH(Settings!$L$7,$A$1:$Z$1,0))&amp;""),""))))</f>
        <v/>
      </c>
      <c r="AJ44" s="31">
        <f>IF(AE44="",0,IF(IFERROR(INDEX(Settings!$J$4:$J$14,MATCH(AI44,Settings!$I$4:$I$14,0)),"N")="Y",1,0))</f>
        <v/>
      </c>
      <c r="AK44" s="32">
        <f>IFERROR(INT(IFERROR(IF(ISNUMBER(INDEX($A44:$Z44,MATCH(Settings!$L$10,$A$1:$Z$1,0))),INDEX($A44:$Z44,MATCH(Settings!$L$10,$A$1:$Z$1,0)),DATE(VALUE(LEFT(IFERROR(TRIM(INDEX($A44:$Z44,MATCH(Settings!$L$10,$A$1:$Z$1,0))&amp;""),""),4)),VALUE(MID(IFERROR(TRIM(INDEX($A44:$Z44,MATCH(Settings!$L$10,$A$1:$Z$1,0))&amp;""),""),6,2)),VALUE(MID(IFERROR(TRIM(INDEX($A44:$Z44,MATCH(Settings!$L$10,$A$1:$Z$1,0))&amp;""),""),9,2)))+TIME(VALUE(MID(IFERROR(TRIM(INDEX($A44:$Z44,MATCH(Settings!$L$10,$A$1:$Z$1,0))&amp;""),""),12,2)),VALUE(MID(IFERROR(TRIM(INDEX($A44:$Z44,MATCH(Settings!$L$10,$A$1:$Z$1,0))&amp;""),""),15,2)),VALUE(MID(IFERROR(TRIM(INDEX($A44:$Z44,MATCH(Settings!$L$10,$A$1:$Z$1,0))&amp;""),""),18,2)))),"")),"")</f>
        <v/>
      </c>
      <c r="AL44" s="32">
        <f>IF(AE44="","",IF(ISNUMBER(AK44),AK44,IFERROR(INT(IFERROR(IF(ISNUMBER(INDEX($A44:$Z44,MATCH(Settings!$L$11,$A$1:$Z$1,0))),INDEX($A44:$Z44,MATCH(Settings!$L$11,$A$1:$Z$1,0)),DATE(VALUE(LEFT(IFERROR(TRIM(INDEX($A44:$Z44,MATCH(Settings!$L$11,$A$1:$Z$1,0))&amp;""),""),4)),VALUE(MID(IFERROR(TRIM(INDEX($A44:$Z44,MATCH(Settings!$L$11,$A$1:$Z$1,0))&amp;""),""),6,2)),VALUE(MID(IFERROR(TRIM(INDEX($A44:$Z44,MATCH(Settings!$L$11,$A$1:$Z$1,0))&amp;""),""),9,2)))+TIME(VALUE(MID(IFERROR(TRIM(INDEX($A44:$Z44,MATCH(Settings!$L$11,$A$1:$Z$1,0))&amp;""),""),12,2)),VALUE(MID(IFERROR(TRIM(INDEX($A44:$Z44,MATCH(Settings!$L$11,$A$1:$Z$1,0))&amp;""),""),15,2)),VALUE(MID(IFERROR(TRIM(INDEX($A44:$Z44,MATCH(Settings!$L$11,$A$1:$Z$1,0))&amp;""),""),18,2)))),"")),"")))</f>
        <v/>
      </c>
      <c r="AM44" s="31">
        <f>IF(AE44="","",IF(ISNUMBER(IFERROR(INDEX(Settings!$G$4:$G$11,MATCH(AH44,Settings!$F$4:$F$11,0)),"")),INDEX(Settings!$G$4:$G$11,MATCH(AH44,Settings!$F$4:$F$11,0)),Settings!$D$5))</f>
        <v/>
      </c>
      <c r="AN44" s="32">
        <f>IF(OR(AE44="",NOT(ISNUMBER(AL44)),NOT(ISNUMBER(AM44))),"",IF(AM44&lt;=0,"",IF(ISNUMBER(Settings!$D$8),DATE(YEAR(AL44)+IF(DATE(YEAR(AL44),MONTH(Settings!$D$8),DAY(Settings!$D$8))&gt;AL44,0,1),MONTH(Settings!$D$8),DAY(Settings!$D$8)),MIN(DATE(YEAR(AL44),MONTH(AL44)+AM44,DAY(AL44)),DATE(YEAR(AL44),MONTH(AL44)+AM44+1,0)))))</f>
        <v/>
      </c>
      <c r="AO44" s="31">
        <f>IF(ISNUMBER(AN44),AN44-Settings!$D$4,"")</f>
        <v/>
      </c>
      <c r="AP44" s="31">
        <f>IF(ISNUMBER(AL44),AL44+0+ROW()/100000,"")</f>
        <v/>
      </c>
      <c r="AQ44" s="31">
        <f>IF(OR(AG44="",NOT(ISNUMBER(AP44))),0,IF(SUMPRODUCT(('Responses'!$AG$2:$AG$501=AG44)*('Responses'!$AJ$2:$AJ$501=1)*ISNUMBER('Responses'!$AP$2:$AP$501)*('Responses'!$AP$2:$AP$501&gt;AP44)) + SUMPRODUCT(('Paper sign-ups'!$K$2:$K$101=AG44)*('Paper sign-ups'!$N$2:$N$101=1)*ISNUMBER('Paper sign-ups'!$T$2:$T$101)*('Paper sign-ups'!$T$2:$T$101&gt;AP44))&gt;0,1,0))</f>
        <v/>
      </c>
      <c r="AR44" s="31">
        <f>IF(AE44="","",IF(AQ44=1,"Joined again",IF(AJ44=0,"Unpaid",IF(NOT(ISNUMBER(AL44)),"Add a join date",IF(AN44="","No reminder",IF(AO44&lt;0,"Lapsed",IF(AO44&lt;=Settings!$D$6,"Remind soon","Current")))))))</f>
        <v/>
      </c>
      <c r="AS44" s="33">
        <f>IF(AJ44=1,IFERROR(VALUE(IFERROR(TRIM(INDEX($A44:$Z44,MATCH(Settings!$L$8,$A$1:$Z$1,0))&amp;""),"")),0)-IFERROR(VALUE(IFERROR(TRIM(INDEX($A44:$Z44,MATCH(Settings!$L$9,$A$1:$Z$1,0))&amp;""),"")),0),0)</f>
        <v/>
      </c>
      <c r="AT44" s="31">
        <f>IF(AND(AE44&lt;&gt;"",AQ44=0),1,0)</f>
        <v/>
      </c>
      <c r="AU44" s="31">
        <f>IF(AT44=0,"",IF(ISNUMBER(AN44),AN44,100000)+0+ROW()/1000000)</f>
        <v/>
      </c>
      <c r="AV44" s="31">
        <f>IF(ISNUMBER(AU44),SUMPRODUCT(ISNUMBER('Responses'!$AU$2:$AU$501)*('Responses'!$AU$2:$AU$501&lt;AU44)) + SUMPRODUCT(ISNUMBER('Paper sign-ups'!$Y$2:$Y$101)*('Paper sign-ups'!$Y$2:$Y$101&lt;AU44))+1,"")</f>
        <v/>
      </c>
    </row>
    <row r="45">
      <c r="AA45" s="29" t="n"/>
      <c r="AB45" s="30" t="n"/>
      <c r="AC45" s="30" t="n"/>
      <c r="AD45" s="29" t="n"/>
      <c r="AE45" s="31">
        <f>IFERROR(TRIM(INDEX($A45:$Z45,MATCH(Settings!$L$4,$A$1:$Z$1,0))&amp;""),"")</f>
        <v/>
      </c>
      <c r="AF45" s="31">
        <f>IFERROR(TRIM(INDEX($A45:$Z45,MATCH(Settings!$L$5,$A$1:$Z$1,0))&amp;""),"")</f>
        <v/>
      </c>
      <c r="AG45" s="31">
        <f>IF(AE45="","",LOWER(IF(AF45&lt;&gt;"",AF45,AE45)))</f>
        <v/>
      </c>
      <c r="AH45" s="31">
        <f>IFERROR(TRIM(INDEX($A45:$Z45,MATCH(Settings!$L$6,$A$1:$Z$1,0))&amp;""),"")</f>
        <v/>
      </c>
      <c r="AI45" s="31">
        <f>IF(AE45="","",IF(UPPER(TRIM(AB45&amp;""))="Y","Paid another way",IF(IFERROR(TRIM(INDEX($A45:$Z45,MATCH(Settings!$L$7,$A$1:$Z$1,0))&amp;""),"")="","No payment status",IFERROR(TRIM(INDEX($A45:$Z45,MATCH(Settings!$L$7,$A$1:$Z$1,0))&amp;""),""))))</f>
        <v/>
      </c>
      <c r="AJ45" s="31">
        <f>IF(AE45="",0,IF(IFERROR(INDEX(Settings!$J$4:$J$14,MATCH(AI45,Settings!$I$4:$I$14,0)),"N")="Y",1,0))</f>
        <v/>
      </c>
      <c r="AK45" s="32">
        <f>IFERROR(INT(IFERROR(IF(ISNUMBER(INDEX($A45:$Z45,MATCH(Settings!$L$10,$A$1:$Z$1,0))),INDEX($A45:$Z45,MATCH(Settings!$L$10,$A$1:$Z$1,0)),DATE(VALUE(LEFT(IFERROR(TRIM(INDEX($A45:$Z45,MATCH(Settings!$L$10,$A$1:$Z$1,0))&amp;""),""),4)),VALUE(MID(IFERROR(TRIM(INDEX($A45:$Z45,MATCH(Settings!$L$10,$A$1:$Z$1,0))&amp;""),""),6,2)),VALUE(MID(IFERROR(TRIM(INDEX($A45:$Z45,MATCH(Settings!$L$10,$A$1:$Z$1,0))&amp;""),""),9,2)))+TIME(VALUE(MID(IFERROR(TRIM(INDEX($A45:$Z45,MATCH(Settings!$L$10,$A$1:$Z$1,0))&amp;""),""),12,2)),VALUE(MID(IFERROR(TRIM(INDEX($A45:$Z45,MATCH(Settings!$L$10,$A$1:$Z$1,0))&amp;""),""),15,2)),VALUE(MID(IFERROR(TRIM(INDEX($A45:$Z45,MATCH(Settings!$L$10,$A$1:$Z$1,0))&amp;""),""),18,2)))),"")),"")</f>
        <v/>
      </c>
      <c r="AL45" s="32">
        <f>IF(AE45="","",IF(ISNUMBER(AK45),AK45,IFERROR(INT(IFERROR(IF(ISNUMBER(INDEX($A45:$Z45,MATCH(Settings!$L$11,$A$1:$Z$1,0))),INDEX($A45:$Z45,MATCH(Settings!$L$11,$A$1:$Z$1,0)),DATE(VALUE(LEFT(IFERROR(TRIM(INDEX($A45:$Z45,MATCH(Settings!$L$11,$A$1:$Z$1,0))&amp;""),""),4)),VALUE(MID(IFERROR(TRIM(INDEX($A45:$Z45,MATCH(Settings!$L$11,$A$1:$Z$1,0))&amp;""),""),6,2)),VALUE(MID(IFERROR(TRIM(INDEX($A45:$Z45,MATCH(Settings!$L$11,$A$1:$Z$1,0))&amp;""),""),9,2)))+TIME(VALUE(MID(IFERROR(TRIM(INDEX($A45:$Z45,MATCH(Settings!$L$11,$A$1:$Z$1,0))&amp;""),""),12,2)),VALUE(MID(IFERROR(TRIM(INDEX($A45:$Z45,MATCH(Settings!$L$11,$A$1:$Z$1,0))&amp;""),""),15,2)),VALUE(MID(IFERROR(TRIM(INDEX($A45:$Z45,MATCH(Settings!$L$11,$A$1:$Z$1,0))&amp;""),""),18,2)))),"")),"")))</f>
        <v/>
      </c>
      <c r="AM45" s="31">
        <f>IF(AE45="","",IF(ISNUMBER(IFERROR(INDEX(Settings!$G$4:$G$11,MATCH(AH45,Settings!$F$4:$F$11,0)),"")),INDEX(Settings!$G$4:$G$11,MATCH(AH45,Settings!$F$4:$F$11,0)),Settings!$D$5))</f>
        <v/>
      </c>
      <c r="AN45" s="32">
        <f>IF(OR(AE45="",NOT(ISNUMBER(AL45)),NOT(ISNUMBER(AM45))),"",IF(AM45&lt;=0,"",IF(ISNUMBER(Settings!$D$8),DATE(YEAR(AL45)+IF(DATE(YEAR(AL45),MONTH(Settings!$D$8),DAY(Settings!$D$8))&gt;AL45,0,1),MONTH(Settings!$D$8),DAY(Settings!$D$8)),MIN(DATE(YEAR(AL45),MONTH(AL45)+AM45,DAY(AL45)),DATE(YEAR(AL45),MONTH(AL45)+AM45+1,0)))))</f>
        <v/>
      </c>
      <c r="AO45" s="31">
        <f>IF(ISNUMBER(AN45),AN45-Settings!$D$4,"")</f>
        <v/>
      </c>
      <c r="AP45" s="31">
        <f>IF(ISNUMBER(AL45),AL45+0+ROW()/100000,"")</f>
        <v/>
      </c>
      <c r="AQ45" s="31">
        <f>IF(OR(AG45="",NOT(ISNUMBER(AP45))),0,IF(SUMPRODUCT(('Responses'!$AG$2:$AG$501=AG45)*('Responses'!$AJ$2:$AJ$501=1)*ISNUMBER('Responses'!$AP$2:$AP$501)*('Responses'!$AP$2:$AP$501&gt;AP45)) + SUMPRODUCT(('Paper sign-ups'!$K$2:$K$101=AG45)*('Paper sign-ups'!$N$2:$N$101=1)*ISNUMBER('Paper sign-ups'!$T$2:$T$101)*('Paper sign-ups'!$T$2:$T$101&gt;AP45))&gt;0,1,0))</f>
        <v/>
      </c>
      <c r="AR45" s="31">
        <f>IF(AE45="","",IF(AQ45=1,"Joined again",IF(AJ45=0,"Unpaid",IF(NOT(ISNUMBER(AL45)),"Add a join date",IF(AN45="","No reminder",IF(AO45&lt;0,"Lapsed",IF(AO45&lt;=Settings!$D$6,"Remind soon","Current")))))))</f>
        <v/>
      </c>
      <c r="AS45" s="33">
        <f>IF(AJ45=1,IFERROR(VALUE(IFERROR(TRIM(INDEX($A45:$Z45,MATCH(Settings!$L$8,$A$1:$Z$1,0))&amp;""),"")),0)-IFERROR(VALUE(IFERROR(TRIM(INDEX($A45:$Z45,MATCH(Settings!$L$9,$A$1:$Z$1,0))&amp;""),"")),0),0)</f>
        <v/>
      </c>
      <c r="AT45" s="31">
        <f>IF(AND(AE45&lt;&gt;"",AQ45=0),1,0)</f>
        <v/>
      </c>
      <c r="AU45" s="31">
        <f>IF(AT45=0,"",IF(ISNUMBER(AN45),AN45,100000)+0+ROW()/1000000)</f>
        <v/>
      </c>
      <c r="AV45" s="31">
        <f>IF(ISNUMBER(AU45),SUMPRODUCT(ISNUMBER('Responses'!$AU$2:$AU$501)*('Responses'!$AU$2:$AU$501&lt;AU45)) + SUMPRODUCT(ISNUMBER('Paper sign-ups'!$Y$2:$Y$101)*('Paper sign-ups'!$Y$2:$Y$101&lt;AU45))+1,"")</f>
        <v/>
      </c>
    </row>
    <row r="46">
      <c r="AA46" s="29" t="n"/>
      <c r="AB46" s="30" t="n"/>
      <c r="AC46" s="30" t="n"/>
      <c r="AD46" s="29" t="n"/>
      <c r="AE46" s="31">
        <f>IFERROR(TRIM(INDEX($A46:$Z46,MATCH(Settings!$L$4,$A$1:$Z$1,0))&amp;""),"")</f>
        <v/>
      </c>
      <c r="AF46" s="31">
        <f>IFERROR(TRIM(INDEX($A46:$Z46,MATCH(Settings!$L$5,$A$1:$Z$1,0))&amp;""),"")</f>
        <v/>
      </c>
      <c r="AG46" s="31">
        <f>IF(AE46="","",LOWER(IF(AF46&lt;&gt;"",AF46,AE46)))</f>
        <v/>
      </c>
      <c r="AH46" s="31">
        <f>IFERROR(TRIM(INDEX($A46:$Z46,MATCH(Settings!$L$6,$A$1:$Z$1,0))&amp;""),"")</f>
        <v/>
      </c>
      <c r="AI46" s="31">
        <f>IF(AE46="","",IF(UPPER(TRIM(AB46&amp;""))="Y","Paid another way",IF(IFERROR(TRIM(INDEX($A46:$Z46,MATCH(Settings!$L$7,$A$1:$Z$1,0))&amp;""),"")="","No payment status",IFERROR(TRIM(INDEX($A46:$Z46,MATCH(Settings!$L$7,$A$1:$Z$1,0))&amp;""),""))))</f>
        <v/>
      </c>
      <c r="AJ46" s="31">
        <f>IF(AE46="",0,IF(IFERROR(INDEX(Settings!$J$4:$J$14,MATCH(AI46,Settings!$I$4:$I$14,0)),"N")="Y",1,0))</f>
        <v/>
      </c>
      <c r="AK46" s="32">
        <f>IFERROR(INT(IFERROR(IF(ISNUMBER(INDEX($A46:$Z46,MATCH(Settings!$L$10,$A$1:$Z$1,0))),INDEX($A46:$Z46,MATCH(Settings!$L$10,$A$1:$Z$1,0)),DATE(VALUE(LEFT(IFERROR(TRIM(INDEX($A46:$Z46,MATCH(Settings!$L$10,$A$1:$Z$1,0))&amp;""),""),4)),VALUE(MID(IFERROR(TRIM(INDEX($A46:$Z46,MATCH(Settings!$L$10,$A$1:$Z$1,0))&amp;""),""),6,2)),VALUE(MID(IFERROR(TRIM(INDEX($A46:$Z46,MATCH(Settings!$L$10,$A$1:$Z$1,0))&amp;""),""),9,2)))+TIME(VALUE(MID(IFERROR(TRIM(INDEX($A46:$Z46,MATCH(Settings!$L$10,$A$1:$Z$1,0))&amp;""),""),12,2)),VALUE(MID(IFERROR(TRIM(INDEX($A46:$Z46,MATCH(Settings!$L$10,$A$1:$Z$1,0))&amp;""),""),15,2)),VALUE(MID(IFERROR(TRIM(INDEX($A46:$Z46,MATCH(Settings!$L$10,$A$1:$Z$1,0))&amp;""),""),18,2)))),"")),"")</f>
        <v/>
      </c>
      <c r="AL46" s="32">
        <f>IF(AE46="","",IF(ISNUMBER(AK46),AK46,IFERROR(INT(IFERROR(IF(ISNUMBER(INDEX($A46:$Z46,MATCH(Settings!$L$11,$A$1:$Z$1,0))),INDEX($A46:$Z46,MATCH(Settings!$L$11,$A$1:$Z$1,0)),DATE(VALUE(LEFT(IFERROR(TRIM(INDEX($A46:$Z46,MATCH(Settings!$L$11,$A$1:$Z$1,0))&amp;""),""),4)),VALUE(MID(IFERROR(TRIM(INDEX($A46:$Z46,MATCH(Settings!$L$11,$A$1:$Z$1,0))&amp;""),""),6,2)),VALUE(MID(IFERROR(TRIM(INDEX($A46:$Z46,MATCH(Settings!$L$11,$A$1:$Z$1,0))&amp;""),""),9,2)))+TIME(VALUE(MID(IFERROR(TRIM(INDEX($A46:$Z46,MATCH(Settings!$L$11,$A$1:$Z$1,0))&amp;""),""),12,2)),VALUE(MID(IFERROR(TRIM(INDEX($A46:$Z46,MATCH(Settings!$L$11,$A$1:$Z$1,0))&amp;""),""),15,2)),VALUE(MID(IFERROR(TRIM(INDEX($A46:$Z46,MATCH(Settings!$L$11,$A$1:$Z$1,0))&amp;""),""),18,2)))),"")),"")))</f>
        <v/>
      </c>
      <c r="AM46" s="31">
        <f>IF(AE46="","",IF(ISNUMBER(IFERROR(INDEX(Settings!$G$4:$G$11,MATCH(AH46,Settings!$F$4:$F$11,0)),"")),INDEX(Settings!$G$4:$G$11,MATCH(AH46,Settings!$F$4:$F$11,0)),Settings!$D$5))</f>
        <v/>
      </c>
      <c r="AN46" s="32">
        <f>IF(OR(AE46="",NOT(ISNUMBER(AL46)),NOT(ISNUMBER(AM46))),"",IF(AM46&lt;=0,"",IF(ISNUMBER(Settings!$D$8),DATE(YEAR(AL46)+IF(DATE(YEAR(AL46),MONTH(Settings!$D$8),DAY(Settings!$D$8))&gt;AL46,0,1),MONTH(Settings!$D$8),DAY(Settings!$D$8)),MIN(DATE(YEAR(AL46),MONTH(AL46)+AM46,DAY(AL46)),DATE(YEAR(AL46),MONTH(AL46)+AM46+1,0)))))</f>
        <v/>
      </c>
      <c r="AO46" s="31">
        <f>IF(ISNUMBER(AN46),AN46-Settings!$D$4,"")</f>
        <v/>
      </c>
      <c r="AP46" s="31">
        <f>IF(ISNUMBER(AL46),AL46+0+ROW()/100000,"")</f>
        <v/>
      </c>
      <c r="AQ46" s="31">
        <f>IF(OR(AG46="",NOT(ISNUMBER(AP46))),0,IF(SUMPRODUCT(('Responses'!$AG$2:$AG$501=AG46)*('Responses'!$AJ$2:$AJ$501=1)*ISNUMBER('Responses'!$AP$2:$AP$501)*('Responses'!$AP$2:$AP$501&gt;AP46)) + SUMPRODUCT(('Paper sign-ups'!$K$2:$K$101=AG46)*('Paper sign-ups'!$N$2:$N$101=1)*ISNUMBER('Paper sign-ups'!$T$2:$T$101)*('Paper sign-ups'!$T$2:$T$101&gt;AP46))&gt;0,1,0))</f>
        <v/>
      </c>
      <c r="AR46" s="31">
        <f>IF(AE46="","",IF(AQ46=1,"Joined again",IF(AJ46=0,"Unpaid",IF(NOT(ISNUMBER(AL46)),"Add a join date",IF(AN46="","No reminder",IF(AO46&lt;0,"Lapsed",IF(AO46&lt;=Settings!$D$6,"Remind soon","Current")))))))</f>
        <v/>
      </c>
      <c r="AS46" s="33">
        <f>IF(AJ46=1,IFERROR(VALUE(IFERROR(TRIM(INDEX($A46:$Z46,MATCH(Settings!$L$8,$A$1:$Z$1,0))&amp;""),"")),0)-IFERROR(VALUE(IFERROR(TRIM(INDEX($A46:$Z46,MATCH(Settings!$L$9,$A$1:$Z$1,0))&amp;""),"")),0),0)</f>
        <v/>
      </c>
      <c r="AT46" s="31">
        <f>IF(AND(AE46&lt;&gt;"",AQ46=0),1,0)</f>
        <v/>
      </c>
      <c r="AU46" s="31">
        <f>IF(AT46=0,"",IF(ISNUMBER(AN46),AN46,100000)+0+ROW()/1000000)</f>
        <v/>
      </c>
      <c r="AV46" s="31">
        <f>IF(ISNUMBER(AU46),SUMPRODUCT(ISNUMBER('Responses'!$AU$2:$AU$501)*('Responses'!$AU$2:$AU$501&lt;AU46)) + SUMPRODUCT(ISNUMBER('Paper sign-ups'!$Y$2:$Y$101)*('Paper sign-ups'!$Y$2:$Y$101&lt;AU46))+1,"")</f>
        <v/>
      </c>
    </row>
    <row r="47">
      <c r="AA47" s="29" t="n"/>
      <c r="AB47" s="30" t="n"/>
      <c r="AC47" s="30" t="n"/>
      <c r="AD47" s="29" t="n"/>
      <c r="AE47" s="31">
        <f>IFERROR(TRIM(INDEX($A47:$Z47,MATCH(Settings!$L$4,$A$1:$Z$1,0))&amp;""),"")</f>
        <v/>
      </c>
      <c r="AF47" s="31">
        <f>IFERROR(TRIM(INDEX($A47:$Z47,MATCH(Settings!$L$5,$A$1:$Z$1,0))&amp;""),"")</f>
        <v/>
      </c>
      <c r="AG47" s="31">
        <f>IF(AE47="","",LOWER(IF(AF47&lt;&gt;"",AF47,AE47)))</f>
        <v/>
      </c>
      <c r="AH47" s="31">
        <f>IFERROR(TRIM(INDEX($A47:$Z47,MATCH(Settings!$L$6,$A$1:$Z$1,0))&amp;""),"")</f>
        <v/>
      </c>
      <c r="AI47" s="31">
        <f>IF(AE47="","",IF(UPPER(TRIM(AB47&amp;""))="Y","Paid another way",IF(IFERROR(TRIM(INDEX($A47:$Z47,MATCH(Settings!$L$7,$A$1:$Z$1,0))&amp;""),"")="","No payment status",IFERROR(TRIM(INDEX($A47:$Z47,MATCH(Settings!$L$7,$A$1:$Z$1,0))&amp;""),""))))</f>
        <v/>
      </c>
      <c r="AJ47" s="31">
        <f>IF(AE47="",0,IF(IFERROR(INDEX(Settings!$J$4:$J$14,MATCH(AI47,Settings!$I$4:$I$14,0)),"N")="Y",1,0))</f>
        <v/>
      </c>
      <c r="AK47" s="32">
        <f>IFERROR(INT(IFERROR(IF(ISNUMBER(INDEX($A47:$Z47,MATCH(Settings!$L$10,$A$1:$Z$1,0))),INDEX($A47:$Z47,MATCH(Settings!$L$10,$A$1:$Z$1,0)),DATE(VALUE(LEFT(IFERROR(TRIM(INDEX($A47:$Z47,MATCH(Settings!$L$10,$A$1:$Z$1,0))&amp;""),""),4)),VALUE(MID(IFERROR(TRIM(INDEX($A47:$Z47,MATCH(Settings!$L$10,$A$1:$Z$1,0))&amp;""),""),6,2)),VALUE(MID(IFERROR(TRIM(INDEX($A47:$Z47,MATCH(Settings!$L$10,$A$1:$Z$1,0))&amp;""),""),9,2)))+TIME(VALUE(MID(IFERROR(TRIM(INDEX($A47:$Z47,MATCH(Settings!$L$10,$A$1:$Z$1,0))&amp;""),""),12,2)),VALUE(MID(IFERROR(TRIM(INDEX($A47:$Z47,MATCH(Settings!$L$10,$A$1:$Z$1,0))&amp;""),""),15,2)),VALUE(MID(IFERROR(TRIM(INDEX($A47:$Z47,MATCH(Settings!$L$10,$A$1:$Z$1,0))&amp;""),""),18,2)))),"")),"")</f>
        <v/>
      </c>
      <c r="AL47" s="32">
        <f>IF(AE47="","",IF(ISNUMBER(AK47),AK47,IFERROR(INT(IFERROR(IF(ISNUMBER(INDEX($A47:$Z47,MATCH(Settings!$L$11,$A$1:$Z$1,0))),INDEX($A47:$Z47,MATCH(Settings!$L$11,$A$1:$Z$1,0)),DATE(VALUE(LEFT(IFERROR(TRIM(INDEX($A47:$Z47,MATCH(Settings!$L$11,$A$1:$Z$1,0))&amp;""),""),4)),VALUE(MID(IFERROR(TRIM(INDEX($A47:$Z47,MATCH(Settings!$L$11,$A$1:$Z$1,0))&amp;""),""),6,2)),VALUE(MID(IFERROR(TRIM(INDEX($A47:$Z47,MATCH(Settings!$L$11,$A$1:$Z$1,0))&amp;""),""),9,2)))+TIME(VALUE(MID(IFERROR(TRIM(INDEX($A47:$Z47,MATCH(Settings!$L$11,$A$1:$Z$1,0))&amp;""),""),12,2)),VALUE(MID(IFERROR(TRIM(INDEX($A47:$Z47,MATCH(Settings!$L$11,$A$1:$Z$1,0))&amp;""),""),15,2)),VALUE(MID(IFERROR(TRIM(INDEX($A47:$Z47,MATCH(Settings!$L$11,$A$1:$Z$1,0))&amp;""),""),18,2)))),"")),"")))</f>
        <v/>
      </c>
      <c r="AM47" s="31">
        <f>IF(AE47="","",IF(ISNUMBER(IFERROR(INDEX(Settings!$G$4:$G$11,MATCH(AH47,Settings!$F$4:$F$11,0)),"")),INDEX(Settings!$G$4:$G$11,MATCH(AH47,Settings!$F$4:$F$11,0)),Settings!$D$5))</f>
        <v/>
      </c>
      <c r="AN47" s="32">
        <f>IF(OR(AE47="",NOT(ISNUMBER(AL47)),NOT(ISNUMBER(AM47))),"",IF(AM47&lt;=0,"",IF(ISNUMBER(Settings!$D$8),DATE(YEAR(AL47)+IF(DATE(YEAR(AL47),MONTH(Settings!$D$8),DAY(Settings!$D$8))&gt;AL47,0,1),MONTH(Settings!$D$8),DAY(Settings!$D$8)),MIN(DATE(YEAR(AL47),MONTH(AL47)+AM47,DAY(AL47)),DATE(YEAR(AL47),MONTH(AL47)+AM47+1,0)))))</f>
        <v/>
      </c>
      <c r="AO47" s="31">
        <f>IF(ISNUMBER(AN47),AN47-Settings!$D$4,"")</f>
        <v/>
      </c>
      <c r="AP47" s="31">
        <f>IF(ISNUMBER(AL47),AL47+0+ROW()/100000,"")</f>
        <v/>
      </c>
      <c r="AQ47" s="31">
        <f>IF(OR(AG47="",NOT(ISNUMBER(AP47))),0,IF(SUMPRODUCT(('Responses'!$AG$2:$AG$501=AG47)*('Responses'!$AJ$2:$AJ$501=1)*ISNUMBER('Responses'!$AP$2:$AP$501)*('Responses'!$AP$2:$AP$501&gt;AP47)) + SUMPRODUCT(('Paper sign-ups'!$K$2:$K$101=AG47)*('Paper sign-ups'!$N$2:$N$101=1)*ISNUMBER('Paper sign-ups'!$T$2:$T$101)*('Paper sign-ups'!$T$2:$T$101&gt;AP47))&gt;0,1,0))</f>
        <v/>
      </c>
      <c r="AR47" s="31">
        <f>IF(AE47="","",IF(AQ47=1,"Joined again",IF(AJ47=0,"Unpaid",IF(NOT(ISNUMBER(AL47)),"Add a join date",IF(AN47="","No reminder",IF(AO47&lt;0,"Lapsed",IF(AO47&lt;=Settings!$D$6,"Remind soon","Current")))))))</f>
        <v/>
      </c>
      <c r="AS47" s="33">
        <f>IF(AJ47=1,IFERROR(VALUE(IFERROR(TRIM(INDEX($A47:$Z47,MATCH(Settings!$L$8,$A$1:$Z$1,0))&amp;""),"")),0)-IFERROR(VALUE(IFERROR(TRIM(INDEX($A47:$Z47,MATCH(Settings!$L$9,$A$1:$Z$1,0))&amp;""),"")),0),0)</f>
        <v/>
      </c>
      <c r="AT47" s="31">
        <f>IF(AND(AE47&lt;&gt;"",AQ47=0),1,0)</f>
        <v/>
      </c>
      <c r="AU47" s="31">
        <f>IF(AT47=0,"",IF(ISNUMBER(AN47),AN47,100000)+0+ROW()/1000000)</f>
        <v/>
      </c>
      <c r="AV47" s="31">
        <f>IF(ISNUMBER(AU47),SUMPRODUCT(ISNUMBER('Responses'!$AU$2:$AU$501)*('Responses'!$AU$2:$AU$501&lt;AU47)) + SUMPRODUCT(ISNUMBER('Paper sign-ups'!$Y$2:$Y$101)*('Paper sign-ups'!$Y$2:$Y$101&lt;AU47))+1,"")</f>
        <v/>
      </c>
    </row>
    <row r="48">
      <c r="AA48" s="29" t="n"/>
      <c r="AB48" s="30" t="n"/>
      <c r="AC48" s="30" t="n"/>
      <c r="AD48" s="29" t="n"/>
      <c r="AE48" s="31">
        <f>IFERROR(TRIM(INDEX($A48:$Z48,MATCH(Settings!$L$4,$A$1:$Z$1,0))&amp;""),"")</f>
        <v/>
      </c>
      <c r="AF48" s="31">
        <f>IFERROR(TRIM(INDEX($A48:$Z48,MATCH(Settings!$L$5,$A$1:$Z$1,0))&amp;""),"")</f>
        <v/>
      </c>
      <c r="AG48" s="31">
        <f>IF(AE48="","",LOWER(IF(AF48&lt;&gt;"",AF48,AE48)))</f>
        <v/>
      </c>
      <c r="AH48" s="31">
        <f>IFERROR(TRIM(INDEX($A48:$Z48,MATCH(Settings!$L$6,$A$1:$Z$1,0))&amp;""),"")</f>
        <v/>
      </c>
      <c r="AI48" s="31">
        <f>IF(AE48="","",IF(UPPER(TRIM(AB48&amp;""))="Y","Paid another way",IF(IFERROR(TRIM(INDEX($A48:$Z48,MATCH(Settings!$L$7,$A$1:$Z$1,0))&amp;""),"")="","No payment status",IFERROR(TRIM(INDEX($A48:$Z48,MATCH(Settings!$L$7,$A$1:$Z$1,0))&amp;""),""))))</f>
        <v/>
      </c>
      <c r="AJ48" s="31">
        <f>IF(AE48="",0,IF(IFERROR(INDEX(Settings!$J$4:$J$14,MATCH(AI48,Settings!$I$4:$I$14,0)),"N")="Y",1,0))</f>
        <v/>
      </c>
      <c r="AK48" s="32">
        <f>IFERROR(INT(IFERROR(IF(ISNUMBER(INDEX($A48:$Z48,MATCH(Settings!$L$10,$A$1:$Z$1,0))),INDEX($A48:$Z48,MATCH(Settings!$L$10,$A$1:$Z$1,0)),DATE(VALUE(LEFT(IFERROR(TRIM(INDEX($A48:$Z48,MATCH(Settings!$L$10,$A$1:$Z$1,0))&amp;""),""),4)),VALUE(MID(IFERROR(TRIM(INDEX($A48:$Z48,MATCH(Settings!$L$10,$A$1:$Z$1,0))&amp;""),""),6,2)),VALUE(MID(IFERROR(TRIM(INDEX($A48:$Z48,MATCH(Settings!$L$10,$A$1:$Z$1,0))&amp;""),""),9,2)))+TIME(VALUE(MID(IFERROR(TRIM(INDEX($A48:$Z48,MATCH(Settings!$L$10,$A$1:$Z$1,0))&amp;""),""),12,2)),VALUE(MID(IFERROR(TRIM(INDEX($A48:$Z48,MATCH(Settings!$L$10,$A$1:$Z$1,0))&amp;""),""),15,2)),VALUE(MID(IFERROR(TRIM(INDEX($A48:$Z48,MATCH(Settings!$L$10,$A$1:$Z$1,0))&amp;""),""),18,2)))),"")),"")</f>
        <v/>
      </c>
      <c r="AL48" s="32">
        <f>IF(AE48="","",IF(ISNUMBER(AK48),AK48,IFERROR(INT(IFERROR(IF(ISNUMBER(INDEX($A48:$Z48,MATCH(Settings!$L$11,$A$1:$Z$1,0))),INDEX($A48:$Z48,MATCH(Settings!$L$11,$A$1:$Z$1,0)),DATE(VALUE(LEFT(IFERROR(TRIM(INDEX($A48:$Z48,MATCH(Settings!$L$11,$A$1:$Z$1,0))&amp;""),""),4)),VALUE(MID(IFERROR(TRIM(INDEX($A48:$Z48,MATCH(Settings!$L$11,$A$1:$Z$1,0))&amp;""),""),6,2)),VALUE(MID(IFERROR(TRIM(INDEX($A48:$Z48,MATCH(Settings!$L$11,$A$1:$Z$1,0))&amp;""),""),9,2)))+TIME(VALUE(MID(IFERROR(TRIM(INDEX($A48:$Z48,MATCH(Settings!$L$11,$A$1:$Z$1,0))&amp;""),""),12,2)),VALUE(MID(IFERROR(TRIM(INDEX($A48:$Z48,MATCH(Settings!$L$11,$A$1:$Z$1,0))&amp;""),""),15,2)),VALUE(MID(IFERROR(TRIM(INDEX($A48:$Z48,MATCH(Settings!$L$11,$A$1:$Z$1,0))&amp;""),""),18,2)))),"")),"")))</f>
        <v/>
      </c>
      <c r="AM48" s="31">
        <f>IF(AE48="","",IF(ISNUMBER(IFERROR(INDEX(Settings!$G$4:$G$11,MATCH(AH48,Settings!$F$4:$F$11,0)),"")),INDEX(Settings!$G$4:$G$11,MATCH(AH48,Settings!$F$4:$F$11,0)),Settings!$D$5))</f>
        <v/>
      </c>
      <c r="AN48" s="32">
        <f>IF(OR(AE48="",NOT(ISNUMBER(AL48)),NOT(ISNUMBER(AM48))),"",IF(AM48&lt;=0,"",IF(ISNUMBER(Settings!$D$8),DATE(YEAR(AL48)+IF(DATE(YEAR(AL48),MONTH(Settings!$D$8),DAY(Settings!$D$8))&gt;AL48,0,1),MONTH(Settings!$D$8),DAY(Settings!$D$8)),MIN(DATE(YEAR(AL48),MONTH(AL48)+AM48,DAY(AL48)),DATE(YEAR(AL48),MONTH(AL48)+AM48+1,0)))))</f>
        <v/>
      </c>
      <c r="AO48" s="31">
        <f>IF(ISNUMBER(AN48),AN48-Settings!$D$4,"")</f>
        <v/>
      </c>
      <c r="AP48" s="31">
        <f>IF(ISNUMBER(AL48),AL48+0+ROW()/100000,"")</f>
        <v/>
      </c>
      <c r="AQ48" s="31">
        <f>IF(OR(AG48="",NOT(ISNUMBER(AP48))),0,IF(SUMPRODUCT(('Responses'!$AG$2:$AG$501=AG48)*('Responses'!$AJ$2:$AJ$501=1)*ISNUMBER('Responses'!$AP$2:$AP$501)*('Responses'!$AP$2:$AP$501&gt;AP48)) + SUMPRODUCT(('Paper sign-ups'!$K$2:$K$101=AG48)*('Paper sign-ups'!$N$2:$N$101=1)*ISNUMBER('Paper sign-ups'!$T$2:$T$101)*('Paper sign-ups'!$T$2:$T$101&gt;AP48))&gt;0,1,0))</f>
        <v/>
      </c>
      <c r="AR48" s="31">
        <f>IF(AE48="","",IF(AQ48=1,"Joined again",IF(AJ48=0,"Unpaid",IF(NOT(ISNUMBER(AL48)),"Add a join date",IF(AN48="","No reminder",IF(AO48&lt;0,"Lapsed",IF(AO48&lt;=Settings!$D$6,"Remind soon","Current")))))))</f>
        <v/>
      </c>
      <c r="AS48" s="33">
        <f>IF(AJ48=1,IFERROR(VALUE(IFERROR(TRIM(INDEX($A48:$Z48,MATCH(Settings!$L$8,$A$1:$Z$1,0))&amp;""),"")),0)-IFERROR(VALUE(IFERROR(TRIM(INDEX($A48:$Z48,MATCH(Settings!$L$9,$A$1:$Z$1,0))&amp;""),"")),0),0)</f>
        <v/>
      </c>
      <c r="AT48" s="31">
        <f>IF(AND(AE48&lt;&gt;"",AQ48=0),1,0)</f>
        <v/>
      </c>
      <c r="AU48" s="31">
        <f>IF(AT48=0,"",IF(ISNUMBER(AN48),AN48,100000)+0+ROW()/1000000)</f>
        <v/>
      </c>
      <c r="AV48" s="31">
        <f>IF(ISNUMBER(AU48),SUMPRODUCT(ISNUMBER('Responses'!$AU$2:$AU$501)*('Responses'!$AU$2:$AU$501&lt;AU48)) + SUMPRODUCT(ISNUMBER('Paper sign-ups'!$Y$2:$Y$101)*('Paper sign-ups'!$Y$2:$Y$101&lt;AU48))+1,"")</f>
        <v/>
      </c>
    </row>
    <row r="49">
      <c r="AA49" s="29" t="n"/>
      <c r="AB49" s="30" t="n"/>
      <c r="AC49" s="30" t="n"/>
      <c r="AD49" s="29" t="n"/>
      <c r="AE49" s="31">
        <f>IFERROR(TRIM(INDEX($A49:$Z49,MATCH(Settings!$L$4,$A$1:$Z$1,0))&amp;""),"")</f>
        <v/>
      </c>
      <c r="AF49" s="31">
        <f>IFERROR(TRIM(INDEX($A49:$Z49,MATCH(Settings!$L$5,$A$1:$Z$1,0))&amp;""),"")</f>
        <v/>
      </c>
      <c r="AG49" s="31">
        <f>IF(AE49="","",LOWER(IF(AF49&lt;&gt;"",AF49,AE49)))</f>
        <v/>
      </c>
      <c r="AH49" s="31">
        <f>IFERROR(TRIM(INDEX($A49:$Z49,MATCH(Settings!$L$6,$A$1:$Z$1,0))&amp;""),"")</f>
        <v/>
      </c>
      <c r="AI49" s="31">
        <f>IF(AE49="","",IF(UPPER(TRIM(AB49&amp;""))="Y","Paid another way",IF(IFERROR(TRIM(INDEX($A49:$Z49,MATCH(Settings!$L$7,$A$1:$Z$1,0))&amp;""),"")="","No payment status",IFERROR(TRIM(INDEX($A49:$Z49,MATCH(Settings!$L$7,$A$1:$Z$1,0))&amp;""),""))))</f>
        <v/>
      </c>
      <c r="AJ49" s="31">
        <f>IF(AE49="",0,IF(IFERROR(INDEX(Settings!$J$4:$J$14,MATCH(AI49,Settings!$I$4:$I$14,0)),"N")="Y",1,0))</f>
        <v/>
      </c>
      <c r="AK49" s="32">
        <f>IFERROR(INT(IFERROR(IF(ISNUMBER(INDEX($A49:$Z49,MATCH(Settings!$L$10,$A$1:$Z$1,0))),INDEX($A49:$Z49,MATCH(Settings!$L$10,$A$1:$Z$1,0)),DATE(VALUE(LEFT(IFERROR(TRIM(INDEX($A49:$Z49,MATCH(Settings!$L$10,$A$1:$Z$1,0))&amp;""),""),4)),VALUE(MID(IFERROR(TRIM(INDEX($A49:$Z49,MATCH(Settings!$L$10,$A$1:$Z$1,0))&amp;""),""),6,2)),VALUE(MID(IFERROR(TRIM(INDEX($A49:$Z49,MATCH(Settings!$L$10,$A$1:$Z$1,0))&amp;""),""),9,2)))+TIME(VALUE(MID(IFERROR(TRIM(INDEX($A49:$Z49,MATCH(Settings!$L$10,$A$1:$Z$1,0))&amp;""),""),12,2)),VALUE(MID(IFERROR(TRIM(INDEX($A49:$Z49,MATCH(Settings!$L$10,$A$1:$Z$1,0))&amp;""),""),15,2)),VALUE(MID(IFERROR(TRIM(INDEX($A49:$Z49,MATCH(Settings!$L$10,$A$1:$Z$1,0))&amp;""),""),18,2)))),"")),"")</f>
        <v/>
      </c>
      <c r="AL49" s="32">
        <f>IF(AE49="","",IF(ISNUMBER(AK49),AK49,IFERROR(INT(IFERROR(IF(ISNUMBER(INDEX($A49:$Z49,MATCH(Settings!$L$11,$A$1:$Z$1,0))),INDEX($A49:$Z49,MATCH(Settings!$L$11,$A$1:$Z$1,0)),DATE(VALUE(LEFT(IFERROR(TRIM(INDEX($A49:$Z49,MATCH(Settings!$L$11,$A$1:$Z$1,0))&amp;""),""),4)),VALUE(MID(IFERROR(TRIM(INDEX($A49:$Z49,MATCH(Settings!$L$11,$A$1:$Z$1,0))&amp;""),""),6,2)),VALUE(MID(IFERROR(TRIM(INDEX($A49:$Z49,MATCH(Settings!$L$11,$A$1:$Z$1,0))&amp;""),""),9,2)))+TIME(VALUE(MID(IFERROR(TRIM(INDEX($A49:$Z49,MATCH(Settings!$L$11,$A$1:$Z$1,0))&amp;""),""),12,2)),VALUE(MID(IFERROR(TRIM(INDEX($A49:$Z49,MATCH(Settings!$L$11,$A$1:$Z$1,0))&amp;""),""),15,2)),VALUE(MID(IFERROR(TRIM(INDEX($A49:$Z49,MATCH(Settings!$L$11,$A$1:$Z$1,0))&amp;""),""),18,2)))),"")),"")))</f>
        <v/>
      </c>
      <c r="AM49" s="31">
        <f>IF(AE49="","",IF(ISNUMBER(IFERROR(INDEX(Settings!$G$4:$G$11,MATCH(AH49,Settings!$F$4:$F$11,0)),"")),INDEX(Settings!$G$4:$G$11,MATCH(AH49,Settings!$F$4:$F$11,0)),Settings!$D$5))</f>
        <v/>
      </c>
      <c r="AN49" s="32">
        <f>IF(OR(AE49="",NOT(ISNUMBER(AL49)),NOT(ISNUMBER(AM49))),"",IF(AM49&lt;=0,"",IF(ISNUMBER(Settings!$D$8),DATE(YEAR(AL49)+IF(DATE(YEAR(AL49),MONTH(Settings!$D$8),DAY(Settings!$D$8))&gt;AL49,0,1),MONTH(Settings!$D$8),DAY(Settings!$D$8)),MIN(DATE(YEAR(AL49),MONTH(AL49)+AM49,DAY(AL49)),DATE(YEAR(AL49),MONTH(AL49)+AM49+1,0)))))</f>
        <v/>
      </c>
      <c r="AO49" s="31">
        <f>IF(ISNUMBER(AN49),AN49-Settings!$D$4,"")</f>
        <v/>
      </c>
      <c r="AP49" s="31">
        <f>IF(ISNUMBER(AL49),AL49+0+ROW()/100000,"")</f>
        <v/>
      </c>
      <c r="AQ49" s="31">
        <f>IF(OR(AG49="",NOT(ISNUMBER(AP49))),0,IF(SUMPRODUCT(('Responses'!$AG$2:$AG$501=AG49)*('Responses'!$AJ$2:$AJ$501=1)*ISNUMBER('Responses'!$AP$2:$AP$501)*('Responses'!$AP$2:$AP$501&gt;AP49)) + SUMPRODUCT(('Paper sign-ups'!$K$2:$K$101=AG49)*('Paper sign-ups'!$N$2:$N$101=1)*ISNUMBER('Paper sign-ups'!$T$2:$T$101)*('Paper sign-ups'!$T$2:$T$101&gt;AP49))&gt;0,1,0))</f>
        <v/>
      </c>
      <c r="AR49" s="31">
        <f>IF(AE49="","",IF(AQ49=1,"Joined again",IF(AJ49=0,"Unpaid",IF(NOT(ISNUMBER(AL49)),"Add a join date",IF(AN49="","No reminder",IF(AO49&lt;0,"Lapsed",IF(AO49&lt;=Settings!$D$6,"Remind soon","Current")))))))</f>
        <v/>
      </c>
      <c r="AS49" s="33">
        <f>IF(AJ49=1,IFERROR(VALUE(IFERROR(TRIM(INDEX($A49:$Z49,MATCH(Settings!$L$8,$A$1:$Z$1,0))&amp;""),"")),0)-IFERROR(VALUE(IFERROR(TRIM(INDEX($A49:$Z49,MATCH(Settings!$L$9,$A$1:$Z$1,0))&amp;""),"")),0),0)</f>
        <v/>
      </c>
      <c r="AT49" s="31">
        <f>IF(AND(AE49&lt;&gt;"",AQ49=0),1,0)</f>
        <v/>
      </c>
      <c r="AU49" s="31">
        <f>IF(AT49=0,"",IF(ISNUMBER(AN49),AN49,100000)+0+ROW()/1000000)</f>
        <v/>
      </c>
      <c r="AV49" s="31">
        <f>IF(ISNUMBER(AU49),SUMPRODUCT(ISNUMBER('Responses'!$AU$2:$AU$501)*('Responses'!$AU$2:$AU$501&lt;AU49)) + SUMPRODUCT(ISNUMBER('Paper sign-ups'!$Y$2:$Y$101)*('Paper sign-ups'!$Y$2:$Y$101&lt;AU49))+1,"")</f>
        <v/>
      </c>
    </row>
    <row r="50">
      <c r="AA50" s="29" t="n"/>
      <c r="AB50" s="30" t="n"/>
      <c r="AC50" s="30" t="n"/>
      <c r="AD50" s="29" t="n"/>
      <c r="AE50" s="31">
        <f>IFERROR(TRIM(INDEX($A50:$Z50,MATCH(Settings!$L$4,$A$1:$Z$1,0))&amp;""),"")</f>
        <v/>
      </c>
      <c r="AF50" s="31">
        <f>IFERROR(TRIM(INDEX($A50:$Z50,MATCH(Settings!$L$5,$A$1:$Z$1,0))&amp;""),"")</f>
        <v/>
      </c>
      <c r="AG50" s="31">
        <f>IF(AE50="","",LOWER(IF(AF50&lt;&gt;"",AF50,AE50)))</f>
        <v/>
      </c>
      <c r="AH50" s="31">
        <f>IFERROR(TRIM(INDEX($A50:$Z50,MATCH(Settings!$L$6,$A$1:$Z$1,0))&amp;""),"")</f>
        <v/>
      </c>
      <c r="AI50" s="31">
        <f>IF(AE50="","",IF(UPPER(TRIM(AB50&amp;""))="Y","Paid another way",IF(IFERROR(TRIM(INDEX($A50:$Z50,MATCH(Settings!$L$7,$A$1:$Z$1,0))&amp;""),"")="","No payment status",IFERROR(TRIM(INDEX($A50:$Z50,MATCH(Settings!$L$7,$A$1:$Z$1,0))&amp;""),""))))</f>
        <v/>
      </c>
      <c r="AJ50" s="31">
        <f>IF(AE50="",0,IF(IFERROR(INDEX(Settings!$J$4:$J$14,MATCH(AI50,Settings!$I$4:$I$14,0)),"N")="Y",1,0))</f>
        <v/>
      </c>
      <c r="AK50" s="32">
        <f>IFERROR(INT(IFERROR(IF(ISNUMBER(INDEX($A50:$Z50,MATCH(Settings!$L$10,$A$1:$Z$1,0))),INDEX($A50:$Z50,MATCH(Settings!$L$10,$A$1:$Z$1,0)),DATE(VALUE(LEFT(IFERROR(TRIM(INDEX($A50:$Z50,MATCH(Settings!$L$10,$A$1:$Z$1,0))&amp;""),""),4)),VALUE(MID(IFERROR(TRIM(INDEX($A50:$Z50,MATCH(Settings!$L$10,$A$1:$Z$1,0))&amp;""),""),6,2)),VALUE(MID(IFERROR(TRIM(INDEX($A50:$Z50,MATCH(Settings!$L$10,$A$1:$Z$1,0))&amp;""),""),9,2)))+TIME(VALUE(MID(IFERROR(TRIM(INDEX($A50:$Z50,MATCH(Settings!$L$10,$A$1:$Z$1,0))&amp;""),""),12,2)),VALUE(MID(IFERROR(TRIM(INDEX($A50:$Z50,MATCH(Settings!$L$10,$A$1:$Z$1,0))&amp;""),""),15,2)),VALUE(MID(IFERROR(TRIM(INDEX($A50:$Z50,MATCH(Settings!$L$10,$A$1:$Z$1,0))&amp;""),""),18,2)))),"")),"")</f>
        <v/>
      </c>
      <c r="AL50" s="32">
        <f>IF(AE50="","",IF(ISNUMBER(AK50),AK50,IFERROR(INT(IFERROR(IF(ISNUMBER(INDEX($A50:$Z50,MATCH(Settings!$L$11,$A$1:$Z$1,0))),INDEX($A50:$Z50,MATCH(Settings!$L$11,$A$1:$Z$1,0)),DATE(VALUE(LEFT(IFERROR(TRIM(INDEX($A50:$Z50,MATCH(Settings!$L$11,$A$1:$Z$1,0))&amp;""),""),4)),VALUE(MID(IFERROR(TRIM(INDEX($A50:$Z50,MATCH(Settings!$L$11,$A$1:$Z$1,0))&amp;""),""),6,2)),VALUE(MID(IFERROR(TRIM(INDEX($A50:$Z50,MATCH(Settings!$L$11,$A$1:$Z$1,0))&amp;""),""),9,2)))+TIME(VALUE(MID(IFERROR(TRIM(INDEX($A50:$Z50,MATCH(Settings!$L$11,$A$1:$Z$1,0))&amp;""),""),12,2)),VALUE(MID(IFERROR(TRIM(INDEX($A50:$Z50,MATCH(Settings!$L$11,$A$1:$Z$1,0))&amp;""),""),15,2)),VALUE(MID(IFERROR(TRIM(INDEX($A50:$Z50,MATCH(Settings!$L$11,$A$1:$Z$1,0))&amp;""),""),18,2)))),"")),"")))</f>
        <v/>
      </c>
      <c r="AM50" s="31">
        <f>IF(AE50="","",IF(ISNUMBER(IFERROR(INDEX(Settings!$G$4:$G$11,MATCH(AH50,Settings!$F$4:$F$11,0)),"")),INDEX(Settings!$G$4:$G$11,MATCH(AH50,Settings!$F$4:$F$11,0)),Settings!$D$5))</f>
        <v/>
      </c>
      <c r="AN50" s="32">
        <f>IF(OR(AE50="",NOT(ISNUMBER(AL50)),NOT(ISNUMBER(AM50))),"",IF(AM50&lt;=0,"",IF(ISNUMBER(Settings!$D$8),DATE(YEAR(AL50)+IF(DATE(YEAR(AL50),MONTH(Settings!$D$8),DAY(Settings!$D$8))&gt;AL50,0,1),MONTH(Settings!$D$8),DAY(Settings!$D$8)),MIN(DATE(YEAR(AL50),MONTH(AL50)+AM50,DAY(AL50)),DATE(YEAR(AL50),MONTH(AL50)+AM50+1,0)))))</f>
        <v/>
      </c>
      <c r="AO50" s="31">
        <f>IF(ISNUMBER(AN50),AN50-Settings!$D$4,"")</f>
        <v/>
      </c>
      <c r="AP50" s="31">
        <f>IF(ISNUMBER(AL50),AL50+0+ROW()/100000,"")</f>
        <v/>
      </c>
      <c r="AQ50" s="31">
        <f>IF(OR(AG50="",NOT(ISNUMBER(AP50))),0,IF(SUMPRODUCT(('Responses'!$AG$2:$AG$501=AG50)*('Responses'!$AJ$2:$AJ$501=1)*ISNUMBER('Responses'!$AP$2:$AP$501)*('Responses'!$AP$2:$AP$501&gt;AP50)) + SUMPRODUCT(('Paper sign-ups'!$K$2:$K$101=AG50)*('Paper sign-ups'!$N$2:$N$101=1)*ISNUMBER('Paper sign-ups'!$T$2:$T$101)*('Paper sign-ups'!$T$2:$T$101&gt;AP50))&gt;0,1,0))</f>
        <v/>
      </c>
      <c r="AR50" s="31">
        <f>IF(AE50="","",IF(AQ50=1,"Joined again",IF(AJ50=0,"Unpaid",IF(NOT(ISNUMBER(AL50)),"Add a join date",IF(AN50="","No reminder",IF(AO50&lt;0,"Lapsed",IF(AO50&lt;=Settings!$D$6,"Remind soon","Current")))))))</f>
        <v/>
      </c>
      <c r="AS50" s="33">
        <f>IF(AJ50=1,IFERROR(VALUE(IFERROR(TRIM(INDEX($A50:$Z50,MATCH(Settings!$L$8,$A$1:$Z$1,0))&amp;""),"")),0)-IFERROR(VALUE(IFERROR(TRIM(INDEX($A50:$Z50,MATCH(Settings!$L$9,$A$1:$Z$1,0))&amp;""),"")),0),0)</f>
        <v/>
      </c>
      <c r="AT50" s="31">
        <f>IF(AND(AE50&lt;&gt;"",AQ50=0),1,0)</f>
        <v/>
      </c>
      <c r="AU50" s="31">
        <f>IF(AT50=0,"",IF(ISNUMBER(AN50),AN50,100000)+0+ROW()/1000000)</f>
        <v/>
      </c>
      <c r="AV50" s="31">
        <f>IF(ISNUMBER(AU50),SUMPRODUCT(ISNUMBER('Responses'!$AU$2:$AU$501)*('Responses'!$AU$2:$AU$501&lt;AU50)) + SUMPRODUCT(ISNUMBER('Paper sign-ups'!$Y$2:$Y$101)*('Paper sign-ups'!$Y$2:$Y$101&lt;AU50))+1,"")</f>
        <v/>
      </c>
    </row>
    <row r="51">
      <c r="AA51" s="29" t="n"/>
      <c r="AB51" s="30" t="n"/>
      <c r="AC51" s="30" t="n"/>
      <c r="AD51" s="29" t="n"/>
      <c r="AE51" s="31">
        <f>IFERROR(TRIM(INDEX($A51:$Z51,MATCH(Settings!$L$4,$A$1:$Z$1,0))&amp;""),"")</f>
        <v/>
      </c>
      <c r="AF51" s="31">
        <f>IFERROR(TRIM(INDEX($A51:$Z51,MATCH(Settings!$L$5,$A$1:$Z$1,0))&amp;""),"")</f>
        <v/>
      </c>
      <c r="AG51" s="31">
        <f>IF(AE51="","",LOWER(IF(AF51&lt;&gt;"",AF51,AE51)))</f>
        <v/>
      </c>
      <c r="AH51" s="31">
        <f>IFERROR(TRIM(INDEX($A51:$Z51,MATCH(Settings!$L$6,$A$1:$Z$1,0))&amp;""),"")</f>
        <v/>
      </c>
      <c r="AI51" s="31">
        <f>IF(AE51="","",IF(UPPER(TRIM(AB51&amp;""))="Y","Paid another way",IF(IFERROR(TRIM(INDEX($A51:$Z51,MATCH(Settings!$L$7,$A$1:$Z$1,0))&amp;""),"")="","No payment status",IFERROR(TRIM(INDEX($A51:$Z51,MATCH(Settings!$L$7,$A$1:$Z$1,0))&amp;""),""))))</f>
        <v/>
      </c>
      <c r="AJ51" s="31">
        <f>IF(AE51="",0,IF(IFERROR(INDEX(Settings!$J$4:$J$14,MATCH(AI51,Settings!$I$4:$I$14,0)),"N")="Y",1,0))</f>
        <v/>
      </c>
      <c r="AK51" s="32">
        <f>IFERROR(INT(IFERROR(IF(ISNUMBER(INDEX($A51:$Z51,MATCH(Settings!$L$10,$A$1:$Z$1,0))),INDEX($A51:$Z51,MATCH(Settings!$L$10,$A$1:$Z$1,0)),DATE(VALUE(LEFT(IFERROR(TRIM(INDEX($A51:$Z51,MATCH(Settings!$L$10,$A$1:$Z$1,0))&amp;""),""),4)),VALUE(MID(IFERROR(TRIM(INDEX($A51:$Z51,MATCH(Settings!$L$10,$A$1:$Z$1,0))&amp;""),""),6,2)),VALUE(MID(IFERROR(TRIM(INDEX($A51:$Z51,MATCH(Settings!$L$10,$A$1:$Z$1,0))&amp;""),""),9,2)))+TIME(VALUE(MID(IFERROR(TRIM(INDEX($A51:$Z51,MATCH(Settings!$L$10,$A$1:$Z$1,0))&amp;""),""),12,2)),VALUE(MID(IFERROR(TRIM(INDEX($A51:$Z51,MATCH(Settings!$L$10,$A$1:$Z$1,0))&amp;""),""),15,2)),VALUE(MID(IFERROR(TRIM(INDEX($A51:$Z51,MATCH(Settings!$L$10,$A$1:$Z$1,0))&amp;""),""),18,2)))),"")),"")</f>
        <v/>
      </c>
      <c r="AL51" s="32">
        <f>IF(AE51="","",IF(ISNUMBER(AK51),AK51,IFERROR(INT(IFERROR(IF(ISNUMBER(INDEX($A51:$Z51,MATCH(Settings!$L$11,$A$1:$Z$1,0))),INDEX($A51:$Z51,MATCH(Settings!$L$11,$A$1:$Z$1,0)),DATE(VALUE(LEFT(IFERROR(TRIM(INDEX($A51:$Z51,MATCH(Settings!$L$11,$A$1:$Z$1,0))&amp;""),""),4)),VALUE(MID(IFERROR(TRIM(INDEX($A51:$Z51,MATCH(Settings!$L$11,$A$1:$Z$1,0))&amp;""),""),6,2)),VALUE(MID(IFERROR(TRIM(INDEX($A51:$Z51,MATCH(Settings!$L$11,$A$1:$Z$1,0))&amp;""),""),9,2)))+TIME(VALUE(MID(IFERROR(TRIM(INDEX($A51:$Z51,MATCH(Settings!$L$11,$A$1:$Z$1,0))&amp;""),""),12,2)),VALUE(MID(IFERROR(TRIM(INDEX($A51:$Z51,MATCH(Settings!$L$11,$A$1:$Z$1,0))&amp;""),""),15,2)),VALUE(MID(IFERROR(TRIM(INDEX($A51:$Z51,MATCH(Settings!$L$11,$A$1:$Z$1,0))&amp;""),""),18,2)))),"")),"")))</f>
        <v/>
      </c>
      <c r="AM51" s="31">
        <f>IF(AE51="","",IF(ISNUMBER(IFERROR(INDEX(Settings!$G$4:$G$11,MATCH(AH51,Settings!$F$4:$F$11,0)),"")),INDEX(Settings!$G$4:$G$11,MATCH(AH51,Settings!$F$4:$F$11,0)),Settings!$D$5))</f>
        <v/>
      </c>
      <c r="AN51" s="32">
        <f>IF(OR(AE51="",NOT(ISNUMBER(AL51)),NOT(ISNUMBER(AM51))),"",IF(AM51&lt;=0,"",IF(ISNUMBER(Settings!$D$8),DATE(YEAR(AL51)+IF(DATE(YEAR(AL51),MONTH(Settings!$D$8),DAY(Settings!$D$8))&gt;AL51,0,1),MONTH(Settings!$D$8),DAY(Settings!$D$8)),MIN(DATE(YEAR(AL51),MONTH(AL51)+AM51,DAY(AL51)),DATE(YEAR(AL51),MONTH(AL51)+AM51+1,0)))))</f>
        <v/>
      </c>
      <c r="AO51" s="31">
        <f>IF(ISNUMBER(AN51),AN51-Settings!$D$4,"")</f>
        <v/>
      </c>
      <c r="AP51" s="31">
        <f>IF(ISNUMBER(AL51),AL51+0+ROW()/100000,"")</f>
        <v/>
      </c>
      <c r="AQ51" s="31">
        <f>IF(OR(AG51="",NOT(ISNUMBER(AP51))),0,IF(SUMPRODUCT(('Responses'!$AG$2:$AG$501=AG51)*('Responses'!$AJ$2:$AJ$501=1)*ISNUMBER('Responses'!$AP$2:$AP$501)*('Responses'!$AP$2:$AP$501&gt;AP51)) + SUMPRODUCT(('Paper sign-ups'!$K$2:$K$101=AG51)*('Paper sign-ups'!$N$2:$N$101=1)*ISNUMBER('Paper sign-ups'!$T$2:$T$101)*('Paper sign-ups'!$T$2:$T$101&gt;AP51))&gt;0,1,0))</f>
        <v/>
      </c>
      <c r="AR51" s="31">
        <f>IF(AE51="","",IF(AQ51=1,"Joined again",IF(AJ51=0,"Unpaid",IF(NOT(ISNUMBER(AL51)),"Add a join date",IF(AN51="","No reminder",IF(AO51&lt;0,"Lapsed",IF(AO51&lt;=Settings!$D$6,"Remind soon","Current")))))))</f>
        <v/>
      </c>
      <c r="AS51" s="33">
        <f>IF(AJ51=1,IFERROR(VALUE(IFERROR(TRIM(INDEX($A51:$Z51,MATCH(Settings!$L$8,$A$1:$Z$1,0))&amp;""),"")),0)-IFERROR(VALUE(IFERROR(TRIM(INDEX($A51:$Z51,MATCH(Settings!$L$9,$A$1:$Z$1,0))&amp;""),"")),0),0)</f>
        <v/>
      </c>
      <c r="AT51" s="31">
        <f>IF(AND(AE51&lt;&gt;"",AQ51=0),1,0)</f>
        <v/>
      </c>
      <c r="AU51" s="31">
        <f>IF(AT51=0,"",IF(ISNUMBER(AN51),AN51,100000)+0+ROW()/1000000)</f>
        <v/>
      </c>
      <c r="AV51" s="31">
        <f>IF(ISNUMBER(AU51),SUMPRODUCT(ISNUMBER('Responses'!$AU$2:$AU$501)*('Responses'!$AU$2:$AU$501&lt;AU51)) + SUMPRODUCT(ISNUMBER('Paper sign-ups'!$Y$2:$Y$101)*('Paper sign-ups'!$Y$2:$Y$101&lt;AU51))+1,"")</f>
        <v/>
      </c>
    </row>
    <row r="52">
      <c r="AA52" s="29" t="n"/>
      <c r="AB52" s="30" t="n"/>
      <c r="AC52" s="30" t="n"/>
      <c r="AD52" s="29" t="n"/>
      <c r="AE52" s="31">
        <f>IFERROR(TRIM(INDEX($A52:$Z52,MATCH(Settings!$L$4,$A$1:$Z$1,0))&amp;""),"")</f>
        <v/>
      </c>
      <c r="AF52" s="31">
        <f>IFERROR(TRIM(INDEX($A52:$Z52,MATCH(Settings!$L$5,$A$1:$Z$1,0))&amp;""),"")</f>
        <v/>
      </c>
      <c r="AG52" s="31">
        <f>IF(AE52="","",LOWER(IF(AF52&lt;&gt;"",AF52,AE52)))</f>
        <v/>
      </c>
      <c r="AH52" s="31">
        <f>IFERROR(TRIM(INDEX($A52:$Z52,MATCH(Settings!$L$6,$A$1:$Z$1,0))&amp;""),"")</f>
        <v/>
      </c>
      <c r="AI52" s="31">
        <f>IF(AE52="","",IF(UPPER(TRIM(AB52&amp;""))="Y","Paid another way",IF(IFERROR(TRIM(INDEX($A52:$Z52,MATCH(Settings!$L$7,$A$1:$Z$1,0))&amp;""),"")="","No payment status",IFERROR(TRIM(INDEX($A52:$Z52,MATCH(Settings!$L$7,$A$1:$Z$1,0))&amp;""),""))))</f>
        <v/>
      </c>
      <c r="AJ52" s="31">
        <f>IF(AE52="",0,IF(IFERROR(INDEX(Settings!$J$4:$J$14,MATCH(AI52,Settings!$I$4:$I$14,0)),"N")="Y",1,0))</f>
        <v/>
      </c>
      <c r="AK52" s="32">
        <f>IFERROR(INT(IFERROR(IF(ISNUMBER(INDEX($A52:$Z52,MATCH(Settings!$L$10,$A$1:$Z$1,0))),INDEX($A52:$Z52,MATCH(Settings!$L$10,$A$1:$Z$1,0)),DATE(VALUE(LEFT(IFERROR(TRIM(INDEX($A52:$Z52,MATCH(Settings!$L$10,$A$1:$Z$1,0))&amp;""),""),4)),VALUE(MID(IFERROR(TRIM(INDEX($A52:$Z52,MATCH(Settings!$L$10,$A$1:$Z$1,0))&amp;""),""),6,2)),VALUE(MID(IFERROR(TRIM(INDEX($A52:$Z52,MATCH(Settings!$L$10,$A$1:$Z$1,0))&amp;""),""),9,2)))+TIME(VALUE(MID(IFERROR(TRIM(INDEX($A52:$Z52,MATCH(Settings!$L$10,$A$1:$Z$1,0))&amp;""),""),12,2)),VALUE(MID(IFERROR(TRIM(INDEX($A52:$Z52,MATCH(Settings!$L$10,$A$1:$Z$1,0))&amp;""),""),15,2)),VALUE(MID(IFERROR(TRIM(INDEX($A52:$Z52,MATCH(Settings!$L$10,$A$1:$Z$1,0))&amp;""),""),18,2)))),"")),"")</f>
        <v/>
      </c>
      <c r="AL52" s="32">
        <f>IF(AE52="","",IF(ISNUMBER(AK52),AK52,IFERROR(INT(IFERROR(IF(ISNUMBER(INDEX($A52:$Z52,MATCH(Settings!$L$11,$A$1:$Z$1,0))),INDEX($A52:$Z52,MATCH(Settings!$L$11,$A$1:$Z$1,0)),DATE(VALUE(LEFT(IFERROR(TRIM(INDEX($A52:$Z52,MATCH(Settings!$L$11,$A$1:$Z$1,0))&amp;""),""),4)),VALUE(MID(IFERROR(TRIM(INDEX($A52:$Z52,MATCH(Settings!$L$11,$A$1:$Z$1,0))&amp;""),""),6,2)),VALUE(MID(IFERROR(TRIM(INDEX($A52:$Z52,MATCH(Settings!$L$11,$A$1:$Z$1,0))&amp;""),""),9,2)))+TIME(VALUE(MID(IFERROR(TRIM(INDEX($A52:$Z52,MATCH(Settings!$L$11,$A$1:$Z$1,0))&amp;""),""),12,2)),VALUE(MID(IFERROR(TRIM(INDEX($A52:$Z52,MATCH(Settings!$L$11,$A$1:$Z$1,0))&amp;""),""),15,2)),VALUE(MID(IFERROR(TRIM(INDEX($A52:$Z52,MATCH(Settings!$L$11,$A$1:$Z$1,0))&amp;""),""),18,2)))),"")),"")))</f>
        <v/>
      </c>
      <c r="AM52" s="31">
        <f>IF(AE52="","",IF(ISNUMBER(IFERROR(INDEX(Settings!$G$4:$G$11,MATCH(AH52,Settings!$F$4:$F$11,0)),"")),INDEX(Settings!$G$4:$G$11,MATCH(AH52,Settings!$F$4:$F$11,0)),Settings!$D$5))</f>
        <v/>
      </c>
      <c r="AN52" s="32">
        <f>IF(OR(AE52="",NOT(ISNUMBER(AL52)),NOT(ISNUMBER(AM52))),"",IF(AM52&lt;=0,"",IF(ISNUMBER(Settings!$D$8),DATE(YEAR(AL52)+IF(DATE(YEAR(AL52),MONTH(Settings!$D$8),DAY(Settings!$D$8))&gt;AL52,0,1),MONTH(Settings!$D$8),DAY(Settings!$D$8)),MIN(DATE(YEAR(AL52),MONTH(AL52)+AM52,DAY(AL52)),DATE(YEAR(AL52),MONTH(AL52)+AM52+1,0)))))</f>
        <v/>
      </c>
      <c r="AO52" s="31">
        <f>IF(ISNUMBER(AN52),AN52-Settings!$D$4,"")</f>
        <v/>
      </c>
      <c r="AP52" s="31">
        <f>IF(ISNUMBER(AL52),AL52+0+ROW()/100000,"")</f>
        <v/>
      </c>
      <c r="AQ52" s="31">
        <f>IF(OR(AG52="",NOT(ISNUMBER(AP52))),0,IF(SUMPRODUCT(('Responses'!$AG$2:$AG$501=AG52)*('Responses'!$AJ$2:$AJ$501=1)*ISNUMBER('Responses'!$AP$2:$AP$501)*('Responses'!$AP$2:$AP$501&gt;AP52)) + SUMPRODUCT(('Paper sign-ups'!$K$2:$K$101=AG52)*('Paper sign-ups'!$N$2:$N$101=1)*ISNUMBER('Paper sign-ups'!$T$2:$T$101)*('Paper sign-ups'!$T$2:$T$101&gt;AP52))&gt;0,1,0))</f>
        <v/>
      </c>
      <c r="AR52" s="31">
        <f>IF(AE52="","",IF(AQ52=1,"Joined again",IF(AJ52=0,"Unpaid",IF(NOT(ISNUMBER(AL52)),"Add a join date",IF(AN52="","No reminder",IF(AO52&lt;0,"Lapsed",IF(AO52&lt;=Settings!$D$6,"Remind soon","Current")))))))</f>
        <v/>
      </c>
      <c r="AS52" s="33">
        <f>IF(AJ52=1,IFERROR(VALUE(IFERROR(TRIM(INDEX($A52:$Z52,MATCH(Settings!$L$8,$A$1:$Z$1,0))&amp;""),"")),0)-IFERROR(VALUE(IFERROR(TRIM(INDEX($A52:$Z52,MATCH(Settings!$L$9,$A$1:$Z$1,0))&amp;""),"")),0),0)</f>
        <v/>
      </c>
      <c r="AT52" s="31">
        <f>IF(AND(AE52&lt;&gt;"",AQ52=0),1,0)</f>
        <v/>
      </c>
      <c r="AU52" s="31">
        <f>IF(AT52=0,"",IF(ISNUMBER(AN52),AN52,100000)+0+ROW()/1000000)</f>
        <v/>
      </c>
      <c r="AV52" s="31">
        <f>IF(ISNUMBER(AU52),SUMPRODUCT(ISNUMBER('Responses'!$AU$2:$AU$501)*('Responses'!$AU$2:$AU$501&lt;AU52)) + SUMPRODUCT(ISNUMBER('Paper sign-ups'!$Y$2:$Y$101)*('Paper sign-ups'!$Y$2:$Y$101&lt;AU52))+1,"")</f>
        <v/>
      </c>
    </row>
    <row r="53">
      <c r="AA53" s="29" t="n"/>
      <c r="AB53" s="30" t="n"/>
      <c r="AC53" s="30" t="n"/>
      <c r="AD53" s="29" t="n"/>
      <c r="AE53" s="31">
        <f>IFERROR(TRIM(INDEX($A53:$Z53,MATCH(Settings!$L$4,$A$1:$Z$1,0))&amp;""),"")</f>
        <v/>
      </c>
      <c r="AF53" s="31">
        <f>IFERROR(TRIM(INDEX($A53:$Z53,MATCH(Settings!$L$5,$A$1:$Z$1,0))&amp;""),"")</f>
        <v/>
      </c>
      <c r="AG53" s="31">
        <f>IF(AE53="","",LOWER(IF(AF53&lt;&gt;"",AF53,AE53)))</f>
        <v/>
      </c>
      <c r="AH53" s="31">
        <f>IFERROR(TRIM(INDEX($A53:$Z53,MATCH(Settings!$L$6,$A$1:$Z$1,0))&amp;""),"")</f>
        <v/>
      </c>
      <c r="AI53" s="31">
        <f>IF(AE53="","",IF(UPPER(TRIM(AB53&amp;""))="Y","Paid another way",IF(IFERROR(TRIM(INDEX($A53:$Z53,MATCH(Settings!$L$7,$A$1:$Z$1,0))&amp;""),"")="","No payment status",IFERROR(TRIM(INDEX($A53:$Z53,MATCH(Settings!$L$7,$A$1:$Z$1,0))&amp;""),""))))</f>
        <v/>
      </c>
      <c r="AJ53" s="31">
        <f>IF(AE53="",0,IF(IFERROR(INDEX(Settings!$J$4:$J$14,MATCH(AI53,Settings!$I$4:$I$14,0)),"N")="Y",1,0))</f>
        <v/>
      </c>
      <c r="AK53" s="32">
        <f>IFERROR(INT(IFERROR(IF(ISNUMBER(INDEX($A53:$Z53,MATCH(Settings!$L$10,$A$1:$Z$1,0))),INDEX($A53:$Z53,MATCH(Settings!$L$10,$A$1:$Z$1,0)),DATE(VALUE(LEFT(IFERROR(TRIM(INDEX($A53:$Z53,MATCH(Settings!$L$10,$A$1:$Z$1,0))&amp;""),""),4)),VALUE(MID(IFERROR(TRIM(INDEX($A53:$Z53,MATCH(Settings!$L$10,$A$1:$Z$1,0))&amp;""),""),6,2)),VALUE(MID(IFERROR(TRIM(INDEX($A53:$Z53,MATCH(Settings!$L$10,$A$1:$Z$1,0))&amp;""),""),9,2)))+TIME(VALUE(MID(IFERROR(TRIM(INDEX($A53:$Z53,MATCH(Settings!$L$10,$A$1:$Z$1,0))&amp;""),""),12,2)),VALUE(MID(IFERROR(TRIM(INDEX($A53:$Z53,MATCH(Settings!$L$10,$A$1:$Z$1,0))&amp;""),""),15,2)),VALUE(MID(IFERROR(TRIM(INDEX($A53:$Z53,MATCH(Settings!$L$10,$A$1:$Z$1,0))&amp;""),""),18,2)))),"")),"")</f>
        <v/>
      </c>
      <c r="AL53" s="32">
        <f>IF(AE53="","",IF(ISNUMBER(AK53),AK53,IFERROR(INT(IFERROR(IF(ISNUMBER(INDEX($A53:$Z53,MATCH(Settings!$L$11,$A$1:$Z$1,0))),INDEX($A53:$Z53,MATCH(Settings!$L$11,$A$1:$Z$1,0)),DATE(VALUE(LEFT(IFERROR(TRIM(INDEX($A53:$Z53,MATCH(Settings!$L$11,$A$1:$Z$1,0))&amp;""),""),4)),VALUE(MID(IFERROR(TRIM(INDEX($A53:$Z53,MATCH(Settings!$L$11,$A$1:$Z$1,0))&amp;""),""),6,2)),VALUE(MID(IFERROR(TRIM(INDEX($A53:$Z53,MATCH(Settings!$L$11,$A$1:$Z$1,0))&amp;""),""),9,2)))+TIME(VALUE(MID(IFERROR(TRIM(INDEX($A53:$Z53,MATCH(Settings!$L$11,$A$1:$Z$1,0))&amp;""),""),12,2)),VALUE(MID(IFERROR(TRIM(INDEX($A53:$Z53,MATCH(Settings!$L$11,$A$1:$Z$1,0))&amp;""),""),15,2)),VALUE(MID(IFERROR(TRIM(INDEX($A53:$Z53,MATCH(Settings!$L$11,$A$1:$Z$1,0))&amp;""),""),18,2)))),"")),"")))</f>
        <v/>
      </c>
      <c r="AM53" s="31">
        <f>IF(AE53="","",IF(ISNUMBER(IFERROR(INDEX(Settings!$G$4:$G$11,MATCH(AH53,Settings!$F$4:$F$11,0)),"")),INDEX(Settings!$G$4:$G$11,MATCH(AH53,Settings!$F$4:$F$11,0)),Settings!$D$5))</f>
        <v/>
      </c>
      <c r="AN53" s="32">
        <f>IF(OR(AE53="",NOT(ISNUMBER(AL53)),NOT(ISNUMBER(AM53))),"",IF(AM53&lt;=0,"",IF(ISNUMBER(Settings!$D$8),DATE(YEAR(AL53)+IF(DATE(YEAR(AL53),MONTH(Settings!$D$8),DAY(Settings!$D$8))&gt;AL53,0,1),MONTH(Settings!$D$8),DAY(Settings!$D$8)),MIN(DATE(YEAR(AL53),MONTH(AL53)+AM53,DAY(AL53)),DATE(YEAR(AL53),MONTH(AL53)+AM53+1,0)))))</f>
        <v/>
      </c>
      <c r="AO53" s="31">
        <f>IF(ISNUMBER(AN53),AN53-Settings!$D$4,"")</f>
        <v/>
      </c>
      <c r="AP53" s="31">
        <f>IF(ISNUMBER(AL53),AL53+0+ROW()/100000,"")</f>
        <v/>
      </c>
      <c r="AQ53" s="31">
        <f>IF(OR(AG53="",NOT(ISNUMBER(AP53))),0,IF(SUMPRODUCT(('Responses'!$AG$2:$AG$501=AG53)*('Responses'!$AJ$2:$AJ$501=1)*ISNUMBER('Responses'!$AP$2:$AP$501)*('Responses'!$AP$2:$AP$501&gt;AP53)) + SUMPRODUCT(('Paper sign-ups'!$K$2:$K$101=AG53)*('Paper sign-ups'!$N$2:$N$101=1)*ISNUMBER('Paper sign-ups'!$T$2:$T$101)*('Paper sign-ups'!$T$2:$T$101&gt;AP53))&gt;0,1,0))</f>
        <v/>
      </c>
      <c r="AR53" s="31">
        <f>IF(AE53="","",IF(AQ53=1,"Joined again",IF(AJ53=0,"Unpaid",IF(NOT(ISNUMBER(AL53)),"Add a join date",IF(AN53="","No reminder",IF(AO53&lt;0,"Lapsed",IF(AO53&lt;=Settings!$D$6,"Remind soon","Current")))))))</f>
        <v/>
      </c>
      <c r="AS53" s="33">
        <f>IF(AJ53=1,IFERROR(VALUE(IFERROR(TRIM(INDEX($A53:$Z53,MATCH(Settings!$L$8,$A$1:$Z$1,0))&amp;""),"")),0)-IFERROR(VALUE(IFERROR(TRIM(INDEX($A53:$Z53,MATCH(Settings!$L$9,$A$1:$Z$1,0))&amp;""),"")),0),0)</f>
        <v/>
      </c>
      <c r="AT53" s="31">
        <f>IF(AND(AE53&lt;&gt;"",AQ53=0),1,0)</f>
        <v/>
      </c>
      <c r="AU53" s="31">
        <f>IF(AT53=0,"",IF(ISNUMBER(AN53),AN53,100000)+0+ROW()/1000000)</f>
        <v/>
      </c>
      <c r="AV53" s="31">
        <f>IF(ISNUMBER(AU53),SUMPRODUCT(ISNUMBER('Responses'!$AU$2:$AU$501)*('Responses'!$AU$2:$AU$501&lt;AU53)) + SUMPRODUCT(ISNUMBER('Paper sign-ups'!$Y$2:$Y$101)*('Paper sign-ups'!$Y$2:$Y$101&lt;AU53))+1,"")</f>
        <v/>
      </c>
    </row>
    <row r="54">
      <c r="AA54" s="29" t="n"/>
      <c r="AB54" s="30" t="n"/>
      <c r="AC54" s="30" t="n"/>
      <c r="AD54" s="29" t="n"/>
      <c r="AE54" s="31">
        <f>IFERROR(TRIM(INDEX($A54:$Z54,MATCH(Settings!$L$4,$A$1:$Z$1,0))&amp;""),"")</f>
        <v/>
      </c>
      <c r="AF54" s="31">
        <f>IFERROR(TRIM(INDEX($A54:$Z54,MATCH(Settings!$L$5,$A$1:$Z$1,0))&amp;""),"")</f>
        <v/>
      </c>
      <c r="AG54" s="31">
        <f>IF(AE54="","",LOWER(IF(AF54&lt;&gt;"",AF54,AE54)))</f>
        <v/>
      </c>
      <c r="AH54" s="31">
        <f>IFERROR(TRIM(INDEX($A54:$Z54,MATCH(Settings!$L$6,$A$1:$Z$1,0))&amp;""),"")</f>
        <v/>
      </c>
      <c r="AI54" s="31">
        <f>IF(AE54="","",IF(UPPER(TRIM(AB54&amp;""))="Y","Paid another way",IF(IFERROR(TRIM(INDEX($A54:$Z54,MATCH(Settings!$L$7,$A$1:$Z$1,0))&amp;""),"")="","No payment status",IFERROR(TRIM(INDEX($A54:$Z54,MATCH(Settings!$L$7,$A$1:$Z$1,0))&amp;""),""))))</f>
        <v/>
      </c>
      <c r="AJ54" s="31">
        <f>IF(AE54="",0,IF(IFERROR(INDEX(Settings!$J$4:$J$14,MATCH(AI54,Settings!$I$4:$I$14,0)),"N")="Y",1,0))</f>
        <v/>
      </c>
      <c r="AK54" s="32">
        <f>IFERROR(INT(IFERROR(IF(ISNUMBER(INDEX($A54:$Z54,MATCH(Settings!$L$10,$A$1:$Z$1,0))),INDEX($A54:$Z54,MATCH(Settings!$L$10,$A$1:$Z$1,0)),DATE(VALUE(LEFT(IFERROR(TRIM(INDEX($A54:$Z54,MATCH(Settings!$L$10,$A$1:$Z$1,0))&amp;""),""),4)),VALUE(MID(IFERROR(TRIM(INDEX($A54:$Z54,MATCH(Settings!$L$10,$A$1:$Z$1,0))&amp;""),""),6,2)),VALUE(MID(IFERROR(TRIM(INDEX($A54:$Z54,MATCH(Settings!$L$10,$A$1:$Z$1,0))&amp;""),""),9,2)))+TIME(VALUE(MID(IFERROR(TRIM(INDEX($A54:$Z54,MATCH(Settings!$L$10,$A$1:$Z$1,0))&amp;""),""),12,2)),VALUE(MID(IFERROR(TRIM(INDEX($A54:$Z54,MATCH(Settings!$L$10,$A$1:$Z$1,0))&amp;""),""),15,2)),VALUE(MID(IFERROR(TRIM(INDEX($A54:$Z54,MATCH(Settings!$L$10,$A$1:$Z$1,0))&amp;""),""),18,2)))),"")),"")</f>
        <v/>
      </c>
      <c r="AL54" s="32">
        <f>IF(AE54="","",IF(ISNUMBER(AK54),AK54,IFERROR(INT(IFERROR(IF(ISNUMBER(INDEX($A54:$Z54,MATCH(Settings!$L$11,$A$1:$Z$1,0))),INDEX($A54:$Z54,MATCH(Settings!$L$11,$A$1:$Z$1,0)),DATE(VALUE(LEFT(IFERROR(TRIM(INDEX($A54:$Z54,MATCH(Settings!$L$11,$A$1:$Z$1,0))&amp;""),""),4)),VALUE(MID(IFERROR(TRIM(INDEX($A54:$Z54,MATCH(Settings!$L$11,$A$1:$Z$1,0))&amp;""),""),6,2)),VALUE(MID(IFERROR(TRIM(INDEX($A54:$Z54,MATCH(Settings!$L$11,$A$1:$Z$1,0))&amp;""),""),9,2)))+TIME(VALUE(MID(IFERROR(TRIM(INDEX($A54:$Z54,MATCH(Settings!$L$11,$A$1:$Z$1,0))&amp;""),""),12,2)),VALUE(MID(IFERROR(TRIM(INDEX($A54:$Z54,MATCH(Settings!$L$11,$A$1:$Z$1,0))&amp;""),""),15,2)),VALUE(MID(IFERROR(TRIM(INDEX($A54:$Z54,MATCH(Settings!$L$11,$A$1:$Z$1,0))&amp;""),""),18,2)))),"")),"")))</f>
        <v/>
      </c>
      <c r="AM54" s="31">
        <f>IF(AE54="","",IF(ISNUMBER(IFERROR(INDEX(Settings!$G$4:$G$11,MATCH(AH54,Settings!$F$4:$F$11,0)),"")),INDEX(Settings!$G$4:$G$11,MATCH(AH54,Settings!$F$4:$F$11,0)),Settings!$D$5))</f>
        <v/>
      </c>
      <c r="AN54" s="32">
        <f>IF(OR(AE54="",NOT(ISNUMBER(AL54)),NOT(ISNUMBER(AM54))),"",IF(AM54&lt;=0,"",IF(ISNUMBER(Settings!$D$8),DATE(YEAR(AL54)+IF(DATE(YEAR(AL54),MONTH(Settings!$D$8),DAY(Settings!$D$8))&gt;AL54,0,1),MONTH(Settings!$D$8),DAY(Settings!$D$8)),MIN(DATE(YEAR(AL54),MONTH(AL54)+AM54,DAY(AL54)),DATE(YEAR(AL54),MONTH(AL54)+AM54+1,0)))))</f>
        <v/>
      </c>
      <c r="AO54" s="31">
        <f>IF(ISNUMBER(AN54),AN54-Settings!$D$4,"")</f>
        <v/>
      </c>
      <c r="AP54" s="31">
        <f>IF(ISNUMBER(AL54),AL54+0+ROW()/100000,"")</f>
        <v/>
      </c>
      <c r="AQ54" s="31">
        <f>IF(OR(AG54="",NOT(ISNUMBER(AP54))),0,IF(SUMPRODUCT(('Responses'!$AG$2:$AG$501=AG54)*('Responses'!$AJ$2:$AJ$501=1)*ISNUMBER('Responses'!$AP$2:$AP$501)*('Responses'!$AP$2:$AP$501&gt;AP54)) + SUMPRODUCT(('Paper sign-ups'!$K$2:$K$101=AG54)*('Paper sign-ups'!$N$2:$N$101=1)*ISNUMBER('Paper sign-ups'!$T$2:$T$101)*('Paper sign-ups'!$T$2:$T$101&gt;AP54))&gt;0,1,0))</f>
        <v/>
      </c>
      <c r="AR54" s="31">
        <f>IF(AE54="","",IF(AQ54=1,"Joined again",IF(AJ54=0,"Unpaid",IF(NOT(ISNUMBER(AL54)),"Add a join date",IF(AN54="","No reminder",IF(AO54&lt;0,"Lapsed",IF(AO54&lt;=Settings!$D$6,"Remind soon","Current")))))))</f>
        <v/>
      </c>
      <c r="AS54" s="33">
        <f>IF(AJ54=1,IFERROR(VALUE(IFERROR(TRIM(INDEX($A54:$Z54,MATCH(Settings!$L$8,$A$1:$Z$1,0))&amp;""),"")),0)-IFERROR(VALUE(IFERROR(TRIM(INDEX($A54:$Z54,MATCH(Settings!$L$9,$A$1:$Z$1,0))&amp;""),"")),0),0)</f>
        <v/>
      </c>
      <c r="AT54" s="31">
        <f>IF(AND(AE54&lt;&gt;"",AQ54=0),1,0)</f>
        <v/>
      </c>
      <c r="AU54" s="31">
        <f>IF(AT54=0,"",IF(ISNUMBER(AN54),AN54,100000)+0+ROW()/1000000)</f>
        <v/>
      </c>
      <c r="AV54" s="31">
        <f>IF(ISNUMBER(AU54),SUMPRODUCT(ISNUMBER('Responses'!$AU$2:$AU$501)*('Responses'!$AU$2:$AU$501&lt;AU54)) + SUMPRODUCT(ISNUMBER('Paper sign-ups'!$Y$2:$Y$101)*('Paper sign-ups'!$Y$2:$Y$101&lt;AU54))+1,"")</f>
        <v/>
      </c>
    </row>
    <row r="55">
      <c r="AA55" s="29" t="n"/>
      <c r="AB55" s="30" t="n"/>
      <c r="AC55" s="30" t="n"/>
      <c r="AD55" s="29" t="n"/>
      <c r="AE55" s="31">
        <f>IFERROR(TRIM(INDEX($A55:$Z55,MATCH(Settings!$L$4,$A$1:$Z$1,0))&amp;""),"")</f>
        <v/>
      </c>
      <c r="AF55" s="31">
        <f>IFERROR(TRIM(INDEX($A55:$Z55,MATCH(Settings!$L$5,$A$1:$Z$1,0))&amp;""),"")</f>
        <v/>
      </c>
      <c r="AG55" s="31">
        <f>IF(AE55="","",LOWER(IF(AF55&lt;&gt;"",AF55,AE55)))</f>
        <v/>
      </c>
      <c r="AH55" s="31">
        <f>IFERROR(TRIM(INDEX($A55:$Z55,MATCH(Settings!$L$6,$A$1:$Z$1,0))&amp;""),"")</f>
        <v/>
      </c>
      <c r="AI55" s="31">
        <f>IF(AE55="","",IF(UPPER(TRIM(AB55&amp;""))="Y","Paid another way",IF(IFERROR(TRIM(INDEX($A55:$Z55,MATCH(Settings!$L$7,$A$1:$Z$1,0))&amp;""),"")="","No payment status",IFERROR(TRIM(INDEX($A55:$Z55,MATCH(Settings!$L$7,$A$1:$Z$1,0))&amp;""),""))))</f>
        <v/>
      </c>
      <c r="AJ55" s="31">
        <f>IF(AE55="",0,IF(IFERROR(INDEX(Settings!$J$4:$J$14,MATCH(AI55,Settings!$I$4:$I$14,0)),"N")="Y",1,0))</f>
        <v/>
      </c>
      <c r="AK55" s="32">
        <f>IFERROR(INT(IFERROR(IF(ISNUMBER(INDEX($A55:$Z55,MATCH(Settings!$L$10,$A$1:$Z$1,0))),INDEX($A55:$Z55,MATCH(Settings!$L$10,$A$1:$Z$1,0)),DATE(VALUE(LEFT(IFERROR(TRIM(INDEX($A55:$Z55,MATCH(Settings!$L$10,$A$1:$Z$1,0))&amp;""),""),4)),VALUE(MID(IFERROR(TRIM(INDEX($A55:$Z55,MATCH(Settings!$L$10,$A$1:$Z$1,0))&amp;""),""),6,2)),VALUE(MID(IFERROR(TRIM(INDEX($A55:$Z55,MATCH(Settings!$L$10,$A$1:$Z$1,0))&amp;""),""),9,2)))+TIME(VALUE(MID(IFERROR(TRIM(INDEX($A55:$Z55,MATCH(Settings!$L$10,$A$1:$Z$1,0))&amp;""),""),12,2)),VALUE(MID(IFERROR(TRIM(INDEX($A55:$Z55,MATCH(Settings!$L$10,$A$1:$Z$1,0))&amp;""),""),15,2)),VALUE(MID(IFERROR(TRIM(INDEX($A55:$Z55,MATCH(Settings!$L$10,$A$1:$Z$1,0))&amp;""),""),18,2)))),"")),"")</f>
        <v/>
      </c>
      <c r="AL55" s="32">
        <f>IF(AE55="","",IF(ISNUMBER(AK55),AK55,IFERROR(INT(IFERROR(IF(ISNUMBER(INDEX($A55:$Z55,MATCH(Settings!$L$11,$A$1:$Z$1,0))),INDEX($A55:$Z55,MATCH(Settings!$L$11,$A$1:$Z$1,0)),DATE(VALUE(LEFT(IFERROR(TRIM(INDEX($A55:$Z55,MATCH(Settings!$L$11,$A$1:$Z$1,0))&amp;""),""),4)),VALUE(MID(IFERROR(TRIM(INDEX($A55:$Z55,MATCH(Settings!$L$11,$A$1:$Z$1,0))&amp;""),""),6,2)),VALUE(MID(IFERROR(TRIM(INDEX($A55:$Z55,MATCH(Settings!$L$11,$A$1:$Z$1,0))&amp;""),""),9,2)))+TIME(VALUE(MID(IFERROR(TRIM(INDEX($A55:$Z55,MATCH(Settings!$L$11,$A$1:$Z$1,0))&amp;""),""),12,2)),VALUE(MID(IFERROR(TRIM(INDEX($A55:$Z55,MATCH(Settings!$L$11,$A$1:$Z$1,0))&amp;""),""),15,2)),VALUE(MID(IFERROR(TRIM(INDEX($A55:$Z55,MATCH(Settings!$L$11,$A$1:$Z$1,0))&amp;""),""),18,2)))),"")),"")))</f>
        <v/>
      </c>
      <c r="AM55" s="31">
        <f>IF(AE55="","",IF(ISNUMBER(IFERROR(INDEX(Settings!$G$4:$G$11,MATCH(AH55,Settings!$F$4:$F$11,0)),"")),INDEX(Settings!$G$4:$G$11,MATCH(AH55,Settings!$F$4:$F$11,0)),Settings!$D$5))</f>
        <v/>
      </c>
      <c r="AN55" s="32">
        <f>IF(OR(AE55="",NOT(ISNUMBER(AL55)),NOT(ISNUMBER(AM55))),"",IF(AM55&lt;=0,"",IF(ISNUMBER(Settings!$D$8),DATE(YEAR(AL55)+IF(DATE(YEAR(AL55),MONTH(Settings!$D$8),DAY(Settings!$D$8))&gt;AL55,0,1),MONTH(Settings!$D$8),DAY(Settings!$D$8)),MIN(DATE(YEAR(AL55),MONTH(AL55)+AM55,DAY(AL55)),DATE(YEAR(AL55),MONTH(AL55)+AM55+1,0)))))</f>
        <v/>
      </c>
      <c r="AO55" s="31">
        <f>IF(ISNUMBER(AN55),AN55-Settings!$D$4,"")</f>
        <v/>
      </c>
      <c r="AP55" s="31">
        <f>IF(ISNUMBER(AL55),AL55+0+ROW()/100000,"")</f>
        <v/>
      </c>
      <c r="AQ55" s="31">
        <f>IF(OR(AG55="",NOT(ISNUMBER(AP55))),0,IF(SUMPRODUCT(('Responses'!$AG$2:$AG$501=AG55)*('Responses'!$AJ$2:$AJ$501=1)*ISNUMBER('Responses'!$AP$2:$AP$501)*('Responses'!$AP$2:$AP$501&gt;AP55)) + SUMPRODUCT(('Paper sign-ups'!$K$2:$K$101=AG55)*('Paper sign-ups'!$N$2:$N$101=1)*ISNUMBER('Paper sign-ups'!$T$2:$T$101)*('Paper sign-ups'!$T$2:$T$101&gt;AP55))&gt;0,1,0))</f>
        <v/>
      </c>
      <c r="AR55" s="31">
        <f>IF(AE55="","",IF(AQ55=1,"Joined again",IF(AJ55=0,"Unpaid",IF(NOT(ISNUMBER(AL55)),"Add a join date",IF(AN55="","No reminder",IF(AO55&lt;0,"Lapsed",IF(AO55&lt;=Settings!$D$6,"Remind soon","Current")))))))</f>
        <v/>
      </c>
      <c r="AS55" s="33">
        <f>IF(AJ55=1,IFERROR(VALUE(IFERROR(TRIM(INDEX($A55:$Z55,MATCH(Settings!$L$8,$A$1:$Z$1,0))&amp;""),"")),0)-IFERROR(VALUE(IFERROR(TRIM(INDEX($A55:$Z55,MATCH(Settings!$L$9,$A$1:$Z$1,0))&amp;""),"")),0),0)</f>
        <v/>
      </c>
      <c r="AT55" s="31">
        <f>IF(AND(AE55&lt;&gt;"",AQ55=0),1,0)</f>
        <v/>
      </c>
      <c r="AU55" s="31">
        <f>IF(AT55=0,"",IF(ISNUMBER(AN55),AN55,100000)+0+ROW()/1000000)</f>
        <v/>
      </c>
      <c r="AV55" s="31">
        <f>IF(ISNUMBER(AU55),SUMPRODUCT(ISNUMBER('Responses'!$AU$2:$AU$501)*('Responses'!$AU$2:$AU$501&lt;AU55)) + SUMPRODUCT(ISNUMBER('Paper sign-ups'!$Y$2:$Y$101)*('Paper sign-ups'!$Y$2:$Y$101&lt;AU55))+1,"")</f>
        <v/>
      </c>
    </row>
    <row r="56">
      <c r="AA56" s="29" t="n"/>
      <c r="AB56" s="30" t="n"/>
      <c r="AC56" s="30" t="n"/>
      <c r="AD56" s="29" t="n"/>
      <c r="AE56" s="31">
        <f>IFERROR(TRIM(INDEX($A56:$Z56,MATCH(Settings!$L$4,$A$1:$Z$1,0))&amp;""),"")</f>
        <v/>
      </c>
      <c r="AF56" s="31">
        <f>IFERROR(TRIM(INDEX($A56:$Z56,MATCH(Settings!$L$5,$A$1:$Z$1,0))&amp;""),"")</f>
        <v/>
      </c>
      <c r="AG56" s="31">
        <f>IF(AE56="","",LOWER(IF(AF56&lt;&gt;"",AF56,AE56)))</f>
        <v/>
      </c>
      <c r="AH56" s="31">
        <f>IFERROR(TRIM(INDEX($A56:$Z56,MATCH(Settings!$L$6,$A$1:$Z$1,0))&amp;""),"")</f>
        <v/>
      </c>
      <c r="AI56" s="31">
        <f>IF(AE56="","",IF(UPPER(TRIM(AB56&amp;""))="Y","Paid another way",IF(IFERROR(TRIM(INDEX($A56:$Z56,MATCH(Settings!$L$7,$A$1:$Z$1,0))&amp;""),"")="","No payment status",IFERROR(TRIM(INDEX($A56:$Z56,MATCH(Settings!$L$7,$A$1:$Z$1,0))&amp;""),""))))</f>
        <v/>
      </c>
      <c r="AJ56" s="31">
        <f>IF(AE56="",0,IF(IFERROR(INDEX(Settings!$J$4:$J$14,MATCH(AI56,Settings!$I$4:$I$14,0)),"N")="Y",1,0))</f>
        <v/>
      </c>
      <c r="AK56" s="32">
        <f>IFERROR(INT(IFERROR(IF(ISNUMBER(INDEX($A56:$Z56,MATCH(Settings!$L$10,$A$1:$Z$1,0))),INDEX($A56:$Z56,MATCH(Settings!$L$10,$A$1:$Z$1,0)),DATE(VALUE(LEFT(IFERROR(TRIM(INDEX($A56:$Z56,MATCH(Settings!$L$10,$A$1:$Z$1,0))&amp;""),""),4)),VALUE(MID(IFERROR(TRIM(INDEX($A56:$Z56,MATCH(Settings!$L$10,$A$1:$Z$1,0))&amp;""),""),6,2)),VALUE(MID(IFERROR(TRIM(INDEX($A56:$Z56,MATCH(Settings!$L$10,$A$1:$Z$1,0))&amp;""),""),9,2)))+TIME(VALUE(MID(IFERROR(TRIM(INDEX($A56:$Z56,MATCH(Settings!$L$10,$A$1:$Z$1,0))&amp;""),""),12,2)),VALUE(MID(IFERROR(TRIM(INDEX($A56:$Z56,MATCH(Settings!$L$10,$A$1:$Z$1,0))&amp;""),""),15,2)),VALUE(MID(IFERROR(TRIM(INDEX($A56:$Z56,MATCH(Settings!$L$10,$A$1:$Z$1,0))&amp;""),""),18,2)))),"")),"")</f>
        <v/>
      </c>
      <c r="AL56" s="32">
        <f>IF(AE56="","",IF(ISNUMBER(AK56),AK56,IFERROR(INT(IFERROR(IF(ISNUMBER(INDEX($A56:$Z56,MATCH(Settings!$L$11,$A$1:$Z$1,0))),INDEX($A56:$Z56,MATCH(Settings!$L$11,$A$1:$Z$1,0)),DATE(VALUE(LEFT(IFERROR(TRIM(INDEX($A56:$Z56,MATCH(Settings!$L$11,$A$1:$Z$1,0))&amp;""),""),4)),VALUE(MID(IFERROR(TRIM(INDEX($A56:$Z56,MATCH(Settings!$L$11,$A$1:$Z$1,0))&amp;""),""),6,2)),VALUE(MID(IFERROR(TRIM(INDEX($A56:$Z56,MATCH(Settings!$L$11,$A$1:$Z$1,0))&amp;""),""),9,2)))+TIME(VALUE(MID(IFERROR(TRIM(INDEX($A56:$Z56,MATCH(Settings!$L$11,$A$1:$Z$1,0))&amp;""),""),12,2)),VALUE(MID(IFERROR(TRIM(INDEX($A56:$Z56,MATCH(Settings!$L$11,$A$1:$Z$1,0))&amp;""),""),15,2)),VALUE(MID(IFERROR(TRIM(INDEX($A56:$Z56,MATCH(Settings!$L$11,$A$1:$Z$1,0))&amp;""),""),18,2)))),"")),"")))</f>
        <v/>
      </c>
      <c r="AM56" s="31">
        <f>IF(AE56="","",IF(ISNUMBER(IFERROR(INDEX(Settings!$G$4:$G$11,MATCH(AH56,Settings!$F$4:$F$11,0)),"")),INDEX(Settings!$G$4:$G$11,MATCH(AH56,Settings!$F$4:$F$11,0)),Settings!$D$5))</f>
        <v/>
      </c>
      <c r="AN56" s="32">
        <f>IF(OR(AE56="",NOT(ISNUMBER(AL56)),NOT(ISNUMBER(AM56))),"",IF(AM56&lt;=0,"",IF(ISNUMBER(Settings!$D$8),DATE(YEAR(AL56)+IF(DATE(YEAR(AL56),MONTH(Settings!$D$8),DAY(Settings!$D$8))&gt;AL56,0,1),MONTH(Settings!$D$8),DAY(Settings!$D$8)),MIN(DATE(YEAR(AL56),MONTH(AL56)+AM56,DAY(AL56)),DATE(YEAR(AL56),MONTH(AL56)+AM56+1,0)))))</f>
        <v/>
      </c>
      <c r="AO56" s="31">
        <f>IF(ISNUMBER(AN56),AN56-Settings!$D$4,"")</f>
        <v/>
      </c>
      <c r="AP56" s="31">
        <f>IF(ISNUMBER(AL56),AL56+0+ROW()/100000,"")</f>
        <v/>
      </c>
      <c r="AQ56" s="31">
        <f>IF(OR(AG56="",NOT(ISNUMBER(AP56))),0,IF(SUMPRODUCT(('Responses'!$AG$2:$AG$501=AG56)*('Responses'!$AJ$2:$AJ$501=1)*ISNUMBER('Responses'!$AP$2:$AP$501)*('Responses'!$AP$2:$AP$501&gt;AP56)) + SUMPRODUCT(('Paper sign-ups'!$K$2:$K$101=AG56)*('Paper sign-ups'!$N$2:$N$101=1)*ISNUMBER('Paper sign-ups'!$T$2:$T$101)*('Paper sign-ups'!$T$2:$T$101&gt;AP56))&gt;0,1,0))</f>
        <v/>
      </c>
      <c r="AR56" s="31">
        <f>IF(AE56="","",IF(AQ56=1,"Joined again",IF(AJ56=0,"Unpaid",IF(NOT(ISNUMBER(AL56)),"Add a join date",IF(AN56="","No reminder",IF(AO56&lt;0,"Lapsed",IF(AO56&lt;=Settings!$D$6,"Remind soon","Current")))))))</f>
        <v/>
      </c>
      <c r="AS56" s="33">
        <f>IF(AJ56=1,IFERROR(VALUE(IFERROR(TRIM(INDEX($A56:$Z56,MATCH(Settings!$L$8,$A$1:$Z$1,0))&amp;""),"")),0)-IFERROR(VALUE(IFERROR(TRIM(INDEX($A56:$Z56,MATCH(Settings!$L$9,$A$1:$Z$1,0))&amp;""),"")),0),0)</f>
        <v/>
      </c>
      <c r="AT56" s="31">
        <f>IF(AND(AE56&lt;&gt;"",AQ56=0),1,0)</f>
        <v/>
      </c>
      <c r="AU56" s="31">
        <f>IF(AT56=0,"",IF(ISNUMBER(AN56),AN56,100000)+0+ROW()/1000000)</f>
        <v/>
      </c>
      <c r="AV56" s="31">
        <f>IF(ISNUMBER(AU56),SUMPRODUCT(ISNUMBER('Responses'!$AU$2:$AU$501)*('Responses'!$AU$2:$AU$501&lt;AU56)) + SUMPRODUCT(ISNUMBER('Paper sign-ups'!$Y$2:$Y$101)*('Paper sign-ups'!$Y$2:$Y$101&lt;AU56))+1,"")</f>
        <v/>
      </c>
    </row>
    <row r="57">
      <c r="AA57" s="29" t="n"/>
      <c r="AB57" s="30" t="n"/>
      <c r="AC57" s="30" t="n"/>
      <c r="AD57" s="29" t="n"/>
      <c r="AE57" s="31">
        <f>IFERROR(TRIM(INDEX($A57:$Z57,MATCH(Settings!$L$4,$A$1:$Z$1,0))&amp;""),"")</f>
        <v/>
      </c>
      <c r="AF57" s="31">
        <f>IFERROR(TRIM(INDEX($A57:$Z57,MATCH(Settings!$L$5,$A$1:$Z$1,0))&amp;""),"")</f>
        <v/>
      </c>
      <c r="AG57" s="31">
        <f>IF(AE57="","",LOWER(IF(AF57&lt;&gt;"",AF57,AE57)))</f>
        <v/>
      </c>
      <c r="AH57" s="31">
        <f>IFERROR(TRIM(INDEX($A57:$Z57,MATCH(Settings!$L$6,$A$1:$Z$1,0))&amp;""),"")</f>
        <v/>
      </c>
      <c r="AI57" s="31">
        <f>IF(AE57="","",IF(UPPER(TRIM(AB57&amp;""))="Y","Paid another way",IF(IFERROR(TRIM(INDEX($A57:$Z57,MATCH(Settings!$L$7,$A$1:$Z$1,0))&amp;""),"")="","No payment status",IFERROR(TRIM(INDEX($A57:$Z57,MATCH(Settings!$L$7,$A$1:$Z$1,0))&amp;""),""))))</f>
        <v/>
      </c>
      <c r="AJ57" s="31">
        <f>IF(AE57="",0,IF(IFERROR(INDEX(Settings!$J$4:$J$14,MATCH(AI57,Settings!$I$4:$I$14,0)),"N")="Y",1,0))</f>
        <v/>
      </c>
      <c r="AK57" s="32">
        <f>IFERROR(INT(IFERROR(IF(ISNUMBER(INDEX($A57:$Z57,MATCH(Settings!$L$10,$A$1:$Z$1,0))),INDEX($A57:$Z57,MATCH(Settings!$L$10,$A$1:$Z$1,0)),DATE(VALUE(LEFT(IFERROR(TRIM(INDEX($A57:$Z57,MATCH(Settings!$L$10,$A$1:$Z$1,0))&amp;""),""),4)),VALUE(MID(IFERROR(TRIM(INDEX($A57:$Z57,MATCH(Settings!$L$10,$A$1:$Z$1,0))&amp;""),""),6,2)),VALUE(MID(IFERROR(TRIM(INDEX($A57:$Z57,MATCH(Settings!$L$10,$A$1:$Z$1,0))&amp;""),""),9,2)))+TIME(VALUE(MID(IFERROR(TRIM(INDEX($A57:$Z57,MATCH(Settings!$L$10,$A$1:$Z$1,0))&amp;""),""),12,2)),VALUE(MID(IFERROR(TRIM(INDEX($A57:$Z57,MATCH(Settings!$L$10,$A$1:$Z$1,0))&amp;""),""),15,2)),VALUE(MID(IFERROR(TRIM(INDEX($A57:$Z57,MATCH(Settings!$L$10,$A$1:$Z$1,0))&amp;""),""),18,2)))),"")),"")</f>
        <v/>
      </c>
      <c r="AL57" s="32">
        <f>IF(AE57="","",IF(ISNUMBER(AK57),AK57,IFERROR(INT(IFERROR(IF(ISNUMBER(INDEX($A57:$Z57,MATCH(Settings!$L$11,$A$1:$Z$1,0))),INDEX($A57:$Z57,MATCH(Settings!$L$11,$A$1:$Z$1,0)),DATE(VALUE(LEFT(IFERROR(TRIM(INDEX($A57:$Z57,MATCH(Settings!$L$11,$A$1:$Z$1,0))&amp;""),""),4)),VALUE(MID(IFERROR(TRIM(INDEX($A57:$Z57,MATCH(Settings!$L$11,$A$1:$Z$1,0))&amp;""),""),6,2)),VALUE(MID(IFERROR(TRIM(INDEX($A57:$Z57,MATCH(Settings!$L$11,$A$1:$Z$1,0))&amp;""),""),9,2)))+TIME(VALUE(MID(IFERROR(TRIM(INDEX($A57:$Z57,MATCH(Settings!$L$11,$A$1:$Z$1,0))&amp;""),""),12,2)),VALUE(MID(IFERROR(TRIM(INDEX($A57:$Z57,MATCH(Settings!$L$11,$A$1:$Z$1,0))&amp;""),""),15,2)),VALUE(MID(IFERROR(TRIM(INDEX($A57:$Z57,MATCH(Settings!$L$11,$A$1:$Z$1,0))&amp;""),""),18,2)))),"")),"")))</f>
        <v/>
      </c>
      <c r="AM57" s="31">
        <f>IF(AE57="","",IF(ISNUMBER(IFERROR(INDEX(Settings!$G$4:$G$11,MATCH(AH57,Settings!$F$4:$F$11,0)),"")),INDEX(Settings!$G$4:$G$11,MATCH(AH57,Settings!$F$4:$F$11,0)),Settings!$D$5))</f>
        <v/>
      </c>
      <c r="AN57" s="32">
        <f>IF(OR(AE57="",NOT(ISNUMBER(AL57)),NOT(ISNUMBER(AM57))),"",IF(AM57&lt;=0,"",IF(ISNUMBER(Settings!$D$8),DATE(YEAR(AL57)+IF(DATE(YEAR(AL57),MONTH(Settings!$D$8),DAY(Settings!$D$8))&gt;AL57,0,1),MONTH(Settings!$D$8),DAY(Settings!$D$8)),MIN(DATE(YEAR(AL57),MONTH(AL57)+AM57,DAY(AL57)),DATE(YEAR(AL57),MONTH(AL57)+AM57+1,0)))))</f>
        <v/>
      </c>
      <c r="AO57" s="31">
        <f>IF(ISNUMBER(AN57),AN57-Settings!$D$4,"")</f>
        <v/>
      </c>
      <c r="AP57" s="31">
        <f>IF(ISNUMBER(AL57),AL57+0+ROW()/100000,"")</f>
        <v/>
      </c>
      <c r="AQ57" s="31">
        <f>IF(OR(AG57="",NOT(ISNUMBER(AP57))),0,IF(SUMPRODUCT(('Responses'!$AG$2:$AG$501=AG57)*('Responses'!$AJ$2:$AJ$501=1)*ISNUMBER('Responses'!$AP$2:$AP$501)*('Responses'!$AP$2:$AP$501&gt;AP57)) + SUMPRODUCT(('Paper sign-ups'!$K$2:$K$101=AG57)*('Paper sign-ups'!$N$2:$N$101=1)*ISNUMBER('Paper sign-ups'!$T$2:$T$101)*('Paper sign-ups'!$T$2:$T$101&gt;AP57))&gt;0,1,0))</f>
        <v/>
      </c>
      <c r="AR57" s="31">
        <f>IF(AE57="","",IF(AQ57=1,"Joined again",IF(AJ57=0,"Unpaid",IF(NOT(ISNUMBER(AL57)),"Add a join date",IF(AN57="","No reminder",IF(AO57&lt;0,"Lapsed",IF(AO57&lt;=Settings!$D$6,"Remind soon","Current")))))))</f>
        <v/>
      </c>
      <c r="AS57" s="33">
        <f>IF(AJ57=1,IFERROR(VALUE(IFERROR(TRIM(INDEX($A57:$Z57,MATCH(Settings!$L$8,$A$1:$Z$1,0))&amp;""),"")),0)-IFERROR(VALUE(IFERROR(TRIM(INDEX($A57:$Z57,MATCH(Settings!$L$9,$A$1:$Z$1,0))&amp;""),"")),0),0)</f>
        <v/>
      </c>
      <c r="AT57" s="31">
        <f>IF(AND(AE57&lt;&gt;"",AQ57=0),1,0)</f>
        <v/>
      </c>
      <c r="AU57" s="31">
        <f>IF(AT57=0,"",IF(ISNUMBER(AN57),AN57,100000)+0+ROW()/1000000)</f>
        <v/>
      </c>
      <c r="AV57" s="31">
        <f>IF(ISNUMBER(AU57),SUMPRODUCT(ISNUMBER('Responses'!$AU$2:$AU$501)*('Responses'!$AU$2:$AU$501&lt;AU57)) + SUMPRODUCT(ISNUMBER('Paper sign-ups'!$Y$2:$Y$101)*('Paper sign-ups'!$Y$2:$Y$101&lt;AU57))+1,"")</f>
        <v/>
      </c>
    </row>
    <row r="58">
      <c r="AA58" s="29" t="n"/>
      <c r="AB58" s="30" t="n"/>
      <c r="AC58" s="30" t="n"/>
      <c r="AD58" s="29" t="n"/>
      <c r="AE58" s="31">
        <f>IFERROR(TRIM(INDEX($A58:$Z58,MATCH(Settings!$L$4,$A$1:$Z$1,0))&amp;""),"")</f>
        <v/>
      </c>
      <c r="AF58" s="31">
        <f>IFERROR(TRIM(INDEX($A58:$Z58,MATCH(Settings!$L$5,$A$1:$Z$1,0))&amp;""),"")</f>
        <v/>
      </c>
      <c r="AG58" s="31">
        <f>IF(AE58="","",LOWER(IF(AF58&lt;&gt;"",AF58,AE58)))</f>
        <v/>
      </c>
      <c r="AH58" s="31">
        <f>IFERROR(TRIM(INDEX($A58:$Z58,MATCH(Settings!$L$6,$A$1:$Z$1,0))&amp;""),"")</f>
        <v/>
      </c>
      <c r="AI58" s="31">
        <f>IF(AE58="","",IF(UPPER(TRIM(AB58&amp;""))="Y","Paid another way",IF(IFERROR(TRIM(INDEX($A58:$Z58,MATCH(Settings!$L$7,$A$1:$Z$1,0))&amp;""),"")="","No payment status",IFERROR(TRIM(INDEX($A58:$Z58,MATCH(Settings!$L$7,$A$1:$Z$1,0))&amp;""),""))))</f>
        <v/>
      </c>
      <c r="AJ58" s="31">
        <f>IF(AE58="",0,IF(IFERROR(INDEX(Settings!$J$4:$J$14,MATCH(AI58,Settings!$I$4:$I$14,0)),"N")="Y",1,0))</f>
        <v/>
      </c>
      <c r="AK58" s="32">
        <f>IFERROR(INT(IFERROR(IF(ISNUMBER(INDEX($A58:$Z58,MATCH(Settings!$L$10,$A$1:$Z$1,0))),INDEX($A58:$Z58,MATCH(Settings!$L$10,$A$1:$Z$1,0)),DATE(VALUE(LEFT(IFERROR(TRIM(INDEX($A58:$Z58,MATCH(Settings!$L$10,$A$1:$Z$1,0))&amp;""),""),4)),VALUE(MID(IFERROR(TRIM(INDEX($A58:$Z58,MATCH(Settings!$L$10,$A$1:$Z$1,0))&amp;""),""),6,2)),VALUE(MID(IFERROR(TRIM(INDEX($A58:$Z58,MATCH(Settings!$L$10,$A$1:$Z$1,0))&amp;""),""),9,2)))+TIME(VALUE(MID(IFERROR(TRIM(INDEX($A58:$Z58,MATCH(Settings!$L$10,$A$1:$Z$1,0))&amp;""),""),12,2)),VALUE(MID(IFERROR(TRIM(INDEX($A58:$Z58,MATCH(Settings!$L$10,$A$1:$Z$1,0))&amp;""),""),15,2)),VALUE(MID(IFERROR(TRIM(INDEX($A58:$Z58,MATCH(Settings!$L$10,$A$1:$Z$1,0))&amp;""),""),18,2)))),"")),"")</f>
        <v/>
      </c>
      <c r="AL58" s="32">
        <f>IF(AE58="","",IF(ISNUMBER(AK58),AK58,IFERROR(INT(IFERROR(IF(ISNUMBER(INDEX($A58:$Z58,MATCH(Settings!$L$11,$A$1:$Z$1,0))),INDEX($A58:$Z58,MATCH(Settings!$L$11,$A$1:$Z$1,0)),DATE(VALUE(LEFT(IFERROR(TRIM(INDEX($A58:$Z58,MATCH(Settings!$L$11,$A$1:$Z$1,0))&amp;""),""),4)),VALUE(MID(IFERROR(TRIM(INDEX($A58:$Z58,MATCH(Settings!$L$11,$A$1:$Z$1,0))&amp;""),""),6,2)),VALUE(MID(IFERROR(TRIM(INDEX($A58:$Z58,MATCH(Settings!$L$11,$A$1:$Z$1,0))&amp;""),""),9,2)))+TIME(VALUE(MID(IFERROR(TRIM(INDEX($A58:$Z58,MATCH(Settings!$L$11,$A$1:$Z$1,0))&amp;""),""),12,2)),VALUE(MID(IFERROR(TRIM(INDEX($A58:$Z58,MATCH(Settings!$L$11,$A$1:$Z$1,0))&amp;""),""),15,2)),VALUE(MID(IFERROR(TRIM(INDEX($A58:$Z58,MATCH(Settings!$L$11,$A$1:$Z$1,0))&amp;""),""),18,2)))),"")),"")))</f>
        <v/>
      </c>
      <c r="AM58" s="31">
        <f>IF(AE58="","",IF(ISNUMBER(IFERROR(INDEX(Settings!$G$4:$G$11,MATCH(AH58,Settings!$F$4:$F$11,0)),"")),INDEX(Settings!$G$4:$G$11,MATCH(AH58,Settings!$F$4:$F$11,0)),Settings!$D$5))</f>
        <v/>
      </c>
      <c r="AN58" s="32">
        <f>IF(OR(AE58="",NOT(ISNUMBER(AL58)),NOT(ISNUMBER(AM58))),"",IF(AM58&lt;=0,"",IF(ISNUMBER(Settings!$D$8),DATE(YEAR(AL58)+IF(DATE(YEAR(AL58),MONTH(Settings!$D$8),DAY(Settings!$D$8))&gt;AL58,0,1),MONTH(Settings!$D$8),DAY(Settings!$D$8)),MIN(DATE(YEAR(AL58),MONTH(AL58)+AM58,DAY(AL58)),DATE(YEAR(AL58),MONTH(AL58)+AM58+1,0)))))</f>
        <v/>
      </c>
      <c r="AO58" s="31">
        <f>IF(ISNUMBER(AN58),AN58-Settings!$D$4,"")</f>
        <v/>
      </c>
      <c r="AP58" s="31">
        <f>IF(ISNUMBER(AL58),AL58+0+ROW()/100000,"")</f>
        <v/>
      </c>
      <c r="AQ58" s="31">
        <f>IF(OR(AG58="",NOT(ISNUMBER(AP58))),0,IF(SUMPRODUCT(('Responses'!$AG$2:$AG$501=AG58)*('Responses'!$AJ$2:$AJ$501=1)*ISNUMBER('Responses'!$AP$2:$AP$501)*('Responses'!$AP$2:$AP$501&gt;AP58)) + SUMPRODUCT(('Paper sign-ups'!$K$2:$K$101=AG58)*('Paper sign-ups'!$N$2:$N$101=1)*ISNUMBER('Paper sign-ups'!$T$2:$T$101)*('Paper sign-ups'!$T$2:$T$101&gt;AP58))&gt;0,1,0))</f>
        <v/>
      </c>
      <c r="AR58" s="31">
        <f>IF(AE58="","",IF(AQ58=1,"Joined again",IF(AJ58=0,"Unpaid",IF(NOT(ISNUMBER(AL58)),"Add a join date",IF(AN58="","No reminder",IF(AO58&lt;0,"Lapsed",IF(AO58&lt;=Settings!$D$6,"Remind soon","Current")))))))</f>
        <v/>
      </c>
      <c r="AS58" s="33">
        <f>IF(AJ58=1,IFERROR(VALUE(IFERROR(TRIM(INDEX($A58:$Z58,MATCH(Settings!$L$8,$A$1:$Z$1,0))&amp;""),"")),0)-IFERROR(VALUE(IFERROR(TRIM(INDEX($A58:$Z58,MATCH(Settings!$L$9,$A$1:$Z$1,0))&amp;""),"")),0),0)</f>
        <v/>
      </c>
      <c r="AT58" s="31">
        <f>IF(AND(AE58&lt;&gt;"",AQ58=0),1,0)</f>
        <v/>
      </c>
      <c r="AU58" s="31">
        <f>IF(AT58=0,"",IF(ISNUMBER(AN58),AN58,100000)+0+ROW()/1000000)</f>
        <v/>
      </c>
      <c r="AV58" s="31">
        <f>IF(ISNUMBER(AU58),SUMPRODUCT(ISNUMBER('Responses'!$AU$2:$AU$501)*('Responses'!$AU$2:$AU$501&lt;AU58)) + SUMPRODUCT(ISNUMBER('Paper sign-ups'!$Y$2:$Y$101)*('Paper sign-ups'!$Y$2:$Y$101&lt;AU58))+1,"")</f>
        <v/>
      </c>
    </row>
    <row r="59">
      <c r="AA59" s="29" t="n"/>
      <c r="AB59" s="30" t="n"/>
      <c r="AC59" s="30" t="n"/>
      <c r="AD59" s="29" t="n"/>
      <c r="AE59" s="31">
        <f>IFERROR(TRIM(INDEX($A59:$Z59,MATCH(Settings!$L$4,$A$1:$Z$1,0))&amp;""),"")</f>
        <v/>
      </c>
      <c r="AF59" s="31">
        <f>IFERROR(TRIM(INDEX($A59:$Z59,MATCH(Settings!$L$5,$A$1:$Z$1,0))&amp;""),"")</f>
        <v/>
      </c>
      <c r="AG59" s="31">
        <f>IF(AE59="","",LOWER(IF(AF59&lt;&gt;"",AF59,AE59)))</f>
        <v/>
      </c>
      <c r="AH59" s="31">
        <f>IFERROR(TRIM(INDEX($A59:$Z59,MATCH(Settings!$L$6,$A$1:$Z$1,0))&amp;""),"")</f>
        <v/>
      </c>
      <c r="AI59" s="31">
        <f>IF(AE59="","",IF(UPPER(TRIM(AB59&amp;""))="Y","Paid another way",IF(IFERROR(TRIM(INDEX($A59:$Z59,MATCH(Settings!$L$7,$A$1:$Z$1,0))&amp;""),"")="","No payment status",IFERROR(TRIM(INDEX($A59:$Z59,MATCH(Settings!$L$7,$A$1:$Z$1,0))&amp;""),""))))</f>
        <v/>
      </c>
      <c r="AJ59" s="31">
        <f>IF(AE59="",0,IF(IFERROR(INDEX(Settings!$J$4:$J$14,MATCH(AI59,Settings!$I$4:$I$14,0)),"N")="Y",1,0))</f>
        <v/>
      </c>
      <c r="AK59" s="32">
        <f>IFERROR(INT(IFERROR(IF(ISNUMBER(INDEX($A59:$Z59,MATCH(Settings!$L$10,$A$1:$Z$1,0))),INDEX($A59:$Z59,MATCH(Settings!$L$10,$A$1:$Z$1,0)),DATE(VALUE(LEFT(IFERROR(TRIM(INDEX($A59:$Z59,MATCH(Settings!$L$10,$A$1:$Z$1,0))&amp;""),""),4)),VALUE(MID(IFERROR(TRIM(INDEX($A59:$Z59,MATCH(Settings!$L$10,$A$1:$Z$1,0))&amp;""),""),6,2)),VALUE(MID(IFERROR(TRIM(INDEX($A59:$Z59,MATCH(Settings!$L$10,$A$1:$Z$1,0))&amp;""),""),9,2)))+TIME(VALUE(MID(IFERROR(TRIM(INDEX($A59:$Z59,MATCH(Settings!$L$10,$A$1:$Z$1,0))&amp;""),""),12,2)),VALUE(MID(IFERROR(TRIM(INDEX($A59:$Z59,MATCH(Settings!$L$10,$A$1:$Z$1,0))&amp;""),""),15,2)),VALUE(MID(IFERROR(TRIM(INDEX($A59:$Z59,MATCH(Settings!$L$10,$A$1:$Z$1,0))&amp;""),""),18,2)))),"")),"")</f>
        <v/>
      </c>
      <c r="AL59" s="32">
        <f>IF(AE59="","",IF(ISNUMBER(AK59),AK59,IFERROR(INT(IFERROR(IF(ISNUMBER(INDEX($A59:$Z59,MATCH(Settings!$L$11,$A$1:$Z$1,0))),INDEX($A59:$Z59,MATCH(Settings!$L$11,$A$1:$Z$1,0)),DATE(VALUE(LEFT(IFERROR(TRIM(INDEX($A59:$Z59,MATCH(Settings!$L$11,$A$1:$Z$1,0))&amp;""),""),4)),VALUE(MID(IFERROR(TRIM(INDEX($A59:$Z59,MATCH(Settings!$L$11,$A$1:$Z$1,0))&amp;""),""),6,2)),VALUE(MID(IFERROR(TRIM(INDEX($A59:$Z59,MATCH(Settings!$L$11,$A$1:$Z$1,0))&amp;""),""),9,2)))+TIME(VALUE(MID(IFERROR(TRIM(INDEX($A59:$Z59,MATCH(Settings!$L$11,$A$1:$Z$1,0))&amp;""),""),12,2)),VALUE(MID(IFERROR(TRIM(INDEX($A59:$Z59,MATCH(Settings!$L$11,$A$1:$Z$1,0))&amp;""),""),15,2)),VALUE(MID(IFERROR(TRIM(INDEX($A59:$Z59,MATCH(Settings!$L$11,$A$1:$Z$1,0))&amp;""),""),18,2)))),"")),"")))</f>
        <v/>
      </c>
      <c r="AM59" s="31">
        <f>IF(AE59="","",IF(ISNUMBER(IFERROR(INDEX(Settings!$G$4:$G$11,MATCH(AH59,Settings!$F$4:$F$11,0)),"")),INDEX(Settings!$G$4:$G$11,MATCH(AH59,Settings!$F$4:$F$11,0)),Settings!$D$5))</f>
        <v/>
      </c>
      <c r="AN59" s="32">
        <f>IF(OR(AE59="",NOT(ISNUMBER(AL59)),NOT(ISNUMBER(AM59))),"",IF(AM59&lt;=0,"",IF(ISNUMBER(Settings!$D$8),DATE(YEAR(AL59)+IF(DATE(YEAR(AL59),MONTH(Settings!$D$8),DAY(Settings!$D$8))&gt;AL59,0,1),MONTH(Settings!$D$8),DAY(Settings!$D$8)),MIN(DATE(YEAR(AL59),MONTH(AL59)+AM59,DAY(AL59)),DATE(YEAR(AL59),MONTH(AL59)+AM59+1,0)))))</f>
        <v/>
      </c>
      <c r="AO59" s="31">
        <f>IF(ISNUMBER(AN59),AN59-Settings!$D$4,"")</f>
        <v/>
      </c>
      <c r="AP59" s="31">
        <f>IF(ISNUMBER(AL59),AL59+0+ROW()/100000,"")</f>
        <v/>
      </c>
      <c r="AQ59" s="31">
        <f>IF(OR(AG59="",NOT(ISNUMBER(AP59))),0,IF(SUMPRODUCT(('Responses'!$AG$2:$AG$501=AG59)*('Responses'!$AJ$2:$AJ$501=1)*ISNUMBER('Responses'!$AP$2:$AP$501)*('Responses'!$AP$2:$AP$501&gt;AP59)) + SUMPRODUCT(('Paper sign-ups'!$K$2:$K$101=AG59)*('Paper sign-ups'!$N$2:$N$101=1)*ISNUMBER('Paper sign-ups'!$T$2:$T$101)*('Paper sign-ups'!$T$2:$T$101&gt;AP59))&gt;0,1,0))</f>
        <v/>
      </c>
      <c r="AR59" s="31">
        <f>IF(AE59="","",IF(AQ59=1,"Joined again",IF(AJ59=0,"Unpaid",IF(NOT(ISNUMBER(AL59)),"Add a join date",IF(AN59="","No reminder",IF(AO59&lt;0,"Lapsed",IF(AO59&lt;=Settings!$D$6,"Remind soon","Current")))))))</f>
        <v/>
      </c>
      <c r="AS59" s="33">
        <f>IF(AJ59=1,IFERROR(VALUE(IFERROR(TRIM(INDEX($A59:$Z59,MATCH(Settings!$L$8,$A$1:$Z$1,0))&amp;""),"")),0)-IFERROR(VALUE(IFERROR(TRIM(INDEX($A59:$Z59,MATCH(Settings!$L$9,$A$1:$Z$1,0))&amp;""),"")),0),0)</f>
        <v/>
      </c>
      <c r="AT59" s="31">
        <f>IF(AND(AE59&lt;&gt;"",AQ59=0),1,0)</f>
        <v/>
      </c>
      <c r="AU59" s="31">
        <f>IF(AT59=0,"",IF(ISNUMBER(AN59),AN59,100000)+0+ROW()/1000000)</f>
        <v/>
      </c>
      <c r="AV59" s="31">
        <f>IF(ISNUMBER(AU59),SUMPRODUCT(ISNUMBER('Responses'!$AU$2:$AU$501)*('Responses'!$AU$2:$AU$501&lt;AU59)) + SUMPRODUCT(ISNUMBER('Paper sign-ups'!$Y$2:$Y$101)*('Paper sign-ups'!$Y$2:$Y$101&lt;AU59))+1,"")</f>
        <v/>
      </c>
    </row>
    <row r="60">
      <c r="AA60" s="29" t="n"/>
      <c r="AB60" s="30" t="n"/>
      <c r="AC60" s="30" t="n"/>
      <c r="AD60" s="29" t="n"/>
      <c r="AE60" s="31">
        <f>IFERROR(TRIM(INDEX($A60:$Z60,MATCH(Settings!$L$4,$A$1:$Z$1,0))&amp;""),"")</f>
        <v/>
      </c>
      <c r="AF60" s="31">
        <f>IFERROR(TRIM(INDEX($A60:$Z60,MATCH(Settings!$L$5,$A$1:$Z$1,0))&amp;""),"")</f>
        <v/>
      </c>
      <c r="AG60" s="31">
        <f>IF(AE60="","",LOWER(IF(AF60&lt;&gt;"",AF60,AE60)))</f>
        <v/>
      </c>
      <c r="AH60" s="31">
        <f>IFERROR(TRIM(INDEX($A60:$Z60,MATCH(Settings!$L$6,$A$1:$Z$1,0))&amp;""),"")</f>
        <v/>
      </c>
      <c r="AI60" s="31">
        <f>IF(AE60="","",IF(UPPER(TRIM(AB60&amp;""))="Y","Paid another way",IF(IFERROR(TRIM(INDEX($A60:$Z60,MATCH(Settings!$L$7,$A$1:$Z$1,0))&amp;""),"")="","No payment status",IFERROR(TRIM(INDEX($A60:$Z60,MATCH(Settings!$L$7,$A$1:$Z$1,0))&amp;""),""))))</f>
        <v/>
      </c>
      <c r="AJ60" s="31">
        <f>IF(AE60="",0,IF(IFERROR(INDEX(Settings!$J$4:$J$14,MATCH(AI60,Settings!$I$4:$I$14,0)),"N")="Y",1,0))</f>
        <v/>
      </c>
      <c r="AK60" s="32">
        <f>IFERROR(INT(IFERROR(IF(ISNUMBER(INDEX($A60:$Z60,MATCH(Settings!$L$10,$A$1:$Z$1,0))),INDEX($A60:$Z60,MATCH(Settings!$L$10,$A$1:$Z$1,0)),DATE(VALUE(LEFT(IFERROR(TRIM(INDEX($A60:$Z60,MATCH(Settings!$L$10,$A$1:$Z$1,0))&amp;""),""),4)),VALUE(MID(IFERROR(TRIM(INDEX($A60:$Z60,MATCH(Settings!$L$10,$A$1:$Z$1,0))&amp;""),""),6,2)),VALUE(MID(IFERROR(TRIM(INDEX($A60:$Z60,MATCH(Settings!$L$10,$A$1:$Z$1,0))&amp;""),""),9,2)))+TIME(VALUE(MID(IFERROR(TRIM(INDEX($A60:$Z60,MATCH(Settings!$L$10,$A$1:$Z$1,0))&amp;""),""),12,2)),VALUE(MID(IFERROR(TRIM(INDEX($A60:$Z60,MATCH(Settings!$L$10,$A$1:$Z$1,0))&amp;""),""),15,2)),VALUE(MID(IFERROR(TRIM(INDEX($A60:$Z60,MATCH(Settings!$L$10,$A$1:$Z$1,0))&amp;""),""),18,2)))),"")),"")</f>
        <v/>
      </c>
      <c r="AL60" s="32">
        <f>IF(AE60="","",IF(ISNUMBER(AK60),AK60,IFERROR(INT(IFERROR(IF(ISNUMBER(INDEX($A60:$Z60,MATCH(Settings!$L$11,$A$1:$Z$1,0))),INDEX($A60:$Z60,MATCH(Settings!$L$11,$A$1:$Z$1,0)),DATE(VALUE(LEFT(IFERROR(TRIM(INDEX($A60:$Z60,MATCH(Settings!$L$11,$A$1:$Z$1,0))&amp;""),""),4)),VALUE(MID(IFERROR(TRIM(INDEX($A60:$Z60,MATCH(Settings!$L$11,$A$1:$Z$1,0))&amp;""),""),6,2)),VALUE(MID(IFERROR(TRIM(INDEX($A60:$Z60,MATCH(Settings!$L$11,$A$1:$Z$1,0))&amp;""),""),9,2)))+TIME(VALUE(MID(IFERROR(TRIM(INDEX($A60:$Z60,MATCH(Settings!$L$11,$A$1:$Z$1,0))&amp;""),""),12,2)),VALUE(MID(IFERROR(TRIM(INDEX($A60:$Z60,MATCH(Settings!$L$11,$A$1:$Z$1,0))&amp;""),""),15,2)),VALUE(MID(IFERROR(TRIM(INDEX($A60:$Z60,MATCH(Settings!$L$11,$A$1:$Z$1,0))&amp;""),""),18,2)))),"")),"")))</f>
        <v/>
      </c>
      <c r="AM60" s="31">
        <f>IF(AE60="","",IF(ISNUMBER(IFERROR(INDEX(Settings!$G$4:$G$11,MATCH(AH60,Settings!$F$4:$F$11,0)),"")),INDEX(Settings!$G$4:$G$11,MATCH(AH60,Settings!$F$4:$F$11,0)),Settings!$D$5))</f>
        <v/>
      </c>
      <c r="AN60" s="32">
        <f>IF(OR(AE60="",NOT(ISNUMBER(AL60)),NOT(ISNUMBER(AM60))),"",IF(AM60&lt;=0,"",IF(ISNUMBER(Settings!$D$8),DATE(YEAR(AL60)+IF(DATE(YEAR(AL60),MONTH(Settings!$D$8),DAY(Settings!$D$8))&gt;AL60,0,1),MONTH(Settings!$D$8),DAY(Settings!$D$8)),MIN(DATE(YEAR(AL60),MONTH(AL60)+AM60,DAY(AL60)),DATE(YEAR(AL60),MONTH(AL60)+AM60+1,0)))))</f>
        <v/>
      </c>
      <c r="AO60" s="31">
        <f>IF(ISNUMBER(AN60),AN60-Settings!$D$4,"")</f>
        <v/>
      </c>
      <c r="AP60" s="31">
        <f>IF(ISNUMBER(AL60),AL60+0+ROW()/100000,"")</f>
        <v/>
      </c>
      <c r="AQ60" s="31">
        <f>IF(OR(AG60="",NOT(ISNUMBER(AP60))),0,IF(SUMPRODUCT(('Responses'!$AG$2:$AG$501=AG60)*('Responses'!$AJ$2:$AJ$501=1)*ISNUMBER('Responses'!$AP$2:$AP$501)*('Responses'!$AP$2:$AP$501&gt;AP60)) + SUMPRODUCT(('Paper sign-ups'!$K$2:$K$101=AG60)*('Paper sign-ups'!$N$2:$N$101=1)*ISNUMBER('Paper sign-ups'!$T$2:$T$101)*('Paper sign-ups'!$T$2:$T$101&gt;AP60))&gt;0,1,0))</f>
        <v/>
      </c>
      <c r="AR60" s="31">
        <f>IF(AE60="","",IF(AQ60=1,"Joined again",IF(AJ60=0,"Unpaid",IF(NOT(ISNUMBER(AL60)),"Add a join date",IF(AN60="","No reminder",IF(AO60&lt;0,"Lapsed",IF(AO60&lt;=Settings!$D$6,"Remind soon","Current")))))))</f>
        <v/>
      </c>
      <c r="AS60" s="33">
        <f>IF(AJ60=1,IFERROR(VALUE(IFERROR(TRIM(INDEX($A60:$Z60,MATCH(Settings!$L$8,$A$1:$Z$1,0))&amp;""),"")),0)-IFERROR(VALUE(IFERROR(TRIM(INDEX($A60:$Z60,MATCH(Settings!$L$9,$A$1:$Z$1,0))&amp;""),"")),0),0)</f>
        <v/>
      </c>
      <c r="AT60" s="31">
        <f>IF(AND(AE60&lt;&gt;"",AQ60=0),1,0)</f>
        <v/>
      </c>
      <c r="AU60" s="31">
        <f>IF(AT60=0,"",IF(ISNUMBER(AN60),AN60,100000)+0+ROW()/1000000)</f>
        <v/>
      </c>
      <c r="AV60" s="31">
        <f>IF(ISNUMBER(AU60),SUMPRODUCT(ISNUMBER('Responses'!$AU$2:$AU$501)*('Responses'!$AU$2:$AU$501&lt;AU60)) + SUMPRODUCT(ISNUMBER('Paper sign-ups'!$Y$2:$Y$101)*('Paper sign-ups'!$Y$2:$Y$101&lt;AU60))+1,"")</f>
        <v/>
      </c>
    </row>
    <row r="61">
      <c r="AA61" s="29" t="n"/>
      <c r="AB61" s="30" t="n"/>
      <c r="AC61" s="30" t="n"/>
      <c r="AD61" s="29" t="n"/>
      <c r="AE61" s="31">
        <f>IFERROR(TRIM(INDEX($A61:$Z61,MATCH(Settings!$L$4,$A$1:$Z$1,0))&amp;""),"")</f>
        <v/>
      </c>
      <c r="AF61" s="31">
        <f>IFERROR(TRIM(INDEX($A61:$Z61,MATCH(Settings!$L$5,$A$1:$Z$1,0))&amp;""),"")</f>
        <v/>
      </c>
      <c r="AG61" s="31">
        <f>IF(AE61="","",LOWER(IF(AF61&lt;&gt;"",AF61,AE61)))</f>
        <v/>
      </c>
      <c r="AH61" s="31">
        <f>IFERROR(TRIM(INDEX($A61:$Z61,MATCH(Settings!$L$6,$A$1:$Z$1,0))&amp;""),"")</f>
        <v/>
      </c>
      <c r="AI61" s="31">
        <f>IF(AE61="","",IF(UPPER(TRIM(AB61&amp;""))="Y","Paid another way",IF(IFERROR(TRIM(INDEX($A61:$Z61,MATCH(Settings!$L$7,$A$1:$Z$1,0))&amp;""),"")="","No payment status",IFERROR(TRIM(INDEX($A61:$Z61,MATCH(Settings!$L$7,$A$1:$Z$1,0))&amp;""),""))))</f>
        <v/>
      </c>
      <c r="AJ61" s="31">
        <f>IF(AE61="",0,IF(IFERROR(INDEX(Settings!$J$4:$J$14,MATCH(AI61,Settings!$I$4:$I$14,0)),"N")="Y",1,0))</f>
        <v/>
      </c>
      <c r="AK61" s="32">
        <f>IFERROR(INT(IFERROR(IF(ISNUMBER(INDEX($A61:$Z61,MATCH(Settings!$L$10,$A$1:$Z$1,0))),INDEX($A61:$Z61,MATCH(Settings!$L$10,$A$1:$Z$1,0)),DATE(VALUE(LEFT(IFERROR(TRIM(INDEX($A61:$Z61,MATCH(Settings!$L$10,$A$1:$Z$1,0))&amp;""),""),4)),VALUE(MID(IFERROR(TRIM(INDEX($A61:$Z61,MATCH(Settings!$L$10,$A$1:$Z$1,0))&amp;""),""),6,2)),VALUE(MID(IFERROR(TRIM(INDEX($A61:$Z61,MATCH(Settings!$L$10,$A$1:$Z$1,0))&amp;""),""),9,2)))+TIME(VALUE(MID(IFERROR(TRIM(INDEX($A61:$Z61,MATCH(Settings!$L$10,$A$1:$Z$1,0))&amp;""),""),12,2)),VALUE(MID(IFERROR(TRIM(INDEX($A61:$Z61,MATCH(Settings!$L$10,$A$1:$Z$1,0))&amp;""),""),15,2)),VALUE(MID(IFERROR(TRIM(INDEX($A61:$Z61,MATCH(Settings!$L$10,$A$1:$Z$1,0))&amp;""),""),18,2)))),"")),"")</f>
        <v/>
      </c>
      <c r="AL61" s="32">
        <f>IF(AE61="","",IF(ISNUMBER(AK61),AK61,IFERROR(INT(IFERROR(IF(ISNUMBER(INDEX($A61:$Z61,MATCH(Settings!$L$11,$A$1:$Z$1,0))),INDEX($A61:$Z61,MATCH(Settings!$L$11,$A$1:$Z$1,0)),DATE(VALUE(LEFT(IFERROR(TRIM(INDEX($A61:$Z61,MATCH(Settings!$L$11,$A$1:$Z$1,0))&amp;""),""),4)),VALUE(MID(IFERROR(TRIM(INDEX($A61:$Z61,MATCH(Settings!$L$11,$A$1:$Z$1,0))&amp;""),""),6,2)),VALUE(MID(IFERROR(TRIM(INDEX($A61:$Z61,MATCH(Settings!$L$11,$A$1:$Z$1,0))&amp;""),""),9,2)))+TIME(VALUE(MID(IFERROR(TRIM(INDEX($A61:$Z61,MATCH(Settings!$L$11,$A$1:$Z$1,0))&amp;""),""),12,2)),VALUE(MID(IFERROR(TRIM(INDEX($A61:$Z61,MATCH(Settings!$L$11,$A$1:$Z$1,0))&amp;""),""),15,2)),VALUE(MID(IFERROR(TRIM(INDEX($A61:$Z61,MATCH(Settings!$L$11,$A$1:$Z$1,0))&amp;""),""),18,2)))),"")),"")))</f>
        <v/>
      </c>
      <c r="AM61" s="31">
        <f>IF(AE61="","",IF(ISNUMBER(IFERROR(INDEX(Settings!$G$4:$G$11,MATCH(AH61,Settings!$F$4:$F$11,0)),"")),INDEX(Settings!$G$4:$G$11,MATCH(AH61,Settings!$F$4:$F$11,0)),Settings!$D$5))</f>
        <v/>
      </c>
      <c r="AN61" s="32">
        <f>IF(OR(AE61="",NOT(ISNUMBER(AL61)),NOT(ISNUMBER(AM61))),"",IF(AM61&lt;=0,"",IF(ISNUMBER(Settings!$D$8),DATE(YEAR(AL61)+IF(DATE(YEAR(AL61),MONTH(Settings!$D$8),DAY(Settings!$D$8))&gt;AL61,0,1),MONTH(Settings!$D$8),DAY(Settings!$D$8)),MIN(DATE(YEAR(AL61),MONTH(AL61)+AM61,DAY(AL61)),DATE(YEAR(AL61),MONTH(AL61)+AM61+1,0)))))</f>
        <v/>
      </c>
      <c r="AO61" s="31">
        <f>IF(ISNUMBER(AN61),AN61-Settings!$D$4,"")</f>
        <v/>
      </c>
      <c r="AP61" s="31">
        <f>IF(ISNUMBER(AL61),AL61+0+ROW()/100000,"")</f>
        <v/>
      </c>
      <c r="AQ61" s="31">
        <f>IF(OR(AG61="",NOT(ISNUMBER(AP61))),0,IF(SUMPRODUCT(('Responses'!$AG$2:$AG$501=AG61)*('Responses'!$AJ$2:$AJ$501=1)*ISNUMBER('Responses'!$AP$2:$AP$501)*('Responses'!$AP$2:$AP$501&gt;AP61)) + SUMPRODUCT(('Paper sign-ups'!$K$2:$K$101=AG61)*('Paper sign-ups'!$N$2:$N$101=1)*ISNUMBER('Paper sign-ups'!$T$2:$T$101)*('Paper sign-ups'!$T$2:$T$101&gt;AP61))&gt;0,1,0))</f>
        <v/>
      </c>
      <c r="AR61" s="31">
        <f>IF(AE61="","",IF(AQ61=1,"Joined again",IF(AJ61=0,"Unpaid",IF(NOT(ISNUMBER(AL61)),"Add a join date",IF(AN61="","No reminder",IF(AO61&lt;0,"Lapsed",IF(AO61&lt;=Settings!$D$6,"Remind soon","Current")))))))</f>
        <v/>
      </c>
      <c r="AS61" s="33">
        <f>IF(AJ61=1,IFERROR(VALUE(IFERROR(TRIM(INDEX($A61:$Z61,MATCH(Settings!$L$8,$A$1:$Z$1,0))&amp;""),"")),0)-IFERROR(VALUE(IFERROR(TRIM(INDEX($A61:$Z61,MATCH(Settings!$L$9,$A$1:$Z$1,0))&amp;""),"")),0),0)</f>
        <v/>
      </c>
      <c r="AT61" s="31">
        <f>IF(AND(AE61&lt;&gt;"",AQ61=0),1,0)</f>
        <v/>
      </c>
      <c r="AU61" s="31">
        <f>IF(AT61=0,"",IF(ISNUMBER(AN61),AN61,100000)+0+ROW()/1000000)</f>
        <v/>
      </c>
      <c r="AV61" s="31">
        <f>IF(ISNUMBER(AU61),SUMPRODUCT(ISNUMBER('Responses'!$AU$2:$AU$501)*('Responses'!$AU$2:$AU$501&lt;AU61)) + SUMPRODUCT(ISNUMBER('Paper sign-ups'!$Y$2:$Y$101)*('Paper sign-ups'!$Y$2:$Y$101&lt;AU61))+1,"")</f>
        <v/>
      </c>
    </row>
    <row r="62">
      <c r="AA62" s="29" t="n"/>
      <c r="AB62" s="30" t="n"/>
      <c r="AC62" s="30" t="n"/>
      <c r="AD62" s="29" t="n"/>
      <c r="AE62" s="31">
        <f>IFERROR(TRIM(INDEX($A62:$Z62,MATCH(Settings!$L$4,$A$1:$Z$1,0))&amp;""),"")</f>
        <v/>
      </c>
      <c r="AF62" s="31">
        <f>IFERROR(TRIM(INDEX($A62:$Z62,MATCH(Settings!$L$5,$A$1:$Z$1,0))&amp;""),"")</f>
        <v/>
      </c>
      <c r="AG62" s="31">
        <f>IF(AE62="","",LOWER(IF(AF62&lt;&gt;"",AF62,AE62)))</f>
        <v/>
      </c>
      <c r="AH62" s="31">
        <f>IFERROR(TRIM(INDEX($A62:$Z62,MATCH(Settings!$L$6,$A$1:$Z$1,0))&amp;""),"")</f>
        <v/>
      </c>
      <c r="AI62" s="31">
        <f>IF(AE62="","",IF(UPPER(TRIM(AB62&amp;""))="Y","Paid another way",IF(IFERROR(TRIM(INDEX($A62:$Z62,MATCH(Settings!$L$7,$A$1:$Z$1,0))&amp;""),"")="","No payment status",IFERROR(TRIM(INDEX($A62:$Z62,MATCH(Settings!$L$7,$A$1:$Z$1,0))&amp;""),""))))</f>
        <v/>
      </c>
      <c r="AJ62" s="31">
        <f>IF(AE62="",0,IF(IFERROR(INDEX(Settings!$J$4:$J$14,MATCH(AI62,Settings!$I$4:$I$14,0)),"N")="Y",1,0))</f>
        <v/>
      </c>
      <c r="AK62" s="32">
        <f>IFERROR(INT(IFERROR(IF(ISNUMBER(INDEX($A62:$Z62,MATCH(Settings!$L$10,$A$1:$Z$1,0))),INDEX($A62:$Z62,MATCH(Settings!$L$10,$A$1:$Z$1,0)),DATE(VALUE(LEFT(IFERROR(TRIM(INDEX($A62:$Z62,MATCH(Settings!$L$10,$A$1:$Z$1,0))&amp;""),""),4)),VALUE(MID(IFERROR(TRIM(INDEX($A62:$Z62,MATCH(Settings!$L$10,$A$1:$Z$1,0))&amp;""),""),6,2)),VALUE(MID(IFERROR(TRIM(INDEX($A62:$Z62,MATCH(Settings!$L$10,$A$1:$Z$1,0))&amp;""),""),9,2)))+TIME(VALUE(MID(IFERROR(TRIM(INDEX($A62:$Z62,MATCH(Settings!$L$10,$A$1:$Z$1,0))&amp;""),""),12,2)),VALUE(MID(IFERROR(TRIM(INDEX($A62:$Z62,MATCH(Settings!$L$10,$A$1:$Z$1,0))&amp;""),""),15,2)),VALUE(MID(IFERROR(TRIM(INDEX($A62:$Z62,MATCH(Settings!$L$10,$A$1:$Z$1,0))&amp;""),""),18,2)))),"")),"")</f>
        <v/>
      </c>
      <c r="AL62" s="32">
        <f>IF(AE62="","",IF(ISNUMBER(AK62),AK62,IFERROR(INT(IFERROR(IF(ISNUMBER(INDEX($A62:$Z62,MATCH(Settings!$L$11,$A$1:$Z$1,0))),INDEX($A62:$Z62,MATCH(Settings!$L$11,$A$1:$Z$1,0)),DATE(VALUE(LEFT(IFERROR(TRIM(INDEX($A62:$Z62,MATCH(Settings!$L$11,$A$1:$Z$1,0))&amp;""),""),4)),VALUE(MID(IFERROR(TRIM(INDEX($A62:$Z62,MATCH(Settings!$L$11,$A$1:$Z$1,0))&amp;""),""),6,2)),VALUE(MID(IFERROR(TRIM(INDEX($A62:$Z62,MATCH(Settings!$L$11,$A$1:$Z$1,0))&amp;""),""),9,2)))+TIME(VALUE(MID(IFERROR(TRIM(INDEX($A62:$Z62,MATCH(Settings!$L$11,$A$1:$Z$1,0))&amp;""),""),12,2)),VALUE(MID(IFERROR(TRIM(INDEX($A62:$Z62,MATCH(Settings!$L$11,$A$1:$Z$1,0))&amp;""),""),15,2)),VALUE(MID(IFERROR(TRIM(INDEX($A62:$Z62,MATCH(Settings!$L$11,$A$1:$Z$1,0))&amp;""),""),18,2)))),"")),"")))</f>
        <v/>
      </c>
      <c r="AM62" s="31">
        <f>IF(AE62="","",IF(ISNUMBER(IFERROR(INDEX(Settings!$G$4:$G$11,MATCH(AH62,Settings!$F$4:$F$11,0)),"")),INDEX(Settings!$G$4:$G$11,MATCH(AH62,Settings!$F$4:$F$11,0)),Settings!$D$5))</f>
        <v/>
      </c>
      <c r="AN62" s="32">
        <f>IF(OR(AE62="",NOT(ISNUMBER(AL62)),NOT(ISNUMBER(AM62))),"",IF(AM62&lt;=0,"",IF(ISNUMBER(Settings!$D$8),DATE(YEAR(AL62)+IF(DATE(YEAR(AL62),MONTH(Settings!$D$8),DAY(Settings!$D$8))&gt;AL62,0,1),MONTH(Settings!$D$8),DAY(Settings!$D$8)),MIN(DATE(YEAR(AL62),MONTH(AL62)+AM62,DAY(AL62)),DATE(YEAR(AL62),MONTH(AL62)+AM62+1,0)))))</f>
        <v/>
      </c>
      <c r="AO62" s="31">
        <f>IF(ISNUMBER(AN62),AN62-Settings!$D$4,"")</f>
        <v/>
      </c>
      <c r="AP62" s="31">
        <f>IF(ISNUMBER(AL62),AL62+0+ROW()/100000,"")</f>
        <v/>
      </c>
      <c r="AQ62" s="31">
        <f>IF(OR(AG62="",NOT(ISNUMBER(AP62))),0,IF(SUMPRODUCT(('Responses'!$AG$2:$AG$501=AG62)*('Responses'!$AJ$2:$AJ$501=1)*ISNUMBER('Responses'!$AP$2:$AP$501)*('Responses'!$AP$2:$AP$501&gt;AP62)) + SUMPRODUCT(('Paper sign-ups'!$K$2:$K$101=AG62)*('Paper sign-ups'!$N$2:$N$101=1)*ISNUMBER('Paper sign-ups'!$T$2:$T$101)*('Paper sign-ups'!$T$2:$T$101&gt;AP62))&gt;0,1,0))</f>
        <v/>
      </c>
      <c r="AR62" s="31">
        <f>IF(AE62="","",IF(AQ62=1,"Joined again",IF(AJ62=0,"Unpaid",IF(NOT(ISNUMBER(AL62)),"Add a join date",IF(AN62="","No reminder",IF(AO62&lt;0,"Lapsed",IF(AO62&lt;=Settings!$D$6,"Remind soon","Current")))))))</f>
        <v/>
      </c>
      <c r="AS62" s="33">
        <f>IF(AJ62=1,IFERROR(VALUE(IFERROR(TRIM(INDEX($A62:$Z62,MATCH(Settings!$L$8,$A$1:$Z$1,0))&amp;""),"")),0)-IFERROR(VALUE(IFERROR(TRIM(INDEX($A62:$Z62,MATCH(Settings!$L$9,$A$1:$Z$1,0))&amp;""),"")),0),0)</f>
        <v/>
      </c>
      <c r="AT62" s="31">
        <f>IF(AND(AE62&lt;&gt;"",AQ62=0),1,0)</f>
        <v/>
      </c>
      <c r="AU62" s="31">
        <f>IF(AT62=0,"",IF(ISNUMBER(AN62),AN62,100000)+0+ROW()/1000000)</f>
        <v/>
      </c>
      <c r="AV62" s="31">
        <f>IF(ISNUMBER(AU62),SUMPRODUCT(ISNUMBER('Responses'!$AU$2:$AU$501)*('Responses'!$AU$2:$AU$501&lt;AU62)) + SUMPRODUCT(ISNUMBER('Paper sign-ups'!$Y$2:$Y$101)*('Paper sign-ups'!$Y$2:$Y$101&lt;AU62))+1,"")</f>
        <v/>
      </c>
    </row>
    <row r="63">
      <c r="AA63" s="29" t="n"/>
      <c r="AB63" s="30" t="n"/>
      <c r="AC63" s="30" t="n"/>
      <c r="AD63" s="29" t="n"/>
      <c r="AE63" s="31">
        <f>IFERROR(TRIM(INDEX($A63:$Z63,MATCH(Settings!$L$4,$A$1:$Z$1,0))&amp;""),"")</f>
        <v/>
      </c>
      <c r="AF63" s="31">
        <f>IFERROR(TRIM(INDEX($A63:$Z63,MATCH(Settings!$L$5,$A$1:$Z$1,0))&amp;""),"")</f>
        <v/>
      </c>
      <c r="AG63" s="31">
        <f>IF(AE63="","",LOWER(IF(AF63&lt;&gt;"",AF63,AE63)))</f>
        <v/>
      </c>
      <c r="AH63" s="31">
        <f>IFERROR(TRIM(INDEX($A63:$Z63,MATCH(Settings!$L$6,$A$1:$Z$1,0))&amp;""),"")</f>
        <v/>
      </c>
      <c r="AI63" s="31">
        <f>IF(AE63="","",IF(UPPER(TRIM(AB63&amp;""))="Y","Paid another way",IF(IFERROR(TRIM(INDEX($A63:$Z63,MATCH(Settings!$L$7,$A$1:$Z$1,0))&amp;""),"")="","No payment status",IFERROR(TRIM(INDEX($A63:$Z63,MATCH(Settings!$L$7,$A$1:$Z$1,0))&amp;""),""))))</f>
        <v/>
      </c>
      <c r="AJ63" s="31">
        <f>IF(AE63="",0,IF(IFERROR(INDEX(Settings!$J$4:$J$14,MATCH(AI63,Settings!$I$4:$I$14,0)),"N")="Y",1,0))</f>
        <v/>
      </c>
      <c r="AK63" s="32">
        <f>IFERROR(INT(IFERROR(IF(ISNUMBER(INDEX($A63:$Z63,MATCH(Settings!$L$10,$A$1:$Z$1,0))),INDEX($A63:$Z63,MATCH(Settings!$L$10,$A$1:$Z$1,0)),DATE(VALUE(LEFT(IFERROR(TRIM(INDEX($A63:$Z63,MATCH(Settings!$L$10,$A$1:$Z$1,0))&amp;""),""),4)),VALUE(MID(IFERROR(TRIM(INDEX($A63:$Z63,MATCH(Settings!$L$10,$A$1:$Z$1,0))&amp;""),""),6,2)),VALUE(MID(IFERROR(TRIM(INDEX($A63:$Z63,MATCH(Settings!$L$10,$A$1:$Z$1,0))&amp;""),""),9,2)))+TIME(VALUE(MID(IFERROR(TRIM(INDEX($A63:$Z63,MATCH(Settings!$L$10,$A$1:$Z$1,0))&amp;""),""),12,2)),VALUE(MID(IFERROR(TRIM(INDEX($A63:$Z63,MATCH(Settings!$L$10,$A$1:$Z$1,0))&amp;""),""),15,2)),VALUE(MID(IFERROR(TRIM(INDEX($A63:$Z63,MATCH(Settings!$L$10,$A$1:$Z$1,0))&amp;""),""),18,2)))),"")),"")</f>
        <v/>
      </c>
      <c r="AL63" s="32">
        <f>IF(AE63="","",IF(ISNUMBER(AK63),AK63,IFERROR(INT(IFERROR(IF(ISNUMBER(INDEX($A63:$Z63,MATCH(Settings!$L$11,$A$1:$Z$1,0))),INDEX($A63:$Z63,MATCH(Settings!$L$11,$A$1:$Z$1,0)),DATE(VALUE(LEFT(IFERROR(TRIM(INDEX($A63:$Z63,MATCH(Settings!$L$11,$A$1:$Z$1,0))&amp;""),""),4)),VALUE(MID(IFERROR(TRIM(INDEX($A63:$Z63,MATCH(Settings!$L$11,$A$1:$Z$1,0))&amp;""),""),6,2)),VALUE(MID(IFERROR(TRIM(INDEX($A63:$Z63,MATCH(Settings!$L$11,$A$1:$Z$1,0))&amp;""),""),9,2)))+TIME(VALUE(MID(IFERROR(TRIM(INDEX($A63:$Z63,MATCH(Settings!$L$11,$A$1:$Z$1,0))&amp;""),""),12,2)),VALUE(MID(IFERROR(TRIM(INDEX($A63:$Z63,MATCH(Settings!$L$11,$A$1:$Z$1,0))&amp;""),""),15,2)),VALUE(MID(IFERROR(TRIM(INDEX($A63:$Z63,MATCH(Settings!$L$11,$A$1:$Z$1,0))&amp;""),""),18,2)))),"")),"")))</f>
        <v/>
      </c>
      <c r="AM63" s="31">
        <f>IF(AE63="","",IF(ISNUMBER(IFERROR(INDEX(Settings!$G$4:$G$11,MATCH(AH63,Settings!$F$4:$F$11,0)),"")),INDEX(Settings!$G$4:$G$11,MATCH(AH63,Settings!$F$4:$F$11,0)),Settings!$D$5))</f>
        <v/>
      </c>
      <c r="AN63" s="32">
        <f>IF(OR(AE63="",NOT(ISNUMBER(AL63)),NOT(ISNUMBER(AM63))),"",IF(AM63&lt;=0,"",IF(ISNUMBER(Settings!$D$8),DATE(YEAR(AL63)+IF(DATE(YEAR(AL63),MONTH(Settings!$D$8),DAY(Settings!$D$8))&gt;AL63,0,1),MONTH(Settings!$D$8),DAY(Settings!$D$8)),MIN(DATE(YEAR(AL63),MONTH(AL63)+AM63,DAY(AL63)),DATE(YEAR(AL63),MONTH(AL63)+AM63+1,0)))))</f>
        <v/>
      </c>
      <c r="AO63" s="31">
        <f>IF(ISNUMBER(AN63),AN63-Settings!$D$4,"")</f>
        <v/>
      </c>
      <c r="AP63" s="31">
        <f>IF(ISNUMBER(AL63),AL63+0+ROW()/100000,"")</f>
        <v/>
      </c>
      <c r="AQ63" s="31">
        <f>IF(OR(AG63="",NOT(ISNUMBER(AP63))),0,IF(SUMPRODUCT(('Responses'!$AG$2:$AG$501=AG63)*('Responses'!$AJ$2:$AJ$501=1)*ISNUMBER('Responses'!$AP$2:$AP$501)*('Responses'!$AP$2:$AP$501&gt;AP63)) + SUMPRODUCT(('Paper sign-ups'!$K$2:$K$101=AG63)*('Paper sign-ups'!$N$2:$N$101=1)*ISNUMBER('Paper sign-ups'!$T$2:$T$101)*('Paper sign-ups'!$T$2:$T$101&gt;AP63))&gt;0,1,0))</f>
        <v/>
      </c>
      <c r="AR63" s="31">
        <f>IF(AE63="","",IF(AQ63=1,"Joined again",IF(AJ63=0,"Unpaid",IF(NOT(ISNUMBER(AL63)),"Add a join date",IF(AN63="","No reminder",IF(AO63&lt;0,"Lapsed",IF(AO63&lt;=Settings!$D$6,"Remind soon","Current")))))))</f>
        <v/>
      </c>
      <c r="AS63" s="33">
        <f>IF(AJ63=1,IFERROR(VALUE(IFERROR(TRIM(INDEX($A63:$Z63,MATCH(Settings!$L$8,$A$1:$Z$1,0))&amp;""),"")),0)-IFERROR(VALUE(IFERROR(TRIM(INDEX($A63:$Z63,MATCH(Settings!$L$9,$A$1:$Z$1,0))&amp;""),"")),0),0)</f>
        <v/>
      </c>
      <c r="AT63" s="31">
        <f>IF(AND(AE63&lt;&gt;"",AQ63=0),1,0)</f>
        <v/>
      </c>
      <c r="AU63" s="31">
        <f>IF(AT63=0,"",IF(ISNUMBER(AN63),AN63,100000)+0+ROW()/1000000)</f>
        <v/>
      </c>
      <c r="AV63" s="31">
        <f>IF(ISNUMBER(AU63),SUMPRODUCT(ISNUMBER('Responses'!$AU$2:$AU$501)*('Responses'!$AU$2:$AU$501&lt;AU63)) + SUMPRODUCT(ISNUMBER('Paper sign-ups'!$Y$2:$Y$101)*('Paper sign-ups'!$Y$2:$Y$101&lt;AU63))+1,"")</f>
        <v/>
      </c>
    </row>
    <row r="64">
      <c r="AA64" s="29" t="n"/>
      <c r="AB64" s="30" t="n"/>
      <c r="AC64" s="30" t="n"/>
      <c r="AD64" s="29" t="n"/>
      <c r="AE64" s="31">
        <f>IFERROR(TRIM(INDEX($A64:$Z64,MATCH(Settings!$L$4,$A$1:$Z$1,0))&amp;""),"")</f>
        <v/>
      </c>
      <c r="AF64" s="31">
        <f>IFERROR(TRIM(INDEX($A64:$Z64,MATCH(Settings!$L$5,$A$1:$Z$1,0))&amp;""),"")</f>
        <v/>
      </c>
      <c r="AG64" s="31">
        <f>IF(AE64="","",LOWER(IF(AF64&lt;&gt;"",AF64,AE64)))</f>
        <v/>
      </c>
      <c r="AH64" s="31">
        <f>IFERROR(TRIM(INDEX($A64:$Z64,MATCH(Settings!$L$6,$A$1:$Z$1,0))&amp;""),"")</f>
        <v/>
      </c>
      <c r="AI64" s="31">
        <f>IF(AE64="","",IF(UPPER(TRIM(AB64&amp;""))="Y","Paid another way",IF(IFERROR(TRIM(INDEX($A64:$Z64,MATCH(Settings!$L$7,$A$1:$Z$1,0))&amp;""),"")="","No payment status",IFERROR(TRIM(INDEX($A64:$Z64,MATCH(Settings!$L$7,$A$1:$Z$1,0))&amp;""),""))))</f>
        <v/>
      </c>
      <c r="AJ64" s="31">
        <f>IF(AE64="",0,IF(IFERROR(INDEX(Settings!$J$4:$J$14,MATCH(AI64,Settings!$I$4:$I$14,0)),"N")="Y",1,0))</f>
        <v/>
      </c>
      <c r="AK64" s="32">
        <f>IFERROR(INT(IFERROR(IF(ISNUMBER(INDEX($A64:$Z64,MATCH(Settings!$L$10,$A$1:$Z$1,0))),INDEX($A64:$Z64,MATCH(Settings!$L$10,$A$1:$Z$1,0)),DATE(VALUE(LEFT(IFERROR(TRIM(INDEX($A64:$Z64,MATCH(Settings!$L$10,$A$1:$Z$1,0))&amp;""),""),4)),VALUE(MID(IFERROR(TRIM(INDEX($A64:$Z64,MATCH(Settings!$L$10,$A$1:$Z$1,0))&amp;""),""),6,2)),VALUE(MID(IFERROR(TRIM(INDEX($A64:$Z64,MATCH(Settings!$L$10,$A$1:$Z$1,0))&amp;""),""),9,2)))+TIME(VALUE(MID(IFERROR(TRIM(INDEX($A64:$Z64,MATCH(Settings!$L$10,$A$1:$Z$1,0))&amp;""),""),12,2)),VALUE(MID(IFERROR(TRIM(INDEX($A64:$Z64,MATCH(Settings!$L$10,$A$1:$Z$1,0))&amp;""),""),15,2)),VALUE(MID(IFERROR(TRIM(INDEX($A64:$Z64,MATCH(Settings!$L$10,$A$1:$Z$1,0))&amp;""),""),18,2)))),"")),"")</f>
        <v/>
      </c>
      <c r="AL64" s="32">
        <f>IF(AE64="","",IF(ISNUMBER(AK64),AK64,IFERROR(INT(IFERROR(IF(ISNUMBER(INDEX($A64:$Z64,MATCH(Settings!$L$11,$A$1:$Z$1,0))),INDEX($A64:$Z64,MATCH(Settings!$L$11,$A$1:$Z$1,0)),DATE(VALUE(LEFT(IFERROR(TRIM(INDEX($A64:$Z64,MATCH(Settings!$L$11,$A$1:$Z$1,0))&amp;""),""),4)),VALUE(MID(IFERROR(TRIM(INDEX($A64:$Z64,MATCH(Settings!$L$11,$A$1:$Z$1,0))&amp;""),""),6,2)),VALUE(MID(IFERROR(TRIM(INDEX($A64:$Z64,MATCH(Settings!$L$11,$A$1:$Z$1,0))&amp;""),""),9,2)))+TIME(VALUE(MID(IFERROR(TRIM(INDEX($A64:$Z64,MATCH(Settings!$L$11,$A$1:$Z$1,0))&amp;""),""),12,2)),VALUE(MID(IFERROR(TRIM(INDEX($A64:$Z64,MATCH(Settings!$L$11,$A$1:$Z$1,0))&amp;""),""),15,2)),VALUE(MID(IFERROR(TRIM(INDEX($A64:$Z64,MATCH(Settings!$L$11,$A$1:$Z$1,0))&amp;""),""),18,2)))),"")),"")))</f>
        <v/>
      </c>
      <c r="AM64" s="31">
        <f>IF(AE64="","",IF(ISNUMBER(IFERROR(INDEX(Settings!$G$4:$G$11,MATCH(AH64,Settings!$F$4:$F$11,0)),"")),INDEX(Settings!$G$4:$G$11,MATCH(AH64,Settings!$F$4:$F$11,0)),Settings!$D$5))</f>
        <v/>
      </c>
      <c r="AN64" s="32">
        <f>IF(OR(AE64="",NOT(ISNUMBER(AL64)),NOT(ISNUMBER(AM64))),"",IF(AM64&lt;=0,"",IF(ISNUMBER(Settings!$D$8),DATE(YEAR(AL64)+IF(DATE(YEAR(AL64),MONTH(Settings!$D$8),DAY(Settings!$D$8))&gt;AL64,0,1),MONTH(Settings!$D$8),DAY(Settings!$D$8)),MIN(DATE(YEAR(AL64),MONTH(AL64)+AM64,DAY(AL64)),DATE(YEAR(AL64),MONTH(AL64)+AM64+1,0)))))</f>
        <v/>
      </c>
      <c r="AO64" s="31">
        <f>IF(ISNUMBER(AN64),AN64-Settings!$D$4,"")</f>
        <v/>
      </c>
      <c r="AP64" s="31">
        <f>IF(ISNUMBER(AL64),AL64+0+ROW()/100000,"")</f>
        <v/>
      </c>
      <c r="AQ64" s="31">
        <f>IF(OR(AG64="",NOT(ISNUMBER(AP64))),0,IF(SUMPRODUCT(('Responses'!$AG$2:$AG$501=AG64)*('Responses'!$AJ$2:$AJ$501=1)*ISNUMBER('Responses'!$AP$2:$AP$501)*('Responses'!$AP$2:$AP$501&gt;AP64)) + SUMPRODUCT(('Paper sign-ups'!$K$2:$K$101=AG64)*('Paper sign-ups'!$N$2:$N$101=1)*ISNUMBER('Paper sign-ups'!$T$2:$T$101)*('Paper sign-ups'!$T$2:$T$101&gt;AP64))&gt;0,1,0))</f>
        <v/>
      </c>
      <c r="AR64" s="31">
        <f>IF(AE64="","",IF(AQ64=1,"Joined again",IF(AJ64=0,"Unpaid",IF(NOT(ISNUMBER(AL64)),"Add a join date",IF(AN64="","No reminder",IF(AO64&lt;0,"Lapsed",IF(AO64&lt;=Settings!$D$6,"Remind soon","Current")))))))</f>
        <v/>
      </c>
      <c r="AS64" s="33">
        <f>IF(AJ64=1,IFERROR(VALUE(IFERROR(TRIM(INDEX($A64:$Z64,MATCH(Settings!$L$8,$A$1:$Z$1,0))&amp;""),"")),0)-IFERROR(VALUE(IFERROR(TRIM(INDEX($A64:$Z64,MATCH(Settings!$L$9,$A$1:$Z$1,0))&amp;""),"")),0),0)</f>
        <v/>
      </c>
      <c r="AT64" s="31">
        <f>IF(AND(AE64&lt;&gt;"",AQ64=0),1,0)</f>
        <v/>
      </c>
      <c r="AU64" s="31">
        <f>IF(AT64=0,"",IF(ISNUMBER(AN64),AN64,100000)+0+ROW()/1000000)</f>
        <v/>
      </c>
      <c r="AV64" s="31">
        <f>IF(ISNUMBER(AU64),SUMPRODUCT(ISNUMBER('Responses'!$AU$2:$AU$501)*('Responses'!$AU$2:$AU$501&lt;AU64)) + SUMPRODUCT(ISNUMBER('Paper sign-ups'!$Y$2:$Y$101)*('Paper sign-ups'!$Y$2:$Y$101&lt;AU64))+1,"")</f>
        <v/>
      </c>
    </row>
    <row r="65">
      <c r="AA65" s="29" t="n"/>
      <c r="AB65" s="30" t="n"/>
      <c r="AC65" s="30" t="n"/>
      <c r="AD65" s="29" t="n"/>
      <c r="AE65" s="31">
        <f>IFERROR(TRIM(INDEX($A65:$Z65,MATCH(Settings!$L$4,$A$1:$Z$1,0))&amp;""),"")</f>
        <v/>
      </c>
      <c r="AF65" s="31">
        <f>IFERROR(TRIM(INDEX($A65:$Z65,MATCH(Settings!$L$5,$A$1:$Z$1,0))&amp;""),"")</f>
        <v/>
      </c>
      <c r="AG65" s="31">
        <f>IF(AE65="","",LOWER(IF(AF65&lt;&gt;"",AF65,AE65)))</f>
        <v/>
      </c>
      <c r="AH65" s="31">
        <f>IFERROR(TRIM(INDEX($A65:$Z65,MATCH(Settings!$L$6,$A$1:$Z$1,0))&amp;""),"")</f>
        <v/>
      </c>
      <c r="AI65" s="31">
        <f>IF(AE65="","",IF(UPPER(TRIM(AB65&amp;""))="Y","Paid another way",IF(IFERROR(TRIM(INDEX($A65:$Z65,MATCH(Settings!$L$7,$A$1:$Z$1,0))&amp;""),"")="","No payment status",IFERROR(TRIM(INDEX($A65:$Z65,MATCH(Settings!$L$7,$A$1:$Z$1,0))&amp;""),""))))</f>
        <v/>
      </c>
      <c r="AJ65" s="31">
        <f>IF(AE65="",0,IF(IFERROR(INDEX(Settings!$J$4:$J$14,MATCH(AI65,Settings!$I$4:$I$14,0)),"N")="Y",1,0))</f>
        <v/>
      </c>
      <c r="AK65" s="32">
        <f>IFERROR(INT(IFERROR(IF(ISNUMBER(INDEX($A65:$Z65,MATCH(Settings!$L$10,$A$1:$Z$1,0))),INDEX($A65:$Z65,MATCH(Settings!$L$10,$A$1:$Z$1,0)),DATE(VALUE(LEFT(IFERROR(TRIM(INDEX($A65:$Z65,MATCH(Settings!$L$10,$A$1:$Z$1,0))&amp;""),""),4)),VALUE(MID(IFERROR(TRIM(INDEX($A65:$Z65,MATCH(Settings!$L$10,$A$1:$Z$1,0))&amp;""),""),6,2)),VALUE(MID(IFERROR(TRIM(INDEX($A65:$Z65,MATCH(Settings!$L$10,$A$1:$Z$1,0))&amp;""),""),9,2)))+TIME(VALUE(MID(IFERROR(TRIM(INDEX($A65:$Z65,MATCH(Settings!$L$10,$A$1:$Z$1,0))&amp;""),""),12,2)),VALUE(MID(IFERROR(TRIM(INDEX($A65:$Z65,MATCH(Settings!$L$10,$A$1:$Z$1,0))&amp;""),""),15,2)),VALUE(MID(IFERROR(TRIM(INDEX($A65:$Z65,MATCH(Settings!$L$10,$A$1:$Z$1,0))&amp;""),""),18,2)))),"")),"")</f>
        <v/>
      </c>
      <c r="AL65" s="32">
        <f>IF(AE65="","",IF(ISNUMBER(AK65),AK65,IFERROR(INT(IFERROR(IF(ISNUMBER(INDEX($A65:$Z65,MATCH(Settings!$L$11,$A$1:$Z$1,0))),INDEX($A65:$Z65,MATCH(Settings!$L$11,$A$1:$Z$1,0)),DATE(VALUE(LEFT(IFERROR(TRIM(INDEX($A65:$Z65,MATCH(Settings!$L$11,$A$1:$Z$1,0))&amp;""),""),4)),VALUE(MID(IFERROR(TRIM(INDEX($A65:$Z65,MATCH(Settings!$L$11,$A$1:$Z$1,0))&amp;""),""),6,2)),VALUE(MID(IFERROR(TRIM(INDEX($A65:$Z65,MATCH(Settings!$L$11,$A$1:$Z$1,0))&amp;""),""),9,2)))+TIME(VALUE(MID(IFERROR(TRIM(INDEX($A65:$Z65,MATCH(Settings!$L$11,$A$1:$Z$1,0))&amp;""),""),12,2)),VALUE(MID(IFERROR(TRIM(INDEX($A65:$Z65,MATCH(Settings!$L$11,$A$1:$Z$1,0))&amp;""),""),15,2)),VALUE(MID(IFERROR(TRIM(INDEX($A65:$Z65,MATCH(Settings!$L$11,$A$1:$Z$1,0))&amp;""),""),18,2)))),"")),"")))</f>
        <v/>
      </c>
      <c r="AM65" s="31">
        <f>IF(AE65="","",IF(ISNUMBER(IFERROR(INDEX(Settings!$G$4:$G$11,MATCH(AH65,Settings!$F$4:$F$11,0)),"")),INDEX(Settings!$G$4:$G$11,MATCH(AH65,Settings!$F$4:$F$11,0)),Settings!$D$5))</f>
        <v/>
      </c>
      <c r="AN65" s="32">
        <f>IF(OR(AE65="",NOT(ISNUMBER(AL65)),NOT(ISNUMBER(AM65))),"",IF(AM65&lt;=0,"",IF(ISNUMBER(Settings!$D$8),DATE(YEAR(AL65)+IF(DATE(YEAR(AL65),MONTH(Settings!$D$8),DAY(Settings!$D$8))&gt;AL65,0,1),MONTH(Settings!$D$8),DAY(Settings!$D$8)),MIN(DATE(YEAR(AL65),MONTH(AL65)+AM65,DAY(AL65)),DATE(YEAR(AL65),MONTH(AL65)+AM65+1,0)))))</f>
        <v/>
      </c>
      <c r="AO65" s="31">
        <f>IF(ISNUMBER(AN65),AN65-Settings!$D$4,"")</f>
        <v/>
      </c>
      <c r="AP65" s="31">
        <f>IF(ISNUMBER(AL65),AL65+0+ROW()/100000,"")</f>
        <v/>
      </c>
      <c r="AQ65" s="31">
        <f>IF(OR(AG65="",NOT(ISNUMBER(AP65))),0,IF(SUMPRODUCT(('Responses'!$AG$2:$AG$501=AG65)*('Responses'!$AJ$2:$AJ$501=1)*ISNUMBER('Responses'!$AP$2:$AP$501)*('Responses'!$AP$2:$AP$501&gt;AP65)) + SUMPRODUCT(('Paper sign-ups'!$K$2:$K$101=AG65)*('Paper sign-ups'!$N$2:$N$101=1)*ISNUMBER('Paper sign-ups'!$T$2:$T$101)*('Paper sign-ups'!$T$2:$T$101&gt;AP65))&gt;0,1,0))</f>
        <v/>
      </c>
      <c r="AR65" s="31">
        <f>IF(AE65="","",IF(AQ65=1,"Joined again",IF(AJ65=0,"Unpaid",IF(NOT(ISNUMBER(AL65)),"Add a join date",IF(AN65="","No reminder",IF(AO65&lt;0,"Lapsed",IF(AO65&lt;=Settings!$D$6,"Remind soon","Current")))))))</f>
        <v/>
      </c>
      <c r="AS65" s="33">
        <f>IF(AJ65=1,IFERROR(VALUE(IFERROR(TRIM(INDEX($A65:$Z65,MATCH(Settings!$L$8,$A$1:$Z$1,0))&amp;""),"")),0)-IFERROR(VALUE(IFERROR(TRIM(INDEX($A65:$Z65,MATCH(Settings!$L$9,$A$1:$Z$1,0))&amp;""),"")),0),0)</f>
        <v/>
      </c>
      <c r="AT65" s="31">
        <f>IF(AND(AE65&lt;&gt;"",AQ65=0),1,0)</f>
        <v/>
      </c>
      <c r="AU65" s="31">
        <f>IF(AT65=0,"",IF(ISNUMBER(AN65),AN65,100000)+0+ROW()/1000000)</f>
        <v/>
      </c>
      <c r="AV65" s="31">
        <f>IF(ISNUMBER(AU65),SUMPRODUCT(ISNUMBER('Responses'!$AU$2:$AU$501)*('Responses'!$AU$2:$AU$501&lt;AU65)) + SUMPRODUCT(ISNUMBER('Paper sign-ups'!$Y$2:$Y$101)*('Paper sign-ups'!$Y$2:$Y$101&lt;AU65))+1,"")</f>
        <v/>
      </c>
    </row>
    <row r="66">
      <c r="AA66" s="29" t="n"/>
      <c r="AB66" s="30" t="n"/>
      <c r="AC66" s="30" t="n"/>
      <c r="AD66" s="29" t="n"/>
      <c r="AE66" s="31">
        <f>IFERROR(TRIM(INDEX($A66:$Z66,MATCH(Settings!$L$4,$A$1:$Z$1,0))&amp;""),"")</f>
        <v/>
      </c>
      <c r="AF66" s="31">
        <f>IFERROR(TRIM(INDEX($A66:$Z66,MATCH(Settings!$L$5,$A$1:$Z$1,0))&amp;""),"")</f>
        <v/>
      </c>
      <c r="AG66" s="31">
        <f>IF(AE66="","",LOWER(IF(AF66&lt;&gt;"",AF66,AE66)))</f>
        <v/>
      </c>
      <c r="AH66" s="31">
        <f>IFERROR(TRIM(INDEX($A66:$Z66,MATCH(Settings!$L$6,$A$1:$Z$1,0))&amp;""),"")</f>
        <v/>
      </c>
      <c r="AI66" s="31">
        <f>IF(AE66="","",IF(UPPER(TRIM(AB66&amp;""))="Y","Paid another way",IF(IFERROR(TRIM(INDEX($A66:$Z66,MATCH(Settings!$L$7,$A$1:$Z$1,0))&amp;""),"")="","No payment status",IFERROR(TRIM(INDEX($A66:$Z66,MATCH(Settings!$L$7,$A$1:$Z$1,0))&amp;""),""))))</f>
        <v/>
      </c>
      <c r="AJ66" s="31">
        <f>IF(AE66="",0,IF(IFERROR(INDEX(Settings!$J$4:$J$14,MATCH(AI66,Settings!$I$4:$I$14,0)),"N")="Y",1,0))</f>
        <v/>
      </c>
      <c r="AK66" s="32">
        <f>IFERROR(INT(IFERROR(IF(ISNUMBER(INDEX($A66:$Z66,MATCH(Settings!$L$10,$A$1:$Z$1,0))),INDEX($A66:$Z66,MATCH(Settings!$L$10,$A$1:$Z$1,0)),DATE(VALUE(LEFT(IFERROR(TRIM(INDEX($A66:$Z66,MATCH(Settings!$L$10,$A$1:$Z$1,0))&amp;""),""),4)),VALUE(MID(IFERROR(TRIM(INDEX($A66:$Z66,MATCH(Settings!$L$10,$A$1:$Z$1,0))&amp;""),""),6,2)),VALUE(MID(IFERROR(TRIM(INDEX($A66:$Z66,MATCH(Settings!$L$10,$A$1:$Z$1,0))&amp;""),""),9,2)))+TIME(VALUE(MID(IFERROR(TRIM(INDEX($A66:$Z66,MATCH(Settings!$L$10,$A$1:$Z$1,0))&amp;""),""),12,2)),VALUE(MID(IFERROR(TRIM(INDEX($A66:$Z66,MATCH(Settings!$L$10,$A$1:$Z$1,0))&amp;""),""),15,2)),VALUE(MID(IFERROR(TRIM(INDEX($A66:$Z66,MATCH(Settings!$L$10,$A$1:$Z$1,0))&amp;""),""),18,2)))),"")),"")</f>
        <v/>
      </c>
      <c r="AL66" s="32">
        <f>IF(AE66="","",IF(ISNUMBER(AK66),AK66,IFERROR(INT(IFERROR(IF(ISNUMBER(INDEX($A66:$Z66,MATCH(Settings!$L$11,$A$1:$Z$1,0))),INDEX($A66:$Z66,MATCH(Settings!$L$11,$A$1:$Z$1,0)),DATE(VALUE(LEFT(IFERROR(TRIM(INDEX($A66:$Z66,MATCH(Settings!$L$11,$A$1:$Z$1,0))&amp;""),""),4)),VALUE(MID(IFERROR(TRIM(INDEX($A66:$Z66,MATCH(Settings!$L$11,$A$1:$Z$1,0))&amp;""),""),6,2)),VALUE(MID(IFERROR(TRIM(INDEX($A66:$Z66,MATCH(Settings!$L$11,$A$1:$Z$1,0))&amp;""),""),9,2)))+TIME(VALUE(MID(IFERROR(TRIM(INDEX($A66:$Z66,MATCH(Settings!$L$11,$A$1:$Z$1,0))&amp;""),""),12,2)),VALUE(MID(IFERROR(TRIM(INDEX($A66:$Z66,MATCH(Settings!$L$11,$A$1:$Z$1,0))&amp;""),""),15,2)),VALUE(MID(IFERROR(TRIM(INDEX($A66:$Z66,MATCH(Settings!$L$11,$A$1:$Z$1,0))&amp;""),""),18,2)))),"")),"")))</f>
        <v/>
      </c>
      <c r="AM66" s="31">
        <f>IF(AE66="","",IF(ISNUMBER(IFERROR(INDEX(Settings!$G$4:$G$11,MATCH(AH66,Settings!$F$4:$F$11,0)),"")),INDEX(Settings!$G$4:$G$11,MATCH(AH66,Settings!$F$4:$F$11,0)),Settings!$D$5))</f>
        <v/>
      </c>
      <c r="AN66" s="32">
        <f>IF(OR(AE66="",NOT(ISNUMBER(AL66)),NOT(ISNUMBER(AM66))),"",IF(AM66&lt;=0,"",IF(ISNUMBER(Settings!$D$8),DATE(YEAR(AL66)+IF(DATE(YEAR(AL66),MONTH(Settings!$D$8),DAY(Settings!$D$8))&gt;AL66,0,1),MONTH(Settings!$D$8),DAY(Settings!$D$8)),MIN(DATE(YEAR(AL66),MONTH(AL66)+AM66,DAY(AL66)),DATE(YEAR(AL66),MONTH(AL66)+AM66+1,0)))))</f>
        <v/>
      </c>
      <c r="AO66" s="31">
        <f>IF(ISNUMBER(AN66),AN66-Settings!$D$4,"")</f>
        <v/>
      </c>
      <c r="AP66" s="31">
        <f>IF(ISNUMBER(AL66),AL66+0+ROW()/100000,"")</f>
        <v/>
      </c>
      <c r="AQ66" s="31">
        <f>IF(OR(AG66="",NOT(ISNUMBER(AP66))),0,IF(SUMPRODUCT(('Responses'!$AG$2:$AG$501=AG66)*('Responses'!$AJ$2:$AJ$501=1)*ISNUMBER('Responses'!$AP$2:$AP$501)*('Responses'!$AP$2:$AP$501&gt;AP66)) + SUMPRODUCT(('Paper sign-ups'!$K$2:$K$101=AG66)*('Paper sign-ups'!$N$2:$N$101=1)*ISNUMBER('Paper sign-ups'!$T$2:$T$101)*('Paper sign-ups'!$T$2:$T$101&gt;AP66))&gt;0,1,0))</f>
        <v/>
      </c>
      <c r="AR66" s="31">
        <f>IF(AE66="","",IF(AQ66=1,"Joined again",IF(AJ66=0,"Unpaid",IF(NOT(ISNUMBER(AL66)),"Add a join date",IF(AN66="","No reminder",IF(AO66&lt;0,"Lapsed",IF(AO66&lt;=Settings!$D$6,"Remind soon","Current")))))))</f>
        <v/>
      </c>
      <c r="AS66" s="33">
        <f>IF(AJ66=1,IFERROR(VALUE(IFERROR(TRIM(INDEX($A66:$Z66,MATCH(Settings!$L$8,$A$1:$Z$1,0))&amp;""),"")),0)-IFERROR(VALUE(IFERROR(TRIM(INDEX($A66:$Z66,MATCH(Settings!$L$9,$A$1:$Z$1,0))&amp;""),"")),0),0)</f>
        <v/>
      </c>
      <c r="AT66" s="31">
        <f>IF(AND(AE66&lt;&gt;"",AQ66=0),1,0)</f>
        <v/>
      </c>
      <c r="AU66" s="31">
        <f>IF(AT66=0,"",IF(ISNUMBER(AN66),AN66,100000)+0+ROW()/1000000)</f>
        <v/>
      </c>
      <c r="AV66" s="31">
        <f>IF(ISNUMBER(AU66),SUMPRODUCT(ISNUMBER('Responses'!$AU$2:$AU$501)*('Responses'!$AU$2:$AU$501&lt;AU66)) + SUMPRODUCT(ISNUMBER('Paper sign-ups'!$Y$2:$Y$101)*('Paper sign-ups'!$Y$2:$Y$101&lt;AU66))+1,"")</f>
        <v/>
      </c>
    </row>
    <row r="67">
      <c r="AA67" s="29" t="n"/>
      <c r="AB67" s="30" t="n"/>
      <c r="AC67" s="30" t="n"/>
      <c r="AD67" s="29" t="n"/>
      <c r="AE67" s="31">
        <f>IFERROR(TRIM(INDEX($A67:$Z67,MATCH(Settings!$L$4,$A$1:$Z$1,0))&amp;""),"")</f>
        <v/>
      </c>
      <c r="AF67" s="31">
        <f>IFERROR(TRIM(INDEX($A67:$Z67,MATCH(Settings!$L$5,$A$1:$Z$1,0))&amp;""),"")</f>
        <v/>
      </c>
      <c r="AG67" s="31">
        <f>IF(AE67="","",LOWER(IF(AF67&lt;&gt;"",AF67,AE67)))</f>
        <v/>
      </c>
      <c r="AH67" s="31">
        <f>IFERROR(TRIM(INDEX($A67:$Z67,MATCH(Settings!$L$6,$A$1:$Z$1,0))&amp;""),"")</f>
        <v/>
      </c>
      <c r="AI67" s="31">
        <f>IF(AE67="","",IF(UPPER(TRIM(AB67&amp;""))="Y","Paid another way",IF(IFERROR(TRIM(INDEX($A67:$Z67,MATCH(Settings!$L$7,$A$1:$Z$1,0))&amp;""),"")="","No payment status",IFERROR(TRIM(INDEX($A67:$Z67,MATCH(Settings!$L$7,$A$1:$Z$1,0))&amp;""),""))))</f>
        <v/>
      </c>
      <c r="AJ67" s="31">
        <f>IF(AE67="",0,IF(IFERROR(INDEX(Settings!$J$4:$J$14,MATCH(AI67,Settings!$I$4:$I$14,0)),"N")="Y",1,0))</f>
        <v/>
      </c>
      <c r="AK67" s="32">
        <f>IFERROR(INT(IFERROR(IF(ISNUMBER(INDEX($A67:$Z67,MATCH(Settings!$L$10,$A$1:$Z$1,0))),INDEX($A67:$Z67,MATCH(Settings!$L$10,$A$1:$Z$1,0)),DATE(VALUE(LEFT(IFERROR(TRIM(INDEX($A67:$Z67,MATCH(Settings!$L$10,$A$1:$Z$1,0))&amp;""),""),4)),VALUE(MID(IFERROR(TRIM(INDEX($A67:$Z67,MATCH(Settings!$L$10,$A$1:$Z$1,0))&amp;""),""),6,2)),VALUE(MID(IFERROR(TRIM(INDEX($A67:$Z67,MATCH(Settings!$L$10,$A$1:$Z$1,0))&amp;""),""),9,2)))+TIME(VALUE(MID(IFERROR(TRIM(INDEX($A67:$Z67,MATCH(Settings!$L$10,$A$1:$Z$1,0))&amp;""),""),12,2)),VALUE(MID(IFERROR(TRIM(INDEX($A67:$Z67,MATCH(Settings!$L$10,$A$1:$Z$1,0))&amp;""),""),15,2)),VALUE(MID(IFERROR(TRIM(INDEX($A67:$Z67,MATCH(Settings!$L$10,$A$1:$Z$1,0))&amp;""),""),18,2)))),"")),"")</f>
        <v/>
      </c>
      <c r="AL67" s="32">
        <f>IF(AE67="","",IF(ISNUMBER(AK67),AK67,IFERROR(INT(IFERROR(IF(ISNUMBER(INDEX($A67:$Z67,MATCH(Settings!$L$11,$A$1:$Z$1,0))),INDEX($A67:$Z67,MATCH(Settings!$L$11,$A$1:$Z$1,0)),DATE(VALUE(LEFT(IFERROR(TRIM(INDEX($A67:$Z67,MATCH(Settings!$L$11,$A$1:$Z$1,0))&amp;""),""),4)),VALUE(MID(IFERROR(TRIM(INDEX($A67:$Z67,MATCH(Settings!$L$11,$A$1:$Z$1,0))&amp;""),""),6,2)),VALUE(MID(IFERROR(TRIM(INDEX($A67:$Z67,MATCH(Settings!$L$11,$A$1:$Z$1,0))&amp;""),""),9,2)))+TIME(VALUE(MID(IFERROR(TRIM(INDEX($A67:$Z67,MATCH(Settings!$L$11,$A$1:$Z$1,0))&amp;""),""),12,2)),VALUE(MID(IFERROR(TRIM(INDEX($A67:$Z67,MATCH(Settings!$L$11,$A$1:$Z$1,0))&amp;""),""),15,2)),VALUE(MID(IFERROR(TRIM(INDEX($A67:$Z67,MATCH(Settings!$L$11,$A$1:$Z$1,0))&amp;""),""),18,2)))),"")),"")))</f>
        <v/>
      </c>
      <c r="AM67" s="31">
        <f>IF(AE67="","",IF(ISNUMBER(IFERROR(INDEX(Settings!$G$4:$G$11,MATCH(AH67,Settings!$F$4:$F$11,0)),"")),INDEX(Settings!$G$4:$G$11,MATCH(AH67,Settings!$F$4:$F$11,0)),Settings!$D$5))</f>
        <v/>
      </c>
      <c r="AN67" s="32">
        <f>IF(OR(AE67="",NOT(ISNUMBER(AL67)),NOT(ISNUMBER(AM67))),"",IF(AM67&lt;=0,"",IF(ISNUMBER(Settings!$D$8),DATE(YEAR(AL67)+IF(DATE(YEAR(AL67),MONTH(Settings!$D$8),DAY(Settings!$D$8))&gt;AL67,0,1),MONTH(Settings!$D$8),DAY(Settings!$D$8)),MIN(DATE(YEAR(AL67),MONTH(AL67)+AM67,DAY(AL67)),DATE(YEAR(AL67),MONTH(AL67)+AM67+1,0)))))</f>
        <v/>
      </c>
      <c r="AO67" s="31">
        <f>IF(ISNUMBER(AN67),AN67-Settings!$D$4,"")</f>
        <v/>
      </c>
      <c r="AP67" s="31">
        <f>IF(ISNUMBER(AL67),AL67+0+ROW()/100000,"")</f>
        <v/>
      </c>
      <c r="AQ67" s="31">
        <f>IF(OR(AG67="",NOT(ISNUMBER(AP67))),0,IF(SUMPRODUCT(('Responses'!$AG$2:$AG$501=AG67)*('Responses'!$AJ$2:$AJ$501=1)*ISNUMBER('Responses'!$AP$2:$AP$501)*('Responses'!$AP$2:$AP$501&gt;AP67)) + SUMPRODUCT(('Paper sign-ups'!$K$2:$K$101=AG67)*('Paper sign-ups'!$N$2:$N$101=1)*ISNUMBER('Paper sign-ups'!$T$2:$T$101)*('Paper sign-ups'!$T$2:$T$101&gt;AP67))&gt;0,1,0))</f>
        <v/>
      </c>
      <c r="AR67" s="31">
        <f>IF(AE67="","",IF(AQ67=1,"Joined again",IF(AJ67=0,"Unpaid",IF(NOT(ISNUMBER(AL67)),"Add a join date",IF(AN67="","No reminder",IF(AO67&lt;0,"Lapsed",IF(AO67&lt;=Settings!$D$6,"Remind soon","Current")))))))</f>
        <v/>
      </c>
      <c r="AS67" s="33">
        <f>IF(AJ67=1,IFERROR(VALUE(IFERROR(TRIM(INDEX($A67:$Z67,MATCH(Settings!$L$8,$A$1:$Z$1,0))&amp;""),"")),0)-IFERROR(VALUE(IFERROR(TRIM(INDEX($A67:$Z67,MATCH(Settings!$L$9,$A$1:$Z$1,0))&amp;""),"")),0),0)</f>
        <v/>
      </c>
      <c r="AT67" s="31">
        <f>IF(AND(AE67&lt;&gt;"",AQ67=0),1,0)</f>
        <v/>
      </c>
      <c r="AU67" s="31">
        <f>IF(AT67=0,"",IF(ISNUMBER(AN67),AN67,100000)+0+ROW()/1000000)</f>
        <v/>
      </c>
      <c r="AV67" s="31">
        <f>IF(ISNUMBER(AU67),SUMPRODUCT(ISNUMBER('Responses'!$AU$2:$AU$501)*('Responses'!$AU$2:$AU$501&lt;AU67)) + SUMPRODUCT(ISNUMBER('Paper sign-ups'!$Y$2:$Y$101)*('Paper sign-ups'!$Y$2:$Y$101&lt;AU67))+1,"")</f>
        <v/>
      </c>
    </row>
    <row r="68">
      <c r="AA68" s="29" t="n"/>
      <c r="AB68" s="30" t="n"/>
      <c r="AC68" s="30" t="n"/>
      <c r="AD68" s="29" t="n"/>
      <c r="AE68" s="31">
        <f>IFERROR(TRIM(INDEX($A68:$Z68,MATCH(Settings!$L$4,$A$1:$Z$1,0))&amp;""),"")</f>
        <v/>
      </c>
      <c r="AF68" s="31">
        <f>IFERROR(TRIM(INDEX($A68:$Z68,MATCH(Settings!$L$5,$A$1:$Z$1,0))&amp;""),"")</f>
        <v/>
      </c>
      <c r="AG68" s="31">
        <f>IF(AE68="","",LOWER(IF(AF68&lt;&gt;"",AF68,AE68)))</f>
        <v/>
      </c>
      <c r="AH68" s="31">
        <f>IFERROR(TRIM(INDEX($A68:$Z68,MATCH(Settings!$L$6,$A$1:$Z$1,0))&amp;""),"")</f>
        <v/>
      </c>
      <c r="AI68" s="31">
        <f>IF(AE68="","",IF(UPPER(TRIM(AB68&amp;""))="Y","Paid another way",IF(IFERROR(TRIM(INDEX($A68:$Z68,MATCH(Settings!$L$7,$A$1:$Z$1,0))&amp;""),"")="","No payment status",IFERROR(TRIM(INDEX($A68:$Z68,MATCH(Settings!$L$7,$A$1:$Z$1,0))&amp;""),""))))</f>
        <v/>
      </c>
      <c r="AJ68" s="31">
        <f>IF(AE68="",0,IF(IFERROR(INDEX(Settings!$J$4:$J$14,MATCH(AI68,Settings!$I$4:$I$14,0)),"N")="Y",1,0))</f>
        <v/>
      </c>
      <c r="AK68" s="32">
        <f>IFERROR(INT(IFERROR(IF(ISNUMBER(INDEX($A68:$Z68,MATCH(Settings!$L$10,$A$1:$Z$1,0))),INDEX($A68:$Z68,MATCH(Settings!$L$10,$A$1:$Z$1,0)),DATE(VALUE(LEFT(IFERROR(TRIM(INDEX($A68:$Z68,MATCH(Settings!$L$10,$A$1:$Z$1,0))&amp;""),""),4)),VALUE(MID(IFERROR(TRIM(INDEX($A68:$Z68,MATCH(Settings!$L$10,$A$1:$Z$1,0))&amp;""),""),6,2)),VALUE(MID(IFERROR(TRIM(INDEX($A68:$Z68,MATCH(Settings!$L$10,$A$1:$Z$1,0))&amp;""),""),9,2)))+TIME(VALUE(MID(IFERROR(TRIM(INDEX($A68:$Z68,MATCH(Settings!$L$10,$A$1:$Z$1,0))&amp;""),""),12,2)),VALUE(MID(IFERROR(TRIM(INDEX($A68:$Z68,MATCH(Settings!$L$10,$A$1:$Z$1,0))&amp;""),""),15,2)),VALUE(MID(IFERROR(TRIM(INDEX($A68:$Z68,MATCH(Settings!$L$10,$A$1:$Z$1,0))&amp;""),""),18,2)))),"")),"")</f>
        <v/>
      </c>
      <c r="AL68" s="32">
        <f>IF(AE68="","",IF(ISNUMBER(AK68),AK68,IFERROR(INT(IFERROR(IF(ISNUMBER(INDEX($A68:$Z68,MATCH(Settings!$L$11,$A$1:$Z$1,0))),INDEX($A68:$Z68,MATCH(Settings!$L$11,$A$1:$Z$1,0)),DATE(VALUE(LEFT(IFERROR(TRIM(INDEX($A68:$Z68,MATCH(Settings!$L$11,$A$1:$Z$1,0))&amp;""),""),4)),VALUE(MID(IFERROR(TRIM(INDEX($A68:$Z68,MATCH(Settings!$L$11,$A$1:$Z$1,0))&amp;""),""),6,2)),VALUE(MID(IFERROR(TRIM(INDEX($A68:$Z68,MATCH(Settings!$L$11,$A$1:$Z$1,0))&amp;""),""),9,2)))+TIME(VALUE(MID(IFERROR(TRIM(INDEX($A68:$Z68,MATCH(Settings!$L$11,$A$1:$Z$1,0))&amp;""),""),12,2)),VALUE(MID(IFERROR(TRIM(INDEX($A68:$Z68,MATCH(Settings!$L$11,$A$1:$Z$1,0))&amp;""),""),15,2)),VALUE(MID(IFERROR(TRIM(INDEX($A68:$Z68,MATCH(Settings!$L$11,$A$1:$Z$1,0))&amp;""),""),18,2)))),"")),"")))</f>
        <v/>
      </c>
      <c r="AM68" s="31">
        <f>IF(AE68="","",IF(ISNUMBER(IFERROR(INDEX(Settings!$G$4:$G$11,MATCH(AH68,Settings!$F$4:$F$11,0)),"")),INDEX(Settings!$G$4:$G$11,MATCH(AH68,Settings!$F$4:$F$11,0)),Settings!$D$5))</f>
        <v/>
      </c>
      <c r="AN68" s="32">
        <f>IF(OR(AE68="",NOT(ISNUMBER(AL68)),NOT(ISNUMBER(AM68))),"",IF(AM68&lt;=0,"",IF(ISNUMBER(Settings!$D$8),DATE(YEAR(AL68)+IF(DATE(YEAR(AL68),MONTH(Settings!$D$8),DAY(Settings!$D$8))&gt;AL68,0,1),MONTH(Settings!$D$8),DAY(Settings!$D$8)),MIN(DATE(YEAR(AL68),MONTH(AL68)+AM68,DAY(AL68)),DATE(YEAR(AL68),MONTH(AL68)+AM68+1,0)))))</f>
        <v/>
      </c>
      <c r="AO68" s="31">
        <f>IF(ISNUMBER(AN68),AN68-Settings!$D$4,"")</f>
        <v/>
      </c>
      <c r="AP68" s="31">
        <f>IF(ISNUMBER(AL68),AL68+0+ROW()/100000,"")</f>
        <v/>
      </c>
      <c r="AQ68" s="31">
        <f>IF(OR(AG68="",NOT(ISNUMBER(AP68))),0,IF(SUMPRODUCT(('Responses'!$AG$2:$AG$501=AG68)*('Responses'!$AJ$2:$AJ$501=1)*ISNUMBER('Responses'!$AP$2:$AP$501)*('Responses'!$AP$2:$AP$501&gt;AP68)) + SUMPRODUCT(('Paper sign-ups'!$K$2:$K$101=AG68)*('Paper sign-ups'!$N$2:$N$101=1)*ISNUMBER('Paper sign-ups'!$T$2:$T$101)*('Paper sign-ups'!$T$2:$T$101&gt;AP68))&gt;0,1,0))</f>
        <v/>
      </c>
      <c r="AR68" s="31">
        <f>IF(AE68="","",IF(AQ68=1,"Joined again",IF(AJ68=0,"Unpaid",IF(NOT(ISNUMBER(AL68)),"Add a join date",IF(AN68="","No reminder",IF(AO68&lt;0,"Lapsed",IF(AO68&lt;=Settings!$D$6,"Remind soon","Current")))))))</f>
        <v/>
      </c>
      <c r="AS68" s="33">
        <f>IF(AJ68=1,IFERROR(VALUE(IFERROR(TRIM(INDEX($A68:$Z68,MATCH(Settings!$L$8,$A$1:$Z$1,0))&amp;""),"")),0)-IFERROR(VALUE(IFERROR(TRIM(INDEX($A68:$Z68,MATCH(Settings!$L$9,$A$1:$Z$1,0))&amp;""),"")),0),0)</f>
        <v/>
      </c>
      <c r="AT68" s="31">
        <f>IF(AND(AE68&lt;&gt;"",AQ68=0),1,0)</f>
        <v/>
      </c>
      <c r="AU68" s="31">
        <f>IF(AT68=0,"",IF(ISNUMBER(AN68),AN68,100000)+0+ROW()/1000000)</f>
        <v/>
      </c>
      <c r="AV68" s="31">
        <f>IF(ISNUMBER(AU68),SUMPRODUCT(ISNUMBER('Responses'!$AU$2:$AU$501)*('Responses'!$AU$2:$AU$501&lt;AU68)) + SUMPRODUCT(ISNUMBER('Paper sign-ups'!$Y$2:$Y$101)*('Paper sign-ups'!$Y$2:$Y$101&lt;AU68))+1,"")</f>
        <v/>
      </c>
    </row>
    <row r="69">
      <c r="AA69" s="29" t="n"/>
      <c r="AB69" s="30" t="n"/>
      <c r="AC69" s="30" t="n"/>
      <c r="AD69" s="29" t="n"/>
      <c r="AE69" s="31">
        <f>IFERROR(TRIM(INDEX($A69:$Z69,MATCH(Settings!$L$4,$A$1:$Z$1,0))&amp;""),"")</f>
        <v/>
      </c>
      <c r="AF69" s="31">
        <f>IFERROR(TRIM(INDEX($A69:$Z69,MATCH(Settings!$L$5,$A$1:$Z$1,0))&amp;""),"")</f>
        <v/>
      </c>
      <c r="AG69" s="31">
        <f>IF(AE69="","",LOWER(IF(AF69&lt;&gt;"",AF69,AE69)))</f>
        <v/>
      </c>
      <c r="AH69" s="31">
        <f>IFERROR(TRIM(INDEX($A69:$Z69,MATCH(Settings!$L$6,$A$1:$Z$1,0))&amp;""),"")</f>
        <v/>
      </c>
      <c r="AI69" s="31">
        <f>IF(AE69="","",IF(UPPER(TRIM(AB69&amp;""))="Y","Paid another way",IF(IFERROR(TRIM(INDEX($A69:$Z69,MATCH(Settings!$L$7,$A$1:$Z$1,0))&amp;""),"")="","No payment status",IFERROR(TRIM(INDEX($A69:$Z69,MATCH(Settings!$L$7,$A$1:$Z$1,0))&amp;""),""))))</f>
        <v/>
      </c>
      <c r="AJ69" s="31">
        <f>IF(AE69="",0,IF(IFERROR(INDEX(Settings!$J$4:$J$14,MATCH(AI69,Settings!$I$4:$I$14,0)),"N")="Y",1,0))</f>
        <v/>
      </c>
      <c r="AK69" s="32">
        <f>IFERROR(INT(IFERROR(IF(ISNUMBER(INDEX($A69:$Z69,MATCH(Settings!$L$10,$A$1:$Z$1,0))),INDEX($A69:$Z69,MATCH(Settings!$L$10,$A$1:$Z$1,0)),DATE(VALUE(LEFT(IFERROR(TRIM(INDEX($A69:$Z69,MATCH(Settings!$L$10,$A$1:$Z$1,0))&amp;""),""),4)),VALUE(MID(IFERROR(TRIM(INDEX($A69:$Z69,MATCH(Settings!$L$10,$A$1:$Z$1,0))&amp;""),""),6,2)),VALUE(MID(IFERROR(TRIM(INDEX($A69:$Z69,MATCH(Settings!$L$10,$A$1:$Z$1,0))&amp;""),""),9,2)))+TIME(VALUE(MID(IFERROR(TRIM(INDEX($A69:$Z69,MATCH(Settings!$L$10,$A$1:$Z$1,0))&amp;""),""),12,2)),VALUE(MID(IFERROR(TRIM(INDEX($A69:$Z69,MATCH(Settings!$L$10,$A$1:$Z$1,0))&amp;""),""),15,2)),VALUE(MID(IFERROR(TRIM(INDEX($A69:$Z69,MATCH(Settings!$L$10,$A$1:$Z$1,0))&amp;""),""),18,2)))),"")),"")</f>
        <v/>
      </c>
      <c r="AL69" s="32">
        <f>IF(AE69="","",IF(ISNUMBER(AK69),AK69,IFERROR(INT(IFERROR(IF(ISNUMBER(INDEX($A69:$Z69,MATCH(Settings!$L$11,$A$1:$Z$1,0))),INDEX($A69:$Z69,MATCH(Settings!$L$11,$A$1:$Z$1,0)),DATE(VALUE(LEFT(IFERROR(TRIM(INDEX($A69:$Z69,MATCH(Settings!$L$11,$A$1:$Z$1,0))&amp;""),""),4)),VALUE(MID(IFERROR(TRIM(INDEX($A69:$Z69,MATCH(Settings!$L$11,$A$1:$Z$1,0))&amp;""),""),6,2)),VALUE(MID(IFERROR(TRIM(INDEX($A69:$Z69,MATCH(Settings!$L$11,$A$1:$Z$1,0))&amp;""),""),9,2)))+TIME(VALUE(MID(IFERROR(TRIM(INDEX($A69:$Z69,MATCH(Settings!$L$11,$A$1:$Z$1,0))&amp;""),""),12,2)),VALUE(MID(IFERROR(TRIM(INDEX($A69:$Z69,MATCH(Settings!$L$11,$A$1:$Z$1,0))&amp;""),""),15,2)),VALUE(MID(IFERROR(TRIM(INDEX($A69:$Z69,MATCH(Settings!$L$11,$A$1:$Z$1,0))&amp;""),""),18,2)))),"")),"")))</f>
        <v/>
      </c>
      <c r="AM69" s="31">
        <f>IF(AE69="","",IF(ISNUMBER(IFERROR(INDEX(Settings!$G$4:$G$11,MATCH(AH69,Settings!$F$4:$F$11,0)),"")),INDEX(Settings!$G$4:$G$11,MATCH(AH69,Settings!$F$4:$F$11,0)),Settings!$D$5))</f>
        <v/>
      </c>
      <c r="AN69" s="32">
        <f>IF(OR(AE69="",NOT(ISNUMBER(AL69)),NOT(ISNUMBER(AM69))),"",IF(AM69&lt;=0,"",IF(ISNUMBER(Settings!$D$8),DATE(YEAR(AL69)+IF(DATE(YEAR(AL69),MONTH(Settings!$D$8),DAY(Settings!$D$8))&gt;AL69,0,1),MONTH(Settings!$D$8),DAY(Settings!$D$8)),MIN(DATE(YEAR(AL69),MONTH(AL69)+AM69,DAY(AL69)),DATE(YEAR(AL69),MONTH(AL69)+AM69+1,0)))))</f>
        <v/>
      </c>
      <c r="AO69" s="31">
        <f>IF(ISNUMBER(AN69),AN69-Settings!$D$4,"")</f>
        <v/>
      </c>
      <c r="AP69" s="31">
        <f>IF(ISNUMBER(AL69),AL69+0+ROW()/100000,"")</f>
        <v/>
      </c>
      <c r="AQ69" s="31">
        <f>IF(OR(AG69="",NOT(ISNUMBER(AP69))),0,IF(SUMPRODUCT(('Responses'!$AG$2:$AG$501=AG69)*('Responses'!$AJ$2:$AJ$501=1)*ISNUMBER('Responses'!$AP$2:$AP$501)*('Responses'!$AP$2:$AP$501&gt;AP69)) + SUMPRODUCT(('Paper sign-ups'!$K$2:$K$101=AG69)*('Paper sign-ups'!$N$2:$N$101=1)*ISNUMBER('Paper sign-ups'!$T$2:$T$101)*('Paper sign-ups'!$T$2:$T$101&gt;AP69))&gt;0,1,0))</f>
        <v/>
      </c>
      <c r="AR69" s="31">
        <f>IF(AE69="","",IF(AQ69=1,"Joined again",IF(AJ69=0,"Unpaid",IF(NOT(ISNUMBER(AL69)),"Add a join date",IF(AN69="","No reminder",IF(AO69&lt;0,"Lapsed",IF(AO69&lt;=Settings!$D$6,"Remind soon","Current")))))))</f>
        <v/>
      </c>
      <c r="AS69" s="33">
        <f>IF(AJ69=1,IFERROR(VALUE(IFERROR(TRIM(INDEX($A69:$Z69,MATCH(Settings!$L$8,$A$1:$Z$1,0))&amp;""),"")),0)-IFERROR(VALUE(IFERROR(TRIM(INDEX($A69:$Z69,MATCH(Settings!$L$9,$A$1:$Z$1,0))&amp;""),"")),0),0)</f>
        <v/>
      </c>
      <c r="AT69" s="31">
        <f>IF(AND(AE69&lt;&gt;"",AQ69=0),1,0)</f>
        <v/>
      </c>
      <c r="AU69" s="31">
        <f>IF(AT69=0,"",IF(ISNUMBER(AN69),AN69,100000)+0+ROW()/1000000)</f>
        <v/>
      </c>
      <c r="AV69" s="31">
        <f>IF(ISNUMBER(AU69),SUMPRODUCT(ISNUMBER('Responses'!$AU$2:$AU$501)*('Responses'!$AU$2:$AU$501&lt;AU69)) + SUMPRODUCT(ISNUMBER('Paper sign-ups'!$Y$2:$Y$101)*('Paper sign-ups'!$Y$2:$Y$101&lt;AU69))+1,"")</f>
        <v/>
      </c>
    </row>
    <row r="70">
      <c r="AA70" s="29" t="n"/>
      <c r="AB70" s="30" t="n"/>
      <c r="AC70" s="30" t="n"/>
      <c r="AD70" s="29" t="n"/>
      <c r="AE70" s="31">
        <f>IFERROR(TRIM(INDEX($A70:$Z70,MATCH(Settings!$L$4,$A$1:$Z$1,0))&amp;""),"")</f>
        <v/>
      </c>
      <c r="AF70" s="31">
        <f>IFERROR(TRIM(INDEX($A70:$Z70,MATCH(Settings!$L$5,$A$1:$Z$1,0))&amp;""),"")</f>
        <v/>
      </c>
      <c r="AG70" s="31">
        <f>IF(AE70="","",LOWER(IF(AF70&lt;&gt;"",AF70,AE70)))</f>
        <v/>
      </c>
      <c r="AH70" s="31">
        <f>IFERROR(TRIM(INDEX($A70:$Z70,MATCH(Settings!$L$6,$A$1:$Z$1,0))&amp;""),"")</f>
        <v/>
      </c>
      <c r="AI70" s="31">
        <f>IF(AE70="","",IF(UPPER(TRIM(AB70&amp;""))="Y","Paid another way",IF(IFERROR(TRIM(INDEX($A70:$Z70,MATCH(Settings!$L$7,$A$1:$Z$1,0))&amp;""),"")="","No payment status",IFERROR(TRIM(INDEX($A70:$Z70,MATCH(Settings!$L$7,$A$1:$Z$1,0))&amp;""),""))))</f>
        <v/>
      </c>
      <c r="AJ70" s="31">
        <f>IF(AE70="",0,IF(IFERROR(INDEX(Settings!$J$4:$J$14,MATCH(AI70,Settings!$I$4:$I$14,0)),"N")="Y",1,0))</f>
        <v/>
      </c>
      <c r="AK70" s="32">
        <f>IFERROR(INT(IFERROR(IF(ISNUMBER(INDEX($A70:$Z70,MATCH(Settings!$L$10,$A$1:$Z$1,0))),INDEX($A70:$Z70,MATCH(Settings!$L$10,$A$1:$Z$1,0)),DATE(VALUE(LEFT(IFERROR(TRIM(INDEX($A70:$Z70,MATCH(Settings!$L$10,$A$1:$Z$1,0))&amp;""),""),4)),VALUE(MID(IFERROR(TRIM(INDEX($A70:$Z70,MATCH(Settings!$L$10,$A$1:$Z$1,0))&amp;""),""),6,2)),VALUE(MID(IFERROR(TRIM(INDEX($A70:$Z70,MATCH(Settings!$L$10,$A$1:$Z$1,0))&amp;""),""),9,2)))+TIME(VALUE(MID(IFERROR(TRIM(INDEX($A70:$Z70,MATCH(Settings!$L$10,$A$1:$Z$1,0))&amp;""),""),12,2)),VALUE(MID(IFERROR(TRIM(INDEX($A70:$Z70,MATCH(Settings!$L$10,$A$1:$Z$1,0))&amp;""),""),15,2)),VALUE(MID(IFERROR(TRIM(INDEX($A70:$Z70,MATCH(Settings!$L$10,$A$1:$Z$1,0))&amp;""),""),18,2)))),"")),"")</f>
        <v/>
      </c>
      <c r="AL70" s="32">
        <f>IF(AE70="","",IF(ISNUMBER(AK70),AK70,IFERROR(INT(IFERROR(IF(ISNUMBER(INDEX($A70:$Z70,MATCH(Settings!$L$11,$A$1:$Z$1,0))),INDEX($A70:$Z70,MATCH(Settings!$L$11,$A$1:$Z$1,0)),DATE(VALUE(LEFT(IFERROR(TRIM(INDEX($A70:$Z70,MATCH(Settings!$L$11,$A$1:$Z$1,0))&amp;""),""),4)),VALUE(MID(IFERROR(TRIM(INDEX($A70:$Z70,MATCH(Settings!$L$11,$A$1:$Z$1,0))&amp;""),""),6,2)),VALUE(MID(IFERROR(TRIM(INDEX($A70:$Z70,MATCH(Settings!$L$11,$A$1:$Z$1,0))&amp;""),""),9,2)))+TIME(VALUE(MID(IFERROR(TRIM(INDEX($A70:$Z70,MATCH(Settings!$L$11,$A$1:$Z$1,0))&amp;""),""),12,2)),VALUE(MID(IFERROR(TRIM(INDEX($A70:$Z70,MATCH(Settings!$L$11,$A$1:$Z$1,0))&amp;""),""),15,2)),VALUE(MID(IFERROR(TRIM(INDEX($A70:$Z70,MATCH(Settings!$L$11,$A$1:$Z$1,0))&amp;""),""),18,2)))),"")),"")))</f>
        <v/>
      </c>
      <c r="AM70" s="31">
        <f>IF(AE70="","",IF(ISNUMBER(IFERROR(INDEX(Settings!$G$4:$G$11,MATCH(AH70,Settings!$F$4:$F$11,0)),"")),INDEX(Settings!$G$4:$G$11,MATCH(AH70,Settings!$F$4:$F$11,0)),Settings!$D$5))</f>
        <v/>
      </c>
      <c r="AN70" s="32">
        <f>IF(OR(AE70="",NOT(ISNUMBER(AL70)),NOT(ISNUMBER(AM70))),"",IF(AM70&lt;=0,"",IF(ISNUMBER(Settings!$D$8),DATE(YEAR(AL70)+IF(DATE(YEAR(AL70),MONTH(Settings!$D$8),DAY(Settings!$D$8))&gt;AL70,0,1),MONTH(Settings!$D$8),DAY(Settings!$D$8)),MIN(DATE(YEAR(AL70),MONTH(AL70)+AM70,DAY(AL70)),DATE(YEAR(AL70),MONTH(AL70)+AM70+1,0)))))</f>
        <v/>
      </c>
      <c r="AO70" s="31">
        <f>IF(ISNUMBER(AN70),AN70-Settings!$D$4,"")</f>
        <v/>
      </c>
      <c r="AP70" s="31">
        <f>IF(ISNUMBER(AL70),AL70+0+ROW()/100000,"")</f>
        <v/>
      </c>
      <c r="AQ70" s="31">
        <f>IF(OR(AG70="",NOT(ISNUMBER(AP70))),0,IF(SUMPRODUCT(('Responses'!$AG$2:$AG$501=AG70)*('Responses'!$AJ$2:$AJ$501=1)*ISNUMBER('Responses'!$AP$2:$AP$501)*('Responses'!$AP$2:$AP$501&gt;AP70)) + SUMPRODUCT(('Paper sign-ups'!$K$2:$K$101=AG70)*('Paper sign-ups'!$N$2:$N$101=1)*ISNUMBER('Paper sign-ups'!$T$2:$T$101)*('Paper sign-ups'!$T$2:$T$101&gt;AP70))&gt;0,1,0))</f>
        <v/>
      </c>
      <c r="AR70" s="31">
        <f>IF(AE70="","",IF(AQ70=1,"Joined again",IF(AJ70=0,"Unpaid",IF(NOT(ISNUMBER(AL70)),"Add a join date",IF(AN70="","No reminder",IF(AO70&lt;0,"Lapsed",IF(AO70&lt;=Settings!$D$6,"Remind soon","Current")))))))</f>
        <v/>
      </c>
      <c r="AS70" s="33">
        <f>IF(AJ70=1,IFERROR(VALUE(IFERROR(TRIM(INDEX($A70:$Z70,MATCH(Settings!$L$8,$A$1:$Z$1,0))&amp;""),"")),0)-IFERROR(VALUE(IFERROR(TRIM(INDEX($A70:$Z70,MATCH(Settings!$L$9,$A$1:$Z$1,0))&amp;""),"")),0),0)</f>
        <v/>
      </c>
      <c r="AT70" s="31">
        <f>IF(AND(AE70&lt;&gt;"",AQ70=0),1,0)</f>
        <v/>
      </c>
      <c r="AU70" s="31">
        <f>IF(AT70=0,"",IF(ISNUMBER(AN70),AN70,100000)+0+ROW()/1000000)</f>
        <v/>
      </c>
      <c r="AV70" s="31">
        <f>IF(ISNUMBER(AU70),SUMPRODUCT(ISNUMBER('Responses'!$AU$2:$AU$501)*('Responses'!$AU$2:$AU$501&lt;AU70)) + SUMPRODUCT(ISNUMBER('Paper sign-ups'!$Y$2:$Y$101)*('Paper sign-ups'!$Y$2:$Y$101&lt;AU70))+1,"")</f>
        <v/>
      </c>
    </row>
    <row r="71">
      <c r="AA71" s="29" t="n"/>
      <c r="AB71" s="30" t="n"/>
      <c r="AC71" s="30" t="n"/>
      <c r="AD71" s="29" t="n"/>
      <c r="AE71" s="31">
        <f>IFERROR(TRIM(INDEX($A71:$Z71,MATCH(Settings!$L$4,$A$1:$Z$1,0))&amp;""),"")</f>
        <v/>
      </c>
      <c r="AF71" s="31">
        <f>IFERROR(TRIM(INDEX($A71:$Z71,MATCH(Settings!$L$5,$A$1:$Z$1,0))&amp;""),"")</f>
        <v/>
      </c>
      <c r="AG71" s="31">
        <f>IF(AE71="","",LOWER(IF(AF71&lt;&gt;"",AF71,AE71)))</f>
        <v/>
      </c>
      <c r="AH71" s="31">
        <f>IFERROR(TRIM(INDEX($A71:$Z71,MATCH(Settings!$L$6,$A$1:$Z$1,0))&amp;""),"")</f>
        <v/>
      </c>
      <c r="AI71" s="31">
        <f>IF(AE71="","",IF(UPPER(TRIM(AB71&amp;""))="Y","Paid another way",IF(IFERROR(TRIM(INDEX($A71:$Z71,MATCH(Settings!$L$7,$A$1:$Z$1,0))&amp;""),"")="","No payment status",IFERROR(TRIM(INDEX($A71:$Z71,MATCH(Settings!$L$7,$A$1:$Z$1,0))&amp;""),""))))</f>
        <v/>
      </c>
      <c r="AJ71" s="31">
        <f>IF(AE71="",0,IF(IFERROR(INDEX(Settings!$J$4:$J$14,MATCH(AI71,Settings!$I$4:$I$14,0)),"N")="Y",1,0))</f>
        <v/>
      </c>
      <c r="AK71" s="32">
        <f>IFERROR(INT(IFERROR(IF(ISNUMBER(INDEX($A71:$Z71,MATCH(Settings!$L$10,$A$1:$Z$1,0))),INDEX($A71:$Z71,MATCH(Settings!$L$10,$A$1:$Z$1,0)),DATE(VALUE(LEFT(IFERROR(TRIM(INDEX($A71:$Z71,MATCH(Settings!$L$10,$A$1:$Z$1,0))&amp;""),""),4)),VALUE(MID(IFERROR(TRIM(INDEX($A71:$Z71,MATCH(Settings!$L$10,$A$1:$Z$1,0))&amp;""),""),6,2)),VALUE(MID(IFERROR(TRIM(INDEX($A71:$Z71,MATCH(Settings!$L$10,$A$1:$Z$1,0))&amp;""),""),9,2)))+TIME(VALUE(MID(IFERROR(TRIM(INDEX($A71:$Z71,MATCH(Settings!$L$10,$A$1:$Z$1,0))&amp;""),""),12,2)),VALUE(MID(IFERROR(TRIM(INDEX($A71:$Z71,MATCH(Settings!$L$10,$A$1:$Z$1,0))&amp;""),""),15,2)),VALUE(MID(IFERROR(TRIM(INDEX($A71:$Z71,MATCH(Settings!$L$10,$A$1:$Z$1,0))&amp;""),""),18,2)))),"")),"")</f>
        <v/>
      </c>
      <c r="AL71" s="32">
        <f>IF(AE71="","",IF(ISNUMBER(AK71),AK71,IFERROR(INT(IFERROR(IF(ISNUMBER(INDEX($A71:$Z71,MATCH(Settings!$L$11,$A$1:$Z$1,0))),INDEX($A71:$Z71,MATCH(Settings!$L$11,$A$1:$Z$1,0)),DATE(VALUE(LEFT(IFERROR(TRIM(INDEX($A71:$Z71,MATCH(Settings!$L$11,$A$1:$Z$1,0))&amp;""),""),4)),VALUE(MID(IFERROR(TRIM(INDEX($A71:$Z71,MATCH(Settings!$L$11,$A$1:$Z$1,0))&amp;""),""),6,2)),VALUE(MID(IFERROR(TRIM(INDEX($A71:$Z71,MATCH(Settings!$L$11,$A$1:$Z$1,0))&amp;""),""),9,2)))+TIME(VALUE(MID(IFERROR(TRIM(INDEX($A71:$Z71,MATCH(Settings!$L$11,$A$1:$Z$1,0))&amp;""),""),12,2)),VALUE(MID(IFERROR(TRIM(INDEX($A71:$Z71,MATCH(Settings!$L$11,$A$1:$Z$1,0))&amp;""),""),15,2)),VALUE(MID(IFERROR(TRIM(INDEX($A71:$Z71,MATCH(Settings!$L$11,$A$1:$Z$1,0))&amp;""),""),18,2)))),"")),"")))</f>
        <v/>
      </c>
      <c r="AM71" s="31">
        <f>IF(AE71="","",IF(ISNUMBER(IFERROR(INDEX(Settings!$G$4:$G$11,MATCH(AH71,Settings!$F$4:$F$11,0)),"")),INDEX(Settings!$G$4:$G$11,MATCH(AH71,Settings!$F$4:$F$11,0)),Settings!$D$5))</f>
        <v/>
      </c>
      <c r="AN71" s="32">
        <f>IF(OR(AE71="",NOT(ISNUMBER(AL71)),NOT(ISNUMBER(AM71))),"",IF(AM71&lt;=0,"",IF(ISNUMBER(Settings!$D$8),DATE(YEAR(AL71)+IF(DATE(YEAR(AL71),MONTH(Settings!$D$8),DAY(Settings!$D$8))&gt;AL71,0,1),MONTH(Settings!$D$8),DAY(Settings!$D$8)),MIN(DATE(YEAR(AL71),MONTH(AL71)+AM71,DAY(AL71)),DATE(YEAR(AL71),MONTH(AL71)+AM71+1,0)))))</f>
        <v/>
      </c>
      <c r="AO71" s="31">
        <f>IF(ISNUMBER(AN71),AN71-Settings!$D$4,"")</f>
        <v/>
      </c>
      <c r="AP71" s="31">
        <f>IF(ISNUMBER(AL71),AL71+0+ROW()/100000,"")</f>
        <v/>
      </c>
      <c r="AQ71" s="31">
        <f>IF(OR(AG71="",NOT(ISNUMBER(AP71))),0,IF(SUMPRODUCT(('Responses'!$AG$2:$AG$501=AG71)*('Responses'!$AJ$2:$AJ$501=1)*ISNUMBER('Responses'!$AP$2:$AP$501)*('Responses'!$AP$2:$AP$501&gt;AP71)) + SUMPRODUCT(('Paper sign-ups'!$K$2:$K$101=AG71)*('Paper sign-ups'!$N$2:$N$101=1)*ISNUMBER('Paper sign-ups'!$T$2:$T$101)*('Paper sign-ups'!$T$2:$T$101&gt;AP71))&gt;0,1,0))</f>
        <v/>
      </c>
      <c r="AR71" s="31">
        <f>IF(AE71="","",IF(AQ71=1,"Joined again",IF(AJ71=0,"Unpaid",IF(NOT(ISNUMBER(AL71)),"Add a join date",IF(AN71="","No reminder",IF(AO71&lt;0,"Lapsed",IF(AO71&lt;=Settings!$D$6,"Remind soon","Current")))))))</f>
        <v/>
      </c>
      <c r="AS71" s="33">
        <f>IF(AJ71=1,IFERROR(VALUE(IFERROR(TRIM(INDEX($A71:$Z71,MATCH(Settings!$L$8,$A$1:$Z$1,0))&amp;""),"")),0)-IFERROR(VALUE(IFERROR(TRIM(INDEX($A71:$Z71,MATCH(Settings!$L$9,$A$1:$Z$1,0))&amp;""),"")),0),0)</f>
        <v/>
      </c>
      <c r="AT71" s="31">
        <f>IF(AND(AE71&lt;&gt;"",AQ71=0),1,0)</f>
        <v/>
      </c>
      <c r="AU71" s="31">
        <f>IF(AT71=0,"",IF(ISNUMBER(AN71),AN71,100000)+0+ROW()/1000000)</f>
        <v/>
      </c>
      <c r="AV71" s="31">
        <f>IF(ISNUMBER(AU71),SUMPRODUCT(ISNUMBER('Responses'!$AU$2:$AU$501)*('Responses'!$AU$2:$AU$501&lt;AU71)) + SUMPRODUCT(ISNUMBER('Paper sign-ups'!$Y$2:$Y$101)*('Paper sign-ups'!$Y$2:$Y$101&lt;AU71))+1,"")</f>
        <v/>
      </c>
    </row>
    <row r="72">
      <c r="AA72" s="29" t="n"/>
      <c r="AB72" s="30" t="n"/>
      <c r="AC72" s="30" t="n"/>
      <c r="AD72" s="29" t="n"/>
      <c r="AE72" s="31">
        <f>IFERROR(TRIM(INDEX($A72:$Z72,MATCH(Settings!$L$4,$A$1:$Z$1,0))&amp;""),"")</f>
        <v/>
      </c>
      <c r="AF72" s="31">
        <f>IFERROR(TRIM(INDEX($A72:$Z72,MATCH(Settings!$L$5,$A$1:$Z$1,0))&amp;""),"")</f>
        <v/>
      </c>
      <c r="AG72" s="31">
        <f>IF(AE72="","",LOWER(IF(AF72&lt;&gt;"",AF72,AE72)))</f>
        <v/>
      </c>
      <c r="AH72" s="31">
        <f>IFERROR(TRIM(INDEX($A72:$Z72,MATCH(Settings!$L$6,$A$1:$Z$1,0))&amp;""),"")</f>
        <v/>
      </c>
      <c r="AI72" s="31">
        <f>IF(AE72="","",IF(UPPER(TRIM(AB72&amp;""))="Y","Paid another way",IF(IFERROR(TRIM(INDEX($A72:$Z72,MATCH(Settings!$L$7,$A$1:$Z$1,0))&amp;""),"")="","No payment status",IFERROR(TRIM(INDEX($A72:$Z72,MATCH(Settings!$L$7,$A$1:$Z$1,0))&amp;""),""))))</f>
        <v/>
      </c>
      <c r="AJ72" s="31">
        <f>IF(AE72="",0,IF(IFERROR(INDEX(Settings!$J$4:$J$14,MATCH(AI72,Settings!$I$4:$I$14,0)),"N")="Y",1,0))</f>
        <v/>
      </c>
      <c r="AK72" s="32">
        <f>IFERROR(INT(IFERROR(IF(ISNUMBER(INDEX($A72:$Z72,MATCH(Settings!$L$10,$A$1:$Z$1,0))),INDEX($A72:$Z72,MATCH(Settings!$L$10,$A$1:$Z$1,0)),DATE(VALUE(LEFT(IFERROR(TRIM(INDEX($A72:$Z72,MATCH(Settings!$L$10,$A$1:$Z$1,0))&amp;""),""),4)),VALUE(MID(IFERROR(TRIM(INDEX($A72:$Z72,MATCH(Settings!$L$10,$A$1:$Z$1,0))&amp;""),""),6,2)),VALUE(MID(IFERROR(TRIM(INDEX($A72:$Z72,MATCH(Settings!$L$10,$A$1:$Z$1,0))&amp;""),""),9,2)))+TIME(VALUE(MID(IFERROR(TRIM(INDEX($A72:$Z72,MATCH(Settings!$L$10,$A$1:$Z$1,0))&amp;""),""),12,2)),VALUE(MID(IFERROR(TRIM(INDEX($A72:$Z72,MATCH(Settings!$L$10,$A$1:$Z$1,0))&amp;""),""),15,2)),VALUE(MID(IFERROR(TRIM(INDEX($A72:$Z72,MATCH(Settings!$L$10,$A$1:$Z$1,0))&amp;""),""),18,2)))),"")),"")</f>
        <v/>
      </c>
      <c r="AL72" s="32">
        <f>IF(AE72="","",IF(ISNUMBER(AK72),AK72,IFERROR(INT(IFERROR(IF(ISNUMBER(INDEX($A72:$Z72,MATCH(Settings!$L$11,$A$1:$Z$1,0))),INDEX($A72:$Z72,MATCH(Settings!$L$11,$A$1:$Z$1,0)),DATE(VALUE(LEFT(IFERROR(TRIM(INDEX($A72:$Z72,MATCH(Settings!$L$11,$A$1:$Z$1,0))&amp;""),""),4)),VALUE(MID(IFERROR(TRIM(INDEX($A72:$Z72,MATCH(Settings!$L$11,$A$1:$Z$1,0))&amp;""),""),6,2)),VALUE(MID(IFERROR(TRIM(INDEX($A72:$Z72,MATCH(Settings!$L$11,$A$1:$Z$1,0))&amp;""),""),9,2)))+TIME(VALUE(MID(IFERROR(TRIM(INDEX($A72:$Z72,MATCH(Settings!$L$11,$A$1:$Z$1,0))&amp;""),""),12,2)),VALUE(MID(IFERROR(TRIM(INDEX($A72:$Z72,MATCH(Settings!$L$11,$A$1:$Z$1,0))&amp;""),""),15,2)),VALUE(MID(IFERROR(TRIM(INDEX($A72:$Z72,MATCH(Settings!$L$11,$A$1:$Z$1,0))&amp;""),""),18,2)))),"")),"")))</f>
        <v/>
      </c>
      <c r="AM72" s="31">
        <f>IF(AE72="","",IF(ISNUMBER(IFERROR(INDEX(Settings!$G$4:$G$11,MATCH(AH72,Settings!$F$4:$F$11,0)),"")),INDEX(Settings!$G$4:$G$11,MATCH(AH72,Settings!$F$4:$F$11,0)),Settings!$D$5))</f>
        <v/>
      </c>
      <c r="AN72" s="32">
        <f>IF(OR(AE72="",NOT(ISNUMBER(AL72)),NOT(ISNUMBER(AM72))),"",IF(AM72&lt;=0,"",IF(ISNUMBER(Settings!$D$8),DATE(YEAR(AL72)+IF(DATE(YEAR(AL72),MONTH(Settings!$D$8),DAY(Settings!$D$8))&gt;AL72,0,1),MONTH(Settings!$D$8),DAY(Settings!$D$8)),MIN(DATE(YEAR(AL72),MONTH(AL72)+AM72,DAY(AL72)),DATE(YEAR(AL72),MONTH(AL72)+AM72+1,0)))))</f>
        <v/>
      </c>
      <c r="AO72" s="31">
        <f>IF(ISNUMBER(AN72),AN72-Settings!$D$4,"")</f>
        <v/>
      </c>
      <c r="AP72" s="31">
        <f>IF(ISNUMBER(AL72),AL72+0+ROW()/100000,"")</f>
        <v/>
      </c>
      <c r="AQ72" s="31">
        <f>IF(OR(AG72="",NOT(ISNUMBER(AP72))),0,IF(SUMPRODUCT(('Responses'!$AG$2:$AG$501=AG72)*('Responses'!$AJ$2:$AJ$501=1)*ISNUMBER('Responses'!$AP$2:$AP$501)*('Responses'!$AP$2:$AP$501&gt;AP72)) + SUMPRODUCT(('Paper sign-ups'!$K$2:$K$101=AG72)*('Paper sign-ups'!$N$2:$N$101=1)*ISNUMBER('Paper sign-ups'!$T$2:$T$101)*('Paper sign-ups'!$T$2:$T$101&gt;AP72))&gt;0,1,0))</f>
        <v/>
      </c>
      <c r="AR72" s="31">
        <f>IF(AE72="","",IF(AQ72=1,"Joined again",IF(AJ72=0,"Unpaid",IF(NOT(ISNUMBER(AL72)),"Add a join date",IF(AN72="","No reminder",IF(AO72&lt;0,"Lapsed",IF(AO72&lt;=Settings!$D$6,"Remind soon","Current")))))))</f>
        <v/>
      </c>
      <c r="AS72" s="33">
        <f>IF(AJ72=1,IFERROR(VALUE(IFERROR(TRIM(INDEX($A72:$Z72,MATCH(Settings!$L$8,$A$1:$Z$1,0))&amp;""),"")),0)-IFERROR(VALUE(IFERROR(TRIM(INDEX($A72:$Z72,MATCH(Settings!$L$9,$A$1:$Z$1,0))&amp;""),"")),0),0)</f>
        <v/>
      </c>
      <c r="AT72" s="31">
        <f>IF(AND(AE72&lt;&gt;"",AQ72=0),1,0)</f>
        <v/>
      </c>
      <c r="AU72" s="31">
        <f>IF(AT72=0,"",IF(ISNUMBER(AN72),AN72,100000)+0+ROW()/1000000)</f>
        <v/>
      </c>
      <c r="AV72" s="31">
        <f>IF(ISNUMBER(AU72),SUMPRODUCT(ISNUMBER('Responses'!$AU$2:$AU$501)*('Responses'!$AU$2:$AU$501&lt;AU72)) + SUMPRODUCT(ISNUMBER('Paper sign-ups'!$Y$2:$Y$101)*('Paper sign-ups'!$Y$2:$Y$101&lt;AU72))+1,"")</f>
        <v/>
      </c>
    </row>
    <row r="73">
      <c r="AA73" s="29" t="n"/>
      <c r="AB73" s="30" t="n"/>
      <c r="AC73" s="30" t="n"/>
      <c r="AD73" s="29" t="n"/>
      <c r="AE73" s="31">
        <f>IFERROR(TRIM(INDEX($A73:$Z73,MATCH(Settings!$L$4,$A$1:$Z$1,0))&amp;""),"")</f>
        <v/>
      </c>
      <c r="AF73" s="31">
        <f>IFERROR(TRIM(INDEX($A73:$Z73,MATCH(Settings!$L$5,$A$1:$Z$1,0))&amp;""),"")</f>
        <v/>
      </c>
      <c r="AG73" s="31">
        <f>IF(AE73="","",LOWER(IF(AF73&lt;&gt;"",AF73,AE73)))</f>
        <v/>
      </c>
      <c r="AH73" s="31">
        <f>IFERROR(TRIM(INDEX($A73:$Z73,MATCH(Settings!$L$6,$A$1:$Z$1,0))&amp;""),"")</f>
        <v/>
      </c>
      <c r="AI73" s="31">
        <f>IF(AE73="","",IF(UPPER(TRIM(AB73&amp;""))="Y","Paid another way",IF(IFERROR(TRIM(INDEX($A73:$Z73,MATCH(Settings!$L$7,$A$1:$Z$1,0))&amp;""),"")="","No payment status",IFERROR(TRIM(INDEX($A73:$Z73,MATCH(Settings!$L$7,$A$1:$Z$1,0))&amp;""),""))))</f>
        <v/>
      </c>
      <c r="AJ73" s="31">
        <f>IF(AE73="",0,IF(IFERROR(INDEX(Settings!$J$4:$J$14,MATCH(AI73,Settings!$I$4:$I$14,0)),"N")="Y",1,0))</f>
        <v/>
      </c>
      <c r="AK73" s="32">
        <f>IFERROR(INT(IFERROR(IF(ISNUMBER(INDEX($A73:$Z73,MATCH(Settings!$L$10,$A$1:$Z$1,0))),INDEX($A73:$Z73,MATCH(Settings!$L$10,$A$1:$Z$1,0)),DATE(VALUE(LEFT(IFERROR(TRIM(INDEX($A73:$Z73,MATCH(Settings!$L$10,$A$1:$Z$1,0))&amp;""),""),4)),VALUE(MID(IFERROR(TRIM(INDEX($A73:$Z73,MATCH(Settings!$L$10,$A$1:$Z$1,0))&amp;""),""),6,2)),VALUE(MID(IFERROR(TRIM(INDEX($A73:$Z73,MATCH(Settings!$L$10,$A$1:$Z$1,0))&amp;""),""),9,2)))+TIME(VALUE(MID(IFERROR(TRIM(INDEX($A73:$Z73,MATCH(Settings!$L$10,$A$1:$Z$1,0))&amp;""),""),12,2)),VALUE(MID(IFERROR(TRIM(INDEX($A73:$Z73,MATCH(Settings!$L$10,$A$1:$Z$1,0))&amp;""),""),15,2)),VALUE(MID(IFERROR(TRIM(INDEX($A73:$Z73,MATCH(Settings!$L$10,$A$1:$Z$1,0))&amp;""),""),18,2)))),"")),"")</f>
        <v/>
      </c>
      <c r="AL73" s="32">
        <f>IF(AE73="","",IF(ISNUMBER(AK73),AK73,IFERROR(INT(IFERROR(IF(ISNUMBER(INDEX($A73:$Z73,MATCH(Settings!$L$11,$A$1:$Z$1,0))),INDEX($A73:$Z73,MATCH(Settings!$L$11,$A$1:$Z$1,0)),DATE(VALUE(LEFT(IFERROR(TRIM(INDEX($A73:$Z73,MATCH(Settings!$L$11,$A$1:$Z$1,0))&amp;""),""),4)),VALUE(MID(IFERROR(TRIM(INDEX($A73:$Z73,MATCH(Settings!$L$11,$A$1:$Z$1,0))&amp;""),""),6,2)),VALUE(MID(IFERROR(TRIM(INDEX($A73:$Z73,MATCH(Settings!$L$11,$A$1:$Z$1,0))&amp;""),""),9,2)))+TIME(VALUE(MID(IFERROR(TRIM(INDEX($A73:$Z73,MATCH(Settings!$L$11,$A$1:$Z$1,0))&amp;""),""),12,2)),VALUE(MID(IFERROR(TRIM(INDEX($A73:$Z73,MATCH(Settings!$L$11,$A$1:$Z$1,0))&amp;""),""),15,2)),VALUE(MID(IFERROR(TRIM(INDEX($A73:$Z73,MATCH(Settings!$L$11,$A$1:$Z$1,0))&amp;""),""),18,2)))),"")),"")))</f>
        <v/>
      </c>
      <c r="AM73" s="31">
        <f>IF(AE73="","",IF(ISNUMBER(IFERROR(INDEX(Settings!$G$4:$G$11,MATCH(AH73,Settings!$F$4:$F$11,0)),"")),INDEX(Settings!$G$4:$G$11,MATCH(AH73,Settings!$F$4:$F$11,0)),Settings!$D$5))</f>
        <v/>
      </c>
      <c r="AN73" s="32">
        <f>IF(OR(AE73="",NOT(ISNUMBER(AL73)),NOT(ISNUMBER(AM73))),"",IF(AM73&lt;=0,"",IF(ISNUMBER(Settings!$D$8),DATE(YEAR(AL73)+IF(DATE(YEAR(AL73),MONTH(Settings!$D$8),DAY(Settings!$D$8))&gt;AL73,0,1),MONTH(Settings!$D$8),DAY(Settings!$D$8)),MIN(DATE(YEAR(AL73),MONTH(AL73)+AM73,DAY(AL73)),DATE(YEAR(AL73),MONTH(AL73)+AM73+1,0)))))</f>
        <v/>
      </c>
      <c r="AO73" s="31">
        <f>IF(ISNUMBER(AN73),AN73-Settings!$D$4,"")</f>
        <v/>
      </c>
      <c r="AP73" s="31">
        <f>IF(ISNUMBER(AL73),AL73+0+ROW()/100000,"")</f>
        <v/>
      </c>
      <c r="AQ73" s="31">
        <f>IF(OR(AG73="",NOT(ISNUMBER(AP73))),0,IF(SUMPRODUCT(('Responses'!$AG$2:$AG$501=AG73)*('Responses'!$AJ$2:$AJ$501=1)*ISNUMBER('Responses'!$AP$2:$AP$501)*('Responses'!$AP$2:$AP$501&gt;AP73)) + SUMPRODUCT(('Paper sign-ups'!$K$2:$K$101=AG73)*('Paper sign-ups'!$N$2:$N$101=1)*ISNUMBER('Paper sign-ups'!$T$2:$T$101)*('Paper sign-ups'!$T$2:$T$101&gt;AP73))&gt;0,1,0))</f>
        <v/>
      </c>
      <c r="AR73" s="31">
        <f>IF(AE73="","",IF(AQ73=1,"Joined again",IF(AJ73=0,"Unpaid",IF(NOT(ISNUMBER(AL73)),"Add a join date",IF(AN73="","No reminder",IF(AO73&lt;0,"Lapsed",IF(AO73&lt;=Settings!$D$6,"Remind soon","Current")))))))</f>
        <v/>
      </c>
      <c r="AS73" s="33">
        <f>IF(AJ73=1,IFERROR(VALUE(IFERROR(TRIM(INDEX($A73:$Z73,MATCH(Settings!$L$8,$A$1:$Z$1,0))&amp;""),"")),0)-IFERROR(VALUE(IFERROR(TRIM(INDEX($A73:$Z73,MATCH(Settings!$L$9,$A$1:$Z$1,0))&amp;""),"")),0),0)</f>
        <v/>
      </c>
      <c r="AT73" s="31">
        <f>IF(AND(AE73&lt;&gt;"",AQ73=0),1,0)</f>
        <v/>
      </c>
      <c r="AU73" s="31">
        <f>IF(AT73=0,"",IF(ISNUMBER(AN73),AN73,100000)+0+ROW()/1000000)</f>
        <v/>
      </c>
      <c r="AV73" s="31">
        <f>IF(ISNUMBER(AU73),SUMPRODUCT(ISNUMBER('Responses'!$AU$2:$AU$501)*('Responses'!$AU$2:$AU$501&lt;AU73)) + SUMPRODUCT(ISNUMBER('Paper sign-ups'!$Y$2:$Y$101)*('Paper sign-ups'!$Y$2:$Y$101&lt;AU73))+1,"")</f>
        <v/>
      </c>
    </row>
    <row r="74">
      <c r="AA74" s="29" t="n"/>
      <c r="AB74" s="30" t="n"/>
      <c r="AC74" s="30" t="n"/>
      <c r="AD74" s="29" t="n"/>
      <c r="AE74" s="31">
        <f>IFERROR(TRIM(INDEX($A74:$Z74,MATCH(Settings!$L$4,$A$1:$Z$1,0))&amp;""),"")</f>
        <v/>
      </c>
      <c r="AF74" s="31">
        <f>IFERROR(TRIM(INDEX($A74:$Z74,MATCH(Settings!$L$5,$A$1:$Z$1,0))&amp;""),"")</f>
        <v/>
      </c>
      <c r="AG74" s="31">
        <f>IF(AE74="","",LOWER(IF(AF74&lt;&gt;"",AF74,AE74)))</f>
        <v/>
      </c>
      <c r="AH74" s="31">
        <f>IFERROR(TRIM(INDEX($A74:$Z74,MATCH(Settings!$L$6,$A$1:$Z$1,0))&amp;""),"")</f>
        <v/>
      </c>
      <c r="AI74" s="31">
        <f>IF(AE74="","",IF(UPPER(TRIM(AB74&amp;""))="Y","Paid another way",IF(IFERROR(TRIM(INDEX($A74:$Z74,MATCH(Settings!$L$7,$A$1:$Z$1,0))&amp;""),"")="","No payment status",IFERROR(TRIM(INDEX($A74:$Z74,MATCH(Settings!$L$7,$A$1:$Z$1,0))&amp;""),""))))</f>
        <v/>
      </c>
      <c r="AJ74" s="31">
        <f>IF(AE74="",0,IF(IFERROR(INDEX(Settings!$J$4:$J$14,MATCH(AI74,Settings!$I$4:$I$14,0)),"N")="Y",1,0))</f>
        <v/>
      </c>
      <c r="AK74" s="32">
        <f>IFERROR(INT(IFERROR(IF(ISNUMBER(INDEX($A74:$Z74,MATCH(Settings!$L$10,$A$1:$Z$1,0))),INDEX($A74:$Z74,MATCH(Settings!$L$10,$A$1:$Z$1,0)),DATE(VALUE(LEFT(IFERROR(TRIM(INDEX($A74:$Z74,MATCH(Settings!$L$10,$A$1:$Z$1,0))&amp;""),""),4)),VALUE(MID(IFERROR(TRIM(INDEX($A74:$Z74,MATCH(Settings!$L$10,$A$1:$Z$1,0))&amp;""),""),6,2)),VALUE(MID(IFERROR(TRIM(INDEX($A74:$Z74,MATCH(Settings!$L$10,$A$1:$Z$1,0))&amp;""),""),9,2)))+TIME(VALUE(MID(IFERROR(TRIM(INDEX($A74:$Z74,MATCH(Settings!$L$10,$A$1:$Z$1,0))&amp;""),""),12,2)),VALUE(MID(IFERROR(TRIM(INDEX($A74:$Z74,MATCH(Settings!$L$10,$A$1:$Z$1,0))&amp;""),""),15,2)),VALUE(MID(IFERROR(TRIM(INDEX($A74:$Z74,MATCH(Settings!$L$10,$A$1:$Z$1,0))&amp;""),""),18,2)))),"")),"")</f>
        <v/>
      </c>
      <c r="AL74" s="32">
        <f>IF(AE74="","",IF(ISNUMBER(AK74),AK74,IFERROR(INT(IFERROR(IF(ISNUMBER(INDEX($A74:$Z74,MATCH(Settings!$L$11,$A$1:$Z$1,0))),INDEX($A74:$Z74,MATCH(Settings!$L$11,$A$1:$Z$1,0)),DATE(VALUE(LEFT(IFERROR(TRIM(INDEX($A74:$Z74,MATCH(Settings!$L$11,$A$1:$Z$1,0))&amp;""),""),4)),VALUE(MID(IFERROR(TRIM(INDEX($A74:$Z74,MATCH(Settings!$L$11,$A$1:$Z$1,0))&amp;""),""),6,2)),VALUE(MID(IFERROR(TRIM(INDEX($A74:$Z74,MATCH(Settings!$L$11,$A$1:$Z$1,0))&amp;""),""),9,2)))+TIME(VALUE(MID(IFERROR(TRIM(INDEX($A74:$Z74,MATCH(Settings!$L$11,$A$1:$Z$1,0))&amp;""),""),12,2)),VALUE(MID(IFERROR(TRIM(INDEX($A74:$Z74,MATCH(Settings!$L$11,$A$1:$Z$1,0))&amp;""),""),15,2)),VALUE(MID(IFERROR(TRIM(INDEX($A74:$Z74,MATCH(Settings!$L$11,$A$1:$Z$1,0))&amp;""),""),18,2)))),"")),"")))</f>
        <v/>
      </c>
      <c r="AM74" s="31">
        <f>IF(AE74="","",IF(ISNUMBER(IFERROR(INDEX(Settings!$G$4:$G$11,MATCH(AH74,Settings!$F$4:$F$11,0)),"")),INDEX(Settings!$G$4:$G$11,MATCH(AH74,Settings!$F$4:$F$11,0)),Settings!$D$5))</f>
        <v/>
      </c>
      <c r="AN74" s="32">
        <f>IF(OR(AE74="",NOT(ISNUMBER(AL74)),NOT(ISNUMBER(AM74))),"",IF(AM74&lt;=0,"",IF(ISNUMBER(Settings!$D$8),DATE(YEAR(AL74)+IF(DATE(YEAR(AL74),MONTH(Settings!$D$8),DAY(Settings!$D$8))&gt;AL74,0,1),MONTH(Settings!$D$8),DAY(Settings!$D$8)),MIN(DATE(YEAR(AL74),MONTH(AL74)+AM74,DAY(AL74)),DATE(YEAR(AL74),MONTH(AL74)+AM74+1,0)))))</f>
        <v/>
      </c>
      <c r="AO74" s="31">
        <f>IF(ISNUMBER(AN74),AN74-Settings!$D$4,"")</f>
        <v/>
      </c>
      <c r="AP74" s="31">
        <f>IF(ISNUMBER(AL74),AL74+0+ROW()/100000,"")</f>
        <v/>
      </c>
      <c r="AQ74" s="31">
        <f>IF(OR(AG74="",NOT(ISNUMBER(AP74))),0,IF(SUMPRODUCT(('Responses'!$AG$2:$AG$501=AG74)*('Responses'!$AJ$2:$AJ$501=1)*ISNUMBER('Responses'!$AP$2:$AP$501)*('Responses'!$AP$2:$AP$501&gt;AP74)) + SUMPRODUCT(('Paper sign-ups'!$K$2:$K$101=AG74)*('Paper sign-ups'!$N$2:$N$101=1)*ISNUMBER('Paper sign-ups'!$T$2:$T$101)*('Paper sign-ups'!$T$2:$T$101&gt;AP74))&gt;0,1,0))</f>
        <v/>
      </c>
      <c r="AR74" s="31">
        <f>IF(AE74="","",IF(AQ74=1,"Joined again",IF(AJ74=0,"Unpaid",IF(NOT(ISNUMBER(AL74)),"Add a join date",IF(AN74="","No reminder",IF(AO74&lt;0,"Lapsed",IF(AO74&lt;=Settings!$D$6,"Remind soon","Current")))))))</f>
        <v/>
      </c>
      <c r="AS74" s="33">
        <f>IF(AJ74=1,IFERROR(VALUE(IFERROR(TRIM(INDEX($A74:$Z74,MATCH(Settings!$L$8,$A$1:$Z$1,0))&amp;""),"")),0)-IFERROR(VALUE(IFERROR(TRIM(INDEX($A74:$Z74,MATCH(Settings!$L$9,$A$1:$Z$1,0))&amp;""),"")),0),0)</f>
        <v/>
      </c>
      <c r="AT74" s="31">
        <f>IF(AND(AE74&lt;&gt;"",AQ74=0),1,0)</f>
        <v/>
      </c>
      <c r="AU74" s="31">
        <f>IF(AT74=0,"",IF(ISNUMBER(AN74),AN74,100000)+0+ROW()/1000000)</f>
        <v/>
      </c>
      <c r="AV74" s="31">
        <f>IF(ISNUMBER(AU74),SUMPRODUCT(ISNUMBER('Responses'!$AU$2:$AU$501)*('Responses'!$AU$2:$AU$501&lt;AU74)) + SUMPRODUCT(ISNUMBER('Paper sign-ups'!$Y$2:$Y$101)*('Paper sign-ups'!$Y$2:$Y$101&lt;AU74))+1,"")</f>
        <v/>
      </c>
    </row>
    <row r="75">
      <c r="AA75" s="29" t="n"/>
      <c r="AB75" s="30" t="n"/>
      <c r="AC75" s="30" t="n"/>
      <c r="AD75" s="29" t="n"/>
      <c r="AE75" s="31">
        <f>IFERROR(TRIM(INDEX($A75:$Z75,MATCH(Settings!$L$4,$A$1:$Z$1,0))&amp;""),"")</f>
        <v/>
      </c>
      <c r="AF75" s="31">
        <f>IFERROR(TRIM(INDEX($A75:$Z75,MATCH(Settings!$L$5,$A$1:$Z$1,0))&amp;""),"")</f>
        <v/>
      </c>
      <c r="AG75" s="31">
        <f>IF(AE75="","",LOWER(IF(AF75&lt;&gt;"",AF75,AE75)))</f>
        <v/>
      </c>
      <c r="AH75" s="31">
        <f>IFERROR(TRIM(INDEX($A75:$Z75,MATCH(Settings!$L$6,$A$1:$Z$1,0))&amp;""),"")</f>
        <v/>
      </c>
      <c r="AI75" s="31">
        <f>IF(AE75="","",IF(UPPER(TRIM(AB75&amp;""))="Y","Paid another way",IF(IFERROR(TRIM(INDEX($A75:$Z75,MATCH(Settings!$L$7,$A$1:$Z$1,0))&amp;""),"")="","No payment status",IFERROR(TRIM(INDEX($A75:$Z75,MATCH(Settings!$L$7,$A$1:$Z$1,0))&amp;""),""))))</f>
        <v/>
      </c>
      <c r="AJ75" s="31">
        <f>IF(AE75="",0,IF(IFERROR(INDEX(Settings!$J$4:$J$14,MATCH(AI75,Settings!$I$4:$I$14,0)),"N")="Y",1,0))</f>
        <v/>
      </c>
      <c r="AK75" s="32">
        <f>IFERROR(INT(IFERROR(IF(ISNUMBER(INDEX($A75:$Z75,MATCH(Settings!$L$10,$A$1:$Z$1,0))),INDEX($A75:$Z75,MATCH(Settings!$L$10,$A$1:$Z$1,0)),DATE(VALUE(LEFT(IFERROR(TRIM(INDEX($A75:$Z75,MATCH(Settings!$L$10,$A$1:$Z$1,0))&amp;""),""),4)),VALUE(MID(IFERROR(TRIM(INDEX($A75:$Z75,MATCH(Settings!$L$10,$A$1:$Z$1,0))&amp;""),""),6,2)),VALUE(MID(IFERROR(TRIM(INDEX($A75:$Z75,MATCH(Settings!$L$10,$A$1:$Z$1,0))&amp;""),""),9,2)))+TIME(VALUE(MID(IFERROR(TRIM(INDEX($A75:$Z75,MATCH(Settings!$L$10,$A$1:$Z$1,0))&amp;""),""),12,2)),VALUE(MID(IFERROR(TRIM(INDEX($A75:$Z75,MATCH(Settings!$L$10,$A$1:$Z$1,0))&amp;""),""),15,2)),VALUE(MID(IFERROR(TRIM(INDEX($A75:$Z75,MATCH(Settings!$L$10,$A$1:$Z$1,0))&amp;""),""),18,2)))),"")),"")</f>
        <v/>
      </c>
      <c r="AL75" s="32">
        <f>IF(AE75="","",IF(ISNUMBER(AK75),AK75,IFERROR(INT(IFERROR(IF(ISNUMBER(INDEX($A75:$Z75,MATCH(Settings!$L$11,$A$1:$Z$1,0))),INDEX($A75:$Z75,MATCH(Settings!$L$11,$A$1:$Z$1,0)),DATE(VALUE(LEFT(IFERROR(TRIM(INDEX($A75:$Z75,MATCH(Settings!$L$11,$A$1:$Z$1,0))&amp;""),""),4)),VALUE(MID(IFERROR(TRIM(INDEX($A75:$Z75,MATCH(Settings!$L$11,$A$1:$Z$1,0))&amp;""),""),6,2)),VALUE(MID(IFERROR(TRIM(INDEX($A75:$Z75,MATCH(Settings!$L$11,$A$1:$Z$1,0))&amp;""),""),9,2)))+TIME(VALUE(MID(IFERROR(TRIM(INDEX($A75:$Z75,MATCH(Settings!$L$11,$A$1:$Z$1,0))&amp;""),""),12,2)),VALUE(MID(IFERROR(TRIM(INDEX($A75:$Z75,MATCH(Settings!$L$11,$A$1:$Z$1,0))&amp;""),""),15,2)),VALUE(MID(IFERROR(TRIM(INDEX($A75:$Z75,MATCH(Settings!$L$11,$A$1:$Z$1,0))&amp;""),""),18,2)))),"")),"")))</f>
        <v/>
      </c>
      <c r="AM75" s="31">
        <f>IF(AE75="","",IF(ISNUMBER(IFERROR(INDEX(Settings!$G$4:$G$11,MATCH(AH75,Settings!$F$4:$F$11,0)),"")),INDEX(Settings!$G$4:$G$11,MATCH(AH75,Settings!$F$4:$F$11,0)),Settings!$D$5))</f>
        <v/>
      </c>
      <c r="AN75" s="32">
        <f>IF(OR(AE75="",NOT(ISNUMBER(AL75)),NOT(ISNUMBER(AM75))),"",IF(AM75&lt;=0,"",IF(ISNUMBER(Settings!$D$8),DATE(YEAR(AL75)+IF(DATE(YEAR(AL75),MONTH(Settings!$D$8),DAY(Settings!$D$8))&gt;AL75,0,1),MONTH(Settings!$D$8),DAY(Settings!$D$8)),MIN(DATE(YEAR(AL75),MONTH(AL75)+AM75,DAY(AL75)),DATE(YEAR(AL75),MONTH(AL75)+AM75+1,0)))))</f>
        <v/>
      </c>
      <c r="AO75" s="31">
        <f>IF(ISNUMBER(AN75),AN75-Settings!$D$4,"")</f>
        <v/>
      </c>
      <c r="AP75" s="31">
        <f>IF(ISNUMBER(AL75),AL75+0+ROW()/100000,"")</f>
        <v/>
      </c>
      <c r="AQ75" s="31">
        <f>IF(OR(AG75="",NOT(ISNUMBER(AP75))),0,IF(SUMPRODUCT(('Responses'!$AG$2:$AG$501=AG75)*('Responses'!$AJ$2:$AJ$501=1)*ISNUMBER('Responses'!$AP$2:$AP$501)*('Responses'!$AP$2:$AP$501&gt;AP75)) + SUMPRODUCT(('Paper sign-ups'!$K$2:$K$101=AG75)*('Paper sign-ups'!$N$2:$N$101=1)*ISNUMBER('Paper sign-ups'!$T$2:$T$101)*('Paper sign-ups'!$T$2:$T$101&gt;AP75))&gt;0,1,0))</f>
        <v/>
      </c>
      <c r="AR75" s="31">
        <f>IF(AE75="","",IF(AQ75=1,"Joined again",IF(AJ75=0,"Unpaid",IF(NOT(ISNUMBER(AL75)),"Add a join date",IF(AN75="","No reminder",IF(AO75&lt;0,"Lapsed",IF(AO75&lt;=Settings!$D$6,"Remind soon","Current")))))))</f>
        <v/>
      </c>
      <c r="AS75" s="33">
        <f>IF(AJ75=1,IFERROR(VALUE(IFERROR(TRIM(INDEX($A75:$Z75,MATCH(Settings!$L$8,$A$1:$Z$1,0))&amp;""),"")),0)-IFERROR(VALUE(IFERROR(TRIM(INDEX($A75:$Z75,MATCH(Settings!$L$9,$A$1:$Z$1,0))&amp;""),"")),0),0)</f>
        <v/>
      </c>
      <c r="AT75" s="31">
        <f>IF(AND(AE75&lt;&gt;"",AQ75=0),1,0)</f>
        <v/>
      </c>
      <c r="AU75" s="31">
        <f>IF(AT75=0,"",IF(ISNUMBER(AN75),AN75,100000)+0+ROW()/1000000)</f>
        <v/>
      </c>
      <c r="AV75" s="31">
        <f>IF(ISNUMBER(AU75),SUMPRODUCT(ISNUMBER('Responses'!$AU$2:$AU$501)*('Responses'!$AU$2:$AU$501&lt;AU75)) + SUMPRODUCT(ISNUMBER('Paper sign-ups'!$Y$2:$Y$101)*('Paper sign-ups'!$Y$2:$Y$101&lt;AU75))+1,"")</f>
        <v/>
      </c>
    </row>
    <row r="76">
      <c r="AA76" s="29" t="n"/>
      <c r="AB76" s="30" t="n"/>
      <c r="AC76" s="30" t="n"/>
      <c r="AD76" s="29" t="n"/>
      <c r="AE76" s="31">
        <f>IFERROR(TRIM(INDEX($A76:$Z76,MATCH(Settings!$L$4,$A$1:$Z$1,0))&amp;""),"")</f>
        <v/>
      </c>
      <c r="AF76" s="31">
        <f>IFERROR(TRIM(INDEX($A76:$Z76,MATCH(Settings!$L$5,$A$1:$Z$1,0))&amp;""),"")</f>
        <v/>
      </c>
      <c r="AG76" s="31">
        <f>IF(AE76="","",LOWER(IF(AF76&lt;&gt;"",AF76,AE76)))</f>
        <v/>
      </c>
      <c r="AH76" s="31">
        <f>IFERROR(TRIM(INDEX($A76:$Z76,MATCH(Settings!$L$6,$A$1:$Z$1,0))&amp;""),"")</f>
        <v/>
      </c>
      <c r="AI76" s="31">
        <f>IF(AE76="","",IF(UPPER(TRIM(AB76&amp;""))="Y","Paid another way",IF(IFERROR(TRIM(INDEX($A76:$Z76,MATCH(Settings!$L$7,$A$1:$Z$1,0))&amp;""),"")="","No payment status",IFERROR(TRIM(INDEX($A76:$Z76,MATCH(Settings!$L$7,$A$1:$Z$1,0))&amp;""),""))))</f>
        <v/>
      </c>
      <c r="AJ76" s="31">
        <f>IF(AE76="",0,IF(IFERROR(INDEX(Settings!$J$4:$J$14,MATCH(AI76,Settings!$I$4:$I$14,0)),"N")="Y",1,0))</f>
        <v/>
      </c>
      <c r="AK76" s="32">
        <f>IFERROR(INT(IFERROR(IF(ISNUMBER(INDEX($A76:$Z76,MATCH(Settings!$L$10,$A$1:$Z$1,0))),INDEX($A76:$Z76,MATCH(Settings!$L$10,$A$1:$Z$1,0)),DATE(VALUE(LEFT(IFERROR(TRIM(INDEX($A76:$Z76,MATCH(Settings!$L$10,$A$1:$Z$1,0))&amp;""),""),4)),VALUE(MID(IFERROR(TRIM(INDEX($A76:$Z76,MATCH(Settings!$L$10,$A$1:$Z$1,0))&amp;""),""),6,2)),VALUE(MID(IFERROR(TRIM(INDEX($A76:$Z76,MATCH(Settings!$L$10,$A$1:$Z$1,0))&amp;""),""),9,2)))+TIME(VALUE(MID(IFERROR(TRIM(INDEX($A76:$Z76,MATCH(Settings!$L$10,$A$1:$Z$1,0))&amp;""),""),12,2)),VALUE(MID(IFERROR(TRIM(INDEX($A76:$Z76,MATCH(Settings!$L$10,$A$1:$Z$1,0))&amp;""),""),15,2)),VALUE(MID(IFERROR(TRIM(INDEX($A76:$Z76,MATCH(Settings!$L$10,$A$1:$Z$1,0))&amp;""),""),18,2)))),"")),"")</f>
        <v/>
      </c>
      <c r="AL76" s="32">
        <f>IF(AE76="","",IF(ISNUMBER(AK76),AK76,IFERROR(INT(IFERROR(IF(ISNUMBER(INDEX($A76:$Z76,MATCH(Settings!$L$11,$A$1:$Z$1,0))),INDEX($A76:$Z76,MATCH(Settings!$L$11,$A$1:$Z$1,0)),DATE(VALUE(LEFT(IFERROR(TRIM(INDEX($A76:$Z76,MATCH(Settings!$L$11,$A$1:$Z$1,0))&amp;""),""),4)),VALUE(MID(IFERROR(TRIM(INDEX($A76:$Z76,MATCH(Settings!$L$11,$A$1:$Z$1,0))&amp;""),""),6,2)),VALUE(MID(IFERROR(TRIM(INDEX($A76:$Z76,MATCH(Settings!$L$11,$A$1:$Z$1,0))&amp;""),""),9,2)))+TIME(VALUE(MID(IFERROR(TRIM(INDEX($A76:$Z76,MATCH(Settings!$L$11,$A$1:$Z$1,0))&amp;""),""),12,2)),VALUE(MID(IFERROR(TRIM(INDEX($A76:$Z76,MATCH(Settings!$L$11,$A$1:$Z$1,0))&amp;""),""),15,2)),VALUE(MID(IFERROR(TRIM(INDEX($A76:$Z76,MATCH(Settings!$L$11,$A$1:$Z$1,0))&amp;""),""),18,2)))),"")),"")))</f>
        <v/>
      </c>
      <c r="AM76" s="31">
        <f>IF(AE76="","",IF(ISNUMBER(IFERROR(INDEX(Settings!$G$4:$G$11,MATCH(AH76,Settings!$F$4:$F$11,0)),"")),INDEX(Settings!$G$4:$G$11,MATCH(AH76,Settings!$F$4:$F$11,0)),Settings!$D$5))</f>
        <v/>
      </c>
      <c r="AN76" s="32">
        <f>IF(OR(AE76="",NOT(ISNUMBER(AL76)),NOT(ISNUMBER(AM76))),"",IF(AM76&lt;=0,"",IF(ISNUMBER(Settings!$D$8),DATE(YEAR(AL76)+IF(DATE(YEAR(AL76),MONTH(Settings!$D$8),DAY(Settings!$D$8))&gt;AL76,0,1),MONTH(Settings!$D$8),DAY(Settings!$D$8)),MIN(DATE(YEAR(AL76),MONTH(AL76)+AM76,DAY(AL76)),DATE(YEAR(AL76),MONTH(AL76)+AM76+1,0)))))</f>
        <v/>
      </c>
      <c r="AO76" s="31">
        <f>IF(ISNUMBER(AN76),AN76-Settings!$D$4,"")</f>
        <v/>
      </c>
      <c r="AP76" s="31">
        <f>IF(ISNUMBER(AL76),AL76+0+ROW()/100000,"")</f>
        <v/>
      </c>
      <c r="AQ76" s="31">
        <f>IF(OR(AG76="",NOT(ISNUMBER(AP76))),0,IF(SUMPRODUCT(('Responses'!$AG$2:$AG$501=AG76)*('Responses'!$AJ$2:$AJ$501=1)*ISNUMBER('Responses'!$AP$2:$AP$501)*('Responses'!$AP$2:$AP$501&gt;AP76)) + SUMPRODUCT(('Paper sign-ups'!$K$2:$K$101=AG76)*('Paper sign-ups'!$N$2:$N$101=1)*ISNUMBER('Paper sign-ups'!$T$2:$T$101)*('Paper sign-ups'!$T$2:$T$101&gt;AP76))&gt;0,1,0))</f>
        <v/>
      </c>
      <c r="AR76" s="31">
        <f>IF(AE76="","",IF(AQ76=1,"Joined again",IF(AJ76=0,"Unpaid",IF(NOT(ISNUMBER(AL76)),"Add a join date",IF(AN76="","No reminder",IF(AO76&lt;0,"Lapsed",IF(AO76&lt;=Settings!$D$6,"Remind soon","Current")))))))</f>
        <v/>
      </c>
      <c r="AS76" s="33">
        <f>IF(AJ76=1,IFERROR(VALUE(IFERROR(TRIM(INDEX($A76:$Z76,MATCH(Settings!$L$8,$A$1:$Z$1,0))&amp;""),"")),0)-IFERROR(VALUE(IFERROR(TRIM(INDEX($A76:$Z76,MATCH(Settings!$L$9,$A$1:$Z$1,0))&amp;""),"")),0),0)</f>
        <v/>
      </c>
      <c r="AT76" s="31">
        <f>IF(AND(AE76&lt;&gt;"",AQ76=0),1,0)</f>
        <v/>
      </c>
      <c r="AU76" s="31">
        <f>IF(AT76=0,"",IF(ISNUMBER(AN76),AN76,100000)+0+ROW()/1000000)</f>
        <v/>
      </c>
      <c r="AV76" s="31">
        <f>IF(ISNUMBER(AU76),SUMPRODUCT(ISNUMBER('Responses'!$AU$2:$AU$501)*('Responses'!$AU$2:$AU$501&lt;AU76)) + SUMPRODUCT(ISNUMBER('Paper sign-ups'!$Y$2:$Y$101)*('Paper sign-ups'!$Y$2:$Y$101&lt;AU76))+1,"")</f>
        <v/>
      </c>
    </row>
    <row r="77">
      <c r="AA77" s="29" t="n"/>
      <c r="AB77" s="30" t="n"/>
      <c r="AC77" s="30" t="n"/>
      <c r="AD77" s="29" t="n"/>
      <c r="AE77" s="31">
        <f>IFERROR(TRIM(INDEX($A77:$Z77,MATCH(Settings!$L$4,$A$1:$Z$1,0))&amp;""),"")</f>
        <v/>
      </c>
      <c r="AF77" s="31">
        <f>IFERROR(TRIM(INDEX($A77:$Z77,MATCH(Settings!$L$5,$A$1:$Z$1,0))&amp;""),"")</f>
        <v/>
      </c>
      <c r="AG77" s="31">
        <f>IF(AE77="","",LOWER(IF(AF77&lt;&gt;"",AF77,AE77)))</f>
        <v/>
      </c>
      <c r="AH77" s="31">
        <f>IFERROR(TRIM(INDEX($A77:$Z77,MATCH(Settings!$L$6,$A$1:$Z$1,0))&amp;""),"")</f>
        <v/>
      </c>
      <c r="AI77" s="31">
        <f>IF(AE77="","",IF(UPPER(TRIM(AB77&amp;""))="Y","Paid another way",IF(IFERROR(TRIM(INDEX($A77:$Z77,MATCH(Settings!$L$7,$A$1:$Z$1,0))&amp;""),"")="","No payment status",IFERROR(TRIM(INDEX($A77:$Z77,MATCH(Settings!$L$7,$A$1:$Z$1,0))&amp;""),""))))</f>
        <v/>
      </c>
      <c r="AJ77" s="31">
        <f>IF(AE77="",0,IF(IFERROR(INDEX(Settings!$J$4:$J$14,MATCH(AI77,Settings!$I$4:$I$14,0)),"N")="Y",1,0))</f>
        <v/>
      </c>
      <c r="AK77" s="32">
        <f>IFERROR(INT(IFERROR(IF(ISNUMBER(INDEX($A77:$Z77,MATCH(Settings!$L$10,$A$1:$Z$1,0))),INDEX($A77:$Z77,MATCH(Settings!$L$10,$A$1:$Z$1,0)),DATE(VALUE(LEFT(IFERROR(TRIM(INDEX($A77:$Z77,MATCH(Settings!$L$10,$A$1:$Z$1,0))&amp;""),""),4)),VALUE(MID(IFERROR(TRIM(INDEX($A77:$Z77,MATCH(Settings!$L$10,$A$1:$Z$1,0))&amp;""),""),6,2)),VALUE(MID(IFERROR(TRIM(INDEX($A77:$Z77,MATCH(Settings!$L$10,$A$1:$Z$1,0))&amp;""),""),9,2)))+TIME(VALUE(MID(IFERROR(TRIM(INDEX($A77:$Z77,MATCH(Settings!$L$10,$A$1:$Z$1,0))&amp;""),""),12,2)),VALUE(MID(IFERROR(TRIM(INDEX($A77:$Z77,MATCH(Settings!$L$10,$A$1:$Z$1,0))&amp;""),""),15,2)),VALUE(MID(IFERROR(TRIM(INDEX($A77:$Z77,MATCH(Settings!$L$10,$A$1:$Z$1,0))&amp;""),""),18,2)))),"")),"")</f>
        <v/>
      </c>
      <c r="AL77" s="32">
        <f>IF(AE77="","",IF(ISNUMBER(AK77),AK77,IFERROR(INT(IFERROR(IF(ISNUMBER(INDEX($A77:$Z77,MATCH(Settings!$L$11,$A$1:$Z$1,0))),INDEX($A77:$Z77,MATCH(Settings!$L$11,$A$1:$Z$1,0)),DATE(VALUE(LEFT(IFERROR(TRIM(INDEX($A77:$Z77,MATCH(Settings!$L$11,$A$1:$Z$1,0))&amp;""),""),4)),VALUE(MID(IFERROR(TRIM(INDEX($A77:$Z77,MATCH(Settings!$L$11,$A$1:$Z$1,0))&amp;""),""),6,2)),VALUE(MID(IFERROR(TRIM(INDEX($A77:$Z77,MATCH(Settings!$L$11,$A$1:$Z$1,0))&amp;""),""),9,2)))+TIME(VALUE(MID(IFERROR(TRIM(INDEX($A77:$Z77,MATCH(Settings!$L$11,$A$1:$Z$1,0))&amp;""),""),12,2)),VALUE(MID(IFERROR(TRIM(INDEX($A77:$Z77,MATCH(Settings!$L$11,$A$1:$Z$1,0))&amp;""),""),15,2)),VALUE(MID(IFERROR(TRIM(INDEX($A77:$Z77,MATCH(Settings!$L$11,$A$1:$Z$1,0))&amp;""),""),18,2)))),"")),"")))</f>
        <v/>
      </c>
      <c r="AM77" s="31">
        <f>IF(AE77="","",IF(ISNUMBER(IFERROR(INDEX(Settings!$G$4:$G$11,MATCH(AH77,Settings!$F$4:$F$11,0)),"")),INDEX(Settings!$G$4:$G$11,MATCH(AH77,Settings!$F$4:$F$11,0)),Settings!$D$5))</f>
        <v/>
      </c>
      <c r="AN77" s="32">
        <f>IF(OR(AE77="",NOT(ISNUMBER(AL77)),NOT(ISNUMBER(AM77))),"",IF(AM77&lt;=0,"",IF(ISNUMBER(Settings!$D$8),DATE(YEAR(AL77)+IF(DATE(YEAR(AL77),MONTH(Settings!$D$8),DAY(Settings!$D$8))&gt;AL77,0,1),MONTH(Settings!$D$8),DAY(Settings!$D$8)),MIN(DATE(YEAR(AL77),MONTH(AL77)+AM77,DAY(AL77)),DATE(YEAR(AL77),MONTH(AL77)+AM77+1,0)))))</f>
        <v/>
      </c>
      <c r="AO77" s="31">
        <f>IF(ISNUMBER(AN77),AN77-Settings!$D$4,"")</f>
        <v/>
      </c>
      <c r="AP77" s="31">
        <f>IF(ISNUMBER(AL77),AL77+0+ROW()/100000,"")</f>
        <v/>
      </c>
      <c r="AQ77" s="31">
        <f>IF(OR(AG77="",NOT(ISNUMBER(AP77))),0,IF(SUMPRODUCT(('Responses'!$AG$2:$AG$501=AG77)*('Responses'!$AJ$2:$AJ$501=1)*ISNUMBER('Responses'!$AP$2:$AP$501)*('Responses'!$AP$2:$AP$501&gt;AP77)) + SUMPRODUCT(('Paper sign-ups'!$K$2:$K$101=AG77)*('Paper sign-ups'!$N$2:$N$101=1)*ISNUMBER('Paper sign-ups'!$T$2:$T$101)*('Paper sign-ups'!$T$2:$T$101&gt;AP77))&gt;0,1,0))</f>
        <v/>
      </c>
      <c r="AR77" s="31">
        <f>IF(AE77="","",IF(AQ77=1,"Joined again",IF(AJ77=0,"Unpaid",IF(NOT(ISNUMBER(AL77)),"Add a join date",IF(AN77="","No reminder",IF(AO77&lt;0,"Lapsed",IF(AO77&lt;=Settings!$D$6,"Remind soon","Current")))))))</f>
        <v/>
      </c>
      <c r="AS77" s="33">
        <f>IF(AJ77=1,IFERROR(VALUE(IFERROR(TRIM(INDEX($A77:$Z77,MATCH(Settings!$L$8,$A$1:$Z$1,0))&amp;""),"")),0)-IFERROR(VALUE(IFERROR(TRIM(INDEX($A77:$Z77,MATCH(Settings!$L$9,$A$1:$Z$1,0))&amp;""),"")),0),0)</f>
        <v/>
      </c>
      <c r="AT77" s="31">
        <f>IF(AND(AE77&lt;&gt;"",AQ77=0),1,0)</f>
        <v/>
      </c>
      <c r="AU77" s="31">
        <f>IF(AT77=0,"",IF(ISNUMBER(AN77),AN77,100000)+0+ROW()/1000000)</f>
        <v/>
      </c>
      <c r="AV77" s="31">
        <f>IF(ISNUMBER(AU77),SUMPRODUCT(ISNUMBER('Responses'!$AU$2:$AU$501)*('Responses'!$AU$2:$AU$501&lt;AU77)) + SUMPRODUCT(ISNUMBER('Paper sign-ups'!$Y$2:$Y$101)*('Paper sign-ups'!$Y$2:$Y$101&lt;AU77))+1,"")</f>
        <v/>
      </c>
    </row>
    <row r="78">
      <c r="AA78" s="29" t="n"/>
      <c r="AB78" s="30" t="n"/>
      <c r="AC78" s="30" t="n"/>
      <c r="AD78" s="29" t="n"/>
      <c r="AE78" s="31">
        <f>IFERROR(TRIM(INDEX($A78:$Z78,MATCH(Settings!$L$4,$A$1:$Z$1,0))&amp;""),"")</f>
        <v/>
      </c>
      <c r="AF78" s="31">
        <f>IFERROR(TRIM(INDEX($A78:$Z78,MATCH(Settings!$L$5,$A$1:$Z$1,0))&amp;""),"")</f>
        <v/>
      </c>
      <c r="AG78" s="31">
        <f>IF(AE78="","",LOWER(IF(AF78&lt;&gt;"",AF78,AE78)))</f>
        <v/>
      </c>
      <c r="AH78" s="31">
        <f>IFERROR(TRIM(INDEX($A78:$Z78,MATCH(Settings!$L$6,$A$1:$Z$1,0))&amp;""),"")</f>
        <v/>
      </c>
      <c r="AI78" s="31">
        <f>IF(AE78="","",IF(UPPER(TRIM(AB78&amp;""))="Y","Paid another way",IF(IFERROR(TRIM(INDEX($A78:$Z78,MATCH(Settings!$L$7,$A$1:$Z$1,0))&amp;""),"")="","No payment status",IFERROR(TRIM(INDEX($A78:$Z78,MATCH(Settings!$L$7,$A$1:$Z$1,0))&amp;""),""))))</f>
        <v/>
      </c>
      <c r="AJ78" s="31">
        <f>IF(AE78="",0,IF(IFERROR(INDEX(Settings!$J$4:$J$14,MATCH(AI78,Settings!$I$4:$I$14,0)),"N")="Y",1,0))</f>
        <v/>
      </c>
      <c r="AK78" s="32">
        <f>IFERROR(INT(IFERROR(IF(ISNUMBER(INDEX($A78:$Z78,MATCH(Settings!$L$10,$A$1:$Z$1,0))),INDEX($A78:$Z78,MATCH(Settings!$L$10,$A$1:$Z$1,0)),DATE(VALUE(LEFT(IFERROR(TRIM(INDEX($A78:$Z78,MATCH(Settings!$L$10,$A$1:$Z$1,0))&amp;""),""),4)),VALUE(MID(IFERROR(TRIM(INDEX($A78:$Z78,MATCH(Settings!$L$10,$A$1:$Z$1,0))&amp;""),""),6,2)),VALUE(MID(IFERROR(TRIM(INDEX($A78:$Z78,MATCH(Settings!$L$10,$A$1:$Z$1,0))&amp;""),""),9,2)))+TIME(VALUE(MID(IFERROR(TRIM(INDEX($A78:$Z78,MATCH(Settings!$L$10,$A$1:$Z$1,0))&amp;""),""),12,2)),VALUE(MID(IFERROR(TRIM(INDEX($A78:$Z78,MATCH(Settings!$L$10,$A$1:$Z$1,0))&amp;""),""),15,2)),VALUE(MID(IFERROR(TRIM(INDEX($A78:$Z78,MATCH(Settings!$L$10,$A$1:$Z$1,0))&amp;""),""),18,2)))),"")),"")</f>
        <v/>
      </c>
      <c r="AL78" s="32">
        <f>IF(AE78="","",IF(ISNUMBER(AK78),AK78,IFERROR(INT(IFERROR(IF(ISNUMBER(INDEX($A78:$Z78,MATCH(Settings!$L$11,$A$1:$Z$1,0))),INDEX($A78:$Z78,MATCH(Settings!$L$11,$A$1:$Z$1,0)),DATE(VALUE(LEFT(IFERROR(TRIM(INDEX($A78:$Z78,MATCH(Settings!$L$11,$A$1:$Z$1,0))&amp;""),""),4)),VALUE(MID(IFERROR(TRIM(INDEX($A78:$Z78,MATCH(Settings!$L$11,$A$1:$Z$1,0))&amp;""),""),6,2)),VALUE(MID(IFERROR(TRIM(INDEX($A78:$Z78,MATCH(Settings!$L$11,$A$1:$Z$1,0))&amp;""),""),9,2)))+TIME(VALUE(MID(IFERROR(TRIM(INDEX($A78:$Z78,MATCH(Settings!$L$11,$A$1:$Z$1,0))&amp;""),""),12,2)),VALUE(MID(IFERROR(TRIM(INDEX($A78:$Z78,MATCH(Settings!$L$11,$A$1:$Z$1,0))&amp;""),""),15,2)),VALUE(MID(IFERROR(TRIM(INDEX($A78:$Z78,MATCH(Settings!$L$11,$A$1:$Z$1,0))&amp;""),""),18,2)))),"")),"")))</f>
        <v/>
      </c>
      <c r="AM78" s="31">
        <f>IF(AE78="","",IF(ISNUMBER(IFERROR(INDEX(Settings!$G$4:$G$11,MATCH(AH78,Settings!$F$4:$F$11,0)),"")),INDEX(Settings!$G$4:$G$11,MATCH(AH78,Settings!$F$4:$F$11,0)),Settings!$D$5))</f>
        <v/>
      </c>
      <c r="AN78" s="32">
        <f>IF(OR(AE78="",NOT(ISNUMBER(AL78)),NOT(ISNUMBER(AM78))),"",IF(AM78&lt;=0,"",IF(ISNUMBER(Settings!$D$8),DATE(YEAR(AL78)+IF(DATE(YEAR(AL78),MONTH(Settings!$D$8),DAY(Settings!$D$8))&gt;AL78,0,1),MONTH(Settings!$D$8),DAY(Settings!$D$8)),MIN(DATE(YEAR(AL78),MONTH(AL78)+AM78,DAY(AL78)),DATE(YEAR(AL78),MONTH(AL78)+AM78+1,0)))))</f>
        <v/>
      </c>
      <c r="AO78" s="31">
        <f>IF(ISNUMBER(AN78),AN78-Settings!$D$4,"")</f>
        <v/>
      </c>
      <c r="AP78" s="31">
        <f>IF(ISNUMBER(AL78),AL78+0+ROW()/100000,"")</f>
        <v/>
      </c>
      <c r="AQ78" s="31">
        <f>IF(OR(AG78="",NOT(ISNUMBER(AP78))),0,IF(SUMPRODUCT(('Responses'!$AG$2:$AG$501=AG78)*('Responses'!$AJ$2:$AJ$501=1)*ISNUMBER('Responses'!$AP$2:$AP$501)*('Responses'!$AP$2:$AP$501&gt;AP78)) + SUMPRODUCT(('Paper sign-ups'!$K$2:$K$101=AG78)*('Paper sign-ups'!$N$2:$N$101=1)*ISNUMBER('Paper sign-ups'!$T$2:$T$101)*('Paper sign-ups'!$T$2:$T$101&gt;AP78))&gt;0,1,0))</f>
        <v/>
      </c>
      <c r="AR78" s="31">
        <f>IF(AE78="","",IF(AQ78=1,"Joined again",IF(AJ78=0,"Unpaid",IF(NOT(ISNUMBER(AL78)),"Add a join date",IF(AN78="","No reminder",IF(AO78&lt;0,"Lapsed",IF(AO78&lt;=Settings!$D$6,"Remind soon","Current")))))))</f>
        <v/>
      </c>
      <c r="AS78" s="33">
        <f>IF(AJ78=1,IFERROR(VALUE(IFERROR(TRIM(INDEX($A78:$Z78,MATCH(Settings!$L$8,$A$1:$Z$1,0))&amp;""),"")),0)-IFERROR(VALUE(IFERROR(TRIM(INDEX($A78:$Z78,MATCH(Settings!$L$9,$A$1:$Z$1,0))&amp;""),"")),0),0)</f>
        <v/>
      </c>
      <c r="AT78" s="31">
        <f>IF(AND(AE78&lt;&gt;"",AQ78=0),1,0)</f>
        <v/>
      </c>
      <c r="AU78" s="31">
        <f>IF(AT78=0,"",IF(ISNUMBER(AN78),AN78,100000)+0+ROW()/1000000)</f>
        <v/>
      </c>
      <c r="AV78" s="31">
        <f>IF(ISNUMBER(AU78),SUMPRODUCT(ISNUMBER('Responses'!$AU$2:$AU$501)*('Responses'!$AU$2:$AU$501&lt;AU78)) + SUMPRODUCT(ISNUMBER('Paper sign-ups'!$Y$2:$Y$101)*('Paper sign-ups'!$Y$2:$Y$101&lt;AU78))+1,"")</f>
        <v/>
      </c>
    </row>
    <row r="79">
      <c r="AA79" s="29" t="n"/>
      <c r="AB79" s="30" t="n"/>
      <c r="AC79" s="30" t="n"/>
      <c r="AD79" s="29" t="n"/>
      <c r="AE79" s="31">
        <f>IFERROR(TRIM(INDEX($A79:$Z79,MATCH(Settings!$L$4,$A$1:$Z$1,0))&amp;""),"")</f>
        <v/>
      </c>
      <c r="AF79" s="31">
        <f>IFERROR(TRIM(INDEX($A79:$Z79,MATCH(Settings!$L$5,$A$1:$Z$1,0))&amp;""),"")</f>
        <v/>
      </c>
      <c r="AG79" s="31">
        <f>IF(AE79="","",LOWER(IF(AF79&lt;&gt;"",AF79,AE79)))</f>
        <v/>
      </c>
      <c r="AH79" s="31">
        <f>IFERROR(TRIM(INDEX($A79:$Z79,MATCH(Settings!$L$6,$A$1:$Z$1,0))&amp;""),"")</f>
        <v/>
      </c>
      <c r="AI79" s="31">
        <f>IF(AE79="","",IF(UPPER(TRIM(AB79&amp;""))="Y","Paid another way",IF(IFERROR(TRIM(INDEX($A79:$Z79,MATCH(Settings!$L$7,$A$1:$Z$1,0))&amp;""),"")="","No payment status",IFERROR(TRIM(INDEX($A79:$Z79,MATCH(Settings!$L$7,$A$1:$Z$1,0))&amp;""),""))))</f>
        <v/>
      </c>
      <c r="AJ79" s="31">
        <f>IF(AE79="",0,IF(IFERROR(INDEX(Settings!$J$4:$J$14,MATCH(AI79,Settings!$I$4:$I$14,0)),"N")="Y",1,0))</f>
        <v/>
      </c>
      <c r="AK79" s="32">
        <f>IFERROR(INT(IFERROR(IF(ISNUMBER(INDEX($A79:$Z79,MATCH(Settings!$L$10,$A$1:$Z$1,0))),INDEX($A79:$Z79,MATCH(Settings!$L$10,$A$1:$Z$1,0)),DATE(VALUE(LEFT(IFERROR(TRIM(INDEX($A79:$Z79,MATCH(Settings!$L$10,$A$1:$Z$1,0))&amp;""),""),4)),VALUE(MID(IFERROR(TRIM(INDEX($A79:$Z79,MATCH(Settings!$L$10,$A$1:$Z$1,0))&amp;""),""),6,2)),VALUE(MID(IFERROR(TRIM(INDEX($A79:$Z79,MATCH(Settings!$L$10,$A$1:$Z$1,0))&amp;""),""),9,2)))+TIME(VALUE(MID(IFERROR(TRIM(INDEX($A79:$Z79,MATCH(Settings!$L$10,$A$1:$Z$1,0))&amp;""),""),12,2)),VALUE(MID(IFERROR(TRIM(INDEX($A79:$Z79,MATCH(Settings!$L$10,$A$1:$Z$1,0))&amp;""),""),15,2)),VALUE(MID(IFERROR(TRIM(INDEX($A79:$Z79,MATCH(Settings!$L$10,$A$1:$Z$1,0))&amp;""),""),18,2)))),"")),"")</f>
        <v/>
      </c>
      <c r="AL79" s="32">
        <f>IF(AE79="","",IF(ISNUMBER(AK79),AK79,IFERROR(INT(IFERROR(IF(ISNUMBER(INDEX($A79:$Z79,MATCH(Settings!$L$11,$A$1:$Z$1,0))),INDEX($A79:$Z79,MATCH(Settings!$L$11,$A$1:$Z$1,0)),DATE(VALUE(LEFT(IFERROR(TRIM(INDEX($A79:$Z79,MATCH(Settings!$L$11,$A$1:$Z$1,0))&amp;""),""),4)),VALUE(MID(IFERROR(TRIM(INDEX($A79:$Z79,MATCH(Settings!$L$11,$A$1:$Z$1,0))&amp;""),""),6,2)),VALUE(MID(IFERROR(TRIM(INDEX($A79:$Z79,MATCH(Settings!$L$11,$A$1:$Z$1,0))&amp;""),""),9,2)))+TIME(VALUE(MID(IFERROR(TRIM(INDEX($A79:$Z79,MATCH(Settings!$L$11,$A$1:$Z$1,0))&amp;""),""),12,2)),VALUE(MID(IFERROR(TRIM(INDEX($A79:$Z79,MATCH(Settings!$L$11,$A$1:$Z$1,0))&amp;""),""),15,2)),VALUE(MID(IFERROR(TRIM(INDEX($A79:$Z79,MATCH(Settings!$L$11,$A$1:$Z$1,0))&amp;""),""),18,2)))),"")),"")))</f>
        <v/>
      </c>
      <c r="AM79" s="31">
        <f>IF(AE79="","",IF(ISNUMBER(IFERROR(INDEX(Settings!$G$4:$G$11,MATCH(AH79,Settings!$F$4:$F$11,0)),"")),INDEX(Settings!$G$4:$G$11,MATCH(AH79,Settings!$F$4:$F$11,0)),Settings!$D$5))</f>
        <v/>
      </c>
      <c r="AN79" s="32">
        <f>IF(OR(AE79="",NOT(ISNUMBER(AL79)),NOT(ISNUMBER(AM79))),"",IF(AM79&lt;=0,"",IF(ISNUMBER(Settings!$D$8),DATE(YEAR(AL79)+IF(DATE(YEAR(AL79),MONTH(Settings!$D$8),DAY(Settings!$D$8))&gt;AL79,0,1),MONTH(Settings!$D$8),DAY(Settings!$D$8)),MIN(DATE(YEAR(AL79),MONTH(AL79)+AM79,DAY(AL79)),DATE(YEAR(AL79),MONTH(AL79)+AM79+1,0)))))</f>
        <v/>
      </c>
      <c r="AO79" s="31">
        <f>IF(ISNUMBER(AN79),AN79-Settings!$D$4,"")</f>
        <v/>
      </c>
      <c r="AP79" s="31">
        <f>IF(ISNUMBER(AL79),AL79+0+ROW()/100000,"")</f>
        <v/>
      </c>
      <c r="AQ79" s="31">
        <f>IF(OR(AG79="",NOT(ISNUMBER(AP79))),0,IF(SUMPRODUCT(('Responses'!$AG$2:$AG$501=AG79)*('Responses'!$AJ$2:$AJ$501=1)*ISNUMBER('Responses'!$AP$2:$AP$501)*('Responses'!$AP$2:$AP$501&gt;AP79)) + SUMPRODUCT(('Paper sign-ups'!$K$2:$K$101=AG79)*('Paper sign-ups'!$N$2:$N$101=1)*ISNUMBER('Paper sign-ups'!$T$2:$T$101)*('Paper sign-ups'!$T$2:$T$101&gt;AP79))&gt;0,1,0))</f>
        <v/>
      </c>
      <c r="AR79" s="31">
        <f>IF(AE79="","",IF(AQ79=1,"Joined again",IF(AJ79=0,"Unpaid",IF(NOT(ISNUMBER(AL79)),"Add a join date",IF(AN79="","No reminder",IF(AO79&lt;0,"Lapsed",IF(AO79&lt;=Settings!$D$6,"Remind soon","Current")))))))</f>
        <v/>
      </c>
      <c r="AS79" s="33">
        <f>IF(AJ79=1,IFERROR(VALUE(IFERROR(TRIM(INDEX($A79:$Z79,MATCH(Settings!$L$8,$A$1:$Z$1,0))&amp;""),"")),0)-IFERROR(VALUE(IFERROR(TRIM(INDEX($A79:$Z79,MATCH(Settings!$L$9,$A$1:$Z$1,0))&amp;""),"")),0),0)</f>
        <v/>
      </c>
      <c r="AT79" s="31">
        <f>IF(AND(AE79&lt;&gt;"",AQ79=0),1,0)</f>
        <v/>
      </c>
      <c r="AU79" s="31">
        <f>IF(AT79=0,"",IF(ISNUMBER(AN79),AN79,100000)+0+ROW()/1000000)</f>
        <v/>
      </c>
      <c r="AV79" s="31">
        <f>IF(ISNUMBER(AU79),SUMPRODUCT(ISNUMBER('Responses'!$AU$2:$AU$501)*('Responses'!$AU$2:$AU$501&lt;AU79)) + SUMPRODUCT(ISNUMBER('Paper sign-ups'!$Y$2:$Y$101)*('Paper sign-ups'!$Y$2:$Y$101&lt;AU79))+1,"")</f>
        <v/>
      </c>
    </row>
    <row r="80">
      <c r="AA80" s="29" t="n"/>
      <c r="AB80" s="30" t="n"/>
      <c r="AC80" s="30" t="n"/>
      <c r="AD80" s="29" t="n"/>
      <c r="AE80" s="31">
        <f>IFERROR(TRIM(INDEX($A80:$Z80,MATCH(Settings!$L$4,$A$1:$Z$1,0))&amp;""),"")</f>
        <v/>
      </c>
      <c r="AF80" s="31">
        <f>IFERROR(TRIM(INDEX($A80:$Z80,MATCH(Settings!$L$5,$A$1:$Z$1,0))&amp;""),"")</f>
        <v/>
      </c>
      <c r="AG80" s="31">
        <f>IF(AE80="","",LOWER(IF(AF80&lt;&gt;"",AF80,AE80)))</f>
        <v/>
      </c>
      <c r="AH80" s="31">
        <f>IFERROR(TRIM(INDEX($A80:$Z80,MATCH(Settings!$L$6,$A$1:$Z$1,0))&amp;""),"")</f>
        <v/>
      </c>
      <c r="AI80" s="31">
        <f>IF(AE80="","",IF(UPPER(TRIM(AB80&amp;""))="Y","Paid another way",IF(IFERROR(TRIM(INDEX($A80:$Z80,MATCH(Settings!$L$7,$A$1:$Z$1,0))&amp;""),"")="","No payment status",IFERROR(TRIM(INDEX($A80:$Z80,MATCH(Settings!$L$7,$A$1:$Z$1,0))&amp;""),""))))</f>
        <v/>
      </c>
      <c r="AJ80" s="31">
        <f>IF(AE80="",0,IF(IFERROR(INDEX(Settings!$J$4:$J$14,MATCH(AI80,Settings!$I$4:$I$14,0)),"N")="Y",1,0))</f>
        <v/>
      </c>
      <c r="AK80" s="32">
        <f>IFERROR(INT(IFERROR(IF(ISNUMBER(INDEX($A80:$Z80,MATCH(Settings!$L$10,$A$1:$Z$1,0))),INDEX($A80:$Z80,MATCH(Settings!$L$10,$A$1:$Z$1,0)),DATE(VALUE(LEFT(IFERROR(TRIM(INDEX($A80:$Z80,MATCH(Settings!$L$10,$A$1:$Z$1,0))&amp;""),""),4)),VALUE(MID(IFERROR(TRIM(INDEX($A80:$Z80,MATCH(Settings!$L$10,$A$1:$Z$1,0))&amp;""),""),6,2)),VALUE(MID(IFERROR(TRIM(INDEX($A80:$Z80,MATCH(Settings!$L$10,$A$1:$Z$1,0))&amp;""),""),9,2)))+TIME(VALUE(MID(IFERROR(TRIM(INDEX($A80:$Z80,MATCH(Settings!$L$10,$A$1:$Z$1,0))&amp;""),""),12,2)),VALUE(MID(IFERROR(TRIM(INDEX($A80:$Z80,MATCH(Settings!$L$10,$A$1:$Z$1,0))&amp;""),""),15,2)),VALUE(MID(IFERROR(TRIM(INDEX($A80:$Z80,MATCH(Settings!$L$10,$A$1:$Z$1,0))&amp;""),""),18,2)))),"")),"")</f>
        <v/>
      </c>
      <c r="AL80" s="32">
        <f>IF(AE80="","",IF(ISNUMBER(AK80),AK80,IFERROR(INT(IFERROR(IF(ISNUMBER(INDEX($A80:$Z80,MATCH(Settings!$L$11,$A$1:$Z$1,0))),INDEX($A80:$Z80,MATCH(Settings!$L$11,$A$1:$Z$1,0)),DATE(VALUE(LEFT(IFERROR(TRIM(INDEX($A80:$Z80,MATCH(Settings!$L$11,$A$1:$Z$1,0))&amp;""),""),4)),VALUE(MID(IFERROR(TRIM(INDEX($A80:$Z80,MATCH(Settings!$L$11,$A$1:$Z$1,0))&amp;""),""),6,2)),VALUE(MID(IFERROR(TRIM(INDEX($A80:$Z80,MATCH(Settings!$L$11,$A$1:$Z$1,0))&amp;""),""),9,2)))+TIME(VALUE(MID(IFERROR(TRIM(INDEX($A80:$Z80,MATCH(Settings!$L$11,$A$1:$Z$1,0))&amp;""),""),12,2)),VALUE(MID(IFERROR(TRIM(INDEX($A80:$Z80,MATCH(Settings!$L$11,$A$1:$Z$1,0))&amp;""),""),15,2)),VALUE(MID(IFERROR(TRIM(INDEX($A80:$Z80,MATCH(Settings!$L$11,$A$1:$Z$1,0))&amp;""),""),18,2)))),"")),"")))</f>
        <v/>
      </c>
      <c r="AM80" s="31">
        <f>IF(AE80="","",IF(ISNUMBER(IFERROR(INDEX(Settings!$G$4:$G$11,MATCH(AH80,Settings!$F$4:$F$11,0)),"")),INDEX(Settings!$G$4:$G$11,MATCH(AH80,Settings!$F$4:$F$11,0)),Settings!$D$5))</f>
        <v/>
      </c>
      <c r="AN80" s="32">
        <f>IF(OR(AE80="",NOT(ISNUMBER(AL80)),NOT(ISNUMBER(AM80))),"",IF(AM80&lt;=0,"",IF(ISNUMBER(Settings!$D$8),DATE(YEAR(AL80)+IF(DATE(YEAR(AL80),MONTH(Settings!$D$8),DAY(Settings!$D$8))&gt;AL80,0,1),MONTH(Settings!$D$8),DAY(Settings!$D$8)),MIN(DATE(YEAR(AL80),MONTH(AL80)+AM80,DAY(AL80)),DATE(YEAR(AL80),MONTH(AL80)+AM80+1,0)))))</f>
        <v/>
      </c>
      <c r="AO80" s="31">
        <f>IF(ISNUMBER(AN80),AN80-Settings!$D$4,"")</f>
        <v/>
      </c>
      <c r="AP80" s="31">
        <f>IF(ISNUMBER(AL80),AL80+0+ROW()/100000,"")</f>
        <v/>
      </c>
      <c r="AQ80" s="31">
        <f>IF(OR(AG80="",NOT(ISNUMBER(AP80))),0,IF(SUMPRODUCT(('Responses'!$AG$2:$AG$501=AG80)*('Responses'!$AJ$2:$AJ$501=1)*ISNUMBER('Responses'!$AP$2:$AP$501)*('Responses'!$AP$2:$AP$501&gt;AP80)) + SUMPRODUCT(('Paper sign-ups'!$K$2:$K$101=AG80)*('Paper sign-ups'!$N$2:$N$101=1)*ISNUMBER('Paper sign-ups'!$T$2:$T$101)*('Paper sign-ups'!$T$2:$T$101&gt;AP80))&gt;0,1,0))</f>
        <v/>
      </c>
      <c r="AR80" s="31">
        <f>IF(AE80="","",IF(AQ80=1,"Joined again",IF(AJ80=0,"Unpaid",IF(NOT(ISNUMBER(AL80)),"Add a join date",IF(AN80="","No reminder",IF(AO80&lt;0,"Lapsed",IF(AO80&lt;=Settings!$D$6,"Remind soon","Current")))))))</f>
        <v/>
      </c>
      <c r="AS80" s="33">
        <f>IF(AJ80=1,IFERROR(VALUE(IFERROR(TRIM(INDEX($A80:$Z80,MATCH(Settings!$L$8,$A$1:$Z$1,0))&amp;""),"")),0)-IFERROR(VALUE(IFERROR(TRIM(INDEX($A80:$Z80,MATCH(Settings!$L$9,$A$1:$Z$1,0))&amp;""),"")),0),0)</f>
        <v/>
      </c>
      <c r="AT80" s="31">
        <f>IF(AND(AE80&lt;&gt;"",AQ80=0),1,0)</f>
        <v/>
      </c>
      <c r="AU80" s="31">
        <f>IF(AT80=0,"",IF(ISNUMBER(AN80),AN80,100000)+0+ROW()/1000000)</f>
        <v/>
      </c>
      <c r="AV80" s="31">
        <f>IF(ISNUMBER(AU80),SUMPRODUCT(ISNUMBER('Responses'!$AU$2:$AU$501)*('Responses'!$AU$2:$AU$501&lt;AU80)) + SUMPRODUCT(ISNUMBER('Paper sign-ups'!$Y$2:$Y$101)*('Paper sign-ups'!$Y$2:$Y$101&lt;AU80))+1,"")</f>
        <v/>
      </c>
    </row>
    <row r="81">
      <c r="AA81" s="29" t="n"/>
      <c r="AB81" s="30" t="n"/>
      <c r="AC81" s="30" t="n"/>
      <c r="AD81" s="29" t="n"/>
      <c r="AE81" s="31">
        <f>IFERROR(TRIM(INDEX($A81:$Z81,MATCH(Settings!$L$4,$A$1:$Z$1,0))&amp;""),"")</f>
        <v/>
      </c>
      <c r="AF81" s="31">
        <f>IFERROR(TRIM(INDEX($A81:$Z81,MATCH(Settings!$L$5,$A$1:$Z$1,0))&amp;""),"")</f>
        <v/>
      </c>
      <c r="AG81" s="31">
        <f>IF(AE81="","",LOWER(IF(AF81&lt;&gt;"",AF81,AE81)))</f>
        <v/>
      </c>
      <c r="AH81" s="31">
        <f>IFERROR(TRIM(INDEX($A81:$Z81,MATCH(Settings!$L$6,$A$1:$Z$1,0))&amp;""),"")</f>
        <v/>
      </c>
      <c r="AI81" s="31">
        <f>IF(AE81="","",IF(UPPER(TRIM(AB81&amp;""))="Y","Paid another way",IF(IFERROR(TRIM(INDEX($A81:$Z81,MATCH(Settings!$L$7,$A$1:$Z$1,0))&amp;""),"")="","No payment status",IFERROR(TRIM(INDEX($A81:$Z81,MATCH(Settings!$L$7,$A$1:$Z$1,0))&amp;""),""))))</f>
        <v/>
      </c>
      <c r="AJ81" s="31">
        <f>IF(AE81="",0,IF(IFERROR(INDEX(Settings!$J$4:$J$14,MATCH(AI81,Settings!$I$4:$I$14,0)),"N")="Y",1,0))</f>
        <v/>
      </c>
      <c r="AK81" s="32">
        <f>IFERROR(INT(IFERROR(IF(ISNUMBER(INDEX($A81:$Z81,MATCH(Settings!$L$10,$A$1:$Z$1,0))),INDEX($A81:$Z81,MATCH(Settings!$L$10,$A$1:$Z$1,0)),DATE(VALUE(LEFT(IFERROR(TRIM(INDEX($A81:$Z81,MATCH(Settings!$L$10,$A$1:$Z$1,0))&amp;""),""),4)),VALUE(MID(IFERROR(TRIM(INDEX($A81:$Z81,MATCH(Settings!$L$10,$A$1:$Z$1,0))&amp;""),""),6,2)),VALUE(MID(IFERROR(TRIM(INDEX($A81:$Z81,MATCH(Settings!$L$10,$A$1:$Z$1,0))&amp;""),""),9,2)))+TIME(VALUE(MID(IFERROR(TRIM(INDEX($A81:$Z81,MATCH(Settings!$L$10,$A$1:$Z$1,0))&amp;""),""),12,2)),VALUE(MID(IFERROR(TRIM(INDEX($A81:$Z81,MATCH(Settings!$L$10,$A$1:$Z$1,0))&amp;""),""),15,2)),VALUE(MID(IFERROR(TRIM(INDEX($A81:$Z81,MATCH(Settings!$L$10,$A$1:$Z$1,0))&amp;""),""),18,2)))),"")),"")</f>
        <v/>
      </c>
      <c r="AL81" s="32">
        <f>IF(AE81="","",IF(ISNUMBER(AK81),AK81,IFERROR(INT(IFERROR(IF(ISNUMBER(INDEX($A81:$Z81,MATCH(Settings!$L$11,$A$1:$Z$1,0))),INDEX($A81:$Z81,MATCH(Settings!$L$11,$A$1:$Z$1,0)),DATE(VALUE(LEFT(IFERROR(TRIM(INDEX($A81:$Z81,MATCH(Settings!$L$11,$A$1:$Z$1,0))&amp;""),""),4)),VALUE(MID(IFERROR(TRIM(INDEX($A81:$Z81,MATCH(Settings!$L$11,$A$1:$Z$1,0))&amp;""),""),6,2)),VALUE(MID(IFERROR(TRIM(INDEX($A81:$Z81,MATCH(Settings!$L$11,$A$1:$Z$1,0))&amp;""),""),9,2)))+TIME(VALUE(MID(IFERROR(TRIM(INDEX($A81:$Z81,MATCH(Settings!$L$11,$A$1:$Z$1,0))&amp;""),""),12,2)),VALUE(MID(IFERROR(TRIM(INDEX($A81:$Z81,MATCH(Settings!$L$11,$A$1:$Z$1,0))&amp;""),""),15,2)),VALUE(MID(IFERROR(TRIM(INDEX($A81:$Z81,MATCH(Settings!$L$11,$A$1:$Z$1,0))&amp;""),""),18,2)))),"")),"")))</f>
        <v/>
      </c>
      <c r="AM81" s="31">
        <f>IF(AE81="","",IF(ISNUMBER(IFERROR(INDEX(Settings!$G$4:$G$11,MATCH(AH81,Settings!$F$4:$F$11,0)),"")),INDEX(Settings!$G$4:$G$11,MATCH(AH81,Settings!$F$4:$F$11,0)),Settings!$D$5))</f>
        <v/>
      </c>
      <c r="AN81" s="32">
        <f>IF(OR(AE81="",NOT(ISNUMBER(AL81)),NOT(ISNUMBER(AM81))),"",IF(AM81&lt;=0,"",IF(ISNUMBER(Settings!$D$8),DATE(YEAR(AL81)+IF(DATE(YEAR(AL81),MONTH(Settings!$D$8),DAY(Settings!$D$8))&gt;AL81,0,1),MONTH(Settings!$D$8),DAY(Settings!$D$8)),MIN(DATE(YEAR(AL81),MONTH(AL81)+AM81,DAY(AL81)),DATE(YEAR(AL81),MONTH(AL81)+AM81+1,0)))))</f>
        <v/>
      </c>
      <c r="AO81" s="31">
        <f>IF(ISNUMBER(AN81),AN81-Settings!$D$4,"")</f>
        <v/>
      </c>
      <c r="AP81" s="31">
        <f>IF(ISNUMBER(AL81),AL81+0+ROW()/100000,"")</f>
        <v/>
      </c>
      <c r="AQ81" s="31">
        <f>IF(OR(AG81="",NOT(ISNUMBER(AP81))),0,IF(SUMPRODUCT(('Responses'!$AG$2:$AG$501=AG81)*('Responses'!$AJ$2:$AJ$501=1)*ISNUMBER('Responses'!$AP$2:$AP$501)*('Responses'!$AP$2:$AP$501&gt;AP81)) + SUMPRODUCT(('Paper sign-ups'!$K$2:$K$101=AG81)*('Paper sign-ups'!$N$2:$N$101=1)*ISNUMBER('Paper sign-ups'!$T$2:$T$101)*('Paper sign-ups'!$T$2:$T$101&gt;AP81))&gt;0,1,0))</f>
        <v/>
      </c>
      <c r="AR81" s="31">
        <f>IF(AE81="","",IF(AQ81=1,"Joined again",IF(AJ81=0,"Unpaid",IF(NOT(ISNUMBER(AL81)),"Add a join date",IF(AN81="","No reminder",IF(AO81&lt;0,"Lapsed",IF(AO81&lt;=Settings!$D$6,"Remind soon","Current")))))))</f>
        <v/>
      </c>
      <c r="AS81" s="33">
        <f>IF(AJ81=1,IFERROR(VALUE(IFERROR(TRIM(INDEX($A81:$Z81,MATCH(Settings!$L$8,$A$1:$Z$1,0))&amp;""),"")),0)-IFERROR(VALUE(IFERROR(TRIM(INDEX($A81:$Z81,MATCH(Settings!$L$9,$A$1:$Z$1,0))&amp;""),"")),0),0)</f>
        <v/>
      </c>
      <c r="AT81" s="31">
        <f>IF(AND(AE81&lt;&gt;"",AQ81=0),1,0)</f>
        <v/>
      </c>
      <c r="AU81" s="31">
        <f>IF(AT81=0,"",IF(ISNUMBER(AN81),AN81,100000)+0+ROW()/1000000)</f>
        <v/>
      </c>
      <c r="AV81" s="31">
        <f>IF(ISNUMBER(AU81),SUMPRODUCT(ISNUMBER('Responses'!$AU$2:$AU$501)*('Responses'!$AU$2:$AU$501&lt;AU81)) + SUMPRODUCT(ISNUMBER('Paper sign-ups'!$Y$2:$Y$101)*('Paper sign-ups'!$Y$2:$Y$101&lt;AU81))+1,"")</f>
        <v/>
      </c>
    </row>
    <row r="82">
      <c r="AA82" s="29" t="n"/>
      <c r="AB82" s="30" t="n"/>
      <c r="AC82" s="30" t="n"/>
      <c r="AD82" s="29" t="n"/>
      <c r="AE82" s="31">
        <f>IFERROR(TRIM(INDEX($A82:$Z82,MATCH(Settings!$L$4,$A$1:$Z$1,0))&amp;""),"")</f>
        <v/>
      </c>
      <c r="AF82" s="31">
        <f>IFERROR(TRIM(INDEX($A82:$Z82,MATCH(Settings!$L$5,$A$1:$Z$1,0))&amp;""),"")</f>
        <v/>
      </c>
      <c r="AG82" s="31">
        <f>IF(AE82="","",LOWER(IF(AF82&lt;&gt;"",AF82,AE82)))</f>
        <v/>
      </c>
      <c r="AH82" s="31">
        <f>IFERROR(TRIM(INDEX($A82:$Z82,MATCH(Settings!$L$6,$A$1:$Z$1,0))&amp;""),"")</f>
        <v/>
      </c>
      <c r="AI82" s="31">
        <f>IF(AE82="","",IF(UPPER(TRIM(AB82&amp;""))="Y","Paid another way",IF(IFERROR(TRIM(INDEX($A82:$Z82,MATCH(Settings!$L$7,$A$1:$Z$1,0))&amp;""),"")="","No payment status",IFERROR(TRIM(INDEX($A82:$Z82,MATCH(Settings!$L$7,$A$1:$Z$1,0))&amp;""),""))))</f>
        <v/>
      </c>
      <c r="AJ82" s="31">
        <f>IF(AE82="",0,IF(IFERROR(INDEX(Settings!$J$4:$J$14,MATCH(AI82,Settings!$I$4:$I$14,0)),"N")="Y",1,0))</f>
        <v/>
      </c>
      <c r="AK82" s="32">
        <f>IFERROR(INT(IFERROR(IF(ISNUMBER(INDEX($A82:$Z82,MATCH(Settings!$L$10,$A$1:$Z$1,0))),INDEX($A82:$Z82,MATCH(Settings!$L$10,$A$1:$Z$1,0)),DATE(VALUE(LEFT(IFERROR(TRIM(INDEX($A82:$Z82,MATCH(Settings!$L$10,$A$1:$Z$1,0))&amp;""),""),4)),VALUE(MID(IFERROR(TRIM(INDEX($A82:$Z82,MATCH(Settings!$L$10,$A$1:$Z$1,0))&amp;""),""),6,2)),VALUE(MID(IFERROR(TRIM(INDEX($A82:$Z82,MATCH(Settings!$L$10,$A$1:$Z$1,0))&amp;""),""),9,2)))+TIME(VALUE(MID(IFERROR(TRIM(INDEX($A82:$Z82,MATCH(Settings!$L$10,$A$1:$Z$1,0))&amp;""),""),12,2)),VALUE(MID(IFERROR(TRIM(INDEX($A82:$Z82,MATCH(Settings!$L$10,$A$1:$Z$1,0))&amp;""),""),15,2)),VALUE(MID(IFERROR(TRIM(INDEX($A82:$Z82,MATCH(Settings!$L$10,$A$1:$Z$1,0))&amp;""),""),18,2)))),"")),"")</f>
        <v/>
      </c>
      <c r="AL82" s="32">
        <f>IF(AE82="","",IF(ISNUMBER(AK82),AK82,IFERROR(INT(IFERROR(IF(ISNUMBER(INDEX($A82:$Z82,MATCH(Settings!$L$11,$A$1:$Z$1,0))),INDEX($A82:$Z82,MATCH(Settings!$L$11,$A$1:$Z$1,0)),DATE(VALUE(LEFT(IFERROR(TRIM(INDEX($A82:$Z82,MATCH(Settings!$L$11,$A$1:$Z$1,0))&amp;""),""),4)),VALUE(MID(IFERROR(TRIM(INDEX($A82:$Z82,MATCH(Settings!$L$11,$A$1:$Z$1,0))&amp;""),""),6,2)),VALUE(MID(IFERROR(TRIM(INDEX($A82:$Z82,MATCH(Settings!$L$11,$A$1:$Z$1,0))&amp;""),""),9,2)))+TIME(VALUE(MID(IFERROR(TRIM(INDEX($A82:$Z82,MATCH(Settings!$L$11,$A$1:$Z$1,0))&amp;""),""),12,2)),VALUE(MID(IFERROR(TRIM(INDEX($A82:$Z82,MATCH(Settings!$L$11,$A$1:$Z$1,0))&amp;""),""),15,2)),VALUE(MID(IFERROR(TRIM(INDEX($A82:$Z82,MATCH(Settings!$L$11,$A$1:$Z$1,0))&amp;""),""),18,2)))),"")),"")))</f>
        <v/>
      </c>
      <c r="AM82" s="31">
        <f>IF(AE82="","",IF(ISNUMBER(IFERROR(INDEX(Settings!$G$4:$G$11,MATCH(AH82,Settings!$F$4:$F$11,0)),"")),INDEX(Settings!$G$4:$G$11,MATCH(AH82,Settings!$F$4:$F$11,0)),Settings!$D$5))</f>
        <v/>
      </c>
      <c r="AN82" s="32">
        <f>IF(OR(AE82="",NOT(ISNUMBER(AL82)),NOT(ISNUMBER(AM82))),"",IF(AM82&lt;=0,"",IF(ISNUMBER(Settings!$D$8),DATE(YEAR(AL82)+IF(DATE(YEAR(AL82),MONTH(Settings!$D$8),DAY(Settings!$D$8))&gt;AL82,0,1),MONTH(Settings!$D$8),DAY(Settings!$D$8)),MIN(DATE(YEAR(AL82),MONTH(AL82)+AM82,DAY(AL82)),DATE(YEAR(AL82),MONTH(AL82)+AM82+1,0)))))</f>
        <v/>
      </c>
      <c r="AO82" s="31">
        <f>IF(ISNUMBER(AN82),AN82-Settings!$D$4,"")</f>
        <v/>
      </c>
      <c r="AP82" s="31">
        <f>IF(ISNUMBER(AL82),AL82+0+ROW()/100000,"")</f>
        <v/>
      </c>
      <c r="AQ82" s="31">
        <f>IF(OR(AG82="",NOT(ISNUMBER(AP82))),0,IF(SUMPRODUCT(('Responses'!$AG$2:$AG$501=AG82)*('Responses'!$AJ$2:$AJ$501=1)*ISNUMBER('Responses'!$AP$2:$AP$501)*('Responses'!$AP$2:$AP$501&gt;AP82)) + SUMPRODUCT(('Paper sign-ups'!$K$2:$K$101=AG82)*('Paper sign-ups'!$N$2:$N$101=1)*ISNUMBER('Paper sign-ups'!$T$2:$T$101)*('Paper sign-ups'!$T$2:$T$101&gt;AP82))&gt;0,1,0))</f>
        <v/>
      </c>
      <c r="AR82" s="31">
        <f>IF(AE82="","",IF(AQ82=1,"Joined again",IF(AJ82=0,"Unpaid",IF(NOT(ISNUMBER(AL82)),"Add a join date",IF(AN82="","No reminder",IF(AO82&lt;0,"Lapsed",IF(AO82&lt;=Settings!$D$6,"Remind soon","Current")))))))</f>
        <v/>
      </c>
      <c r="AS82" s="33">
        <f>IF(AJ82=1,IFERROR(VALUE(IFERROR(TRIM(INDEX($A82:$Z82,MATCH(Settings!$L$8,$A$1:$Z$1,0))&amp;""),"")),0)-IFERROR(VALUE(IFERROR(TRIM(INDEX($A82:$Z82,MATCH(Settings!$L$9,$A$1:$Z$1,0))&amp;""),"")),0),0)</f>
        <v/>
      </c>
      <c r="AT82" s="31">
        <f>IF(AND(AE82&lt;&gt;"",AQ82=0),1,0)</f>
        <v/>
      </c>
      <c r="AU82" s="31">
        <f>IF(AT82=0,"",IF(ISNUMBER(AN82),AN82,100000)+0+ROW()/1000000)</f>
        <v/>
      </c>
      <c r="AV82" s="31">
        <f>IF(ISNUMBER(AU82),SUMPRODUCT(ISNUMBER('Responses'!$AU$2:$AU$501)*('Responses'!$AU$2:$AU$501&lt;AU82)) + SUMPRODUCT(ISNUMBER('Paper sign-ups'!$Y$2:$Y$101)*('Paper sign-ups'!$Y$2:$Y$101&lt;AU82))+1,"")</f>
        <v/>
      </c>
    </row>
    <row r="83">
      <c r="AA83" s="29" t="n"/>
      <c r="AB83" s="30" t="n"/>
      <c r="AC83" s="30" t="n"/>
      <c r="AD83" s="29" t="n"/>
      <c r="AE83" s="31">
        <f>IFERROR(TRIM(INDEX($A83:$Z83,MATCH(Settings!$L$4,$A$1:$Z$1,0))&amp;""),"")</f>
        <v/>
      </c>
      <c r="AF83" s="31">
        <f>IFERROR(TRIM(INDEX($A83:$Z83,MATCH(Settings!$L$5,$A$1:$Z$1,0))&amp;""),"")</f>
        <v/>
      </c>
      <c r="AG83" s="31">
        <f>IF(AE83="","",LOWER(IF(AF83&lt;&gt;"",AF83,AE83)))</f>
        <v/>
      </c>
      <c r="AH83" s="31">
        <f>IFERROR(TRIM(INDEX($A83:$Z83,MATCH(Settings!$L$6,$A$1:$Z$1,0))&amp;""),"")</f>
        <v/>
      </c>
      <c r="AI83" s="31">
        <f>IF(AE83="","",IF(UPPER(TRIM(AB83&amp;""))="Y","Paid another way",IF(IFERROR(TRIM(INDEX($A83:$Z83,MATCH(Settings!$L$7,$A$1:$Z$1,0))&amp;""),"")="","No payment status",IFERROR(TRIM(INDEX($A83:$Z83,MATCH(Settings!$L$7,$A$1:$Z$1,0))&amp;""),""))))</f>
        <v/>
      </c>
      <c r="AJ83" s="31">
        <f>IF(AE83="",0,IF(IFERROR(INDEX(Settings!$J$4:$J$14,MATCH(AI83,Settings!$I$4:$I$14,0)),"N")="Y",1,0))</f>
        <v/>
      </c>
      <c r="AK83" s="32">
        <f>IFERROR(INT(IFERROR(IF(ISNUMBER(INDEX($A83:$Z83,MATCH(Settings!$L$10,$A$1:$Z$1,0))),INDEX($A83:$Z83,MATCH(Settings!$L$10,$A$1:$Z$1,0)),DATE(VALUE(LEFT(IFERROR(TRIM(INDEX($A83:$Z83,MATCH(Settings!$L$10,$A$1:$Z$1,0))&amp;""),""),4)),VALUE(MID(IFERROR(TRIM(INDEX($A83:$Z83,MATCH(Settings!$L$10,$A$1:$Z$1,0))&amp;""),""),6,2)),VALUE(MID(IFERROR(TRIM(INDEX($A83:$Z83,MATCH(Settings!$L$10,$A$1:$Z$1,0))&amp;""),""),9,2)))+TIME(VALUE(MID(IFERROR(TRIM(INDEX($A83:$Z83,MATCH(Settings!$L$10,$A$1:$Z$1,0))&amp;""),""),12,2)),VALUE(MID(IFERROR(TRIM(INDEX($A83:$Z83,MATCH(Settings!$L$10,$A$1:$Z$1,0))&amp;""),""),15,2)),VALUE(MID(IFERROR(TRIM(INDEX($A83:$Z83,MATCH(Settings!$L$10,$A$1:$Z$1,0))&amp;""),""),18,2)))),"")),"")</f>
        <v/>
      </c>
      <c r="AL83" s="32">
        <f>IF(AE83="","",IF(ISNUMBER(AK83),AK83,IFERROR(INT(IFERROR(IF(ISNUMBER(INDEX($A83:$Z83,MATCH(Settings!$L$11,$A$1:$Z$1,0))),INDEX($A83:$Z83,MATCH(Settings!$L$11,$A$1:$Z$1,0)),DATE(VALUE(LEFT(IFERROR(TRIM(INDEX($A83:$Z83,MATCH(Settings!$L$11,$A$1:$Z$1,0))&amp;""),""),4)),VALUE(MID(IFERROR(TRIM(INDEX($A83:$Z83,MATCH(Settings!$L$11,$A$1:$Z$1,0))&amp;""),""),6,2)),VALUE(MID(IFERROR(TRIM(INDEX($A83:$Z83,MATCH(Settings!$L$11,$A$1:$Z$1,0))&amp;""),""),9,2)))+TIME(VALUE(MID(IFERROR(TRIM(INDEX($A83:$Z83,MATCH(Settings!$L$11,$A$1:$Z$1,0))&amp;""),""),12,2)),VALUE(MID(IFERROR(TRIM(INDEX($A83:$Z83,MATCH(Settings!$L$11,$A$1:$Z$1,0))&amp;""),""),15,2)),VALUE(MID(IFERROR(TRIM(INDEX($A83:$Z83,MATCH(Settings!$L$11,$A$1:$Z$1,0))&amp;""),""),18,2)))),"")),"")))</f>
        <v/>
      </c>
      <c r="AM83" s="31">
        <f>IF(AE83="","",IF(ISNUMBER(IFERROR(INDEX(Settings!$G$4:$G$11,MATCH(AH83,Settings!$F$4:$F$11,0)),"")),INDEX(Settings!$G$4:$G$11,MATCH(AH83,Settings!$F$4:$F$11,0)),Settings!$D$5))</f>
        <v/>
      </c>
      <c r="AN83" s="32">
        <f>IF(OR(AE83="",NOT(ISNUMBER(AL83)),NOT(ISNUMBER(AM83))),"",IF(AM83&lt;=0,"",IF(ISNUMBER(Settings!$D$8),DATE(YEAR(AL83)+IF(DATE(YEAR(AL83),MONTH(Settings!$D$8),DAY(Settings!$D$8))&gt;AL83,0,1),MONTH(Settings!$D$8),DAY(Settings!$D$8)),MIN(DATE(YEAR(AL83),MONTH(AL83)+AM83,DAY(AL83)),DATE(YEAR(AL83),MONTH(AL83)+AM83+1,0)))))</f>
        <v/>
      </c>
      <c r="AO83" s="31">
        <f>IF(ISNUMBER(AN83),AN83-Settings!$D$4,"")</f>
        <v/>
      </c>
      <c r="AP83" s="31">
        <f>IF(ISNUMBER(AL83),AL83+0+ROW()/100000,"")</f>
        <v/>
      </c>
      <c r="AQ83" s="31">
        <f>IF(OR(AG83="",NOT(ISNUMBER(AP83))),0,IF(SUMPRODUCT(('Responses'!$AG$2:$AG$501=AG83)*('Responses'!$AJ$2:$AJ$501=1)*ISNUMBER('Responses'!$AP$2:$AP$501)*('Responses'!$AP$2:$AP$501&gt;AP83)) + SUMPRODUCT(('Paper sign-ups'!$K$2:$K$101=AG83)*('Paper sign-ups'!$N$2:$N$101=1)*ISNUMBER('Paper sign-ups'!$T$2:$T$101)*('Paper sign-ups'!$T$2:$T$101&gt;AP83))&gt;0,1,0))</f>
        <v/>
      </c>
      <c r="AR83" s="31">
        <f>IF(AE83="","",IF(AQ83=1,"Joined again",IF(AJ83=0,"Unpaid",IF(NOT(ISNUMBER(AL83)),"Add a join date",IF(AN83="","No reminder",IF(AO83&lt;0,"Lapsed",IF(AO83&lt;=Settings!$D$6,"Remind soon","Current")))))))</f>
        <v/>
      </c>
      <c r="AS83" s="33">
        <f>IF(AJ83=1,IFERROR(VALUE(IFERROR(TRIM(INDEX($A83:$Z83,MATCH(Settings!$L$8,$A$1:$Z$1,0))&amp;""),"")),0)-IFERROR(VALUE(IFERROR(TRIM(INDEX($A83:$Z83,MATCH(Settings!$L$9,$A$1:$Z$1,0))&amp;""),"")),0),0)</f>
        <v/>
      </c>
      <c r="AT83" s="31">
        <f>IF(AND(AE83&lt;&gt;"",AQ83=0),1,0)</f>
        <v/>
      </c>
      <c r="AU83" s="31">
        <f>IF(AT83=0,"",IF(ISNUMBER(AN83),AN83,100000)+0+ROW()/1000000)</f>
        <v/>
      </c>
      <c r="AV83" s="31">
        <f>IF(ISNUMBER(AU83),SUMPRODUCT(ISNUMBER('Responses'!$AU$2:$AU$501)*('Responses'!$AU$2:$AU$501&lt;AU83)) + SUMPRODUCT(ISNUMBER('Paper sign-ups'!$Y$2:$Y$101)*('Paper sign-ups'!$Y$2:$Y$101&lt;AU83))+1,"")</f>
        <v/>
      </c>
    </row>
    <row r="84">
      <c r="AA84" s="29" t="n"/>
      <c r="AB84" s="30" t="n"/>
      <c r="AC84" s="30" t="n"/>
      <c r="AD84" s="29" t="n"/>
      <c r="AE84" s="31">
        <f>IFERROR(TRIM(INDEX($A84:$Z84,MATCH(Settings!$L$4,$A$1:$Z$1,0))&amp;""),"")</f>
        <v/>
      </c>
      <c r="AF84" s="31">
        <f>IFERROR(TRIM(INDEX($A84:$Z84,MATCH(Settings!$L$5,$A$1:$Z$1,0))&amp;""),"")</f>
        <v/>
      </c>
      <c r="AG84" s="31">
        <f>IF(AE84="","",LOWER(IF(AF84&lt;&gt;"",AF84,AE84)))</f>
        <v/>
      </c>
      <c r="AH84" s="31">
        <f>IFERROR(TRIM(INDEX($A84:$Z84,MATCH(Settings!$L$6,$A$1:$Z$1,0))&amp;""),"")</f>
        <v/>
      </c>
      <c r="AI84" s="31">
        <f>IF(AE84="","",IF(UPPER(TRIM(AB84&amp;""))="Y","Paid another way",IF(IFERROR(TRIM(INDEX($A84:$Z84,MATCH(Settings!$L$7,$A$1:$Z$1,0))&amp;""),"")="","No payment status",IFERROR(TRIM(INDEX($A84:$Z84,MATCH(Settings!$L$7,$A$1:$Z$1,0))&amp;""),""))))</f>
        <v/>
      </c>
      <c r="AJ84" s="31">
        <f>IF(AE84="",0,IF(IFERROR(INDEX(Settings!$J$4:$J$14,MATCH(AI84,Settings!$I$4:$I$14,0)),"N")="Y",1,0))</f>
        <v/>
      </c>
      <c r="AK84" s="32">
        <f>IFERROR(INT(IFERROR(IF(ISNUMBER(INDEX($A84:$Z84,MATCH(Settings!$L$10,$A$1:$Z$1,0))),INDEX($A84:$Z84,MATCH(Settings!$L$10,$A$1:$Z$1,0)),DATE(VALUE(LEFT(IFERROR(TRIM(INDEX($A84:$Z84,MATCH(Settings!$L$10,$A$1:$Z$1,0))&amp;""),""),4)),VALUE(MID(IFERROR(TRIM(INDEX($A84:$Z84,MATCH(Settings!$L$10,$A$1:$Z$1,0))&amp;""),""),6,2)),VALUE(MID(IFERROR(TRIM(INDEX($A84:$Z84,MATCH(Settings!$L$10,$A$1:$Z$1,0))&amp;""),""),9,2)))+TIME(VALUE(MID(IFERROR(TRIM(INDEX($A84:$Z84,MATCH(Settings!$L$10,$A$1:$Z$1,0))&amp;""),""),12,2)),VALUE(MID(IFERROR(TRIM(INDEX($A84:$Z84,MATCH(Settings!$L$10,$A$1:$Z$1,0))&amp;""),""),15,2)),VALUE(MID(IFERROR(TRIM(INDEX($A84:$Z84,MATCH(Settings!$L$10,$A$1:$Z$1,0))&amp;""),""),18,2)))),"")),"")</f>
        <v/>
      </c>
      <c r="AL84" s="32">
        <f>IF(AE84="","",IF(ISNUMBER(AK84),AK84,IFERROR(INT(IFERROR(IF(ISNUMBER(INDEX($A84:$Z84,MATCH(Settings!$L$11,$A$1:$Z$1,0))),INDEX($A84:$Z84,MATCH(Settings!$L$11,$A$1:$Z$1,0)),DATE(VALUE(LEFT(IFERROR(TRIM(INDEX($A84:$Z84,MATCH(Settings!$L$11,$A$1:$Z$1,0))&amp;""),""),4)),VALUE(MID(IFERROR(TRIM(INDEX($A84:$Z84,MATCH(Settings!$L$11,$A$1:$Z$1,0))&amp;""),""),6,2)),VALUE(MID(IFERROR(TRIM(INDEX($A84:$Z84,MATCH(Settings!$L$11,$A$1:$Z$1,0))&amp;""),""),9,2)))+TIME(VALUE(MID(IFERROR(TRIM(INDEX($A84:$Z84,MATCH(Settings!$L$11,$A$1:$Z$1,0))&amp;""),""),12,2)),VALUE(MID(IFERROR(TRIM(INDEX($A84:$Z84,MATCH(Settings!$L$11,$A$1:$Z$1,0))&amp;""),""),15,2)),VALUE(MID(IFERROR(TRIM(INDEX($A84:$Z84,MATCH(Settings!$L$11,$A$1:$Z$1,0))&amp;""),""),18,2)))),"")),"")))</f>
        <v/>
      </c>
      <c r="AM84" s="31">
        <f>IF(AE84="","",IF(ISNUMBER(IFERROR(INDEX(Settings!$G$4:$G$11,MATCH(AH84,Settings!$F$4:$F$11,0)),"")),INDEX(Settings!$G$4:$G$11,MATCH(AH84,Settings!$F$4:$F$11,0)),Settings!$D$5))</f>
        <v/>
      </c>
      <c r="AN84" s="32">
        <f>IF(OR(AE84="",NOT(ISNUMBER(AL84)),NOT(ISNUMBER(AM84))),"",IF(AM84&lt;=0,"",IF(ISNUMBER(Settings!$D$8),DATE(YEAR(AL84)+IF(DATE(YEAR(AL84),MONTH(Settings!$D$8),DAY(Settings!$D$8))&gt;AL84,0,1),MONTH(Settings!$D$8),DAY(Settings!$D$8)),MIN(DATE(YEAR(AL84),MONTH(AL84)+AM84,DAY(AL84)),DATE(YEAR(AL84),MONTH(AL84)+AM84+1,0)))))</f>
        <v/>
      </c>
      <c r="AO84" s="31">
        <f>IF(ISNUMBER(AN84),AN84-Settings!$D$4,"")</f>
        <v/>
      </c>
      <c r="AP84" s="31">
        <f>IF(ISNUMBER(AL84),AL84+0+ROW()/100000,"")</f>
        <v/>
      </c>
      <c r="AQ84" s="31">
        <f>IF(OR(AG84="",NOT(ISNUMBER(AP84))),0,IF(SUMPRODUCT(('Responses'!$AG$2:$AG$501=AG84)*('Responses'!$AJ$2:$AJ$501=1)*ISNUMBER('Responses'!$AP$2:$AP$501)*('Responses'!$AP$2:$AP$501&gt;AP84)) + SUMPRODUCT(('Paper sign-ups'!$K$2:$K$101=AG84)*('Paper sign-ups'!$N$2:$N$101=1)*ISNUMBER('Paper sign-ups'!$T$2:$T$101)*('Paper sign-ups'!$T$2:$T$101&gt;AP84))&gt;0,1,0))</f>
        <v/>
      </c>
      <c r="AR84" s="31">
        <f>IF(AE84="","",IF(AQ84=1,"Joined again",IF(AJ84=0,"Unpaid",IF(NOT(ISNUMBER(AL84)),"Add a join date",IF(AN84="","No reminder",IF(AO84&lt;0,"Lapsed",IF(AO84&lt;=Settings!$D$6,"Remind soon","Current")))))))</f>
        <v/>
      </c>
      <c r="AS84" s="33">
        <f>IF(AJ84=1,IFERROR(VALUE(IFERROR(TRIM(INDEX($A84:$Z84,MATCH(Settings!$L$8,$A$1:$Z$1,0))&amp;""),"")),0)-IFERROR(VALUE(IFERROR(TRIM(INDEX($A84:$Z84,MATCH(Settings!$L$9,$A$1:$Z$1,0))&amp;""),"")),0),0)</f>
        <v/>
      </c>
      <c r="AT84" s="31">
        <f>IF(AND(AE84&lt;&gt;"",AQ84=0),1,0)</f>
        <v/>
      </c>
      <c r="AU84" s="31">
        <f>IF(AT84=0,"",IF(ISNUMBER(AN84),AN84,100000)+0+ROW()/1000000)</f>
        <v/>
      </c>
      <c r="AV84" s="31">
        <f>IF(ISNUMBER(AU84),SUMPRODUCT(ISNUMBER('Responses'!$AU$2:$AU$501)*('Responses'!$AU$2:$AU$501&lt;AU84)) + SUMPRODUCT(ISNUMBER('Paper sign-ups'!$Y$2:$Y$101)*('Paper sign-ups'!$Y$2:$Y$101&lt;AU84))+1,"")</f>
        <v/>
      </c>
    </row>
    <row r="85">
      <c r="AA85" s="29" t="n"/>
      <c r="AB85" s="30" t="n"/>
      <c r="AC85" s="30" t="n"/>
      <c r="AD85" s="29" t="n"/>
      <c r="AE85" s="31">
        <f>IFERROR(TRIM(INDEX($A85:$Z85,MATCH(Settings!$L$4,$A$1:$Z$1,0))&amp;""),"")</f>
        <v/>
      </c>
      <c r="AF85" s="31">
        <f>IFERROR(TRIM(INDEX($A85:$Z85,MATCH(Settings!$L$5,$A$1:$Z$1,0))&amp;""),"")</f>
        <v/>
      </c>
      <c r="AG85" s="31">
        <f>IF(AE85="","",LOWER(IF(AF85&lt;&gt;"",AF85,AE85)))</f>
        <v/>
      </c>
      <c r="AH85" s="31">
        <f>IFERROR(TRIM(INDEX($A85:$Z85,MATCH(Settings!$L$6,$A$1:$Z$1,0))&amp;""),"")</f>
        <v/>
      </c>
      <c r="AI85" s="31">
        <f>IF(AE85="","",IF(UPPER(TRIM(AB85&amp;""))="Y","Paid another way",IF(IFERROR(TRIM(INDEX($A85:$Z85,MATCH(Settings!$L$7,$A$1:$Z$1,0))&amp;""),"")="","No payment status",IFERROR(TRIM(INDEX($A85:$Z85,MATCH(Settings!$L$7,$A$1:$Z$1,0))&amp;""),""))))</f>
        <v/>
      </c>
      <c r="AJ85" s="31">
        <f>IF(AE85="",0,IF(IFERROR(INDEX(Settings!$J$4:$J$14,MATCH(AI85,Settings!$I$4:$I$14,0)),"N")="Y",1,0))</f>
        <v/>
      </c>
      <c r="AK85" s="32">
        <f>IFERROR(INT(IFERROR(IF(ISNUMBER(INDEX($A85:$Z85,MATCH(Settings!$L$10,$A$1:$Z$1,0))),INDEX($A85:$Z85,MATCH(Settings!$L$10,$A$1:$Z$1,0)),DATE(VALUE(LEFT(IFERROR(TRIM(INDEX($A85:$Z85,MATCH(Settings!$L$10,$A$1:$Z$1,0))&amp;""),""),4)),VALUE(MID(IFERROR(TRIM(INDEX($A85:$Z85,MATCH(Settings!$L$10,$A$1:$Z$1,0))&amp;""),""),6,2)),VALUE(MID(IFERROR(TRIM(INDEX($A85:$Z85,MATCH(Settings!$L$10,$A$1:$Z$1,0))&amp;""),""),9,2)))+TIME(VALUE(MID(IFERROR(TRIM(INDEX($A85:$Z85,MATCH(Settings!$L$10,$A$1:$Z$1,0))&amp;""),""),12,2)),VALUE(MID(IFERROR(TRIM(INDEX($A85:$Z85,MATCH(Settings!$L$10,$A$1:$Z$1,0))&amp;""),""),15,2)),VALUE(MID(IFERROR(TRIM(INDEX($A85:$Z85,MATCH(Settings!$L$10,$A$1:$Z$1,0))&amp;""),""),18,2)))),"")),"")</f>
        <v/>
      </c>
      <c r="AL85" s="32">
        <f>IF(AE85="","",IF(ISNUMBER(AK85),AK85,IFERROR(INT(IFERROR(IF(ISNUMBER(INDEX($A85:$Z85,MATCH(Settings!$L$11,$A$1:$Z$1,0))),INDEX($A85:$Z85,MATCH(Settings!$L$11,$A$1:$Z$1,0)),DATE(VALUE(LEFT(IFERROR(TRIM(INDEX($A85:$Z85,MATCH(Settings!$L$11,$A$1:$Z$1,0))&amp;""),""),4)),VALUE(MID(IFERROR(TRIM(INDEX($A85:$Z85,MATCH(Settings!$L$11,$A$1:$Z$1,0))&amp;""),""),6,2)),VALUE(MID(IFERROR(TRIM(INDEX($A85:$Z85,MATCH(Settings!$L$11,$A$1:$Z$1,0))&amp;""),""),9,2)))+TIME(VALUE(MID(IFERROR(TRIM(INDEX($A85:$Z85,MATCH(Settings!$L$11,$A$1:$Z$1,0))&amp;""),""),12,2)),VALUE(MID(IFERROR(TRIM(INDEX($A85:$Z85,MATCH(Settings!$L$11,$A$1:$Z$1,0))&amp;""),""),15,2)),VALUE(MID(IFERROR(TRIM(INDEX($A85:$Z85,MATCH(Settings!$L$11,$A$1:$Z$1,0))&amp;""),""),18,2)))),"")),"")))</f>
        <v/>
      </c>
      <c r="AM85" s="31">
        <f>IF(AE85="","",IF(ISNUMBER(IFERROR(INDEX(Settings!$G$4:$G$11,MATCH(AH85,Settings!$F$4:$F$11,0)),"")),INDEX(Settings!$G$4:$G$11,MATCH(AH85,Settings!$F$4:$F$11,0)),Settings!$D$5))</f>
        <v/>
      </c>
      <c r="AN85" s="32">
        <f>IF(OR(AE85="",NOT(ISNUMBER(AL85)),NOT(ISNUMBER(AM85))),"",IF(AM85&lt;=0,"",IF(ISNUMBER(Settings!$D$8),DATE(YEAR(AL85)+IF(DATE(YEAR(AL85),MONTH(Settings!$D$8),DAY(Settings!$D$8))&gt;AL85,0,1),MONTH(Settings!$D$8),DAY(Settings!$D$8)),MIN(DATE(YEAR(AL85),MONTH(AL85)+AM85,DAY(AL85)),DATE(YEAR(AL85),MONTH(AL85)+AM85+1,0)))))</f>
        <v/>
      </c>
      <c r="AO85" s="31">
        <f>IF(ISNUMBER(AN85),AN85-Settings!$D$4,"")</f>
        <v/>
      </c>
      <c r="AP85" s="31">
        <f>IF(ISNUMBER(AL85),AL85+0+ROW()/100000,"")</f>
        <v/>
      </c>
      <c r="AQ85" s="31">
        <f>IF(OR(AG85="",NOT(ISNUMBER(AP85))),0,IF(SUMPRODUCT(('Responses'!$AG$2:$AG$501=AG85)*('Responses'!$AJ$2:$AJ$501=1)*ISNUMBER('Responses'!$AP$2:$AP$501)*('Responses'!$AP$2:$AP$501&gt;AP85)) + SUMPRODUCT(('Paper sign-ups'!$K$2:$K$101=AG85)*('Paper sign-ups'!$N$2:$N$101=1)*ISNUMBER('Paper sign-ups'!$T$2:$T$101)*('Paper sign-ups'!$T$2:$T$101&gt;AP85))&gt;0,1,0))</f>
        <v/>
      </c>
      <c r="AR85" s="31">
        <f>IF(AE85="","",IF(AQ85=1,"Joined again",IF(AJ85=0,"Unpaid",IF(NOT(ISNUMBER(AL85)),"Add a join date",IF(AN85="","No reminder",IF(AO85&lt;0,"Lapsed",IF(AO85&lt;=Settings!$D$6,"Remind soon","Current")))))))</f>
        <v/>
      </c>
      <c r="AS85" s="33">
        <f>IF(AJ85=1,IFERROR(VALUE(IFERROR(TRIM(INDEX($A85:$Z85,MATCH(Settings!$L$8,$A$1:$Z$1,0))&amp;""),"")),0)-IFERROR(VALUE(IFERROR(TRIM(INDEX($A85:$Z85,MATCH(Settings!$L$9,$A$1:$Z$1,0))&amp;""),"")),0),0)</f>
        <v/>
      </c>
      <c r="AT85" s="31">
        <f>IF(AND(AE85&lt;&gt;"",AQ85=0),1,0)</f>
        <v/>
      </c>
      <c r="AU85" s="31">
        <f>IF(AT85=0,"",IF(ISNUMBER(AN85),AN85,100000)+0+ROW()/1000000)</f>
        <v/>
      </c>
      <c r="AV85" s="31">
        <f>IF(ISNUMBER(AU85),SUMPRODUCT(ISNUMBER('Responses'!$AU$2:$AU$501)*('Responses'!$AU$2:$AU$501&lt;AU85)) + SUMPRODUCT(ISNUMBER('Paper sign-ups'!$Y$2:$Y$101)*('Paper sign-ups'!$Y$2:$Y$101&lt;AU85))+1,"")</f>
        <v/>
      </c>
    </row>
    <row r="86">
      <c r="AA86" s="29" t="n"/>
      <c r="AB86" s="30" t="n"/>
      <c r="AC86" s="30" t="n"/>
      <c r="AD86" s="29" t="n"/>
      <c r="AE86" s="31">
        <f>IFERROR(TRIM(INDEX($A86:$Z86,MATCH(Settings!$L$4,$A$1:$Z$1,0))&amp;""),"")</f>
        <v/>
      </c>
      <c r="AF86" s="31">
        <f>IFERROR(TRIM(INDEX($A86:$Z86,MATCH(Settings!$L$5,$A$1:$Z$1,0))&amp;""),"")</f>
        <v/>
      </c>
      <c r="AG86" s="31">
        <f>IF(AE86="","",LOWER(IF(AF86&lt;&gt;"",AF86,AE86)))</f>
        <v/>
      </c>
      <c r="AH86" s="31">
        <f>IFERROR(TRIM(INDEX($A86:$Z86,MATCH(Settings!$L$6,$A$1:$Z$1,0))&amp;""),"")</f>
        <v/>
      </c>
      <c r="AI86" s="31">
        <f>IF(AE86="","",IF(UPPER(TRIM(AB86&amp;""))="Y","Paid another way",IF(IFERROR(TRIM(INDEX($A86:$Z86,MATCH(Settings!$L$7,$A$1:$Z$1,0))&amp;""),"")="","No payment status",IFERROR(TRIM(INDEX($A86:$Z86,MATCH(Settings!$L$7,$A$1:$Z$1,0))&amp;""),""))))</f>
        <v/>
      </c>
      <c r="AJ86" s="31">
        <f>IF(AE86="",0,IF(IFERROR(INDEX(Settings!$J$4:$J$14,MATCH(AI86,Settings!$I$4:$I$14,0)),"N")="Y",1,0))</f>
        <v/>
      </c>
      <c r="AK86" s="32">
        <f>IFERROR(INT(IFERROR(IF(ISNUMBER(INDEX($A86:$Z86,MATCH(Settings!$L$10,$A$1:$Z$1,0))),INDEX($A86:$Z86,MATCH(Settings!$L$10,$A$1:$Z$1,0)),DATE(VALUE(LEFT(IFERROR(TRIM(INDEX($A86:$Z86,MATCH(Settings!$L$10,$A$1:$Z$1,0))&amp;""),""),4)),VALUE(MID(IFERROR(TRIM(INDEX($A86:$Z86,MATCH(Settings!$L$10,$A$1:$Z$1,0))&amp;""),""),6,2)),VALUE(MID(IFERROR(TRIM(INDEX($A86:$Z86,MATCH(Settings!$L$10,$A$1:$Z$1,0))&amp;""),""),9,2)))+TIME(VALUE(MID(IFERROR(TRIM(INDEX($A86:$Z86,MATCH(Settings!$L$10,$A$1:$Z$1,0))&amp;""),""),12,2)),VALUE(MID(IFERROR(TRIM(INDEX($A86:$Z86,MATCH(Settings!$L$10,$A$1:$Z$1,0))&amp;""),""),15,2)),VALUE(MID(IFERROR(TRIM(INDEX($A86:$Z86,MATCH(Settings!$L$10,$A$1:$Z$1,0))&amp;""),""),18,2)))),"")),"")</f>
        <v/>
      </c>
      <c r="AL86" s="32">
        <f>IF(AE86="","",IF(ISNUMBER(AK86),AK86,IFERROR(INT(IFERROR(IF(ISNUMBER(INDEX($A86:$Z86,MATCH(Settings!$L$11,$A$1:$Z$1,0))),INDEX($A86:$Z86,MATCH(Settings!$L$11,$A$1:$Z$1,0)),DATE(VALUE(LEFT(IFERROR(TRIM(INDEX($A86:$Z86,MATCH(Settings!$L$11,$A$1:$Z$1,0))&amp;""),""),4)),VALUE(MID(IFERROR(TRIM(INDEX($A86:$Z86,MATCH(Settings!$L$11,$A$1:$Z$1,0))&amp;""),""),6,2)),VALUE(MID(IFERROR(TRIM(INDEX($A86:$Z86,MATCH(Settings!$L$11,$A$1:$Z$1,0))&amp;""),""),9,2)))+TIME(VALUE(MID(IFERROR(TRIM(INDEX($A86:$Z86,MATCH(Settings!$L$11,$A$1:$Z$1,0))&amp;""),""),12,2)),VALUE(MID(IFERROR(TRIM(INDEX($A86:$Z86,MATCH(Settings!$L$11,$A$1:$Z$1,0))&amp;""),""),15,2)),VALUE(MID(IFERROR(TRIM(INDEX($A86:$Z86,MATCH(Settings!$L$11,$A$1:$Z$1,0))&amp;""),""),18,2)))),"")),"")))</f>
        <v/>
      </c>
      <c r="AM86" s="31">
        <f>IF(AE86="","",IF(ISNUMBER(IFERROR(INDEX(Settings!$G$4:$G$11,MATCH(AH86,Settings!$F$4:$F$11,0)),"")),INDEX(Settings!$G$4:$G$11,MATCH(AH86,Settings!$F$4:$F$11,0)),Settings!$D$5))</f>
        <v/>
      </c>
      <c r="AN86" s="32">
        <f>IF(OR(AE86="",NOT(ISNUMBER(AL86)),NOT(ISNUMBER(AM86))),"",IF(AM86&lt;=0,"",IF(ISNUMBER(Settings!$D$8),DATE(YEAR(AL86)+IF(DATE(YEAR(AL86),MONTH(Settings!$D$8),DAY(Settings!$D$8))&gt;AL86,0,1),MONTH(Settings!$D$8),DAY(Settings!$D$8)),MIN(DATE(YEAR(AL86),MONTH(AL86)+AM86,DAY(AL86)),DATE(YEAR(AL86),MONTH(AL86)+AM86+1,0)))))</f>
        <v/>
      </c>
      <c r="AO86" s="31">
        <f>IF(ISNUMBER(AN86),AN86-Settings!$D$4,"")</f>
        <v/>
      </c>
      <c r="AP86" s="31">
        <f>IF(ISNUMBER(AL86),AL86+0+ROW()/100000,"")</f>
        <v/>
      </c>
      <c r="AQ86" s="31">
        <f>IF(OR(AG86="",NOT(ISNUMBER(AP86))),0,IF(SUMPRODUCT(('Responses'!$AG$2:$AG$501=AG86)*('Responses'!$AJ$2:$AJ$501=1)*ISNUMBER('Responses'!$AP$2:$AP$501)*('Responses'!$AP$2:$AP$501&gt;AP86)) + SUMPRODUCT(('Paper sign-ups'!$K$2:$K$101=AG86)*('Paper sign-ups'!$N$2:$N$101=1)*ISNUMBER('Paper sign-ups'!$T$2:$T$101)*('Paper sign-ups'!$T$2:$T$101&gt;AP86))&gt;0,1,0))</f>
        <v/>
      </c>
      <c r="AR86" s="31">
        <f>IF(AE86="","",IF(AQ86=1,"Joined again",IF(AJ86=0,"Unpaid",IF(NOT(ISNUMBER(AL86)),"Add a join date",IF(AN86="","No reminder",IF(AO86&lt;0,"Lapsed",IF(AO86&lt;=Settings!$D$6,"Remind soon","Current")))))))</f>
        <v/>
      </c>
      <c r="AS86" s="33">
        <f>IF(AJ86=1,IFERROR(VALUE(IFERROR(TRIM(INDEX($A86:$Z86,MATCH(Settings!$L$8,$A$1:$Z$1,0))&amp;""),"")),0)-IFERROR(VALUE(IFERROR(TRIM(INDEX($A86:$Z86,MATCH(Settings!$L$9,$A$1:$Z$1,0))&amp;""),"")),0),0)</f>
        <v/>
      </c>
      <c r="AT86" s="31">
        <f>IF(AND(AE86&lt;&gt;"",AQ86=0),1,0)</f>
        <v/>
      </c>
      <c r="AU86" s="31">
        <f>IF(AT86=0,"",IF(ISNUMBER(AN86),AN86,100000)+0+ROW()/1000000)</f>
        <v/>
      </c>
      <c r="AV86" s="31">
        <f>IF(ISNUMBER(AU86),SUMPRODUCT(ISNUMBER('Responses'!$AU$2:$AU$501)*('Responses'!$AU$2:$AU$501&lt;AU86)) + SUMPRODUCT(ISNUMBER('Paper sign-ups'!$Y$2:$Y$101)*('Paper sign-ups'!$Y$2:$Y$101&lt;AU86))+1,"")</f>
        <v/>
      </c>
    </row>
    <row r="87">
      <c r="AA87" s="29" t="n"/>
      <c r="AB87" s="30" t="n"/>
      <c r="AC87" s="30" t="n"/>
      <c r="AD87" s="29" t="n"/>
      <c r="AE87" s="31">
        <f>IFERROR(TRIM(INDEX($A87:$Z87,MATCH(Settings!$L$4,$A$1:$Z$1,0))&amp;""),"")</f>
        <v/>
      </c>
      <c r="AF87" s="31">
        <f>IFERROR(TRIM(INDEX($A87:$Z87,MATCH(Settings!$L$5,$A$1:$Z$1,0))&amp;""),"")</f>
        <v/>
      </c>
      <c r="AG87" s="31">
        <f>IF(AE87="","",LOWER(IF(AF87&lt;&gt;"",AF87,AE87)))</f>
        <v/>
      </c>
      <c r="AH87" s="31">
        <f>IFERROR(TRIM(INDEX($A87:$Z87,MATCH(Settings!$L$6,$A$1:$Z$1,0))&amp;""),"")</f>
        <v/>
      </c>
      <c r="AI87" s="31">
        <f>IF(AE87="","",IF(UPPER(TRIM(AB87&amp;""))="Y","Paid another way",IF(IFERROR(TRIM(INDEX($A87:$Z87,MATCH(Settings!$L$7,$A$1:$Z$1,0))&amp;""),"")="","No payment status",IFERROR(TRIM(INDEX($A87:$Z87,MATCH(Settings!$L$7,$A$1:$Z$1,0))&amp;""),""))))</f>
        <v/>
      </c>
      <c r="AJ87" s="31">
        <f>IF(AE87="",0,IF(IFERROR(INDEX(Settings!$J$4:$J$14,MATCH(AI87,Settings!$I$4:$I$14,0)),"N")="Y",1,0))</f>
        <v/>
      </c>
      <c r="AK87" s="32">
        <f>IFERROR(INT(IFERROR(IF(ISNUMBER(INDEX($A87:$Z87,MATCH(Settings!$L$10,$A$1:$Z$1,0))),INDEX($A87:$Z87,MATCH(Settings!$L$10,$A$1:$Z$1,0)),DATE(VALUE(LEFT(IFERROR(TRIM(INDEX($A87:$Z87,MATCH(Settings!$L$10,$A$1:$Z$1,0))&amp;""),""),4)),VALUE(MID(IFERROR(TRIM(INDEX($A87:$Z87,MATCH(Settings!$L$10,$A$1:$Z$1,0))&amp;""),""),6,2)),VALUE(MID(IFERROR(TRIM(INDEX($A87:$Z87,MATCH(Settings!$L$10,$A$1:$Z$1,0))&amp;""),""),9,2)))+TIME(VALUE(MID(IFERROR(TRIM(INDEX($A87:$Z87,MATCH(Settings!$L$10,$A$1:$Z$1,0))&amp;""),""),12,2)),VALUE(MID(IFERROR(TRIM(INDEX($A87:$Z87,MATCH(Settings!$L$10,$A$1:$Z$1,0))&amp;""),""),15,2)),VALUE(MID(IFERROR(TRIM(INDEX($A87:$Z87,MATCH(Settings!$L$10,$A$1:$Z$1,0))&amp;""),""),18,2)))),"")),"")</f>
        <v/>
      </c>
      <c r="AL87" s="32">
        <f>IF(AE87="","",IF(ISNUMBER(AK87),AK87,IFERROR(INT(IFERROR(IF(ISNUMBER(INDEX($A87:$Z87,MATCH(Settings!$L$11,$A$1:$Z$1,0))),INDEX($A87:$Z87,MATCH(Settings!$L$11,$A$1:$Z$1,0)),DATE(VALUE(LEFT(IFERROR(TRIM(INDEX($A87:$Z87,MATCH(Settings!$L$11,$A$1:$Z$1,0))&amp;""),""),4)),VALUE(MID(IFERROR(TRIM(INDEX($A87:$Z87,MATCH(Settings!$L$11,$A$1:$Z$1,0))&amp;""),""),6,2)),VALUE(MID(IFERROR(TRIM(INDEX($A87:$Z87,MATCH(Settings!$L$11,$A$1:$Z$1,0))&amp;""),""),9,2)))+TIME(VALUE(MID(IFERROR(TRIM(INDEX($A87:$Z87,MATCH(Settings!$L$11,$A$1:$Z$1,0))&amp;""),""),12,2)),VALUE(MID(IFERROR(TRIM(INDEX($A87:$Z87,MATCH(Settings!$L$11,$A$1:$Z$1,0))&amp;""),""),15,2)),VALUE(MID(IFERROR(TRIM(INDEX($A87:$Z87,MATCH(Settings!$L$11,$A$1:$Z$1,0))&amp;""),""),18,2)))),"")),"")))</f>
        <v/>
      </c>
      <c r="AM87" s="31">
        <f>IF(AE87="","",IF(ISNUMBER(IFERROR(INDEX(Settings!$G$4:$G$11,MATCH(AH87,Settings!$F$4:$F$11,0)),"")),INDEX(Settings!$G$4:$G$11,MATCH(AH87,Settings!$F$4:$F$11,0)),Settings!$D$5))</f>
        <v/>
      </c>
      <c r="AN87" s="32">
        <f>IF(OR(AE87="",NOT(ISNUMBER(AL87)),NOT(ISNUMBER(AM87))),"",IF(AM87&lt;=0,"",IF(ISNUMBER(Settings!$D$8),DATE(YEAR(AL87)+IF(DATE(YEAR(AL87),MONTH(Settings!$D$8),DAY(Settings!$D$8))&gt;AL87,0,1),MONTH(Settings!$D$8),DAY(Settings!$D$8)),MIN(DATE(YEAR(AL87),MONTH(AL87)+AM87,DAY(AL87)),DATE(YEAR(AL87),MONTH(AL87)+AM87+1,0)))))</f>
        <v/>
      </c>
      <c r="AO87" s="31">
        <f>IF(ISNUMBER(AN87),AN87-Settings!$D$4,"")</f>
        <v/>
      </c>
      <c r="AP87" s="31">
        <f>IF(ISNUMBER(AL87),AL87+0+ROW()/100000,"")</f>
        <v/>
      </c>
      <c r="AQ87" s="31">
        <f>IF(OR(AG87="",NOT(ISNUMBER(AP87))),0,IF(SUMPRODUCT(('Responses'!$AG$2:$AG$501=AG87)*('Responses'!$AJ$2:$AJ$501=1)*ISNUMBER('Responses'!$AP$2:$AP$501)*('Responses'!$AP$2:$AP$501&gt;AP87)) + SUMPRODUCT(('Paper sign-ups'!$K$2:$K$101=AG87)*('Paper sign-ups'!$N$2:$N$101=1)*ISNUMBER('Paper sign-ups'!$T$2:$T$101)*('Paper sign-ups'!$T$2:$T$101&gt;AP87))&gt;0,1,0))</f>
        <v/>
      </c>
      <c r="AR87" s="31">
        <f>IF(AE87="","",IF(AQ87=1,"Joined again",IF(AJ87=0,"Unpaid",IF(NOT(ISNUMBER(AL87)),"Add a join date",IF(AN87="","No reminder",IF(AO87&lt;0,"Lapsed",IF(AO87&lt;=Settings!$D$6,"Remind soon","Current")))))))</f>
        <v/>
      </c>
      <c r="AS87" s="33">
        <f>IF(AJ87=1,IFERROR(VALUE(IFERROR(TRIM(INDEX($A87:$Z87,MATCH(Settings!$L$8,$A$1:$Z$1,0))&amp;""),"")),0)-IFERROR(VALUE(IFERROR(TRIM(INDEX($A87:$Z87,MATCH(Settings!$L$9,$A$1:$Z$1,0))&amp;""),"")),0),0)</f>
        <v/>
      </c>
      <c r="AT87" s="31">
        <f>IF(AND(AE87&lt;&gt;"",AQ87=0),1,0)</f>
        <v/>
      </c>
      <c r="AU87" s="31">
        <f>IF(AT87=0,"",IF(ISNUMBER(AN87),AN87,100000)+0+ROW()/1000000)</f>
        <v/>
      </c>
      <c r="AV87" s="31">
        <f>IF(ISNUMBER(AU87),SUMPRODUCT(ISNUMBER('Responses'!$AU$2:$AU$501)*('Responses'!$AU$2:$AU$501&lt;AU87)) + SUMPRODUCT(ISNUMBER('Paper sign-ups'!$Y$2:$Y$101)*('Paper sign-ups'!$Y$2:$Y$101&lt;AU87))+1,"")</f>
        <v/>
      </c>
    </row>
    <row r="88">
      <c r="AA88" s="29" t="n"/>
      <c r="AB88" s="30" t="n"/>
      <c r="AC88" s="30" t="n"/>
      <c r="AD88" s="29" t="n"/>
      <c r="AE88" s="31">
        <f>IFERROR(TRIM(INDEX($A88:$Z88,MATCH(Settings!$L$4,$A$1:$Z$1,0))&amp;""),"")</f>
        <v/>
      </c>
      <c r="AF88" s="31">
        <f>IFERROR(TRIM(INDEX($A88:$Z88,MATCH(Settings!$L$5,$A$1:$Z$1,0))&amp;""),"")</f>
        <v/>
      </c>
      <c r="AG88" s="31">
        <f>IF(AE88="","",LOWER(IF(AF88&lt;&gt;"",AF88,AE88)))</f>
        <v/>
      </c>
      <c r="AH88" s="31">
        <f>IFERROR(TRIM(INDEX($A88:$Z88,MATCH(Settings!$L$6,$A$1:$Z$1,0))&amp;""),"")</f>
        <v/>
      </c>
      <c r="AI88" s="31">
        <f>IF(AE88="","",IF(UPPER(TRIM(AB88&amp;""))="Y","Paid another way",IF(IFERROR(TRIM(INDEX($A88:$Z88,MATCH(Settings!$L$7,$A$1:$Z$1,0))&amp;""),"")="","No payment status",IFERROR(TRIM(INDEX($A88:$Z88,MATCH(Settings!$L$7,$A$1:$Z$1,0))&amp;""),""))))</f>
        <v/>
      </c>
      <c r="AJ88" s="31">
        <f>IF(AE88="",0,IF(IFERROR(INDEX(Settings!$J$4:$J$14,MATCH(AI88,Settings!$I$4:$I$14,0)),"N")="Y",1,0))</f>
        <v/>
      </c>
      <c r="AK88" s="32">
        <f>IFERROR(INT(IFERROR(IF(ISNUMBER(INDEX($A88:$Z88,MATCH(Settings!$L$10,$A$1:$Z$1,0))),INDEX($A88:$Z88,MATCH(Settings!$L$10,$A$1:$Z$1,0)),DATE(VALUE(LEFT(IFERROR(TRIM(INDEX($A88:$Z88,MATCH(Settings!$L$10,$A$1:$Z$1,0))&amp;""),""),4)),VALUE(MID(IFERROR(TRIM(INDEX($A88:$Z88,MATCH(Settings!$L$10,$A$1:$Z$1,0))&amp;""),""),6,2)),VALUE(MID(IFERROR(TRIM(INDEX($A88:$Z88,MATCH(Settings!$L$10,$A$1:$Z$1,0))&amp;""),""),9,2)))+TIME(VALUE(MID(IFERROR(TRIM(INDEX($A88:$Z88,MATCH(Settings!$L$10,$A$1:$Z$1,0))&amp;""),""),12,2)),VALUE(MID(IFERROR(TRIM(INDEX($A88:$Z88,MATCH(Settings!$L$10,$A$1:$Z$1,0))&amp;""),""),15,2)),VALUE(MID(IFERROR(TRIM(INDEX($A88:$Z88,MATCH(Settings!$L$10,$A$1:$Z$1,0))&amp;""),""),18,2)))),"")),"")</f>
        <v/>
      </c>
      <c r="AL88" s="32">
        <f>IF(AE88="","",IF(ISNUMBER(AK88),AK88,IFERROR(INT(IFERROR(IF(ISNUMBER(INDEX($A88:$Z88,MATCH(Settings!$L$11,$A$1:$Z$1,0))),INDEX($A88:$Z88,MATCH(Settings!$L$11,$A$1:$Z$1,0)),DATE(VALUE(LEFT(IFERROR(TRIM(INDEX($A88:$Z88,MATCH(Settings!$L$11,$A$1:$Z$1,0))&amp;""),""),4)),VALUE(MID(IFERROR(TRIM(INDEX($A88:$Z88,MATCH(Settings!$L$11,$A$1:$Z$1,0))&amp;""),""),6,2)),VALUE(MID(IFERROR(TRIM(INDEX($A88:$Z88,MATCH(Settings!$L$11,$A$1:$Z$1,0))&amp;""),""),9,2)))+TIME(VALUE(MID(IFERROR(TRIM(INDEX($A88:$Z88,MATCH(Settings!$L$11,$A$1:$Z$1,0))&amp;""),""),12,2)),VALUE(MID(IFERROR(TRIM(INDEX($A88:$Z88,MATCH(Settings!$L$11,$A$1:$Z$1,0))&amp;""),""),15,2)),VALUE(MID(IFERROR(TRIM(INDEX($A88:$Z88,MATCH(Settings!$L$11,$A$1:$Z$1,0))&amp;""),""),18,2)))),"")),"")))</f>
        <v/>
      </c>
      <c r="AM88" s="31">
        <f>IF(AE88="","",IF(ISNUMBER(IFERROR(INDEX(Settings!$G$4:$G$11,MATCH(AH88,Settings!$F$4:$F$11,0)),"")),INDEX(Settings!$G$4:$G$11,MATCH(AH88,Settings!$F$4:$F$11,0)),Settings!$D$5))</f>
        <v/>
      </c>
      <c r="AN88" s="32">
        <f>IF(OR(AE88="",NOT(ISNUMBER(AL88)),NOT(ISNUMBER(AM88))),"",IF(AM88&lt;=0,"",IF(ISNUMBER(Settings!$D$8),DATE(YEAR(AL88)+IF(DATE(YEAR(AL88),MONTH(Settings!$D$8),DAY(Settings!$D$8))&gt;AL88,0,1),MONTH(Settings!$D$8),DAY(Settings!$D$8)),MIN(DATE(YEAR(AL88),MONTH(AL88)+AM88,DAY(AL88)),DATE(YEAR(AL88),MONTH(AL88)+AM88+1,0)))))</f>
        <v/>
      </c>
      <c r="AO88" s="31">
        <f>IF(ISNUMBER(AN88),AN88-Settings!$D$4,"")</f>
        <v/>
      </c>
      <c r="AP88" s="31">
        <f>IF(ISNUMBER(AL88),AL88+0+ROW()/100000,"")</f>
        <v/>
      </c>
      <c r="AQ88" s="31">
        <f>IF(OR(AG88="",NOT(ISNUMBER(AP88))),0,IF(SUMPRODUCT(('Responses'!$AG$2:$AG$501=AG88)*('Responses'!$AJ$2:$AJ$501=1)*ISNUMBER('Responses'!$AP$2:$AP$501)*('Responses'!$AP$2:$AP$501&gt;AP88)) + SUMPRODUCT(('Paper sign-ups'!$K$2:$K$101=AG88)*('Paper sign-ups'!$N$2:$N$101=1)*ISNUMBER('Paper sign-ups'!$T$2:$T$101)*('Paper sign-ups'!$T$2:$T$101&gt;AP88))&gt;0,1,0))</f>
        <v/>
      </c>
      <c r="AR88" s="31">
        <f>IF(AE88="","",IF(AQ88=1,"Joined again",IF(AJ88=0,"Unpaid",IF(NOT(ISNUMBER(AL88)),"Add a join date",IF(AN88="","No reminder",IF(AO88&lt;0,"Lapsed",IF(AO88&lt;=Settings!$D$6,"Remind soon","Current")))))))</f>
        <v/>
      </c>
      <c r="AS88" s="33">
        <f>IF(AJ88=1,IFERROR(VALUE(IFERROR(TRIM(INDEX($A88:$Z88,MATCH(Settings!$L$8,$A$1:$Z$1,0))&amp;""),"")),0)-IFERROR(VALUE(IFERROR(TRIM(INDEX($A88:$Z88,MATCH(Settings!$L$9,$A$1:$Z$1,0))&amp;""),"")),0),0)</f>
        <v/>
      </c>
      <c r="AT88" s="31">
        <f>IF(AND(AE88&lt;&gt;"",AQ88=0),1,0)</f>
        <v/>
      </c>
      <c r="AU88" s="31">
        <f>IF(AT88=0,"",IF(ISNUMBER(AN88),AN88,100000)+0+ROW()/1000000)</f>
        <v/>
      </c>
      <c r="AV88" s="31">
        <f>IF(ISNUMBER(AU88),SUMPRODUCT(ISNUMBER('Responses'!$AU$2:$AU$501)*('Responses'!$AU$2:$AU$501&lt;AU88)) + SUMPRODUCT(ISNUMBER('Paper sign-ups'!$Y$2:$Y$101)*('Paper sign-ups'!$Y$2:$Y$101&lt;AU88))+1,"")</f>
        <v/>
      </c>
    </row>
    <row r="89">
      <c r="AA89" s="29" t="n"/>
      <c r="AB89" s="30" t="n"/>
      <c r="AC89" s="30" t="n"/>
      <c r="AD89" s="29" t="n"/>
      <c r="AE89" s="31">
        <f>IFERROR(TRIM(INDEX($A89:$Z89,MATCH(Settings!$L$4,$A$1:$Z$1,0))&amp;""),"")</f>
        <v/>
      </c>
      <c r="AF89" s="31">
        <f>IFERROR(TRIM(INDEX($A89:$Z89,MATCH(Settings!$L$5,$A$1:$Z$1,0))&amp;""),"")</f>
        <v/>
      </c>
      <c r="AG89" s="31">
        <f>IF(AE89="","",LOWER(IF(AF89&lt;&gt;"",AF89,AE89)))</f>
        <v/>
      </c>
      <c r="AH89" s="31">
        <f>IFERROR(TRIM(INDEX($A89:$Z89,MATCH(Settings!$L$6,$A$1:$Z$1,0))&amp;""),"")</f>
        <v/>
      </c>
      <c r="AI89" s="31">
        <f>IF(AE89="","",IF(UPPER(TRIM(AB89&amp;""))="Y","Paid another way",IF(IFERROR(TRIM(INDEX($A89:$Z89,MATCH(Settings!$L$7,$A$1:$Z$1,0))&amp;""),"")="","No payment status",IFERROR(TRIM(INDEX($A89:$Z89,MATCH(Settings!$L$7,$A$1:$Z$1,0))&amp;""),""))))</f>
        <v/>
      </c>
      <c r="AJ89" s="31">
        <f>IF(AE89="",0,IF(IFERROR(INDEX(Settings!$J$4:$J$14,MATCH(AI89,Settings!$I$4:$I$14,0)),"N")="Y",1,0))</f>
        <v/>
      </c>
      <c r="AK89" s="32">
        <f>IFERROR(INT(IFERROR(IF(ISNUMBER(INDEX($A89:$Z89,MATCH(Settings!$L$10,$A$1:$Z$1,0))),INDEX($A89:$Z89,MATCH(Settings!$L$10,$A$1:$Z$1,0)),DATE(VALUE(LEFT(IFERROR(TRIM(INDEX($A89:$Z89,MATCH(Settings!$L$10,$A$1:$Z$1,0))&amp;""),""),4)),VALUE(MID(IFERROR(TRIM(INDEX($A89:$Z89,MATCH(Settings!$L$10,$A$1:$Z$1,0))&amp;""),""),6,2)),VALUE(MID(IFERROR(TRIM(INDEX($A89:$Z89,MATCH(Settings!$L$10,$A$1:$Z$1,0))&amp;""),""),9,2)))+TIME(VALUE(MID(IFERROR(TRIM(INDEX($A89:$Z89,MATCH(Settings!$L$10,$A$1:$Z$1,0))&amp;""),""),12,2)),VALUE(MID(IFERROR(TRIM(INDEX($A89:$Z89,MATCH(Settings!$L$10,$A$1:$Z$1,0))&amp;""),""),15,2)),VALUE(MID(IFERROR(TRIM(INDEX($A89:$Z89,MATCH(Settings!$L$10,$A$1:$Z$1,0))&amp;""),""),18,2)))),"")),"")</f>
        <v/>
      </c>
      <c r="AL89" s="32">
        <f>IF(AE89="","",IF(ISNUMBER(AK89),AK89,IFERROR(INT(IFERROR(IF(ISNUMBER(INDEX($A89:$Z89,MATCH(Settings!$L$11,$A$1:$Z$1,0))),INDEX($A89:$Z89,MATCH(Settings!$L$11,$A$1:$Z$1,0)),DATE(VALUE(LEFT(IFERROR(TRIM(INDEX($A89:$Z89,MATCH(Settings!$L$11,$A$1:$Z$1,0))&amp;""),""),4)),VALUE(MID(IFERROR(TRIM(INDEX($A89:$Z89,MATCH(Settings!$L$11,$A$1:$Z$1,0))&amp;""),""),6,2)),VALUE(MID(IFERROR(TRIM(INDEX($A89:$Z89,MATCH(Settings!$L$11,$A$1:$Z$1,0))&amp;""),""),9,2)))+TIME(VALUE(MID(IFERROR(TRIM(INDEX($A89:$Z89,MATCH(Settings!$L$11,$A$1:$Z$1,0))&amp;""),""),12,2)),VALUE(MID(IFERROR(TRIM(INDEX($A89:$Z89,MATCH(Settings!$L$11,$A$1:$Z$1,0))&amp;""),""),15,2)),VALUE(MID(IFERROR(TRIM(INDEX($A89:$Z89,MATCH(Settings!$L$11,$A$1:$Z$1,0))&amp;""),""),18,2)))),"")),"")))</f>
        <v/>
      </c>
      <c r="AM89" s="31">
        <f>IF(AE89="","",IF(ISNUMBER(IFERROR(INDEX(Settings!$G$4:$G$11,MATCH(AH89,Settings!$F$4:$F$11,0)),"")),INDEX(Settings!$G$4:$G$11,MATCH(AH89,Settings!$F$4:$F$11,0)),Settings!$D$5))</f>
        <v/>
      </c>
      <c r="AN89" s="32">
        <f>IF(OR(AE89="",NOT(ISNUMBER(AL89)),NOT(ISNUMBER(AM89))),"",IF(AM89&lt;=0,"",IF(ISNUMBER(Settings!$D$8),DATE(YEAR(AL89)+IF(DATE(YEAR(AL89),MONTH(Settings!$D$8),DAY(Settings!$D$8))&gt;AL89,0,1),MONTH(Settings!$D$8),DAY(Settings!$D$8)),MIN(DATE(YEAR(AL89),MONTH(AL89)+AM89,DAY(AL89)),DATE(YEAR(AL89),MONTH(AL89)+AM89+1,0)))))</f>
        <v/>
      </c>
      <c r="AO89" s="31">
        <f>IF(ISNUMBER(AN89),AN89-Settings!$D$4,"")</f>
        <v/>
      </c>
      <c r="AP89" s="31">
        <f>IF(ISNUMBER(AL89),AL89+0+ROW()/100000,"")</f>
        <v/>
      </c>
      <c r="AQ89" s="31">
        <f>IF(OR(AG89="",NOT(ISNUMBER(AP89))),0,IF(SUMPRODUCT(('Responses'!$AG$2:$AG$501=AG89)*('Responses'!$AJ$2:$AJ$501=1)*ISNUMBER('Responses'!$AP$2:$AP$501)*('Responses'!$AP$2:$AP$501&gt;AP89)) + SUMPRODUCT(('Paper sign-ups'!$K$2:$K$101=AG89)*('Paper sign-ups'!$N$2:$N$101=1)*ISNUMBER('Paper sign-ups'!$T$2:$T$101)*('Paper sign-ups'!$T$2:$T$101&gt;AP89))&gt;0,1,0))</f>
        <v/>
      </c>
      <c r="AR89" s="31">
        <f>IF(AE89="","",IF(AQ89=1,"Joined again",IF(AJ89=0,"Unpaid",IF(NOT(ISNUMBER(AL89)),"Add a join date",IF(AN89="","No reminder",IF(AO89&lt;0,"Lapsed",IF(AO89&lt;=Settings!$D$6,"Remind soon","Current")))))))</f>
        <v/>
      </c>
      <c r="AS89" s="33">
        <f>IF(AJ89=1,IFERROR(VALUE(IFERROR(TRIM(INDEX($A89:$Z89,MATCH(Settings!$L$8,$A$1:$Z$1,0))&amp;""),"")),0)-IFERROR(VALUE(IFERROR(TRIM(INDEX($A89:$Z89,MATCH(Settings!$L$9,$A$1:$Z$1,0))&amp;""),"")),0),0)</f>
        <v/>
      </c>
      <c r="AT89" s="31">
        <f>IF(AND(AE89&lt;&gt;"",AQ89=0),1,0)</f>
        <v/>
      </c>
      <c r="AU89" s="31">
        <f>IF(AT89=0,"",IF(ISNUMBER(AN89),AN89,100000)+0+ROW()/1000000)</f>
        <v/>
      </c>
      <c r="AV89" s="31">
        <f>IF(ISNUMBER(AU89),SUMPRODUCT(ISNUMBER('Responses'!$AU$2:$AU$501)*('Responses'!$AU$2:$AU$501&lt;AU89)) + SUMPRODUCT(ISNUMBER('Paper sign-ups'!$Y$2:$Y$101)*('Paper sign-ups'!$Y$2:$Y$101&lt;AU89))+1,"")</f>
        <v/>
      </c>
    </row>
    <row r="90">
      <c r="AA90" s="29" t="n"/>
      <c r="AB90" s="30" t="n"/>
      <c r="AC90" s="30" t="n"/>
      <c r="AD90" s="29" t="n"/>
      <c r="AE90" s="31">
        <f>IFERROR(TRIM(INDEX($A90:$Z90,MATCH(Settings!$L$4,$A$1:$Z$1,0))&amp;""),"")</f>
        <v/>
      </c>
      <c r="AF90" s="31">
        <f>IFERROR(TRIM(INDEX($A90:$Z90,MATCH(Settings!$L$5,$A$1:$Z$1,0))&amp;""),"")</f>
        <v/>
      </c>
      <c r="AG90" s="31">
        <f>IF(AE90="","",LOWER(IF(AF90&lt;&gt;"",AF90,AE90)))</f>
        <v/>
      </c>
      <c r="AH90" s="31">
        <f>IFERROR(TRIM(INDEX($A90:$Z90,MATCH(Settings!$L$6,$A$1:$Z$1,0))&amp;""),"")</f>
        <v/>
      </c>
      <c r="AI90" s="31">
        <f>IF(AE90="","",IF(UPPER(TRIM(AB90&amp;""))="Y","Paid another way",IF(IFERROR(TRIM(INDEX($A90:$Z90,MATCH(Settings!$L$7,$A$1:$Z$1,0))&amp;""),"")="","No payment status",IFERROR(TRIM(INDEX($A90:$Z90,MATCH(Settings!$L$7,$A$1:$Z$1,0))&amp;""),""))))</f>
        <v/>
      </c>
      <c r="AJ90" s="31">
        <f>IF(AE90="",0,IF(IFERROR(INDEX(Settings!$J$4:$J$14,MATCH(AI90,Settings!$I$4:$I$14,0)),"N")="Y",1,0))</f>
        <v/>
      </c>
      <c r="AK90" s="32">
        <f>IFERROR(INT(IFERROR(IF(ISNUMBER(INDEX($A90:$Z90,MATCH(Settings!$L$10,$A$1:$Z$1,0))),INDEX($A90:$Z90,MATCH(Settings!$L$10,$A$1:$Z$1,0)),DATE(VALUE(LEFT(IFERROR(TRIM(INDEX($A90:$Z90,MATCH(Settings!$L$10,$A$1:$Z$1,0))&amp;""),""),4)),VALUE(MID(IFERROR(TRIM(INDEX($A90:$Z90,MATCH(Settings!$L$10,$A$1:$Z$1,0))&amp;""),""),6,2)),VALUE(MID(IFERROR(TRIM(INDEX($A90:$Z90,MATCH(Settings!$L$10,$A$1:$Z$1,0))&amp;""),""),9,2)))+TIME(VALUE(MID(IFERROR(TRIM(INDEX($A90:$Z90,MATCH(Settings!$L$10,$A$1:$Z$1,0))&amp;""),""),12,2)),VALUE(MID(IFERROR(TRIM(INDEX($A90:$Z90,MATCH(Settings!$L$10,$A$1:$Z$1,0))&amp;""),""),15,2)),VALUE(MID(IFERROR(TRIM(INDEX($A90:$Z90,MATCH(Settings!$L$10,$A$1:$Z$1,0))&amp;""),""),18,2)))),"")),"")</f>
        <v/>
      </c>
      <c r="AL90" s="32">
        <f>IF(AE90="","",IF(ISNUMBER(AK90),AK90,IFERROR(INT(IFERROR(IF(ISNUMBER(INDEX($A90:$Z90,MATCH(Settings!$L$11,$A$1:$Z$1,0))),INDEX($A90:$Z90,MATCH(Settings!$L$11,$A$1:$Z$1,0)),DATE(VALUE(LEFT(IFERROR(TRIM(INDEX($A90:$Z90,MATCH(Settings!$L$11,$A$1:$Z$1,0))&amp;""),""),4)),VALUE(MID(IFERROR(TRIM(INDEX($A90:$Z90,MATCH(Settings!$L$11,$A$1:$Z$1,0))&amp;""),""),6,2)),VALUE(MID(IFERROR(TRIM(INDEX($A90:$Z90,MATCH(Settings!$L$11,$A$1:$Z$1,0))&amp;""),""),9,2)))+TIME(VALUE(MID(IFERROR(TRIM(INDEX($A90:$Z90,MATCH(Settings!$L$11,$A$1:$Z$1,0))&amp;""),""),12,2)),VALUE(MID(IFERROR(TRIM(INDEX($A90:$Z90,MATCH(Settings!$L$11,$A$1:$Z$1,0))&amp;""),""),15,2)),VALUE(MID(IFERROR(TRIM(INDEX($A90:$Z90,MATCH(Settings!$L$11,$A$1:$Z$1,0))&amp;""),""),18,2)))),"")),"")))</f>
        <v/>
      </c>
      <c r="AM90" s="31">
        <f>IF(AE90="","",IF(ISNUMBER(IFERROR(INDEX(Settings!$G$4:$G$11,MATCH(AH90,Settings!$F$4:$F$11,0)),"")),INDEX(Settings!$G$4:$G$11,MATCH(AH90,Settings!$F$4:$F$11,0)),Settings!$D$5))</f>
        <v/>
      </c>
      <c r="AN90" s="32">
        <f>IF(OR(AE90="",NOT(ISNUMBER(AL90)),NOT(ISNUMBER(AM90))),"",IF(AM90&lt;=0,"",IF(ISNUMBER(Settings!$D$8),DATE(YEAR(AL90)+IF(DATE(YEAR(AL90),MONTH(Settings!$D$8),DAY(Settings!$D$8))&gt;AL90,0,1),MONTH(Settings!$D$8),DAY(Settings!$D$8)),MIN(DATE(YEAR(AL90),MONTH(AL90)+AM90,DAY(AL90)),DATE(YEAR(AL90),MONTH(AL90)+AM90+1,0)))))</f>
        <v/>
      </c>
      <c r="AO90" s="31">
        <f>IF(ISNUMBER(AN90),AN90-Settings!$D$4,"")</f>
        <v/>
      </c>
      <c r="AP90" s="31">
        <f>IF(ISNUMBER(AL90),AL90+0+ROW()/100000,"")</f>
        <v/>
      </c>
      <c r="AQ90" s="31">
        <f>IF(OR(AG90="",NOT(ISNUMBER(AP90))),0,IF(SUMPRODUCT(('Responses'!$AG$2:$AG$501=AG90)*('Responses'!$AJ$2:$AJ$501=1)*ISNUMBER('Responses'!$AP$2:$AP$501)*('Responses'!$AP$2:$AP$501&gt;AP90)) + SUMPRODUCT(('Paper sign-ups'!$K$2:$K$101=AG90)*('Paper sign-ups'!$N$2:$N$101=1)*ISNUMBER('Paper sign-ups'!$T$2:$T$101)*('Paper sign-ups'!$T$2:$T$101&gt;AP90))&gt;0,1,0))</f>
        <v/>
      </c>
      <c r="AR90" s="31">
        <f>IF(AE90="","",IF(AQ90=1,"Joined again",IF(AJ90=0,"Unpaid",IF(NOT(ISNUMBER(AL90)),"Add a join date",IF(AN90="","No reminder",IF(AO90&lt;0,"Lapsed",IF(AO90&lt;=Settings!$D$6,"Remind soon","Current")))))))</f>
        <v/>
      </c>
      <c r="AS90" s="33">
        <f>IF(AJ90=1,IFERROR(VALUE(IFERROR(TRIM(INDEX($A90:$Z90,MATCH(Settings!$L$8,$A$1:$Z$1,0))&amp;""),"")),0)-IFERROR(VALUE(IFERROR(TRIM(INDEX($A90:$Z90,MATCH(Settings!$L$9,$A$1:$Z$1,0))&amp;""),"")),0),0)</f>
        <v/>
      </c>
      <c r="AT90" s="31">
        <f>IF(AND(AE90&lt;&gt;"",AQ90=0),1,0)</f>
        <v/>
      </c>
      <c r="AU90" s="31">
        <f>IF(AT90=0,"",IF(ISNUMBER(AN90),AN90,100000)+0+ROW()/1000000)</f>
        <v/>
      </c>
      <c r="AV90" s="31">
        <f>IF(ISNUMBER(AU90),SUMPRODUCT(ISNUMBER('Responses'!$AU$2:$AU$501)*('Responses'!$AU$2:$AU$501&lt;AU90)) + SUMPRODUCT(ISNUMBER('Paper sign-ups'!$Y$2:$Y$101)*('Paper sign-ups'!$Y$2:$Y$101&lt;AU90))+1,"")</f>
        <v/>
      </c>
    </row>
    <row r="91">
      <c r="AA91" s="29" t="n"/>
      <c r="AB91" s="30" t="n"/>
      <c r="AC91" s="30" t="n"/>
      <c r="AD91" s="29" t="n"/>
      <c r="AE91" s="31">
        <f>IFERROR(TRIM(INDEX($A91:$Z91,MATCH(Settings!$L$4,$A$1:$Z$1,0))&amp;""),"")</f>
        <v/>
      </c>
      <c r="AF91" s="31">
        <f>IFERROR(TRIM(INDEX($A91:$Z91,MATCH(Settings!$L$5,$A$1:$Z$1,0))&amp;""),"")</f>
        <v/>
      </c>
      <c r="AG91" s="31">
        <f>IF(AE91="","",LOWER(IF(AF91&lt;&gt;"",AF91,AE91)))</f>
        <v/>
      </c>
      <c r="AH91" s="31">
        <f>IFERROR(TRIM(INDEX($A91:$Z91,MATCH(Settings!$L$6,$A$1:$Z$1,0))&amp;""),"")</f>
        <v/>
      </c>
      <c r="AI91" s="31">
        <f>IF(AE91="","",IF(UPPER(TRIM(AB91&amp;""))="Y","Paid another way",IF(IFERROR(TRIM(INDEX($A91:$Z91,MATCH(Settings!$L$7,$A$1:$Z$1,0))&amp;""),"")="","No payment status",IFERROR(TRIM(INDEX($A91:$Z91,MATCH(Settings!$L$7,$A$1:$Z$1,0))&amp;""),""))))</f>
        <v/>
      </c>
      <c r="AJ91" s="31">
        <f>IF(AE91="",0,IF(IFERROR(INDEX(Settings!$J$4:$J$14,MATCH(AI91,Settings!$I$4:$I$14,0)),"N")="Y",1,0))</f>
        <v/>
      </c>
      <c r="AK91" s="32">
        <f>IFERROR(INT(IFERROR(IF(ISNUMBER(INDEX($A91:$Z91,MATCH(Settings!$L$10,$A$1:$Z$1,0))),INDEX($A91:$Z91,MATCH(Settings!$L$10,$A$1:$Z$1,0)),DATE(VALUE(LEFT(IFERROR(TRIM(INDEX($A91:$Z91,MATCH(Settings!$L$10,$A$1:$Z$1,0))&amp;""),""),4)),VALUE(MID(IFERROR(TRIM(INDEX($A91:$Z91,MATCH(Settings!$L$10,$A$1:$Z$1,0))&amp;""),""),6,2)),VALUE(MID(IFERROR(TRIM(INDEX($A91:$Z91,MATCH(Settings!$L$10,$A$1:$Z$1,0))&amp;""),""),9,2)))+TIME(VALUE(MID(IFERROR(TRIM(INDEX($A91:$Z91,MATCH(Settings!$L$10,$A$1:$Z$1,0))&amp;""),""),12,2)),VALUE(MID(IFERROR(TRIM(INDEX($A91:$Z91,MATCH(Settings!$L$10,$A$1:$Z$1,0))&amp;""),""),15,2)),VALUE(MID(IFERROR(TRIM(INDEX($A91:$Z91,MATCH(Settings!$L$10,$A$1:$Z$1,0))&amp;""),""),18,2)))),"")),"")</f>
        <v/>
      </c>
      <c r="AL91" s="32">
        <f>IF(AE91="","",IF(ISNUMBER(AK91),AK91,IFERROR(INT(IFERROR(IF(ISNUMBER(INDEX($A91:$Z91,MATCH(Settings!$L$11,$A$1:$Z$1,0))),INDEX($A91:$Z91,MATCH(Settings!$L$11,$A$1:$Z$1,0)),DATE(VALUE(LEFT(IFERROR(TRIM(INDEX($A91:$Z91,MATCH(Settings!$L$11,$A$1:$Z$1,0))&amp;""),""),4)),VALUE(MID(IFERROR(TRIM(INDEX($A91:$Z91,MATCH(Settings!$L$11,$A$1:$Z$1,0))&amp;""),""),6,2)),VALUE(MID(IFERROR(TRIM(INDEX($A91:$Z91,MATCH(Settings!$L$11,$A$1:$Z$1,0))&amp;""),""),9,2)))+TIME(VALUE(MID(IFERROR(TRIM(INDEX($A91:$Z91,MATCH(Settings!$L$11,$A$1:$Z$1,0))&amp;""),""),12,2)),VALUE(MID(IFERROR(TRIM(INDEX($A91:$Z91,MATCH(Settings!$L$11,$A$1:$Z$1,0))&amp;""),""),15,2)),VALUE(MID(IFERROR(TRIM(INDEX($A91:$Z91,MATCH(Settings!$L$11,$A$1:$Z$1,0))&amp;""),""),18,2)))),"")),"")))</f>
        <v/>
      </c>
      <c r="AM91" s="31">
        <f>IF(AE91="","",IF(ISNUMBER(IFERROR(INDEX(Settings!$G$4:$G$11,MATCH(AH91,Settings!$F$4:$F$11,0)),"")),INDEX(Settings!$G$4:$G$11,MATCH(AH91,Settings!$F$4:$F$11,0)),Settings!$D$5))</f>
        <v/>
      </c>
      <c r="AN91" s="32">
        <f>IF(OR(AE91="",NOT(ISNUMBER(AL91)),NOT(ISNUMBER(AM91))),"",IF(AM91&lt;=0,"",IF(ISNUMBER(Settings!$D$8),DATE(YEAR(AL91)+IF(DATE(YEAR(AL91),MONTH(Settings!$D$8),DAY(Settings!$D$8))&gt;AL91,0,1),MONTH(Settings!$D$8),DAY(Settings!$D$8)),MIN(DATE(YEAR(AL91),MONTH(AL91)+AM91,DAY(AL91)),DATE(YEAR(AL91),MONTH(AL91)+AM91+1,0)))))</f>
        <v/>
      </c>
      <c r="AO91" s="31">
        <f>IF(ISNUMBER(AN91),AN91-Settings!$D$4,"")</f>
        <v/>
      </c>
      <c r="AP91" s="31">
        <f>IF(ISNUMBER(AL91),AL91+0+ROW()/100000,"")</f>
        <v/>
      </c>
      <c r="AQ91" s="31">
        <f>IF(OR(AG91="",NOT(ISNUMBER(AP91))),0,IF(SUMPRODUCT(('Responses'!$AG$2:$AG$501=AG91)*('Responses'!$AJ$2:$AJ$501=1)*ISNUMBER('Responses'!$AP$2:$AP$501)*('Responses'!$AP$2:$AP$501&gt;AP91)) + SUMPRODUCT(('Paper sign-ups'!$K$2:$K$101=AG91)*('Paper sign-ups'!$N$2:$N$101=1)*ISNUMBER('Paper sign-ups'!$T$2:$T$101)*('Paper sign-ups'!$T$2:$T$101&gt;AP91))&gt;0,1,0))</f>
        <v/>
      </c>
      <c r="AR91" s="31">
        <f>IF(AE91="","",IF(AQ91=1,"Joined again",IF(AJ91=0,"Unpaid",IF(NOT(ISNUMBER(AL91)),"Add a join date",IF(AN91="","No reminder",IF(AO91&lt;0,"Lapsed",IF(AO91&lt;=Settings!$D$6,"Remind soon","Current")))))))</f>
        <v/>
      </c>
      <c r="AS91" s="33">
        <f>IF(AJ91=1,IFERROR(VALUE(IFERROR(TRIM(INDEX($A91:$Z91,MATCH(Settings!$L$8,$A$1:$Z$1,0))&amp;""),"")),0)-IFERROR(VALUE(IFERROR(TRIM(INDEX($A91:$Z91,MATCH(Settings!$L$9,$A$1:$Z$1,0))&amp;""),"")),0),0)</f>
        <v/>
      </c>
      <c r="AT91" s="31">
        <f>IF(AND(AE91&lt;&gt;"",AQ91=0),1,0)</f>
        <v/>
      </c>
      <c r="AU91" s="31">
        <f>IF(AT91=0,"",IF(ISNUMBER(AN91),AN91,100000)+0+ROW()/1000000)</f>
        <v/>
      </c>
      <c r="AV91" s="31">
        <f>IF(ISNUMBER(AU91),SUMPRODUCT(ISNUMBER('Responses'!$AU$2:$AU$501)*('Responses'!$AU$2:$AU$501&lt;AU91)) + SUMPRODUCT(ISNUMBER('Paper sign-ups'!$Y$2:$Y$101)*('Paper sign-ups'!$Y$2:$Y$101&lt;AU91))+1,"")</f>
        <v/>
      </c>
    </row>
    <row r="92">
      <c r="AA92" s="29" t="n"/>
      <c r="AB92" s="30" t="n"/>
      <c r="AC92" s="30" t="n"/>
      <c r="AD92" s="29" t="n"/>
      <c r="AE92" s="31">
        <f>IFERROR(TRIM(INDEX($A92:$Z92,MATCH(Settings!$L$4,$A$1:$Z$1,0))&amp;""),"")</f>
        <v/>
      </c>
      <c r="AF92" s="31">
        <f>IFERROR(TRIM(INDEX($A92:$Z92,MATCH(Settings!$L$5,$A$1:$Z$1,0))&amp;""),"")</f>
        <v/>
      </c>
      <c r="AG92" s="31">
        <f>IF(AE92="","",LOWER(IF(AF92&lt;&gt;"",AF92,AE92)))</f>
        <v/>
      </c>
      <c r="AH92" s="31">
        <f>IFERROR(TRIM(INDEX($A92:$Z92,MATCH(Settings!$L$6,$A$1:$Z$1,0))&amp;""),"")</f>
        <v/>
      </c>
      <c r="AI92" s="31">
        <f>IF(AE92="","",IF(UPPER(TRIM(AB92&amp;""))="Y","Paid another way",IF(IFERROR(TRIM(INDEX($A92:$Z92,MATCH(Settings!$L$7,$A$1:$Z$1,0))&amp;""),"")="","No payment status",IFERROR(TRIM(INDEX($A92:$Z92,MATCH(Settings!$L$7,$A$1:$Z$1,0))&amp;""),""))))</f>
        <v/>
      </c>
      <c r="AJ92" s="31">
        <f>IF(AE92="",0,IF(IFERROR(INDEX(Settings!$J$4:$J$14,MATCH(AI92,Settings!$I$4:$I$14,0)),"N")="Y",1,0))</f>
        <v/>
      </c>
      <c r="AK92" s="32">
        <f>IFERROR(INT(IFERROR(IF(ISNUMBER(INDEX($A92:$Z92,MATCH(Settings!$L$10,$A$1:$Z$1,0))),INDEX($A92:$Z92,MATCH(Settings!$L$10,$A$1:$Z$1,0)),DATE(VALUE(LEFT(IFERROR(TRIM(INDEX($A92:$Z92,MATCH(Settings!$L$10,$A$1:$Z$1,0))&amp;""),""),4)),VALUE(MID(IFERROR(TRIM(INDEX($A92:$Z92,MATCH(Settings!$L$10,$A$1:$Z$1,0))&amp;""),""),6,2)),VALUE(MID(IFERROR(TRIM(INDEX($A92:$Z92,MATCH(Settings!$L$10,$A$1:$Z$1,0))&amp;""),""),9,2)))+TIME(VALUE(MID(IFERROR(TRIM(INDEX($A92:$Z92,MATCH(Settings!$L$10,$A$1:$Z$1,0))&amp;""),""),12,2)),VALUE(MID(IFERROR(TRIM(INDEX($A92:$Z92,MATCH(Settings!$L$10,$A$1:$Z$1,0))&amp;""),""),15,2)),VALUE(MID(IFERROR(TRIM(INDEX($A92:$Z92,MATCH(Settings!$L$10,$A$1:$Z$1,0))&amp;""),""),18,2)))),"")),"")</f>
        <v/>
      </c>
      <c r="AL92" s="32">
        <f>IF(AE92="","",IF(ISNUMBER(AK92),AK92,IFERROR(INT(IFERROR(IF(ISNUMBER(INDEX($A92:$Z92,MATCH(Settings!$L$11,$A$1:$Z$1,0))),INDEX($A92:$Z92,MATCH(Settings!$L$11,$A$1:$Z$1,0)),DATE(VALUE(LEFT(IFERROR(TRIM(INDEX($A92:$Z92,MATCH(Settings!$L$11,$A$1:$Z$1,0))&amp;""),""),4)),VALUE(MID(IFERROR(TRIM(INDEX($A92:$Z92,MATCH(Settings!$L$11,$A$1:$Z$1,0))&amp;""),""),6,2)),VALUE(MID(IFERROR(TRIM(INDEX($A92:$Z92,MATCH(Settings!$L$11,$A$1:$Z$1,0))&amp;""),""),9,2)))+TIME(VALUE(MID(IFERROR(TRIM(INDEX($A92:$Z92,MATCH(Settings!$L$11,$A$1:$Z$1,0))&amp;""),""),12,2)),VALUE(MID(IFERROR(TRIM(INDEX($A92:$Z92,MATCH(Settings!$L$11,$A$1:$Z$1,0))&amp;""),""),15,2)),VALUE(MID(IFERROR(TRIM(INDEX($A92:$Z92,MATCH(Settings!$L$11,$A$1:$Z$1,0))&amp;""),""),18,2)))),"")),"")))</f>
        <v/>
      </c>
      <c r="AM92" s="31">
        <f>IF(AE92="","",IF(ISNUMBER(IFERROR(INDEX(Settings!$G$4:$G$11,MATCH(AH92,Settings!$F$4:$F$11,0)),"")),INDEX(Settings!$G$4:$G$11,MATCH(AH92,Settings!$F$4:$F$11,0)),Settings!$D$5))</f>
        <v/>
      </c>
      <c r="AN92" s="32">
        <f>IF(OR(AE92="",NOT(ISNUMBER(AL92)),NOT(ISNUMBER(AM92))),"",IF(AM92&lt;=0,"",IF(ISNUMBER(Settings!$D$8),DATE(YEAR(AL92)+IF(DATE(YEAR(AL92),MONTH(Settings!$D$8),DAY(Settings!$D$8))&gt;AL92,0,1),MONTH(Settings!$D$8),DAY(Settings!$D$8)),MIN(DATE(YEAR(AL92),MONTH(AL92)+AM92,DAY(AL92)),DATE(YEAR(AL92),MONTH(AL92)+AM92+1,0)))))</f>
        <v/>
      </c>
      <c r="AO92" s="31">
        <f>IF(ISNUMBER(AN92),AN92-Settings!$D$4,"")</f>
        <v/>
      </c>
      <c r="AP92" s="31">
        <f>IF(ISNUMBER(AL92),AL92+0+ROW()/100000,"")</f>
        <v/>
      </c>
      <c r="AQ92" s="31">
        <f>IF(OR(AG92="",NOT(ISNUMBER(AP92))),0,IF(SUMPRODUCT(('Responses'!$AG$2:$AG$501=AG92)*('Responses'!$AJ$2:$AJ$501=1)*ISNUMBER('Responses'!$AP$2:$AP$501)*('Responses'!$AP$2:$AP$501&gt;AP92)) + SUMPRODUCT(('Paper sign-ups'!$K$2:$K$101=AG92)*('Paper sign-ups'!$N$2:$N$101=1)*ISNUMBER('Paper sign-ups'!$T$2:$T$101)*('Paper sign-ups'!$T$2:$T$101&gt;AP92))&gt;0,1,0))</f>
        <v/>
      </c>
      <c r="AR92" s="31">
        <f>IF(AE92="","",IF(AQ92=1,"Joined again",IF(AJ92=0,"Unpaid",IF(NOT(ISNUMBER(AL92)),"Add a join date",IF(AN92="","No reminder",IF(AO92&lt;0,"Lapsed",IF(AO92&lt;=Settings!$D$6,"Remind soon","Current")))))))</f>
        <v/>
      </c>
      <c r="AS92" s="33">
        <f>IF(AJ92=1,IFERROR(VALUE(IFERROR(TRIM(INDEX($A92:$Z92,MATCH(Settings!$L$8,$A$1:$Z$1,0))&amp;""),"")),0)-IFERROR(VALUE(IFERROR(TRIM(INDEX($A92:$Z92,MATCH(Settings!$L$9,$A$1:$Z$1,0))&amp;""),"")),0),0)</f>
        <v/>
      </c>
      <c r="AT92" s="31">
        <f>IF(AND(AE92&lt;&gt;"",AQ92=0),1,0)</f>
        <v/>
      </c>
      <c r="AU92" s="31">
        <f>IF(AT92=0,"",IF(ISNUMBER(AN92),AN92,100000)+0+ROW()/1000000)</f>
        <v/>
      </c>
      <c r="AV92" s="31">
        <f>IF(ISNUMBER(AU92),SUMPRODUCT(ISNUMBER('Responses'!$AU$2:$AU$501)*('Responses'!$AU$2:$AU$501&lt;AU92)) + SUMPRODUCT(ISNUMBER('Paper sign-ups'!$Y$2:$Y$101)*('Paper sign-ups'!$Y$2:$Y$101&lt;AU92))+1,"")</f>
        <v/>
      </c>
    </row>
    <row r="93">
      <c r="AA93" s="29" t="n"/>
      <c r="AB93" s="30" t="n"/>
      <c r="AC93" s="30" t="n"/>
      <c r="AD93" s="29" t="n"/>
      <c r="AE93" s="31">
        <f>IFERROR(TRIM(INDEX($A93:$Z93,MATCH(Settings!$L$4,$A$1:$Z$1,0))&amp;""),"")</f>
        <v/>
      </c>
      <c r="AF93" s="31">
        <f>IFERROR(TRIM(INDEX($A93:$Z93,MATCH(Settings!$L$5,$A$1:$Z$1,0))&amp;""),"")</f>
        <v/>
      </c>
      <c r="AG93" s="31">
        <f>IF(AE93="","",LOWER(IF(AF93&lt;&gt;"",AF93,AE93)))</f>
        <v/>
      </c>
      <c r="AH93" s="31">
        <f>IFERROR(TRIM(INDEX($A93:$Z93,MATCH(Settings!$L$6,$A$1:$Z$1,0))&amp;""),"")</f>
        <v/>
      </c>
      <c r="AI93" s="31">
        <f>IF(AE93="","",IF(UPPER(TRIM(AB93&amp;""))="Y","Paid another way",IF(IFERROR(TRIM(INDEX($A93:$Z93,MATCH(Settings!$L$7,$A$1:$Z$1,0))&amp;""),"")="","No payment status",IFERROR(TRIM(INDEX($A93:$Z93,MATCH(Settings!$L$7,$A$1:$Z$1,0))&amp;""),""))))</f>
        <v/>
      </c>
      <c r="AJ93" s="31">
        <f>IF(AE93="",0,IF(IFERROR(INDEX(Settings!$J$4:$J$14,MATCH(AI93,Settings!$I$4:$I$14,0)),"N")="Y",1,0))</f>
        <v/>
      </c>
      <c r="AK93" s="32">
        <f>IFERROR(INT(IFERROR(IF(ISNUMBER(INDEX($A93:$Z93,MATCH(Settings!$L$10,$A$1:$Z$1,0))),INDEX($A93:$Z93,MATCH(Settings!$L$10,$A$1:$Z$1,0)),DATE(VALUE(LEFT(IFERROR(TRIM(INDEX($A93:$Z93,MATCH(Settings!$L$10,$A$1:$Z$1,0))&amp;""),""),4)),VALUE(MID(IFERROR(TRIM(INDEX($A93:$Z93,MATCH(Settings!$L$10,$A$1:$Z$1,0))&amp;""),""),6,2)),VALUE(MID(IFERROR(TRIM(INDEX($A93:$Z93,MATCH(Settings!$L$10,$A$1:$Z$1,0))&amp;""),""),9,2)))+TIME(VALUE(MID(IFERROR(TRIM(INDEX($A93:$Z93,MATCH(Settings!$L$10,$A$1:$Z$1,0))&amp;""),""),12,2)),VALUE(MID(IFERROR(TRIM(INDEX($A93:$Z93,MATCH(Settings!$L$10,$A$1:$Z$1,0))&amp;""),""),15,2)),VALUE(MID(IFERROR(TRIM(INDEX($A93:$Z93,MATCH(Settings!$L$10,$A$1:$Z$1,0))&amp;""),""),18,2)))),"")),"")</f>
        <v/>
      </c>
      <c r="AL93" s="32">
        <f>IF(AE93="","",IF(ISNUMBER(AK93),AK93,IFERROR(INT(IFERROR(IF(ISNUMBER(INDEX($A93:$Z93,MATCH(Settings!$L$11,$A$1:$Z$1,0))),INDEX($A93:$Z93,MATCH(Settings!$L$11,$A$1:$Z$1,0)),DATE(VALUE(LEFT(IFERROR(TRIM(INDEX($A93:$Z93,MATCH(Settings!$L$11,$A$1:$Z$1,0))&amp;""),""),4)),VALUE(MID(IFERROR(TRIM(INDEX($A93:$Z93,MATCH(Settings!$L$11,$A$1:$Z$1,0))&amp;""),""),6,2)),VALUE(MID(IFERROR(TRIM(INDEX($A93:$Z93,MATCH(Settings!$L$11,$A$1:$Z$1,0))&amp;""),""),9,2)))+TIME(VALUE(MID(IFERROR(TRIM(INDEX($A93:$Z93,MATCH(Settings!$L$11,$A$1:$Z$1,0))&amp;""),""),12,2)),VALUE(MID(IFERROR(TRIM(INDEX($A93:$Z93,MATCH(Settings!$L$11,$A$1:$Z$1,0))&amp;""),""),15,2)),VALUE(MID(IFERROR(TRIM(INDEX($A93:$Z93,MATCH(Settings!$L$11,$A$1:$Z$1,0))&amp;""),""),18,2)))),"")),"")))</f>
        <v/>
      </c>
      <c r="AM93" s="31">
        <f>IF(AE93="","",IF(ISNUMBER(IFERROR(INDEX(Settings!$G$4:$G$11,MATCH(AH93,Settings!$F$4:$F$11,0)),"")),INDEX(Settings!$G$4:$G$11,MATCH(AH93,Settings!$F$4:$F$11,0)),Settings!$D$5))</f>
        <v/>
      </c>
      <c r="AN93" s="32">
        <f>IF(OR(AE93="",NOT(ISNUMBER(AL93)),NOT(ISNUMBER(AM93))),"",IF(AM93&lt;=0,"",IF(ISNUMBER(Settings!$D$8),DATE(YEAR(AL93)+IF(DATE(YEAR(AL93),MONTH(Settings!$D$8),DAY(Settings!$D$8))&gt;AL93,0,1),MONTH(Settings!$D$8),DAY(Settings!$D$8)),MIN(DATE(YEAR(AL93),MONTH(AL93)+AM93,DAY(AL93)),DATE(YEAR(AL93),MONTH(AL93)+AM93+1,0)))))</f>
        <v/>
      </c>
      <c r="AO93" s="31">
        <f>IF(ISNUMBER(AN93),AN93-Settings!$D$4,"")</f>
        <v/>
      </c>
      <c r="AP93" s="31">
        <f>IF(ISNUMBER(AL93),AL93+0+ROW()/100000,"")</f>
        <v/>
      </c>
      <c r="AQ93" s="31">
        <f>IF(OR(AG93="",NOT(ISNUMBER(AP93))),0,IF(SUMPRODUCT(('Responses'!$AG$2:$AG$501=AG93)*('Responses'!$AJ$2:$AJ$501=1)*ISNUMBER('Responses'!$AP$2:$AP$501)*('Responses'!$AP$2:$AP$501&gt;AP93)) + SUMPRODUCT(('Paper sign-ups'!$K$2:$K$101=AG93)*('Paper sign-ups'!$N$2:$N$101=1)*ISNUMBER('Paper sign-ups'!$T$2:$T$101)*('Paper sign-ups'!$T$2:$T$101&gt;AP93))&gt;0,1,0))</f>
        <v/>
      </c>
      <c r="AR93" s="31">
        <f>IF(AE93="","",IF(AQ93=1,"Joined again",IF(AJ93=0,"Unpaid",IF(NOT(ISNUMBER(AL93)),"Add a join date",IF(AN93="","No reminder",IF(AO93&lt;0,"Lapsed",IF(AO93&lt;=Settings!$D$6,"Remind soon","Current")))))))</f>
        <v/>
      </c>
      <c r="AS93" s="33">
        <f>IF(AJ93=1,IFERROR(VALUE(IFERROR(TRIM(INDEX($A93:$Z93,MATCH(Settings!$L$8,$A$1:$Z$1,0))&amp;""),"")),0)-IFERROR(VALUE(IFERROR(TRIM(INDEX($A93:$Z93,MATCH(Settings!$L$9,$A$1:$Z$1,0))&amp;""),"")),0),0)</f>
        <v/>
      </c>
      <c r="AT93" s="31">
        <f>IF(AND(AE93&lt;&gt;"",AQ93=0),1,0)</f>
        <v/>
      </c>
      <c r="AU93" s="31">
        <f>IF(AT93=0,"",IF(ISNUMBER(AN93),AN93,100000)+0+ROW()/1000000)</f>
        <v/>
      </c>
      <c r="AV93" s="31">
        <f>IF(ISNUMBER(AU93),SUMPRODUCT(ISNUMBER('Responses'!$AU$2:$AU$501)*('Responses'!$AU$2:$AU$501&lt;AU93)) + SUMPRODUCT(ISNUMBER('Paper sign-ups'!$Y$2:$Y$101)*('Paper sign-ups'!$Y$2:$Y$101&lt;AU93))+1,"")</f>
        <v/>
      </c>
    </row>
    <row r="94">
      <c r="AA94" s="29" t="n"/>
      <c r="AB94" s="30" t="n"/>
      <c r="AC94" s="30" t="n"/>
      <c r="AD94" s="29" t="n"/>
      <c r="AE94" s="31">
        <f>IFERROR(TRIM(INDEX($A94:$Z94,MATCH(Settings!$L$4,$A$1:$Z$1,0))&amp;""),"")</f>
        <v/>
      </c>
      <c r="AF94" s="31">
        <f>IFERROR(TRIM(INDEX($A94:$Z94,MATCH(Settings!$L$5,$A$1:$Z$1,0))&amp;""),"")</f>
        <v/>
      </c>
      <c r="AG94" s="31">
        <f>IF(AE94="","",LOWER(IF(AF94&lt;&gt;"",AF94,AE94)))</f>
        <v/>
      </c>
      <c r="AH94" s="31">
        <f>IFERROR(TRIM(INDEX($A94:$Z94,MATCH(Settings!$L$6,$A$1:$Z$1,0))&amp;""),"")</f>
        <v/>
      </c>
      <c r="AI94" s="31">
        <f>IF(AE94="","",IF(UPPER(TRIM(AB94&amp;""))="Y","Paid another way",IF(IFERROR(TRIM(INDEX($A94:$Z94,MATCH(Settings!$L$7,$A$1:$Z$1,0))&amp;""),"")="","No payment status",IFERROR(TRIM(INDEX($A94:$Z94,MATCH(Settings!$L$7,$A$1:$Z$1,0))&amp;""),""))))</f>
        <v/>
      </c>
      <c r="AJ94" s="31">
        <f>IF(AE94="",0,IF(IFERROR(INDEX(Settings!$J$4:$J$14,MATCH(AI94,Settings!$I$4:$I$14,0)),"N")="Y",1,0))</f>
        <v/>
      </c>
      <c r="AK94" s="32">
        <f>IFERROR(INT(IFERROR(IF(ISNUMBER(INDEX($A94:$Z94,MATCH(Settings!$L$10,$A$1:$Z$1,0))),INDEX($A94:$Z94,MATCH(Settings!$L$10,$A$1:$Z$1,0)),DATE(VALUE(LEFT(IFERROR(TRIM(INDEX($A94:$Z94,MATCH(Settings!$L$10,$A$1:$Z$1,0))&amp;""),""),4)),VALUE(MID(IFERROR(TRIM(INDEX($A94:$Z94,MATCH(Settings!$L$10,$A$1:$Z$1,0))&amp;""),""),6,2)),VALUE(MID(IFERROR(TRIM(INDEX($A94:$Z94,MATCH(Settings!$L$10,$A$1:$Z$1,0))&amp;""),""),9,2)))+TIME(VALUE(MID(IFERROR(TRIM(INDEX($A94:$Z94,MATCH(Settings!$L$10,$A$1:$Z$1,0))&amp;""),""),12,2)),VALUE(MID(IFERROR(TRIM(INDEX($A94:$Z94,MATCH(Settings!$L$10,$A$1:$Z$1,0))&amp;""),""),15,2)),VALUE(MID(IFERROR(TRIM(INDEX($A94:$Z94,MATCH(Settings!$L$10,$A$1:$Z$1,0))&amp;""),""),18,2)))),"")),"")</f>
        <v/>
      </c>
      <c r="AL94" s="32">
        <f>IF(AE94="","",IF(ISNUMBER(AK94),AK94,IFERROR(INT(IFERROR(IF(ISNUMBER(INDEX($A94:$Z94,MATCH(Settings!$L$11,$A$1:$Z$1,0))),INDEX($A94:$Z94,MATCH(Settings!$L$11,$A$1:$Z$1,0)),DATE(VALUE(LEFT(IFERROR(TRIM(INDEX($A94:$Z94,MATCH(Settings!$L$11,$A$1:$Z$1,0))&amp;""),""),4)),VALUE(MID(IFERROR(TRIM(INDEX($A94:$Z94,MATCH(Settings!$L$11,$A$1:$Z$1,0))&amp;""),""),6,2)),VALUE(MID(IFERROR(TRIM(INDEX($A94:$Z94,MATCH(Settings!$L$11,$A$1:$Z$1,0))&amp;""),""),9,2)))+TIME(VALUE(MID(IFERROR(TRIM(INDEX($A94:$Z94,MATCH(Settings!$L$11,$A$1:$Z$1,0))&amp;""),""),12,2)),VALUE(MID(IFERROR(TRIM(INDEX($A94:$Z94,MATCH(Settings!$L$11,$A$1:$Z$1,0))&amp;""),""),15,2)),VALUE(MID(IFERROR(TRIM(INDEX($A94:$Z94,MATCH(Settings!$L$11,$A$1:$Z$1,0))&amp;""),""),18,2)))),"")),"")))</f>
        <v/>
      </c>
      <c r="AM94" s="31">
        <f>IF(AE94="","",IF(ISNUMBER(IFERROR(INDEX(Settings!$G$4:$G$11,MATCH(AH94,Settings!$F$4:$F$11,0)),"")),INDEX(Settings!$G$4:$G$11,MATCH(AH94,Settings!$F$4:$F$11,0)),Settings!$D$5))</f>
        <v/>
      </c>
      <c r="AN94" s="32">
        <f>IF(OR(AE94="",NOT(ISNUMBER(AL94)),NOT(ISNUMBER(AM94))),"",IF(AM94&lt;=0,"",IF(ISNUMBER(Settings!$D$8),DATE(YEAR(AL94)+IF(DATE(YEAR(AL94),MONTH(Settings!$D$8),DAY(Settings!$D$8))&gt;AL94,0,1),MONTH(Settings!$D$8),DAY(Settings!$D$8)),MIN(DATE(YEAR(AL94),MONTH(AL94)+AM94,DAY(AL94)),DATE(YEAR(AL94),MONTH(AL94)+AM94+1,0)))))</f>
        <v/>
      </c>
      <c r="AO94" s="31">
        <f>IF(ISNUMBER(AN94),AN94-Settings!$D$4,"")</f>
        <v/>
      </c>
      <c r="AP94" s="31">
        <f>IF(ISNUMBER(AL94),AL94+0+ROW()/100000,"")</f>
        <v/>
      </c>
      <c r="AQ94" s="31">
        <f>IF(OR(AG94="",NOT(ISNUMBER(AP94))),0,IF(SUMPRODUCT(('Responses'!$AG$2:$AG$501=AG94)*('Responses'!$AJ$2:$AJ$501=1)*ISNUMBER('Responses'!$AP$2:$AP$501)*('Responses'!$AP$2:$AP$501&gt;AP94)) + SUMPRODUCT(('Paper sign-ups'!$K$2:$K$101=AG94)*('Paper sign-ups'!$N$2:$N$101=1)*ISNUMBER('Paper sign-ups'!$T$2:$T$101)*('Paper sign-ups'!$T$2:$T$101&gt;AP94))&gt;0,1,0))</f>
        <v/>
      </c>
      <c r="AR94" s="31">
        <f>IF(AE94="","",IF(AQ94=1,"Joined again",IF(AJ94=0,"Unpaid",IF(NOT(ISNUMBER(AL94)),"Add a join date",IF(AN94="","No reminder",IF(AO94&lt;0,"Lapsed",IF(AO94&lt;=Settings!$D$6,"Remind soon","Current")))))))</f>
        <v/>
      </c>
      <c r="AS94" s="33">
        <f>IF(AJ94=1,IFERROR(VALUE(IFERROR(TRIM(INDEX($A94:$Z94,MATCH(Settings!$L$8,$A$1:$Z$1,0))&amp;""),"")),0)-IFERROR(VALUE(IFERROR(TRIM(INDEX($A94:$Z94,MATCH(Settings!$L$9,$A$1:$Z$1,0))&amp;""),"")),0),0)</f>
        <v/>
      </c>
      <c r="AT94" s="31">
        <f>IF(AND(AE94&lt;&gt;"",AQ94=0),1,0)</f>
        <v/>
      </c>
      <c r="AU94" s="31">
        <f>IF(AT94=0,"",IF(ISNUMBER(AN94),AN94,100000)+0+ROW()/1000000)</f>
        <v/>
      </c>
      <c r="AV94" s="31">
        <f>IF(ISNUMBER(AU94),SUMPRODUCT(ISNUMBER('Responses'!$AU$2:$AU$501)*('Responses'!$AU$2:$AU$501&lt;AU94)) + SUMPRODUCT(ISNUMBER('Paper sign-ups'!$Y$2:$Y$101)*('Paper sign-ups'!$Y$2:$Y$101&lt;AU94))+1,"")</f>
        <v/>
      </c>
    </row>
    <row r="95">
      <c r="AA95" s="29" t="n"/>
      <c r="AB95" s="30" t="n"/>
      <c r="AC95" s="30" t="n"/>
      <c r="AD95" s="29" t="n"/>
      <c r="AE95" s="31">
        <f>IFERROR(TRIM(INDEX($A95:$Z95,MATCH(Settings!$L$4,$A$1:$Z$1,0))&amp;""),"")</f>
        <v/>
      </c>
      <c r="AF95" s="31">
        <f>IFERROR(TRIM(INDEX($A95:$Z95,MATCH(Settings!$L$5,$A$1:$Z$1,0))&amp;""),"")</f>
        <v/>
      </c>
      <c r="AG95" s="31">
        <f>IF(AE95="","",LOWER(IF(AF95&lt;&gt;"",AF95,AE95)))</f>
        <v/>
      </c>
      <c r="AH95" s="31">
        <f>IFERROR(TRIM(INDEX($A95:$Z95,MATCH(Settings!$L$6,$A$1:$Z$1,0))&amp;""),"")</f>
        <v/>
      </c>
      <c r="AI95" s="31">
        <f>IF(AE95="","",IF(UPPER(TRIM(AB95&amp;""))="Y","Paid another way",IF(IFERROR(TRIM(INDEX($A95:$Z95,MATCH(Settings!$L$7,$A$1:$Z$1,0))&amp;""),"")="","No payment status",IFERROR(TRIM(INDEX($A95:$Z95,MATCH(Settings!$L$7,$A$1:$Z$1,0))&amp;""),""))))</f>
        <v/>
      </c>
      <c r="AJ95" s="31">
        <f>IF(AE95="",0,IF(IFERROR(INDEX(Settings!$J$4:$J$14,MATCH(AI95,Settings!$I$4:$I$14,0)),"N")="Y",1,0))</f>
        <v/>
      </c>
      <c r="AK95" s="32">
        <f>IFERROR(INT(IFERROR(IF(ISNUMBER(INDEX($A95:$Z95,MATCH(Settings!$L$10,$A$1:$Z$1,0))),INDEX($A95:$Z95,MATCH(Settings!$L$10,$A$1:$Z$1,0)),DATE(VALUE(LEFT(IFERROR(TRIM(INDEX($A95:$Z95,MATCH(Settings!$L$10,$A$1:$Z$1,0))&amp;""),""),4)),VALUE(MID(IFERROR(TRIM(INDEX($A95:$Z95,MATCH(Settings!$L$10,$A$1:$Z$1,0))&amp;""),""),6,2)),VALUE(MID(IFERROR(TRIM(INDEX($A95:$Z95,MATCH(Settings!$L$10,$A$1:$Z$1,0))&amp;""),""),9,2)))+TIME(VALUE(MID(IFERROR(TRIM(INDEX($A95:$Z95,MATCH(Settings!$L$10,$A$1:$Z$1,0))&amp;""),""),12,2)),VALUE(MID(IFERROR(TRIM(INDEX($A95:$Z95,MATCH(Settings!$L$10,$A$1:$Z$1,0))&amp;""),""),15,2)),VALUE(MID(IFERROR(TRIM(INDEX($A95:$Z95,MATCH(Settings!$L$10,$A$1:$Z$1,0))&amp;""),""),18,2)))),"")),"")</f>
        <v/>
      </c>
      <c r="AL95" s="32">
        <f>IF(AE95="","",IF(ISNUMBER(AK95),AK95,IFERROR(INT(IFERROR(IF(ISNUMBER(INDEX($A95:$Z95,MATCH(Settings!$L$11,$A$1:$Z$1,0))),INDEX($A95:$Z95,MATCH(Settings!$L$11,$A$1:$Z$1,0)),DATE(VALUE(LEFT(IFERROR(TRIM(INDEX($A95:$Z95,MATCH(Settings!$L$11,$A$1:$Z$1,0))&amp;""),""),4)),VALUE(MID(IFERROR(TRIM(INDEX($A95:$Z95,MATCH(Settings!$L$11,$A$1:$Z$1,0))&amp;""),""),6,2)),VALUE(MID(IFERROR(TRIM(INDEX($A95:$Z95,MATCH(Settings!$L$11,$A$1:$Z$1,0))&amp;""),""),9,2)))+TIME(VALUE(MID(IFERROR(TRIM(INDEX($A95:$Z95,MATCH(Settings!$L$11,$A$1:$Z$1,0))&amp;""),""),12,2)),VALUE(MID(IFERROR(TRIM(INDEX($A95:$Z95,MATCH(Settings!$L$11,$A$1:$Z$1,0))&amp;""),""),15,2)),VALUE(MID(IFERROR(TRIM(INDEX($A95:$Z95,MATCH(Settings!$L$11,$A$1:$Z$1,0))&amp;""),""),18,2)))),"")),"")))</f>
        <v/>
      </c>
      <c r="AM95" s="31">
        <f>IF(AE95="","",IF(ISNUMBER(IFERROR(INDEX(Settings!$G$4:$G$11,MATCH(AH95,Settings!$F$4:$F$11,0)),"")),INDEX(Settings!$G$4:$G$11,MATCH(AH95,Settings!$F$4:$F$11,0)),Settings!$D$5))</f>
        <v/>
      </c>
      <c r="AN95" s="32">
        <f>IF(OR(AE95="",NOT(ISNUMBER(AL95)),NOT(ISNUMBER(AM95))),"",IF(AM95&lt;=0,"",IF(ISNUMBER(Settings!$D$8),DATE(YEAR(AL95)+IF(DATE(YEAR(AL95),MONTH(Settings!$D$8),DAY(Settings!$D$8))&gt;AL95,0,1),MONTH(Settings!$D$8),DAY(Settings!$D$8)),MIN(DATE(YEAR(AL95),MONTH(AL95)+AM95,DAY(AL95)),DATE(YEAR(AL95),MONTH(AL95)+AM95+1,0)))))</f>
        <v/>
      </c>
      <c r="AO95" s="31">
        <f>IF(ISNUMBER(AN95),AN95-Settings!$D$4,"")</f>
        <v/>
      </c>
      <c r="AP95" s="31">
        <f>IF(ISNUMBER(AL95),AL95+0+ROW()/100000,"")</f>
        <v/>
      </c>
      <c r="AQ95" s="31">
        <f>IF(OR(AG95="",NOT(ISNUMBER(AP95))),0,IF(SUMPRODUCT(('Responses'!$AG$2:$AG$501=AG95)*('Responses'!$AJ$2:$AJ$501=1)*ISNUMBER('Responses'!$AP$2:$AP$501)*('Responses'!$AP$2:$AP$501&gt;AP95)) + SUMPRODUCT(('Paper sign-ups'!$K$2:$K$101=AG95)*('Paper sign-ups'!$N$2:$N$101=1)*ISNUMBER('Paper sign-ups'!$T$2:$T$101)*('Paper sign-ups'!$T$2:$T$101&gt;AP95))&gt;0,1,0))</f>
        <v/>
      </c>
      <c r="AR95" s="31">
        <f>IF(AE95="","",IF(AQ95=1,"Joined again",IF(AJ95=0,"Unpaid",IF(NOT(ISNUMBER(AL95)),"Add a join date",IF(AN95="","No reminder",IF(AO95&lt;0,"Lapsed",IF(AO95&lt;=Settings!$D$6,"Remind soon","Current")))))))</f>
        <v/>
      </c>
      <c r="AS95" s="33">
        <f>IF(AJ95=1,IFERROR(VALUE(IFERROR(TRIM(INDEX($A95:$Z95,MATCH(Settings!$L$8,$A$1:$Z$1,0))&amp;""),"")),0)-IFERROR(VALUE(IFERROR(TRIM(INDEX($A95:$Z95,MATCH(Settings!$L$9,$A$1:$Z$1,0))&amp;""),"")),0),0)</f>
        <v/>
      </c>
      <c r="AT95" s="31">
        <f>IF(AND(AE95&lt;&gt;"",AQ95=0),1,0)</f>
        <v/>
      </c>
      <c r="AU95" s="31">
        <f>IF(AT95=0,"",IF(ISNUMBER(AN95),AN95,100000)+0+ROW()/1000000)</f>
        <v/>
      </c>
      <c r="AV95" s="31">
        <f>IF(ISNUMBER(AU95),SUMPRODUCT(ISNUMBER('Responses'!$AU$2:$AU$501)*('Responses'!$AU$2:$AU$501&lt;AU95)) + SUMPRODUCT(ISNUMBER('Paper sign-ups'!$Y$2:$Y$101)*('Paper sign-ups'!$Y$2:$Y$101&lt;AU95))+1,"")</f>
        <v/>
      </c>
    </row>
    <row r="96">
      <c r="AA96" s="29" t="n"/>
      <c r="AB96" s="30" t="n"/>
      <c r="AC96" s="30" t="n"/>
      <c r="AD96" s="29" t="n"/>
      <c r="AE96" s="31">
        <f>IFERROR(TRIM(INDEX($A96:$Z96,MATCH(Settings!$L$4,$A$1:$Z$1,0))&amp;""),"")</f>
        <v/>
      </c>
      <c r="AF96" s="31">
        <f>IFERROR(TRIM(INDEX($A96:$Z96,MATCH(Settings!$L$5,$A$1:$Z$1,0))&amp;""),"")</f>
        <v/>
      </c>
      <c r="AG96" s="31">
        <f>IF(AE96="","",LOWER(IF(AF96&lt;&gt;"",AF96,AE96)))</f>
        <v/>
      </c>
      <c r="AH96" s="31">
        <f>IFERROR(TRIM(INDEX($A96:$Z96,MATCH(Settings!$L$6,$A$1:$Z$1,0))&amp;""),"")</f>
        <v/>
      </c>
      <c r="AI96" s="31">
        <f>IF(AE96="","",IF(UPPER(TRIM(AB96&amp;""))="Y","Paid another way",IF(IFERROR(TRIM(INDEX($A96:$Z96,MATCH(Settings!$L$7,$A$1:$Z$1,0))&amp;""),"")="","No payment status",IFERROR(TRIM(INDEX($A96:$Z96,MATCH(Settings!$L$7,$A$1:$Z$1,0))&amp;""),""))))</f>
        <v/>
      </c>
      <c r="AJ96" s="31">
        <f>IF(AE96="",0,IF(IFERROR(INDEX(Settings!$J$4:$J$14,MATCH(AI96,Settings!$I$4:$I$14,0)),"N")="Y",1,0))</f>
        <v/>
      </c>
      <c r="AK96" s="32">
        <f>IFERROR(INT(IFERROR(IF(ISNUMBER(INDEX($A96:$Z96,MATCH(Settings!$L$10,$A$1:$Z$1,0))),INDEX($A96:$Z96,MATCH(Settings!$L$10,$A$1:$Z$1,0)),DATE(VALUE(LEFT(IFERROR(TRIM(INDEX($A96:$Z96,MATCH(Settings!$L$10,$A$1:$Z$1,0))&amp;""),""),4)),VALUE(MID(IFERROR(TRIM(INDEX($A96:$Z96,MATCH(Settings!$L$10,$A$1:$Z$1,0))&amp;""),""),6,2)),VALUE(MID(IFERROR(TRIM(INDEX($A96:$Z96,MATCH(Settings!$L$10,$A$1:$Z$1,0))&amp;""),""),9,2)))+TIME(VALUE(MID(IFERROR(TRIM(INDEX($A96:$Z96,MATCH(Settings!$L$10,$A$1:$Z$1,0))&amp;""),""),12,2)),VALUE(MID(IFERROR(TRIM(INDEX($A96:$Z96,MATCH(Settings!$L$10,$A$1:$Z$1,0))&amp;""),""),15,2)),VALUE(MID(IFERROR(TRIM(INDEX($A96:$Z96,MATCH(Settings!$L$10,$A$1:$Z$1,0))&amp;""),""),18,2)))),"")),"")</f>
        <v/>
      </c>
      <c r="AL96" s="32">
        <f>IF(AE96="","",IF(ISNUMBER(AK96),AK96,IFERROR(INT(IFERROR(IF(ISNUMBER(INDEX($A96:$Z96,MATCH(Settings!$L$11,$A$1:$Z$1,0))),INDEX($A96:$Z96,MATCH(Settings!$L$11,$A$1:$Z$1,0)),DATE(VALUE(LEFT(IFERROR(TRIM(INDEX($A96:$Z96,MATCH(Settings!$L$11,$A$1:$Z$1,0))&amp;""),""),4)),VALUE(MID(IFERROR(TRIM(INDEX($A96:$Z96,MATCH(Settings!$L$11,$A$1:$Z$1,0))&amp;""),""),6,2)),VALUE(MID(IFERROR(TRIM(INDEX($A96:$Z96,MATCH(Settings!$L$11,$A$1:$Z$1,0))&amp;""),""),9,2)))+TIME(VALUE(MID(IFERROR(TRIM(INDEX($A96:$Z96,MATCH(Settings!$L$11,$A$1:$Z$1,0))&amp;""),""),12,2)),VALUE(MID(IFERROR(TRIM(INDEX($A96:$Z96,MATCH(Settings!$L$11,$A$1:$Z$1,0))&amp;""),""),15,2)),VALUE(MID(IFERROR(TRIM(INDEX($A96:$Z96,MATCH(Settings!$L$11,$A$1:$Z$1,0))&amp;""),""),18,2)))),"")),"")))</f>
        <v/>
      </c>
      <c r="AM96" s="31">
        <f>IF(AE96="","",IF(ISNUMBER(IFERROR(INDEX(Settings!$G$4:$G$11,MATCH(AH96,Settings!$F$4:$F$11,0)),"")),INDEX(Settings!$G$4:$G$11,MATCH(AH96,Settings!$F$4:$F$11,0)),Settings!$D$5))</f>
        <v/>
      </c>
      <c r="AN96" s="32">
        <f>IF(OR(AE96="",NOT(ISNUMBER(AL96)),NOT(ISNUMBER(AM96))),"",IF(AM96&lt;=0,"",IF(ISNUMBER(Settings!$D$8),DATE(YEAR(AL96)+IF(DATE(YEAR(AL96),MONTH(Settings!$D$8),DAY(Settings!$D$8))&gt;AL96,0,1),MONTH(Settings!$D$8),DAY(Settings!$D$8)),MIN(DATE(YEAR(AL96),MONTH(AL96)+AM96,DAY(AL96)),DATE(YEAR(AL96),MONTH(AL96)+AM96+1,0)))))</f>
        <v/>
      </c>
      <c r="AO96" s="31">
        <f>IF(ISNUMBER(AN96),AN96-Settings!$D$4,"")</f>
        <v/>
      </c>
      <c r="AP96" s="31">
        <f>IF(ISNUMBER(AL96),AL96+0+ROW()/100000,"")</f>
        <v/>
      </c>
      <c r="AQ96" s="31">
        <f>IF(OR(AG96="",NOT(ISNUMBER(AP96))),0,IF(SUMPRODUCT(('Responses'!$AG$2:$AG$501=AG96)*('Responses'!$AJ$2:$AJ$501=1)*ISNUMBER('Responses'!$AP$2:$AP$501)*('Responses'!$AP$2:$AP$501&gt;AP96)) + SUMPRODUCT(('Paper sign-ups'!$K$2:$K$101=AG96)*('Paper sign-ups'!$N$2:$N$101=1)*ISNUMBER('Paper sign-ups'!$T$2:$T$101)*('Paper sign-ups'!$T$2:$T$101&gt;AP96))&gt;0,1,0))</f>
        <v/>
      </c>
      <c r="AR96" s="31">
        <f>IF(AE96="","",IF(AQ96=1,"Joined again",IF(AJ96=0,"Unpaid",IF(NOT(ISNUMBER(AL96)),"Add a join date",IF(AN96="","No reminder",IF(AO96&lt;0,"Lapsed",IF(AO96&lt;=Settings!$D$6,"Remind soon","Current")))))))</f>
        <v/>
      </c>
      <c r="AS96" s="33">
        <f>IF(AJ96=1,IFERROR(VALUE(IFERROR(TRIM(INDEX($A96:$Z96,MATCH(Settings!$L$8,$A$1:$Z$1,0))&amp;""),"")),0)-IFERROR(VALUE(IFERROR(TRIM(INDEX($A96:$Z96,MATCH(Settings!$L$9,$A$1:$Z$1,0))&amp;""),"")),0),0)</f>
        <v/>
      </c>
      <c r="AT96" s="31">
        <f>IF(AND(AE96&lt;&gt;"",AQ96=0),1,0)</f>
        <v/>
      </c>
      <c r="AU96" s="31">
        <f>IF(AT96=0,"",IF(ISNUMBER(AN96),AN96,100000)+0+ROW()/1000000)</f>
        <v/>
      </c>
      <c r="AV96" s="31">
        <f>IF(ISNUMBER(AU96),SUMPRODUCT(ISNUMBER('Responses'!$AU$2:$AU$501)*('Responses'!$AU$2:$AU$501&lt;AU96)) + SUMPRODUCT(ISNUMBER('Paper sign-ups'!$Y$2:$Y$101)*('Paper sign-ups'!$Y$2:$Y$101&lt;AU96))+1,"")</f>
        <v/>
      </c>
    </row>
    <row r="97">
      <c r="AA97" s="29" t="n"/>
      <c r="AB97" s="30" t="n"/>
      <c r="AC97" s="30" t="n"/>
      <c r="AD97" s="29" t="n"/>
      <c r="AE97" s="31">
        <f>IFERROR(TRIM(INDEX($A97:$Z97,MATCH(Settings!$L$4,$A$1:$Z$1,0))&amp;""),"")</f>
        <v/>
      </c>
      <c r="AF97" s="31">
        <f>IFERROR(TRIM(INDEX($A97:$Z97,MATCH(Settings!$L$5,$A$1:$Z$1,0))&amp;""),"")</f>
        <v/>
      </c>
      <c r="AG97" s="31">
        <f>IF(AE97="","",LOWER(IF(AF97&lt;&gt;"",AF97,AE97)))</f>
        <v/>
      </c>
      <c r="AH97" s="31">
        <f>IFERROR(TRIM(INDEX($A97:$Z97,MATCH(Settings!$L$6,$A$1:$Z$1,0))&amp;""),"")</f>
        <v/>
      </c>
      <c r="AI97" s="31">
        <f>IF(AE97="","",IF(UPPER(TRIM(AB97&amp;""))="Y","Paid another way",IF(IFERROR(TRIM(INDEX($A97:$Z97,MATCH(Settings!$L$7,$A$1:$Z$1,0))&amp;""),"")="","No payment status",IFERROR(TRIM(INDEX($A97:$Z97,MATCH(Settings!$L$7,$A$1:$Z$1,0))&amp;""),""))))</f>
        <v/>
      </c>
      <c r="AJ97" s="31">
        <f>IF(AE97="",0,IF(IFERROR(INDEX(Settings!$J$4:$J$14,MATCH(AI97,Settings!$I$4:$I$14,0)),"N")="Y",1,0))</f>
        <v/>
      </c>
      <c r="AK97" s="32">
        <f>IFERROR(INT(IFERROR(IF(ISNUMBER(INDEX($A97:$Z97,MATCH(Settings!$L$10,$A$1:$Z$1,0))),INDEX($A97:$Z97,MATCH(Settings!$L$10,$A$1:$Z$1,0)),DATE(VALUE(LEFT(IFERROR(TRIM(INDEX($A97:$Z97,MATCH(Settings!$L$10,$A$1:$Z$1,0))&amp;""),""),4)),VALUE(MID(IFERROR(TRIM(INDEX($A97:$Z97,MATCH(Settings!$L$10,$A$1:$Z$1,0))&amp;""),""),6,2)),VALUE(MID(IFERROR(TRIM(INDEX($A97:$Z97,MATCH(Settings!$L$10,$A$1:$Z$1,0))&amp;""),""),9,2)))+TIME(VALUE(MID(IFERROR(TRIM(INDEX($A97:$Z97,MATCH(Settings!$L$10,$A$1:$Z$1,0))&amp;""),""),12,2)),VALUE(MID(IFERROR(TRIM(INDEX($A97:$Z97,MATCH(Settings!$L$10,$A$1:$Z$1,0))&amp;""),""),15,2)),VALUE(MID(IFERROR(TRIM(INDEX($A97:$Z97,MATCH(Settings!$L$10,$A$1:$Z$1,0))&amp;""),""),18,2)))),"")),"")</f>
        <v/>
      </c>
      <c r="AL97" s="32">
        <f>IF(AE97="","",IF(ISNUMBER(AK97),AK97,IFERROR(INT(IFERROR(IF(ISNUMBER(INDEX($A97:$Z97,MATCH(Settings!$L$11,$A$1:$Z$1,0))),INDEX($A97:$Z97,MATCH(Settings!$L$11,$A$1:$Z$1,0)),DATE(VALUE(LEFT(IFERROR(TRIM(INDEX($A97:$Z97,MATCH(Settings!$L$11,$A$1:$Z$1,0))&amp;""),""),4)),VALUE(MID(IFERROR(TRIM(INDEX($A97:$Z97,MATCH(Settings!$L$11,$A$1:$Z$1,0))&amp;""),""),6,2)),VALUE(MID(IFERROR(TRIM(INDEX($A97:$Z97,MATCH(Settings!$L$11,$A$1:$Z$1,0))&amp;""),""),9,2)))+TIME(VALUE(MID(IFERROR(TRIM(INDEX($A97:$Z97,MATCH(Settings!$L$11,$A$1:$Z$1,0))&amp;""),""),12,2)),VALUE(MID(IFERROR(TRIM(INDEX($A97:$Z97,MATCH(Settings!$L$11,$A$1:$Z$1,0))&amp;""),""),15,2)),VALUE(MID(IFERROR(TRIM(INDEX($A97:$Z97,MATCH(Settings!$L$11,$A$1:$Z$1,0))&amp;""),""),18,2)))),"")),"")))</f>
        <v/>
      </c>
      <c r="AM97" s="31">
        <f>IF(AE97="","",IF(ISNUMBER(IFERROR(INDEX(Settings!$G$4:$G$11,MATCH(AH97,Settings!$F$4:$F$11,0)),"")),INDEX(Settings!$G$4:$G$11,MATCH(AH97,Settings!$F$4:$F$11,0)),Settings!$D$5))</f>
        <v/>
      </c>
      <c r="AN97" s="32">
        <f>IF(OR(AE97="",NOT(ISNUMBER(AL97)),NOT(ISNUMBER(AM97))),"",IF(AM97&lt;=0,"",IF(ISNUMBER(Settings!$D$8),DATE(YEAR(AL97)+IF(DATE(YEAR(AL97),MONTH(Settings!$D$8),DAY(Settings!$D$8))&gt;AL97,0,1),MONTH(Settings!$D$8),DAY(Settings!$D$8)),MIN(DATE(YEAR(AL97),MONTH(AL97)+AM97,DAY(AL97)),DATE(YEAR(AL97),MONTH(AL97)+AM97+1,0)))))</f>
        <v/>
      </c>
      <c r="AO97" s="31">
        <f>IF(ISNUMBER(AN97),AN97-Settings!$D$4,"")</f>
        <v/>
      </c>
      <c r="AP97" s="31">
        <f>IF(ISNUMBER(AL97),AL97+0+ROW()/100000,"")</f>
        <v/>
      </c>
      <c r="AQ97" s="31">
        <f>IF(OR(AG97="",NOT(ISNUMBER(AP97))),0,IF(SUMPRODUCT(('Responses'!$AG$2:$AG$501=AG97)*('Responses'!$AJ$2:$AJ$501=1)*ISNUMBER('Responses'!$AP$2:$AP$501)*('Responses'!$AP$2:$AP$501&gt;AP97)) + SUMPRODUCT(('Paper sign-ups'!$K$2:$K$101=AG97)*('Paper sign-ups'!$N$2:$N$101=1)*ISNUMBER('Paper sign-ups'!$T$2:$T$101)*('Paper sign-ups'!$T$2:$T$101&gt;AP97))&gt;0,1,0))</f>
        <v/>
      </c>
      <c r="AR97" s="31">
        <f>IF(AE97="","",IF(AQ97=1,"Joined again",IF(AJ97=0,"Unpaid",IF(NOT(ISNUMBER(AL97)),"Add a join date",IF(AN97="","No reminder",IF(AO97&lt;0,"Lapsed",IF(AO97&lt;=Settings!$D$6,"Remind soon","Current")))))))</f>
        <v/>
      </c>
      <c r="AS97" s="33">
        <f>IF(AJ97=1,IFERROR(VALUE(IFERROR(TRIM(INDEX($A97:$Z97,MATCH(Settings!$L$8,$A$1:$Z$1,0))&amp;""),"")),0)-IFERROR(VALUE(IFERROR(TRIM(INDEX($A97:$Z97,MATCH(Settings!$L$9,$A$1:$Z$1,0))&amp;""),"")),0),0)</f>
        <v/>
      </c>
      <c r="AT97" s="31">
        <f>IF(AND(AE97&lt;&gt;"",AQ97=0),1,0)</f>
        <v/>
      </c>
      <c r="AU97" s="31">
        <f>IF(AT97=0,"",IF(ISNUMBER(AN97),AN97,100000)+0+ROW()/1000000)</f>
        <v/>
      </c>
      <c r="AV97" s="31">
        <f>IF(ISNUMBER(AU97),SUMPRODUCT(ISNUMBER('Responses'!$AU$2:$AU$501)*('Responses'!$AU$2:$AU$501&lt;AU97)) + SUMPRODUCT(ISNUMBER('Paper sign-ups'!$Y$2:$Y$101)*('Paper sign-ups'!$Y$2:$Y$101&lt;AU97))+1,"")</f>
        <v/>
      </c>
    </row>
    <row r="98">
      <c r="AA98" s="29" t="n"/>
      <c r="AB98" s="30" t="n"/>
      <c r="AC98" s="30" t="n"/>
      <c r="AD98" s="29" t="n"/>
      <c r="AE98" s="31">
        <f>IFERROR(TRIM(INDEX($A98:$Z98,MATCH(Settings!$L$4,$A$1:$Z$1,0))&amp;""),"")</f>
        <v/>
      </c>
      <c r="AF98" s="31">
        <f>IFERROR(TRIM(INDEX($A98:$Z98,MATCH(Settings!$L$5,$A$1:$Z$1,0))&amp;""),"")</f>
        <v/>
      </c>
      <c r="AG98" s="31">
        <f>IF(AE98="","",LOWER(IF(AF98&lt;&gt;"",AF98,AE98)))</f>
        <v/>
      </c>
      <c r="AH98" s="31">
        <f>IFERROR(TRIM(INDEX($A98:$Z98,MATCH(Settings!$L$6,$A$1:$Z$1,0))&amp;""),"")</f>
        <v/>
      </c>
      <c r="AI98" s="31">
        <f>IF(AE98="","",IF(UPPER(TRIM(AB98&amp;""))="Y","Paid another way",IF(IFERROR(TRIM(INDEX($A98:$Z98,MATCH(Settings!$L$7,$A$1:$Z$1,0))&amp;""),"")="","No payment status",IFERROR(TRIM(INDEX($A98:$Z98,MATCH(Settings!$L$7,$A$1:$Z$1,0))&amp;""),""))))</f>
        <v/>
      </c>
      <c r="AJ98" s="31">
        <f>IF(AE98="",0,IF(IFERROR(INDEX(Settings!$J$4:$J$14,MATCH(AI98,Settings!$I$4:$I$14,0)),"N")="Y",1,0))</f>
        <v/>
      </c>
      <c r="AK98" s="32">
        <f>IFERROR(INT(IFERROR(IF(ISNUMBER(INDEX($A98:$Z98,MATCH(Settings!$L$10,$A$1:$Z$1,0))),INDEX($A98:$Z98,MATCH(Settings!$L$10,$A$1:$Z$1,0)),DATE(VALUE(LEFT(IFERROR(TRIM(INDEX($A98:$Z98,MATCH(Settings!$L$10,$A$1:$Z$1,0))&amp;""),""),4)),VALUE(MID(IFERROR(TRIM(INDEX($A98:$Z98,MATCH(Settings!$L$10,$A$1:$Z$1,0))&amp;""),""),6,2)),VALUE(MID(IFERROR(TRIM(INDEX($A98:$Z98,MATCH(Settings!$L$10,$A$1:$Z$1,0))&amp;""),""),9,2)))+TIME(VALUE(MID(IFERROR(TRIM(INDEX($A98:$Z98,MATCH(Settings!$L$10,$A$1:$Z$1,0))&amp;""),""),12,2)),VALUE(MID(IFERROR(TRIM(INDEX($A98:$Z98,MATCH(Settings!$L$10,$A$1:$Z$1,0))&amp;""),""),15,2)),VALUE(MID(IFERROR(TRIM(INDEX($A98:$Z98,MATCH(Settings!$L$10,$A$1:$Z$1,0))&amp;""),""),18,2)))),"")),"")</f>
        <v/>
      </c>
      <c r="AL98" s="32">
        <f>IF(AE98="","",IF(ISNUMBER(AK98),AK98,IFERROR(INT(IFERROR(IF(ISNUMBER(INDEX($A98:$Z98,MATCH(Settings!$L$11,$A$1:$Z$1,0))),INDEX($A98:$Z98,MATCH(Settings!$L$11,$A$1:$Z$1,0)),DATE(VALUE(LEFT(IFERROR(TRIM(INDEX($A98:$Z98,MATCH(Settings!$L$11,$A$1:$Z$1,0))&amp;""),""),4)),VALUE(MID(IFERROR(TRIM(INDEX($A98:$Z98,MATCH(Settings!$L$11,$A$1:$Z$1,0))&amp;""),""),6,2)),VALUE(MID(IFERROR(TRIM(INDEX($A98:$Z98,MATCH(Settings!$L$11,$A$1:$Z$1,0))&amp;""),""),9,2)))+TIME(VALUE(MID(IFERROR(TRIM(INDEX($A98:$Z98,MATCH(Settings!$L$11,$A$1:$Z$1,0))&amp;""),""),12,2)),VALUE(MID(IFERROR(TRIM(INDEX($A98:$Z98,MATCH(Settings!$L$11,$A$1:$Z$1,0))&amp;""),""),15,2)),VALUE(MID(IFERROR(TRIM(INDEX($A98:$Z98,MATCH(Settings!$L$11,$A$1:$Z$1,0))&amp;""),""),18,2)))),"")),"")))</f>
        <v/>
      </c>
      <c r="AM98" s="31">
        <f>IF(AE98="","",IF(ISNUMBER(IFERROR(INDEX(Settings!$G$4:$G$11,MATCH(AH98,Settings!$F$4:$F$11,0)),"")),INDEX(Settings!$G$4:$G$11,MATCH(AH98,Settings!$F$4:$F$11,0)),Settings!$D$5))</f>
        <v/>
      </c>
      <c r="AN98" s="32">
        <f>IF(OR(AE98="",NOT(ISNUMBER(AL98)),NOT(ISNUMBER(AM98))),"",IF(AM98&lt;=0,"",IF(ISNUMBER(Settings!$D$8),DATE(YEAR(AL98)+IF(DATE(YEAR(AL98),MONTH(Settings!$D$8),DAY(Settings!$D$8))&gt;AL98,0,1),MONTH(Settings!$D$8),DAY(Settings!$D$8)),MIN(DATE(YEAR(AL98),MONTH(AL98)+AM98,DAY(AL98)),DATE(YEAR(AL98),MONTH(AL98)+AM98+1,0)))))</f>
        <v/>
      </c>
      <c r="AO98" s="31">
        <f>IF(ISNUMBER(AN98),AN98-Settings!$D$4,"")</f>
        <v/>
      </c>
      <c r="AP98" s="31">
        <f>IF(ISNUMBER(AL98),AL98+0+ROW()/100000,"")</f>
        <v/>
      </c>
      <c r="AQ98" s="31">
        <f>IF(OR(AG98="",NOT(ISNUMBER(AP98))),0,IF(SUMPRODUCT(('Responses'!$AG$2:$AG$501=AG98)*('Responses'!$AJ$2:$AJ$501=1)*ISNUMBER('Responses'!$AP$2:$AP$501)*('Responses'!$AP$2:$AP$501&gt;AP98)) + SUMPRODUCT(('Paper sign-ups'!$K$2:$K$101=AG98)*('Paper sign-ups'!$N$2:$N$101=1)*ISNUMBER('Paper sign-ups'!$T$2:$T$101)*('Paper sign-ups'!$T$2:$T$101&gt;AP98))&gt;0,1,0))</f>
        <v/>
      </c>
      <c r="AR98" s="31">
        <f>IF(AE98="","",IF(AQ98=1,"Joined again",IF(AJ98=0,"Unpaid",IF(NOT(ISNUMBER(AL98)),"Add a join date",IF(AN98="","No reminder",IF(AO98&lt;0,"Lapsed",IF(AO98&lt;=Settings!$D$6,"Remind soon","Current")))))))</f>
        <v/>
      </c>
      <c r="AS98" s="33">
        <f>IF(AJ98=1,IFERROR(VALUE(IFERROR(TRIM(INDEX($A98:$Z98,MATCH(Settings!$L$8,$A$1:$Z$1,0))&amp;""),"")),0)-IFERROR(VALUE(IFERROR(TRIM(INDEX($A98:$Z98,MATCH(Settings!$L$9,$A$1:$Z$1,0))&amp;""),"")),0),0)</f>
        <v/>
      </c>
      <c r="AT98" s="31">
        <f>IF(AND(AE98&lt;&gt;"",AQ98=0),1,0)</f>
        <v/>
      </c>
      <c r="AU98" s="31">
        <f>IF(AT98=0,"",IF(ISNUMBER(AN98),AN98,100000)+0+ROW()/1000000)</f>
        <v/>
      </c>
      <c r="AV98" s="31">
        <f>IF(ISNUMBER(AU98),SUMPRODUCT(ISNUMBER('Responses'!$AU$2:$AU$501)*('Responses'!$AU$2:$AU$501&lt;AU98)) + SUMPRODUCT(ISNUMBER('Paper sign-ups'!$Y$2:$Y$101)*('Paper sign-ups'!$Y$2:$Y$101&lt;AU98))+1,"")</f>
        <v/>
      </c>
    </row>
    <row r="99">
      <c r="AA99" s="29" t="n"/>
      <c r="AB99" s="30" t="n"/>
      <c r="AC99" s="30" t="n"/>
      <c r="AD99" s="29" t="n"/>
      <c r="AE99" s="31">
        <f>IFERROR(TRIM(INDEX($A99:$Z99,MATCH(Settings!$L$4,$A$1:$Z$1,0))&amp;""),"")</f>
        <v/>
      </c>
      <c r="AF99" s="31">
        <f>IFERROR(TRIM(INDEX($A99:$Z99,MATCH(Settings!$L$5,$A$1:$Z$1,0))&amp;""),"")</f>
        <v/>
      </c>
      <c r="AG99" s="31">
        <f>IF(AE99="","",LOWER(IF(AF99&lt;&gt;"",AF99,AE99)))</f>
        <v/>
      </c>
      <c r="AH99" s="31">
        <f>IFERROR(TRIM(INDEX($A99:$Z99,MATCH(Settings!$L$6,$A$1:$Z$1,0))&amp;""),"")</f>
        <v/>
      </c>
      <c r="AI99" s="31">
        <f>IF(AE99="","",IF(UPPER(TRIM(AB99&amp;""))="Y","Paid another way",IF(IFERROR(TRIM(INDEX($A99:$Z99,MATCH(Settings!$L$7,$A$1:$Z$1,0))&amp;""),"")="","No payment status",IFERROR(TRIM(INDEX($A99:$Z99,MATCH(Settings!$L$7,$A$1:$Z$1,0))&amp;""),""))))</f>
        <v/>
      </c>
      <c r="AJ99" s="31">
        <f>IF(AE99="",0,IF(IFERROR(INDEX(Settings!$J$4:$J$14,MATCH(AI99,Settings!$I$4:$I$14,0)),"N")="Y",1,0))</f>
        <v/>
      </c>
      <c r="AK99" s="32">
        <f>IFERROR(INT(IFERROR(IF(ISNUMBER(INDEX($A99:$Z99,MATCH(Settings!$L$10,$A$1:$Z$1,0))),INDEX($A99:$Z99,MATCH(Settings!$L$10,$A$1:$Z$1,0)),DATE(VALUE(LEFT(IFERROR(TRIM(INDEX($A99:$Z99,MATCH(Settings!$L$10,$A$1:$Z$1,0))&amp;""),""),4)),VALUE(MID(IFERROR(TRIM(INDEX($A99:$Z99,MATCH(Settings!$L$10,$A$1:$Z$1,0))&amp;""),""),6,2)),VALUE(MID(IFERROR(TRIM(INDEX($A99:$Z99,MATCH(Settings!$L$10,$A$1:$Z$1,0))&amp;""),""),9,2)))+TIME(VALUE(MID(IFERROR(TRIM(INDEX($A99:$Z99,MATCH(Settings!$L$10,$A$1:$Z$1,0))&amp;""),""),12,2)),VALUE(MID(IFERROR(TRIM(INDEX($A99:$Z99,MATCH(Settings!$L$10,$A$1:$Z$1,0))&amp;""),""),15,2)),VALUE(MID(IFERROR(TRIM(INDEX($A99:$Z99,MATCH(Settings!$L$10,$A$1:$Z$1,0))&amp;""),""),18,2)))),"")),"")</f>
        <v/>
      </c>
      <c r="AL99" s="32">
        <f>IF(AE99="","",IF(ISNUMBER(AK99),AK99,IFERROR(INT(IFERROR(IF(ISNUMBER(INDEX($A99:$Z99,MATCH(Settings!$L$11,$A$1:$Z$1,0))),INDEX($A99:$Z99,MATCH(Settings!$L$11,$A$1:$Z$1,0)),DATE(VALUE(LEFT(IFERROR(TRIM(INDEX($A99:$Z99,MATCH(Settings!$L$11,$A$1:$Z$1,0))&amp;""),""),4)),VALUE(MID(IFERROR(TRIM(INDEX($A99:$Z99,MATCH(Settings!$L$11,$A$1:$Z$1,0))&amp;""),""),6,2)),VALUE(MID(IFERROR(TRIM(INDEX($A99:$Z99,MATCH(Settings!$L$11,$A$1:$Z$1,0))&amp;""),""),9,2)))+TIME(VALUE(MID(IFERROR(TRIM(INDEX($A99:$Z99,MATCH(Settings!$L$11,$A$1:$Z$1,0))&amp;""),""),12,2)),VALUE(MID(IFERROR(TRIM(INDEX($A99:$Z99,MATCH(Settings!$L$11,$A$1:$Z$1,0))&amp;""),""),15,2)),VALUE(MID(IFERROR(TRIM(INDEX($A99:$Z99,MATCH(Settings!$L$11,$A$1:$Z$1,0))&amp;""),""),18,2)))),"")),"")))</f>
        <v/>
      </c>
      <c r="AM99" s="31">
        <f>IF(AE99="","",IF(ISNUMBER(IFERROR(INDEX(Settings!$G$4:$G$11,MATCH(AH99,Settings!$F$4:$F$11,0)),"")),INDEX(Settings!$G$4:$G$11,MATCH(AH99,Settings!$F$4:$F$11,0)),Settings!$D$5))</f>
        <v/>
      </c>
      <c r="AN99" s="32">
        <f>IF(OR(AE99="",NOT(ISNUMBER(AL99)),NOT(ISNUMBER(AM99))),"",IF(AM99&lt;=0,"",IF(ISNUMBER(Settings!$D$8),DATE(YEAR(AL99)+IF(DATE(YEAR(AL99),MONTH(Settings!$D$8),DAY(Settings!$D$8))&gt;AL99,0,1),MONTH(Settings!$D$8),DAY(Settings!$D$8)),MIN(DATE(YEAR(AL99),MONTH(AL99)+AM99,DAY(AL99)),DATE(YEAR(AL99),MONTH(AL99)+AM99+1,0)))))</f>
        <v/>
      </c>
      <c r="AO99" s="31">
        <f>IF(ISNUMBER(AN99),AN99-Settings!$D$4,"")</f>
        <v/>
      </c>
      <c r="AP99" s="31">
        <f>IF(ISNUMBER(AL99),AL99+0+ROW()/100000,"")</f>
        <v/>
      </c>
      <c r="AQ99" s="31">
        <f>IF(OR(AG99="",NOT(ISNUMBER(AP99))),0,IF(SUMPRODUCT(('Responses'!$AG$2:$AG$501=AG99)*('Responses'!$AJ$2:$AJ$501=1)*ISNUMBER('Responses'!$AP$2:$AP$501)*('Responses'!$AP$2:$AP$501&gt;AP99)) + SUMPRODUCT(('Paper sign-ups'!$K$2:$K$101=AG99)*('Paper sign-ups'!$N$2:$N$101=1)*ISNUMBER('Paper sign-ups'!$T$2:$T$101)*('Paper sign-ups'!$T$2:$T$101&gt;AP99))&gt;0,1,0))</f>
        <v/>
      </c>
      <c r="AR99" s="31">
        <f>IF(AE99="","",IF(AQ99=1,"Joined again",IF(AJ99=0,"Unpaid",IF(NOT(ISNUMBER(AL99)),"Add a join date",IF(AN99="","No reminder",IF(AO99&lt;0,"Lapsed",IF(AO99&lt;=Settings!$D$6,"Remind soon","Current")))))))</f>
        <v/>
      </c>
      <c r="AS99" s="33">
        <f>IF(AJ99=1,IFERROR(VALUE(IFERROR(TRIM(INDEX($A99:$Z99,MATCH(Settings!$L$8,$A$1:$Z$1,0))&amp;""),"")),0)-IFERROR(VALUE(IFERROR(TRIM(INDEX($A99:$Z99,MATCH(Settings!$L$9,$A$1:$Z$1,0))&amp;""),"")),0),0)</f>
        <v/>
      </c>
      <c r="AT99" s="31">
        <f>IF(AND(AE99&lt;&gt;"",AQ99=0),1,0)</f>
        <v/>
      </c>
      <c r="AU99" s="31">
        <f>IF(AT99=0,"",IF(ISNUMBER(AN99),AN99,100000)+0+ROW()/1000000)</f>
        <v/>
      </c>
      <c r="AV99" s="31">
        <f>IF(ISNUMBER(AU99),SUMPRODUCT(ISNUMBER('Responses'!$AU$2:$AU$501)*('Responses'!$AU$2:$AU$501&lt;AU99)) + SUMPRODUCT(ISNUMBER('Paper sign-ups'!$Y$2:$Y$101)*('Paper sign-ups'!$Y$2:$Y$101&lt;AU99))+1,"")</f>
        <v/>
      </c>
    </row>
    <row r="100">
      <c r="AA100" s="29" t="n"/>
      <c r="AB100" s="30" t="n"/>
      <c r="AC100" s="30" t="n"/>
      <c r="AD100" s="29" t="n"/>
      <c r="AE100" s="31">
        <f>IFERROR(TRIM(INDEX($A100:$Z100,MATCH(Settings!$L$4,$A$1:$Z$1,0))&amp;""),"")</f>
        <v/>
      </c>
      <c r="AF100" s="31">
        <f>IFERROR(TRIM(INDEX($A100:$Z100,MATCH(Settings!$L$5,$A$1:$Z$1,0))&amp;""),"")</f>
        <v/>
      </c>
      <c r="AG100" s="31">
        <f>IF(AE100="","",LOWER(IF(AF100&lt;&gt;"",AF100,AE100)))</f>
        <v/>
      </c>
      <c r="AH100" s="31">
        <f>IFERROR(TRIM(INDEX($A100:$Z100,MATCH(Settings!$L$6,$A$1:$Z$1,0))&amp;""),"")</f>
        <v/>
      </c>
      <c r="AI100" s="31">
        <f>IF(AE100="","",IF(UPPER(TRIM(AB100&amp;""))="Y","Paid another way",IF(IFERROR(TRIM(INDEX($A100:$Z100,MATCH(Settings!$L$7,$A$1:$Z$1,0))&amp;""),"")="","No payment status",IFERROR(TRIM(INDEX($A100:$Z100,MATCH(Settings!$L$7,$A$1:$Z$1,0))&amp;""),""))))</f>
        <v/>
      </c>
      <c r="AJ100" s="31">
        <f>IF(AE100="",0,IF(IFERROR(INDEX(Settings!$J$4:$J$14,MATCH(AI100,Settings!$I$4:$I$14,0)),"N")="Y",1,0))</f>
        <v/>
      </c>
      <c r="AK100" s="32">
        <f>IFERROR(INT(IFERROR(IF(ISNUMBER(INDEX($A100:$Z100,MATCH(Settings!$L$10,$A$1:$Z$1,0))),INDEX($A100:$Z100,MATCH(Settings!$L$10,$A$1:$Z$1,0)),DATE(VALUE(LEFT(IFERROR(TRIM(INDEX($A100:$Z100,MATCH(Settings!$L$10,$A$1:$Z$1,0))&amp;""),""),4)),VALUE(MID(IFERROR(TRIM(INDEX($A100:$Z100,MATCH(Settings!$L$10,$A$1:$Z$1,0))&amp;""),""),6,2)),VALUE(MID(IFERROR(TRIM(INDEX($A100:$Z100,MATCH(Settings!$L$10,$A$1:$Z$1,0))&amp;""),""),9,2)))+TIME(VALUE(MID(IFERROR(TRIM(INDEX($A100:$Z100,MATCH(Settings!$L$10,$A$1:$Z$1,0))&amp;""),""),12,2)),VALUE(MID(IFERROR(TRIM(INDEX($A100:$Z100,MATCH(Settings!$L$10,$A$1:$Z$1,0))&amp;""),""),15,2)),VALUE(MID(IFERROR(TRIM(INDEX($A100:$Z100,MATCH(Settings!$L$10,$A$1:$Z$1,0))&amp;""),""),18,2)))),"")),"")</f>
        <v/>
      </c>
      <c r="AL100" s="32">
        <f>IF(AE100="","",IF(ISNUMBER(AK100),AK100,IFERROR(INT(IFERROR(IF(ISNUMBER(INDEX($A100:$Z100,MATCH(Settings!$L$11,$A$1:$Z$1,0))),INDEX($A100:$Z100,MATCH(Settings!$L$11,$A$1:$Z$1,0)),DATE(VALUE(LEFT(IFERROR(TRIM(INDEX($A100:$Z100,MATCH(Settings!$L$11,$A$1:$Z$1,0))&amp;""),""),4)),VALUE(MID(IFERROR(TRIM(INDEX($A100:$Z100,MATCH(Settings!$L$11,$A$1:$Z$1,0))&amp;""),""),6,2)),VALUE(MID(IFERROR(TRIM(INDEX($A100:$Z100,MATCH(Settings!$L$11,$A$1:$Z$1,0))&amp;""),""),9,2)))+TIME(VALUE(MID(IFERROR(TRIM(INDEX($A100:$Z100,MATCH(Settings!$L$11,$A$1:$Z$1,0))&amp;""),""),12,2)),VALUE(MID(IFERROR(TRIM(INDEX($A100:$Z100,MATCH(Settings!$L$11,$A$1:$Z$1,0))&amp;""),""),15,2)),VALUE(MID(IFERROR(TRIM(INDEX($A100:$Z100,MATCH(Settings!$L$11,$A$1:$Z$1,0))&amp;""),""),18,2)))),"")),"")))</f>
        <v/>
      </c>
      <c r="AM100" s="31">
        <f>IF(AE100="","",IF(ISNUMBER(IFERROR(INDEX(Settings!$G$4:$G$11,MATCH(AH100,Settings!$F$4:$F$11,0)),"")),INDEX(Settings!$G$4:$G$11,MATCH(AH100,Settings!$F$4:$F$11,0)),Settings!$D$5))</f>
        <v/>
      </c>
      <c r="AN100" s="32">
        <f>IF(OR(AE100="",NOT(ISNUMBER(AL100)),NOT(ISNUMBER(AM100))),"",IF(AM100&lt;=0,"",IF(ISNUMBER(Settings!$D$8),DATE(YEAR(AL100)+IF(DATE(YEAR(AL100),MONTH(Settings!$D$8),DAY(Settings!$D$8))&gt;AL100,0,1),MONTH(Settings!$D$8),DAY(Settings!$D$8)),MIN(DATE(YEAR(AL100),MONTH(AL100)+AM100,DAY(AL100)),DATE(YEAR(AL100),MONTH(AL100)+AM100+1,0)))))</f>
        <v/>
      </c>
      <c r="AO100" s="31">
        <f>IF(ISNUMBER(AN100),AN100-Settings!$D$4,"")</f>
        <v/>
      </c>
      <c r="AP100" s="31">
        <f>IF(ISNUMBER(AL100),AL100+0+ROW()/100000,"")</f>
        <v/>
      </c>
      <c r="AQ100" s="31">
        <f>IF(OR(AG100="",NOT(ISNUMBER(AP100))),0,IF(SUMPRODUCT(('Responses'!$AG$2:$AG$501=AG100)*('Responses'!$AJ$2:$AJ$501=1)*ISNUMBER('Responses'!$AP$2:$AP$501)*('Responses'!$AP$2:$AP$501&gt;AP100)) + SUMPRODUCT(('Paper sign-ups'!$K$2:$K$101=AG100)*('Paper sign-ups'!$N$2:$N$101=1)*ISNUMBER('Paper sign-ups'!$T$2:$T$101)*('Paper sign-ups'!$T$2:$T$101&gt;AP100))&gt;0,1,0))</f>
        <v/>
      </c>
      <c r="AR100" s="31">
        <f>IF(AE100="","",IF(AQ100=1,"Joined again",IF(AJ100=0,"Unpaid",IF(NOT(ISNUMBER(AL100)),"Add a join date",IF(AN100="","No reminder",IF(AO100&lt;0,"Lapsed",IF(AO100&lt;=Settings!$D$6,"Remind soon","Current")))))))</f>
        <v/>
      </c>
      <c r="AS100" s="33">
        <f>IF(AJ100=1,IFERROR(VALUE(IFERROR(TRIM(INDEX($A100:$Z100,MATCH(Settings!$L$8,$A$1:$Z$1,0))&amp;""),"")),0)-IFERROR(VALUE(IFERROR(TRIM(INDEX($A100:$Z100,MATCH(Settings!$L$9,$A$1:$Z$1,0))&amp;""),"")),0),0)</f>
        <v/>
      </c>
      <c r="AT100" s="31">
        <f>IF(AND(AE100&lt;&gt;"",AQ100=0),1,0)</f>
        <v/>
      </c>
      <c r="AU100" s="31">
        <f>IF(AT100=0,"",IF(ISNUMBER(AN100),AN100,100000)+0+ROW()/1000000)</f>
        <v/>
      </c>
      <c r="AV100" s="31">
        <f>IF(ISNUMBER(AU100),SUMPRODUCT(ISNUMBER('Responses'!$AU$2:$AU$501)*('Responses'!$AU$2:$AU$501&lt;AU100)) + SUMPRODUCT(ISNUMBER('Paper sign-ups'!$Y$2:$Y$101)*('Paper sign-ups'!$Y$2:$Y$101&lt;AU100))+1,"")</f>
        <v/>
      </c>
    </row>
    <row r="101">
      <c r="AA101" s="29" t="n"/>
      <c r="AB101" s="30" t="n"/>
      <c r="AC101" s="30" t="n"/>
      <c r="AD101" s="29" t="n"/>
      <c r="AE101" s="31">
        <f>IFERROR(TRIM(INDEX($A101:$Z101,MATCH(Settings!$L$4,$A$1:$Z$1,0))&amp;""),"")</f>
        <v/>
      </c>
      <c r="AF101" s="31">
        <f>IFERROR(TRIM(INDEX($A101:$Z101,MATCH(Settings!$L$5,$A$1:$Z$1,0))&amp;""),"")</f>
        <v/>
      </c>
      <c r="AG101" s="31">
        <f>IF(AE101="","",LOWER(IF(AF101&lt;&gt;"",AF101,AE101)))</f>
        <v/>
      </c>
      <c r="AH101" s="31">
        <f>IFERROR(TRIM(INDEX($A101:$Z101,MATCH(Settings!$L$6,$A$1:$Z$1,0))&amp;""),"")</f>
        <v/>
      </c>
      <c r="AI101" s="31">
        <f>IF(AE101="","",IF(UPPER(TRIM(AB101&amp;""))="Y","Paid another way",IF(IFERROR(TRIM(INDEX($A101:$Z101,MATCH(Settings!$L$7,$A$1:$Z$1,0))&amp;""),"")="","No payment status",IFERROR(TRIM(INDEX($A101:$Z101,MATCH(Settings!$L$7,$A$1:$Z$1,0))&amp;""),""))))</f>
        <v/>
      </c>
      <c r="AJ101" s="31">
        <f>IF(AE101="",0,IF(IFERROR(INDEX(Settings!$J$4:$J$14,MATCH(AI101,Settings!$I$4:$I$14,0)),"N")="Y",1,0))</f>
        <v/>
      </c>
      <c r="AK101" s="32">
        <f>IFERROR(INT(IFERROR(IF(ISNUMBER(INDEX($A101:$Z101,MATCH(Settings!$L$10,$A$1:$Z$1,0))),INDEX($A101:$Z101,MATCH(Settings!$L$10,$A$1:$Z$1,0)),DATE(VALUE(LEFT(IFERROR(TRIM(INDEX($A101:$Z101,MATCH(Settings!$L$10,$A$1:$Z$1,0))&amp;""),""),4)),VALUE(MID(IFERROR(TRIM(INDEX($A101:$Z101,MATCH(Settings!$L$10,$A$1:$Z$1,0))&amp;""),""),6,2)),VALUE(MID(IFERROR(TRIM(INDEX($A101:$Z101,MATCH(Settings!$L$10,$A$1:$Z$1,0))&amp;""),""),9,2)))+TIME(VALUE(MID(IFERROR(TRIM(INDEX($A101:$Z101,MATCH(Settings!$L$10,$A$1:$Z$1,0))&amp;""),""),12,2)),VALUE(MID(IFERROR(TRIM(INDEX($A101:$Z101,MATCH(Settings!$L$10,$A$1:$Z$1,0))&amp;""),""),15,2)),VALUE(MID(IFERROR(TRIM(INDEX($A101:$Z101,MATCH(Settings!$L$10,$A$1:$Z$1,0))&amp;""),""),18,2)))),"")),"")</f>
        <v/>
      </c>
      <c r="AL101" s="32">
        <f>IF(AE101="","",IF(ISNUMBER(AK101),AK101,IFERROR(INT(IFERROR(IF(ISNUMBER(INDEX($A101:$Z101,MATCH(Settings!$L$11,$A$1:$Z$1,0))),INDEX($A101:$Z101,MATCH(Settings!$L$11,$A$1:$Z$1,0)),DATE(VALUE(LEFT(IFERROR(TRIM(INDEX($A101:$Z101,MATCH(Settings!$L$11,$A$1:$Z$1,0))&amp;""),""),4)),VALUE(MID(IFERROR(TRIM(INDEX($A101:$Z101,MATCH(Settings!$L$11,$A$1:$Z$1,0))&amp;""),""),6,2)),VALUE(MID(IFERROR(TRIM(INDEX($A101:$Z101,MATCH(Settings!$L$11,$A$1:$Z$1,0))&amp;""),""),9,2)))+TIME(VALUE(MID(IFERROR(TRIM(INDEX($A101:$Z101,MATCH(Settings!$L$11,$A$1:$Z$1,0))&amp;""),""),12,2)),VALUE(MID(IFERROR(TRIM(INDEX($A101:$Z101,MATCH(Settings!$L$11,$A$1:$Z$1,0))&amp;""),""),15,2)),VALUE(MID(IFERROR(TRIM(INDEX($A101:$Z101,MATCH(Settings!$L$11,$A$1:$Z$1,0))&amp;""),""),18,2)))),"")),"")))</f>
        <v/>
      </c>
      <c r="AM101" s="31">
        <f>IF(AE101="","",IF(ISNUMBER(IFERROR(INDEX(Settings!$G$4:$G$11,MATCH(AH101,Settings!$F$4:$F$11,0)),"")),INDEX(Settings!$G$4:$G$11,MATCH(AH101,Settings!$F$4:$F$11,0)),Settings!$D$5))</f>
        <v/>
      </c>
      <c r="AN101" s="32">
        <f>IF(OR(AE101="",NOT(ISNUMBER(AL101)),NOT(ISNUMBER(AM101))),"",IF(AM101&lt;=0,"",IF(ISNUMBER(Settings!$D$8),DATE(YEAR(AL101)+IF(DATE(YEAR(AL101),MONTH(Settings!$D$8),DAY(Settings!$D$8))&gt;AL101,0,1),MONTH(Settings!$D$8),DAY(Settings!$D$8)),MIN(DATE(YEAR(AL101),MONTH(AL101)+AM101,DAY(AL101)),DATE(YEAR(AL101),MONTH(AL101)+AM101+1,0)))))</f>
        <v/>
      </c>
      <c r="AO101" s="31">
        <f>IF(ISNUMBER(AN101),AN101-Settings!$D$4,"")</f>
        <v/>
      </c>
      <c r="AP101" s="31">
        <f>IF(ISNUMBER(AL101),AL101+0+ROW()/100000,"")</f>
        <v/>
      </c>
      <c r="AQ101" s="31">
        <f>IF(OR(AG101="",NOT(ISNUMBER(AP101))),0,IF(SUMPRODUCT(('Responses'!$AG$2:$AG$501=AG101)*('Responses'!$AJ$2:$AJ$501=1)*ISNUMBER('Responses'!$AP$2:$AP$501)*('Responses'!$AP$2:$AP$501&gt;AP101)) + SUMPRODUCT(('Paper sign-ups'!$K$2:$K$101=AG101)*('Paper sign-ups'!$N$2:$N$101=1)*ISNUMBER('Paper sign-ups'!$T$2:$T$101)*('Paper sign-ups'!$T$2:$T$101&gt;AP101))&gt;0,1,0))</f>
        <v/>
      </c>
      <c r="AR101" s="31">
        <f>IF(AE101="","",IF(AQ101=1,"Joined again",IF(AJ101=0,"Unpaid",IF(NOT(ISNUMBER(AL101)),"Add a join date",IF(AN101="","No reminder",IF(AO101&lt;0,"Lapsed",IF(AO101&lt;=Settings!$D$6,"Remind soon","Current")))))))</f>
        <v/>
      </c>
      <c r="AS101" s="33">
        <f>IF(AJ101=1,IFERROR(VALUE(IFERROR(TRIM(INDEX($A101:$Z101,MATCH(Settings!$L$8,$A$1:$Z$1,0))&amp;""),"")),0)-IFERROR(VALUE(IFERROR(TRIM(INDEX($A101:$Z101,MATCH(Settings!$L$9,$A$1:$Z$1,0))&amp;""),"")),0),0)</f>
        <v/>
      </c>
      <c r="AT101" s="31">
        <f>IF(AND(AE101&lt;&gt;"",AQ101=0),1,0)</f>
        <v/>
      </c>
      <c r="AU101" s="31">
        <f>IF(AT101=0,"",IF(ISNUMBER(AN101),AN101,100000)+0+ROW()/1000000)</f>
        <v/>
      </c>
      <c r="AV101" s="31">
        <f>IF(ISNUMBER(AU101),SUMPRODUCT(ISNUMBER('Responses'!$AU$2:$AU$501)*('Responses'!$AU$2:$AU$501&lt;AU101)) + SUMPRODUCT(ISNUMBER('Paper sign-ups'!$Y$2:$Y$101)*('Paper sign-ups'!$Y$2:$Y$101&lt;AU101))+1,"")</f>
        <v/>
      </c>
    </row>
    <row r="102">
      <c r="AA102" s="29" t="n"/>
      <c r="AB102" s="30" t="n"/>
      <c r="AC102" s="30" t="n"/>
      <c r="AD102" s="29" t="n"/>
      <c r="AE102" s="31">
        <f>IFERROR(TRIM(INDEX($A102:$Z102,MATCH(Settings!$L$4,$A$1:$Z$1,0))&amp;""),"")</f>
        <v/>
      </c>
      <c r="AF102" s="31">
        <f>IFERROR(TRIM(INDEX($A102:$Z102,MATCH(Settings!$L$5,$A$1:$Z$1,0))&amp;""),"")</f>
        <v/>
      </c>
      <c r="AG102" s="31">
        <f>IF(AE102="","",LOWER(IF(AF102&lt;&gt;"",AF102,AE102)))</f>
        <v/>
      </c>
      <c r="AH102" s="31">
        <f>IFERROR(TRIM(INDEX($A102:$Z102,MATCH(Settings!$L$6,$A$1:$Z$1,0))&amp;""),"")</f>
        <v/>
      </c>
      <c r="AI102" s="31">
        <f>IF(AE102="","",IF(UPPER(TRIM(AB102&amp;""))="Y","Paid another way",IF(IFERROR(TRIM(INDEX($A102:$Z102,MATCH(Settings!$L$7,$A$1:$Z$1,0))&amp;""),"")="","No payment status",IFERROR(TRIM(INDEX($A102:$Z102,MATCH(Settings!$L$7,$A$1:$Z$1,0))&amp;""),""))))</f>
        <v/>
      </c>
      <c r="AJ102" s="31">
        <f>IF(AE102="",0,IF(IFERROR(INDEX(Settings!$J$4:$J$14,MATCH(AI102,Settings!$I$4:$I$14,0)),"N")="Y",1,0))</f>
        <v/>
      </c>
      <c r="AK102" s="32">
        <f>IFERROR(INT(IFERROR(IF(ISNUMBER(INDEX($A102:$Z102,MATCH(Settings!$L$10,$A$1:$Z$1,0))),INDEX($A102:$Z102,MATCH(Settings!$L$10,$A$1:$Z$1,0)),DATE(VALUE(LEFT(IFERROR(TRIM(INDEX($A102:$Z102,MATCH(Settings!$L$10,$A$1:$Z$1,0))&amp;""),""),4)),VALUE(MID(IFERROR(TRIM(INDEX($A102:$Z102,MATCH(Settings!$L$10,$A$1:$Z$1,0))&amp;""),""),6,2)),VALUE(MID(IFERROR(TRIM(INDEX($A102:$Z102,MATCH(Settings!$L$10,$A$1:$Z$1,0))&amp;""),""),9,2)))+TIME(VALUE(MID(IFERROR(TRIM(INDEX($A102:$Z102,MATCH(Settings!$L$10,$A$1:$Z$1,0))&amp;""),""),12,2)),VALUE(MID(IFERROR(TRIM(INDEX($A102:$Z102,MATCH(Settings!$L$10,$A$1:$Z$1,0))&amp;""),""),15,2)),VALUE(MID(IFERROR(TRIM(INDEX($A102:$Z102,MATCH(Settings!$L$10,$A$1:$Z$1,0))&amp;""),""),18,2)))),"")),"")</f>
        <v/>
      </c>
      <c r="AL102" s="32">
        <f>IF(AE102="","",IF(ISNUMBER(AK102),AK102,IFERROR(INT(IFERROR(IF(ISNUMBER(INDEX($A102:$Z102,MATCH(Settings!$L$11,$A$1:$Z$1,0))),INDEX($A102:$Z102,MATCH(Settings!$L$11,$A$1:$Z$1,0)),DATE(VALUE(LEFT(IFERROR(TRIM(INDEX($A102:$Z102,MATCH(Settings!$L$11,$A$1:$Z$1,0))&amp;""),""),4)),VALUE(MID(IFERROR(TRIM(INDEX($A102:$Z102,MATCH(Settings!$L$11,$A$1:$Z$1,0))&amp;""),""),6,2)),VALUE(MID(IFERROR(TRIM(INDEX($A102:$Z102,MATCH(Settings!$L$11,$A$1:$Z$1,0))&amp;""),""),9,2)))+TIME(VALUE(MID(IFERROR(TRIM(INDEX($A102:$Z102,MATCH(Settings!$L$11,$A$1:$Z$1,0))&amp;""),""),12,2)),VALUE(MID(IFERROR(TRIM(INDEX($A102:$Z102,MATCH(Settings!$L$11,$A$1:$Z$1,0))&amp;""),""),15,2)),VALUE(MID(IFERROR(TRIM(INDEX($A102:$Z102,MATCH(Settings!$L$11,$A$1:$Z$1,0))&amp;""),""),18,2)))),"")),"")))</f>
        <v/>
      </c>
      <c r="AM102" s="31">
        <f>IF(AE102="","",IF(ISNUMBER(IFERROR(INDEX(Settings!$G$4:$G$11,MATCH(AH102,Settings!$F$4:$F$11,0)),"")),INDEX(Settings!$G$4:$G$11,MATCH(AH102,Settings!$F$4:$F$11,0)),Settings!$D$5))</f>
        <v/>
      </c>
      <c r="AN102" s="32">
        <f>IF(OR(AE102="",NOT(ISNUMBER(AL102)),NOT(ISNUMBER(AM102))),"",IF(AM102&lt;=0,"",IF(ISNUMBER(Settings!$D$8),DATE(YEAR(AL102)+IF(DATE(YEAR(AL102),MONTH(Settings!$D$8),DAY(Settings!$D$8))&gt;AL102,0,1),MONTH(Settings!$D$8),DAY(Settings!$D$8)),MIN(DATE(YEAR(AL102),MONTH(AL102)+AM102,DAY(AL102)),DATE(YEAR(AL102),MONTH(AL102)+AM102+1,0)))))</f>
        <v/>
      </c>
      <c r="AO102" s="31">
        <f>IF(ISNUMBER(AN102),AN102-Settings!$D$4,"")</f>
        <v/>
      </c>
      <c r="AP102" s="31">
        <f>IF(ISNUMBER(AL102),AL102+0+ROW()/100000,"")</f>
        <v/>
      </c>
      <c r="AQ102" s="31">
        <f>IF(OR(AG102="",NOT(ISNUMBER(AP102))),0,IF(SUMPRODUCT(('Responses'!$AG$2:$AG$501=AG102)*('Responses'!$AJ$2:$AJ$501=1)*ISNUMBER('Responses'!$AP$2:$AP$501)*('Responses'!$AP$2:$AP$501&gt;AP102)) + SUMPRODUCT(('Paper sign-ups'!$K$2:$K$101=AG102)*('Paper sign-ups'!$N$2:$N$101=1)*ISNUMBER('Paper sign-ups'!$T$2:$T$101)*('Paper sign-ups'!$T$2:$T$101&gt;AP102))&gt;0,1,0))</f>
        <v/>
      </c>
      <c r="AR102" s="31">
        <f>IF(AE102="","",IF(AQ102=1,"Joined again",IF(AJ102=0,"Unpaid",IF(NOT(ISNUMBER(AL102)),"Add a join date",IF(AN102="","No reminder",IF(AO102&lt;0,"Lapsed",IF(AO102&lt;=Settings!$D$6,"Remind soon","Current")))))))</f>
        <v/>
      </c>
      <c r="AS102" s="33">
        <f>IF(AJ102=1,IFERROR(VALUE(IFERROR(TRIM(INDEX($A102:$Z102,MATCH(Settings!$L$8,$A$1:$Z$1,0))&amp;""),"")),0)-IFERROR(VALUE(IFERROR(TRIM(INDEX($A102:$Z102,MATCH(Settings!$L$9,$A$1:$Z$1,0))&amp;""),"")),0),0)</f>
        <v/>
      </c>
      <c r="AT102" s="31">
        <f>IF(AND(AE102&lt;&gt;"",AQ102=0),1,0)</f>
        <v/>
      </c>
      <c r="AU102" s="31">
        <f>IF(AT102=0,"",IF(ISNUMBER(AN102),AN102,100000)+0+ROW()/1000000)</f>
        <v/>
      </c>
      <c r="AV102" s="31">
        <f>IF(ISNUMBER(AU102),SUMPRODUCT(ISNUMBER('Responses'!$AU$2:$AU$501)*('Responses'!$AU$2:$AU$501&lt;AU102)) + SUMPRODUCT(ISNUMBER('Paper sign-ups'!$Y$2:$Y$101)*('Paper sign-ups'!$Y$2:$Y$101&lt;AU102))+1,"")</f>
        <v/>
      </c>
    </row>
    <row r="103">
      <c r="AA103" s="29" t="n"/>
      <c r="AB103" s="30" t="n"/>
      <c r="AC103" s="30" t="n"/>
      <c r="AD103" s="29" t="n"/>
      <c r="AE103" s="31">
        <f>IFERROR(TRIM(INDEX($A103:$Z103,MATCH(Settings!$L$4,$A$1:$Z$1,0))&amp;""),"")</f>
        <v/>
      </c>
      <c r="AF103" s="31">
        <f>IFERROR(TRIM(INDEX($A103:$Z103,MATCH(Settings!$L$5,$A$1:$Z$1,0))&amp;""),"")</f>
        <v/>
      </c>
      <c r="AG103" s="31">
        <f>IF(AE103="","",LOWER(IF(AF103&lt;&gt;"",AF103,AE103)))</f>
        <v/>
      </c>
      <c r="AH103" s="31">
        <f>IFERROR(TRIM(INDEX($A103:$Z103,MATCH(Settings!$L$6,$A$1:$Z$1,0))&amp;""),"")</f>
        <v/>
      </c>
      <c r="AI103" s="31">
        <f>IF(AE103="","",IF(UPPER(TRIM(AB103&amp;""))="Y","Paid another way",IF(IFERROR(TRIM(INDEX($A103:$Z103,MATCH(Settings!$L$7,$A$1:$Z$1,0))&amp;""),"")="","No payment status",IFERROR(TRIM(INDEX($A103:$Z103,MATCH(Settings!$L$7,$A$1:$Z$1,0))&amp;""),""))))</f>
        <v/>
      </c>
      <c r="AJ103" s="31">
        <f>IF(AE103="",0,IF(IFERROR(INDEX(Settings!$J$4:$J$14,MATCH(AI103,Settings!$I$4:$I$14,0)),"N")="Y",1,0))</f>
        <v/>
      </c>
      <c r="AK103" s="32">
        <f>IFERROR(INT(IFERROR(IF(ISNUMBER(INDEX($A103:$Z103,MATCH(Settings!$L$10,$A$1:$Z$1,0))),INDEX($A103:$Z103,MATCH(Settings!$L$10,$A$1:$Z$1,0)),DATE(VALUE(LEFT(IFERROR(TRIM(INDEX($A103:$Z103,MATCH(Settings!$L$10,$A$1:$Z$1,0))&amp;""),""),4)),VALUE(MID(IFERROR(TRIM(INDEX($A103:$Z103,MATCH(Settings!$L$10,$A$1:$Z$1,0))&amp;""),""),6,2)),VALUE(MID(IFERROR(TRIM(INDEX($A103:$Z103,MATCH(Settings!$L$10,$A$1:$Z$1,0))&amp;""),""),9,2)))+TIME(VALUE(MID(IFERROR(TRIM(INDEX($A103:$Z103,MATCH(Settings!$L$10,$A$1:$Z$1,0))&amp;""),""),12,2)),VALUE(MID(IFERROR(TRIM(INDEX($A103:$Z103,MATCH(Settings!$L$10,$A$1:$Z$1,0))&amp;""),""),15,2)),VALUE(MID(IFERROR(TRIM(INDEX($A103:$Z103,MATCH(Settings!$L$10,$A$1:$Z$1,0))&amp;""),""),18,2)))),"")),"")</f>
        <v/>
      </c>
      <c r="AL103" s="32">
        <f>IF(AE103="","",IF(ISNUMBER(AK103),AK103,IFERROR(INT(IFERROR(IF(ISNUMBER(INDEX($A103:$Z103,MATCH(Settings!$L$11,$A$1:$Z$1,0))),INDEX($A103:$Z103,MATCH(Settings!$L$11,$A$1:$Z$1,0)),DATE(VALUE(LEFT(IFERROR(TRIM(INDEX($A103:$Z103,MATCH(Settings!$L$11,$A$1:$Z$1,0))&amp;""),""),4)),VALUE(MID(IFERROR(TRIM(INDEX($A103:$Z103,MATCH(Settings!$L$11,$A$1:$Z$1,0))&amp;""),""),6,2)),VALUE(MID(IFERROR(TRIM(INDEX($A103:$Z103,MATCH(Settings!$L$11,$A$1:$Z$1,0))&amp;""),""),9,2)))+TIME(VALUE(MID(IFERROR(TRIM(INDEX($A103:$Z103,MATCH(Settings!$L$11,$A$1:$Z$1,0))&amp;""),""),12,2)),VALUE(MID(IFERROR(TRIM(INDEX($A103:$Z103,MATCH(Settings!$L$11,$A$1:$Z$1,0))&amp;""),""),15,2)),VALUE(MID(IFERROR(TRIM(INDEX($A103:$Z103,MATCH(Settings!$L$11,$A$1:$Z$1,0))&amp;""),""),18,2)))),"")),"")))</f>
        <v/>
      </c>
      <c r="AM103" s="31">
        <f>IF(AE103="","",IF(ISNUMBER(IFERROR(INDEX(Settings!$G$4:$G$11,MATCH(AH103,Settings!$F$4:$F$11,0)),"")),INDEX(Settings!$G$4:$G$11,MATCH(AH103,Settings!$F$4:$F$11,0)),Settings!$D$5))</f>
        <v/>
      </c>
      <c r="AN103" s="32">
        <f>IF(OR(AE103="",NOT(ISNUMBER(AL103)),NOT(ISNUMBER(AM103))),"",IF(AM103&lt;=0,"",IF(ISNUMBER(Settings!$D$8),DATE(YEAR(AL103)+IF(DATE(YEAR(AL103),MONTH(Settings!$D$8),DAY(Settings!$D$8))&gt;AL103,0,1),MONTH(Settings!$D$8),DAY(Settings!$D$8)),MIN(DATE(YEAR(AL103),MONTH(AL103)+AM103,DAY(AL103)),DATE(YEAR(AL103),MONTH(AL103)+AM103+1,0)))))</f>
        <v/>
      </c>
      <c r="AO103" s="31">
        <f>IF(ISNUMBER(AN103),AN103-Settings!$D$4,"")</f>
        <v/>
      </c>
      <c r="AP103" s="31">
        <f>IF(ISNUMBER(AL103),AL103+0+ROW()/100000,"")</f>
        <v/>
      </c>
      <c r="AQ103" s="31">
        <f>IF(OR(AG103="",NOT(ISNUMBER(AP103))),0,IF(SUMPRODUCT(('Responses'!$AG$2:$AG$501=AG103)*('Responses'!$AJ$2:$AJ$501=1)*ISNUMBER('Responses'!$AP$2:$AP$501)*('Responses'!$AP$2:$AP$501&gt;AP103)) + SUMPRODUCT(('Paper sign-ups'!$K$2:$K$101=AG103)*('Paper sign-ups'!$N$2:$N$101=1)*ISNUMBER('Paper sign-ups'!$T$2:$T$101)*('Paper sign-ups'!$T$2:$T$101&gt;AP103))&gt;0,1,0))</f>
        <v/>
      </c>
      <c r="AR103" s="31">
        <f>IF(AE103="","",IF(AQ103=1,"Joined again",IF(AJ103=0,"Unpaid",IF(NOT(ISNUMBER(AL103)),"Add a join date",IF(AN103="","No reminder",IF(AO103&lt;0,"Lapsed",IF(AO103&lt;=Settings!$D$6,"Remind soon","Current")))))))</f>
        <v/>
      </c>
      <c r="AS103" s="33">
        <f>IF(AJ103=1,IFERROR(VALUE(IFERROR(TRIM(INDEX($A103:$Z103,MATCH(Settings!$L$8,$A$1:$Z$1,0))&amp;""),"")),0)-IFERROR(VALUE(IFERROR(TRIM(INDEX($A103:$Z103,MATCH(Settings!$L$9,$A$1:$Z$1,0))&amp;""),"")),0),0)</f>
        <v/>
      </c>
      <c r="AT103" s="31">
        <f>IF(AND(AE103&lt;&gt;"",AQ103=0),1,0)</f>
        <v/>
      </c>
      <c r="AU103" s="31">
        <f>IF(AT103=0,"",IF(ISNUMBER(AN103),AN103,100000)+0+ROW()/1000000)</f>
        <v/>
      </c>
      <c r="AV103" s="31">
        <f>IF(ISNUMBER(AU103),SUMPRODUCT(ISNUMBER('Responses'!$AU$2:$AU$501)*('Responses'!$AU$2:$AU$501&lt;AU103)) + SUMPRODUCT(ISNUMBER('Paper sign-ups'!$Y$2:$Y$101)*('Paper sign-ups'!$Y$2:$Y$101&lt;AU103))+1,"")</f>
        <v/>
      </c>
    </row>
    <row r="104">
      <c r="AA104" s="29" t="n"/>
      <c r="AB104" s="30" t="n"/>
      <c r="AC104" s="30" t="n"/>
      <c r="AD104" s="29" t="n"/>
      <c r="AE104" s="31">
        <f>IFERROR(TRIM(INDEX($A104:$Z104,MATCH(Settings!$L$4,$A$1:$Z$1,0))&amp;""),"")</f>
        <v/>
      </c>
      <c r="AF104" s="31">
        <f>IFERROR(TRIM(INDEX($A104:$Z104,MATCH(Settings!$L$5,$A$1:$Z$1,0))&amp;""),"")</f>
        <v/>
      </c>
      <c r="AG104" s="31">
        <f>IF(AE104="","",LOWER(IF(AF104&lt;&gt;"",AF104,AE104)))</f>
        <v/>
      </c>
      <c r="AH104" s="31">
        <f>IFERROR(TRIM(INDEX($A104:$Z104,MATCH(Settings!$L$6,$A$1:$Z$1,0))&amp;""),"")</f>
        <v/>
      </c>
      <c r="AI104" s="31">
        <f>IF(AE104="","",IF(UPPER(TRIM(AB104&amp;""))="Y","Paid another way",IF(IFERROR(TRIM(INDEX($A104:$Z104,MATCH(Settings!$L$7,$A$1:$Z$1,0))&amp;""),"")="","No payment status",IFERROR(TRIM(INDEX($A104:$Z104,MATCH(Settings!$L$7,$A$1:$Z$1,0))&amp;""),""))))</f>
        <v/>
      </c>
      <c r="AJ104" s="31">
        <f>IF(AE104="",0,IF(IFERROR(INDEX(Settings!$J$4:$J$14,MATCH(AI104,Settings!$I$4:$I$14,0)),"N")="Y",1,0))</f>
        <v/>
      </c>
      <c r="AK104" s="32">
        <f>IFERROR(INT(IFERROR(IF(ISNUMBER(INDEX($A104:$Z104,MATCH(Settings!$L$10,$A$1:$Z$1,0))),INDEX($A104:$Z104,MATCH(Settings!$L$10,$A$1:$Z$1,0)),DATE(VALUE(LEFT(IFERROR(TRIM(INDEX($A104:$Z104,MATCH(Settings!$L$10,$A$1:$Z$1,0))&amp;""),""),4)),VALUE(MID(IFERROR(TRIM(INDEX($A104:$Z104,MATCH(Settings!$L$10,$A$1:$Z$1,0))&amp;""),""),6,2)),VALUE(MID(IFERROR(TRIM(INDEX($A104:$Z104,MATCH(Settings!$L$10,$A$1:$Z$1,0))&amp;""),""),9,2)))+TIME(VALUE(MID(IFERROR(TRIM(INDEX($A104:$Z104,MATCH(Settings!$L$10,$A$1:$Z$1,0))&amp;""),""),12,2)),VALUE(MID(IFERROR(TRIM(INDEX($A104:$Z104,MATCH(Settings!$L$10,$A$1:$Z$1,0))&amp;""),""),15,2)),VALUE(MID(IFERROR(TRIM(INDEX($A104:$Z104,MATCH(Settings!$L$10,$A$1:$Z$1,0))&amp;""),""),18,2)))),"")),"")</f>
        <v/>
      </c>
      <c r="AL104" s="32">
        <f>IF(AE104="","",IF(ISNUMBER(AK104),AK104,IFERROR(INT(IFERROR(IF(ISNUMBER(INDEX($A104:$Z104,MATCH(Settings!$L$11,$A$1:$Z$1,0))),INDEX($A104:$Z104,MATCH(Settings!$L$11,$A$1:$Z$1,0)),DATE(VALUE(LEFT(IFERROR(TRIM(INDEX($A104:$Z104,MATCH(Settings!$L$11,$A$1:$Z$1,0))&amp;""),""),4)),VALUE(MID(IFERROR(TRIM(INDEX($A104:$Z104,MATCH(Settings!$L$11,$A$1:$Z$1,0))&amp;""),""),6,2)),VALUE(MID(IFERROR(TRIM(INDEX($A104:$Z104,MATCH(Settings!$L$11,$A$1:$Z$1,0))&amp;""),""),9,2)))+TIME(VALUE(MID(IFERROR(TRIM(INDEX($A104:$Z104,MATCH(Settings!$L$11,$A$1:$Z$1,0))&amp;""),""),12,2)),VALUE(MID(IFERROR(TRIM(INDEX($A104:$Z104,MATCH(Settings!$L$11,$A$1:$Z$1,0))&amp;""),""),15,2)),VALUE(MID(IFERROR(TRIM(INDEX($A104:$Z104,MATCH(Settings!$L$11,$A$1:$Z$1,0))&amp;""),""),18,2)))),"")),"")))</f>
        <v/>
      </c>
      <c r="AM104" s="31">
        <f>IF(AE104="","",IF(ISNUMBER(IFERROR(INDEX(Settings!$G$4:$G$11,MATCH(AH104,Settings!$F$4:$F$11,0)),"")),INDEX(Settings!$G$4:$G$11,MATCH(AH104,Settings!$F$4:$F$11,0)),Settings!$D$5))</f>
        <v/>
      </c>
      <c r="AN104" s="32">
        <f>IF(OR(AE104="",NOT(ISNUMBER(AL104)),NOT(ISNUMBER(AM104))),"",IF(AM104&lt;=0,"",IF(ISNUMBER(Settings!$D$8),DATE(YEAR(AL104)+IF(DATE(YEAR(AL104),MONTH(Settings!$D$8),DAY(Settings!$D$8))&gt;AL104,0,1),MONTH(Settings!$D$8),DAY(Settings!$D$8)),MIN(DATE(YEAR(AL104),MONTH(AL104)+AM104,DAY(AL104)),DATE(YEAR(AL104),MONTH(AL104)+AM104+1,0)))))</f>
        <v/>
      </c>
      <c r="AO104" s="31">
        <f>IF(ISNUMBER(AN104),AN104-Settings!$D$4,"")</f>
        <v/>
      </c>
      <c r="AP104" s="31">
        <f>IF(ISNUMBER(AL104),AL104+0+ROW()/100000,"")</f>
        <v/>
      </c>
      <c r="AQ104" s="31">
        <f>IF(OR(AG104="",NOT(ISNUMBER(AP104))),0,IF(SUMPRODUCT(('Responses'!$AG$2:$AG$501=AG104)*('Responses'!$AJ$2:$AJ$501=1)*ISNUMBER('Responses'!$AP$2:$AP$501)*('Responses'!$AP$2:$AP$501&gt;AP104)) + SUMPRODUCT(('Paper sign-ups'!$K$2:$K$101=AG104)*('Paper sign-ups'!$N$2:$N$101=1)*ISNUMBER('Paper sign-ups'!$T$2:$T$101)*('Paper sign-ups'!$T$2:$T$101&gt;AP104))&gt;0,1,0))</f>
        <v/>
      </c>
      <c r="AR104" s="31">
        <f>IF(AE104="","",IF(AQ104=1,"Joined again",IF(AJ104=0,"Unpaid",IF(NOT(ISNUMBER(AL104)),"Add a join date",IF(AN104="","No reminder",IF(AO104&lt;0,"Lapsed",IF(AO104&lt;=Settings!$D$6,"Remind soon","Current")))))))</f>
        <v/>
      </c>
      <c r="AS104" s="33">
        <f>IF(AJ104=1,IFERROR(VALUE(IFERROR(TRIM(INDEX($A104:$Z104,MATCH(Settings!$L$8,$A$1:$Z$1,0))&amp;""),"")),0)-IFERROR(VALUE(IFERROR(TRIM(INDEX($A104:$Z104,MATCH(Settings!$L$9,$A$1:$Z$1,0))&amp;""),"")),0),0)</f>
        <v/>
      </c>
      <c r="AT104" s="31">
        <f>IF(AND(AE104&lt;&gt;"",AQ104=0),1,0)</f>
        <v/>
      </c>
      <c r="AU104" s="31">
        <f>IF(AT104=0,"",IF(ISNUMBER(AN104),AN104,100000)+0+ROW()/1000000)</f>
        <v/>
      </c>
      <c r="AV104" s="31">
        <f>IF(ISNUMBER(AU104),SUMPRODUCT(ISNUMBER('Responses'!$AU$2:$AU$501)*('Responses'!$AU$2:$AU$501&lt;AU104)) + SUMPRODUCT(ISNUMBER('Paper sign-ups'!$Y$2:$Y$101)*('Paper sign-ups'!$Y$2:$Y$101&lt;AU104))+1,"")</f>
        <v/>
      </c>
    </row>
    <row r="105">
      <c r="AA105" s="29" t="n"/>
      <c r="AB105" s="30" t="n"/>
      <c r="AC105" s="30" t="n"/>
      <c r="AD105" s="29" t="n"/>
      <c r="AE105" s="31">
        <f>IFERROR(TRIM(INDEX($A105:$Z105,MATCH(Settings!$L$4,$A$1:$Z$1,0))&amp;""),"")</f>
        <v/>
      </c>
      <c r="AF105" s="31">
        <f>IFERROR(TRIM(INDEX($A105:$Z105,MATCH(Settings!$L$5,$A$1:$Z$1,0))&amp;""),"")</f>
        <v/>
      </c>
      <c r="AG105" s="31">
        <f>IF(AE105="","",LOWER(IF(AF105&lt;&gt;"",AF105,AE105)))</f>
        <v/>
      </c>
      <c r="AH105" s="31">
        <f>IFERROR(TRIM(INDEX($A105:$Z105,MATCH(Settings!$L$6,$A$1:$Z$1,0))&amp;""),"")</f>
        <v/>
      </c>
      <c r="AI105" s="31">
        <f>IF(AE105="","",IF(UPPER(TRIM(AB105&amp;""))="Y","Paid another way",IF(IFERROR(TRIM(INDEX($A105:$Z105,MATCH(Settings!$L$7,$A$1:$Z$1,0))&amp;""),"")="","No payment status",IFERROR(TRIM(INDEX($A105:$Z105,MATCH(Settings!$L$7,$A$1:$Z$1,0))&amp;""),""))))</f>
        <v/>
      </c>
      <c r="AJ105" s="31">
        <f>IF(AE105="",0,IF(IFERROR(INDEX(Settings!$J$4:$J$14,MATCH(AI105,Settings!$I$4:$I$14,0)),"N")="Y",1,0))</f>
        <v/>
      </c>
      <c r="AK105" s="32">
        <f>IFERROR(INT(IFERROR(IF(ISNUMBER(INDEX($A105:$Z105,MATCH(Settings!$L$10,$A$1:$Z$1,0))),INDEX($A105:$Z105,MATCH(Settings!$L$10,$A$1:$Z$1,0)),DATE(VALUE(LEFT(IFERROR(TRIM(INDEX($A105:$Z105,MATCH(Settings!$L$10,$A$1:$Z$1,0))&amp;""),""),4)),VALUE(MID(IFERROR(TRIM(INDEX($A105:$Z105,MATCH(Settings!$L$10,$A$1:$Z$1,0))&amp;""),""),6,2)),VALUE(MID(IFERROR(TRIM(INDEX($A105:$Z105,MATCH(Settings!$L$10,$A$1:$Z$1,0))&amp;""),""),9,2)))+TIME(VALUE(MID(IFERROR(TRIM(INDEX($A105:$Z105,MATCH(Settings!$L$10,$A$1:$Z$1,0))&amp;""),""),12,2)),VALUE(MID(IFERROR(TRIM(INDEX($A105:$Z105,MATCH(Settings!$L$10,$A$1:$Z$1,0))&amp;""),""),15,2)),VALUE(MID(IFERROR(TRIM(INDEX($A105:$Z105,MATCH(Settings!$L$10,$A$1:$Z$1,0))&amp;""),""),18,2)))),"")),"")</f>
        <v/>
      </c>
      <c r="AL105" s="32">
        <f>IF(AE105="","",IF(ISNUMBER(AK105),AK105,IFERROR(INT(IFERROR(IF(ISNUMBER(INDEX($A105:$Z105,MATCH(Settings!$L$11,$A$1:$Z$1,0))),INDEX($A105:$Z105,MATCH(Settings!$L$11,$A$1:$Z$1,0)),DATE(VALUE(LEFT(IFERROR(TRIM(INDEX($A105:$Z105,MATCH(Settings!$L$11,$A$1:$Z$1,0))&amp;""),""),4)),VALUE(MID(IFERROR(TRIM(INDEX($A105:$Z105,MATCH(Settings!$L$11,$A$1:$Z$1,0))&amp;""),""),6,2)),VALUE(MID(IFERROR(TRIM(INDEX($A105:$Z105,MATCH(Settings!$L$11,$A$1:$Z$1,0))&amp;""),""),9,2)))+TIME(VALUE(MID(IFERROR(TRIM(INDEX($A105:$Z105,MATCH(Settings!$L$11,$A$1:$Z$1,0))&amp;""),""),12,2)),VALUE(MID(IFERROR(TRIM(INDEX($A105:$Z105,MATCH(Settings!$L$11,$A$1:$Z$1,0))&amp;""),""),15,2)),VALUE(MID(IFERROR(TRIM(INDEX($A105:$Z105,MATCH(Settings!$L$11,$A$1:$Z$1,0))&amp;""),""),18,2)))),"")),"")))</f>
        <v/>
      </c>
      <c r="AM105" s="31">
        <f>IF(AE105="","",IF(ISNUMBER(IFERROR(INDEX(Settings!$G$4:$G$11,MATCH(AH105,Settings!$F$4:$F$11,0)),"")),INDEX(Settings!$G$4:$G$11,MATCH(AH105,Settings!$F$4:$F$11,0)),Settings!$D$5))</f>
        <v/>
      </c>
      <c r="AN105" s="32">
        <f>IF(OR(AE105="",NOT(ISNUMBER(AL105)),NOT(ISNUMBER(AM105))),"",IF(AM105&lt;=0,"",IF(ISNUMBER(Settings!$D$8),DATE(YEAR(AL105)+IF(DATE(YEAR(AL105),MONTH(Settings!$D$8),DAY(Settings!$D$8))&gt;AL105,0,1),MONTH(Settings!$D$8),DAY(Settings!$D$8)),MIN(DATE(YEAR(AL105),MONTH(AL105)+AM105,DAY(AL105)),DATE(YEAR(AL105),MONTH(AL105)+AM105+1,0)))))</f>
        <v/>
      </c>
      <c r="AO105" s="31">
        <f>IF(ISNUMBER(AN105),AN105-Settings!$D$4,"")</f>
        <v/>
      </c>
      <c r="AP105" s="31">
        <f>IF(ISNUMBER(AL105),AL105+0+ROW()/100000,"")</f>
        <v/>
      </c>
      <c r="AQ105" s="31">
        <f>IF(OR(AG105="",NOT(ISNUMBER(AP105))),0,IF(SUMPRODUCT(('Responses'!$AG$2:$AG$501=AG105)*('Responses'!$AJ$2:$AJ$501=1)*ISNUMBER('Responses'!$AP$2:$AP$501)*('Responses'!$AP$2:$AP$501&gt;AP105)) + SUMPRODUCT(('Paper sign-ups'!$K$2:$K$101=AG105)*('Paper sign-ups'!$N$2:$N$101=1)*ISNUMBER('Paper sign-ups'!$T$2:$T$101)*('Paper sign-ups'!$T$2:$T$101&gt;AP105))&gt;0,1,0))</f>
        <v/>
      </c>
      <c r="AR105" s="31">
        <f>IF(AE105="","",IF(AQ105=1,"Joined again",IF(AJ105=0,"Unpaid",IF(NOT(ISNUMBER(AL105)),"Add a join date",IF(AN105="","No reminder",IF(AO105&lt;0,"Lapsed",IF(AO105&lt;=Settings!$D$6,"Remind soon","Current")))))))</f>
        <v/>
      </c>
      <c r="AS105" s="33">
        <f>IF(AJ105=1,IFERROR(VALUE(IFERROR(TRIM(INDEX($A105:$Z105,MATCH(Settings!$L$8,$A$1:$Z$1,0))&amp;""),"")),0)-IFERROR(VALUE(IFERROR(TRIM(INDEX($A105:$Z105,MATCH(Settings!$L$9,$A$1:$Z$1,0))&amp;""),"")),0),0)</f>
        <v/>
      </c>
      <c r="AT105" s="31">
        <f>IF(AND(AE105&lt;&gt;"",AQ105=0),1,0)</f>
        <v/>
      </c>
      <c r="AU105" s="31">
        <f>IF(AT105=0,"",IF(ISNUMBER(AN105),AN105,100000)+0+ROW()/1000000)</f>
        <v/>
      </c>
      <c r="AV105" s="31">
        <f>IF(ISNUMBER(AU105),SUMPRODUCT(ISNUMBER('Responses'!$AU$2:$AU$501)*('Responses'!$AU$2:$AU$501&lt;AU105)) + SUMPRODUCT(ISNUMBER('Paper sign-ups'!$Y$2:$Y$101)*('Paper sign-ups'!$Y$2:$Y$101&lt;AU105))+1,"")</f>
        <v/>
      </c>
    </row>
    <row r="106">
      <c r="AA106" s="29" t="n"/>
      <c r="AB106" s="30" t="n"/>
      <c r="AC106" s="30" t="n"/>
      <c r="AD106" s="29" t="n"/>
      <c r="AE106" s="31">
        <f>IFERROR(TRIM(INDEX($A106:$Z106,MATCH(Settings!$L$4,$A$1:$Z$1,0))&amp;""),"")</f>
        <v/>
      </c>
      <c r="AF106" s="31">
        <f>IFERROR(TRIM(INDEX($A106:$Z106,MATCH(Settings!$L$5,$A$1:$Z$1,0))&amp;""),"")</f>
        <v/>
      </c>
      <c r="AG106" s="31">
        <f>IF(AE106="","",LOWER(IF(AF106&lt;&gt;"",AF106,AE106)))</f>
        <v/>
      </c>
      <c r="AH106" s="31">
        <f>IFERROR(TRIM(INDEX($A106:$Z106,MATCH(Settings!$L$6,$A$1:$Z$1,0))&amp;""),"")</f>
        <v/>
      </c>
      <c r="AI106" s="31">
        <f>IF(AE106="","",IF(UPPER(TRIM(AB106&amp;""))="Y","Paid another way",IF(IFERROR(TRIM(INDEX($A106:$Z106,MATCH(Settings!$L$7,$A$1:$Z$1,0))&amp;""),"")="","No payment status",IFERROR(TRIM(INDEX($A106:$Z106,MATCH(Settings!$L$7,$A$1:$Z$1,0))&amp;""),""))))</f>
        <v/>
      </c>
      <c r="AJ106" s="31">
        <f>IF(AE106="",0,IF(IFERROR(INDEX(Settings!$J$4:$J$14,MATCH(AI106,Settings!$I$4:$I$14,0)),"N")="Y",1,0))</f>
        <v/>
      </c>
      <c r="AK106" s="32">
        <f>IFERROR(INT(IFERROR(IF(ISNUMBER(INDEX($A106:$Z106,MATCH(Settings!$L$10,$A$1:$Z$1,0))),INDEX($A106:$Z106,MATCH(Settings!$L$10,$A$1:$Z$1,0)),DATE(VALUE(LEFT(IFERROR(TRIM(INDEX($A106:$Z106,MATCH(Settings!$L$10,$A$1:$Z$1,0))&amp;""),""),4)),VALUE(MID(IFERROR(TRIM(INDEX($A106:$Z106,MATCH(Settings!$L$10,$A$1:$Z$1,0))&amp;""),""),6,2)),VALUE(MID(IFERROR(TRIM(INDEX($A106:$Z106,MATCH(Settings!$L$10,$A$1:$Z$1,0))&amp;""),""),9,2)))+TIME(VALUE(MID(IFERROR(TRIM(INDEX($A106:$Z106,MATCH(Settings!$L$10,$A$1:$Z$1,0))&amp;""),""),12,2)),VALUE(MID(IFERROR(TRIM(INDEX($A106:$Z106,MATCH(Settings!$L$10,$A$1:$Z$1,0))&amp;""),""),15,2)),VALUE(MID(IFERROR(TRIM(INDEX($A106:$Z106,MATCH(Settings!$L$10,$A$1:$Z$1,0))&amp;""),""),18,2)))),"")),"")</f>
        <v/>
      </c>
      <c r="AL106" s="32">
        <f>IF(AE106="","",IF(ISNUMBER(AK106),AK106,IFERROR(INT(IFERROR(IF(ISNUMBER(INDEX($A106:$Z106,MATCH(Settings!$L$11,$A$1:$Z$1,0))),INDEX($A106:$Z106,MATCH(Settings!$L$11,$A$1:$Z$1,0)),DATE(VALUE(LEFT(IFERROR(TRIM(INDEX($A106:$Z106,MATCH(Settings!$L$11,$A$1:$Z$1,0))&amp;""),""),4)),VALUE(MID(IFERROR(TRIM(INDEX($A106:$Z106,MATCH(Settings!$L$11,$A$1:$Z$1,0))&amp;""),""),6,2)),VALUE(MID(IFERROR(TRIM(INDEX($A106:$Z106,MATCH(Settings!$L$11,$A$1:$Z$1,0))&amp;""),""),9,2)))+TIME(VALUE(MID(IFERROR(TRIM(INDEX($A106:$Z106,MATCH(Settings!$L$11,$A$1:$Z$1,0))&amp;""),""),12,2)),VALUE(MID(IFERROR(TRIM(INDEX($A106:$Z106,MATCH(Settings!$L$11,$A$1:$Z$1,0))&amp;""),""),15,2)),VALUE(MID(IFERROR(TRIM(INDEX($A106:$Z106,MATCH(Settings!$L$11,$A$1:$Z$1,0))&amp;""),""),18,2)))),"")),"")))</f>
        <v/>
      </c>
      <c r="AM106" s="31">
        <f>IF(AE106="","",IF(ISNUMBER(IFERROR(INDEX(Settings!$G$4:$G$11,MATCH(AH106,Settings!$F$4:$F$11,0)),"")),INDEX(Settings!$G$4:$G$11,MATCH(AH106,Settings!$F$4:$F$11,0)),Settings!$D$5))</f>
        <v/>
      </c>
      <c r="AN106" s="32">
        <f>IF(OR(AE106="",NOT(ISNUMBER(AL106)),NOT(ISNUMBER(AM106))),"",IF(AM106&lt;=0,"",IF(ISNUMBER(Settings!$D$8),DATE(YEAR(AL106)+IF(DATE(YEAR(AL106),MONTH(Settings!$D$8),DAY(Settings!$D$8))&gt;AL106,0,1),MONTH(Settings!$D$8),DAY(Settings!$D$8)),MIN(DATE(YEAR(AL106),MONTH(AL106)+AM106,DAY(AL106)),DATE(YEAR(AL106),MONTH(AL106)+AM106+1,0)))))</f>
        <v/>
      </c>
      <c r="AO106" s="31">
        <f>IF(ISNUMBER(AN106),AN106-Settings!$D$4,"")</f>
        <v/>
      </c>
      <c r="AP106" s="31">
        <f>IF(ISNUMBER(AL106),AL106+0+ROW()/100000,"")</f>
        <v/>
      </c>
      <c r="AQ106" s="31">
        <f>IF(OR(AG106="",NOT(ISNUMBER(AP106))),0,IF(SUMPRODUCT(('Responses'!$AG$2:$AG$501=AG106)*('Responses'!$AJ$2:$AJ$501=1)*ISNUMBER('Responses'!$AP$2:$AP$501)*('Responses'!$AP$2:$AP$501&gt;AP106)) + SUMPRODUCT(('Paper sign-ups'!$K$2:$K$101=AG106)*('Paper sign-ups'!$N$2:$N$101=1)*ISNUMBER('Paper sign-ups'!$T$2:$T$101)*('Paper sign-ups'!$T$2:$T$101&gt;AP106))&gt;0,1,0))</f>
        <v/>
      </c>
      <c r="AR106" s="31">
        <f>IF(AE106="","",IF(AQ106=1,"Joined again",IF(AJ106=0,"Unpaid",IF(NOT(ISNUMBER(AL106)),"Add a join date",IF(AN106="","No reminder",IF(AO106&lt;0,"Lapsed",IF(AO106&lt;=Settings!$D$6,"Remind soon","Current")))))))</f>
        <v/>
      </c>
      <c r="AS106" s="33">
        <f>IF(AJ106=1,IFERROR(VALUE(IFERROR(TRIM(INDEX($A106:$Z106,MATCH(Settings!$L$8,$A$1:$Z$1,0))&amp;""),"")),0)-IFERROR(VALUE(IFERROR(TRIM(INDEX($A106:$Z106,MATCH(Settings!$L$9,$A$1:$Z$1,0))&amp;""),"")),0),0)</f>
        <v/>
      </c>
      <c r="AT106" s="31">
        <f>IF(AND(AE106&lt;&gt;"",AQ106=0),1,0)</f>
        <v/>
      </c>
      <c r="AU106" s="31">
        <f>IF(AT106=0,"",IF(ISNUMBER(AN106),AN106,100000)+0+ROW()/1000000)</f>
        <v/>
      </c>
      <c r="AV106" s="31">
        <f>IF(ISNUMBER(AU106),SUMPRODUCT(ISNUMBER('Responses'!$AU$2:$AU$501)*('Responses'!$AU$2:$AU$501&lt;AU106)) + SUMPRODUCT(ISNUMBER('Paper sign-ups'!$Y$2:$Y$101)*('Paper sign-ups'!$Y$2:$Y$101&lt;AU106))+1,"")</f>
        <v/>
      </c>
    </row>
    <row r="107">
      <c r="AA107" s="29" t="n"/>
      <c r="AB107" s="30" t="n"/>
      <c r="AC107" s="30" t="n"/>
      <c r="AD107" s="29" t="n"/>
      <c r="AE107" s="31">
        <f>IFERROR(TRIM(INDEX($A107:$Z107,MATCH(Settings!$L$4,$A$1:$Z$1,0))&amp;""),"")</f>
        <v/>
      </c>
      <c r="AF107" s="31">
        <f>IFERROR(TRIM(INDEX($A107:$Z107,MATCH(Settings!$L$5,$A$1:$Z$1,0))&amp;""),"")</f>
        <v/>
      </c>
      <c r="AG107" s="31">
        <f>IF(AE107="","",LOWER(IF(AF107&lt;&gt;"",AF107,AE107)))</f>
        <v/>
      </c>
      <c r="AH107" s="31">
        <f>IFERROR(TRIM(INDEX($A107:$Z107,MATCH(Settings!$L$6,$A$1:$Z$1,0))&amp;""),"")</f>
        <v/>
      </c>
      <c r="AI107" s="31">
        <f>IF(AE107="","",IF(UPPER(TRIM(AB107&amp;""))="Y","Paid another way",IF(IFERROR(TRIM(INDEX($A107:$Z107,MATCH(Settings!$L$7,$A$1:$Z$1,0))&amp;""),"")="","No payment status",IFERROR(TRIM(INDEX($A107:$Z107,MATCH(Settings!$L$7,$A$1:$Z$1,0))&amp;""),""))))</f>
        <v/>
      </c>
      <c r="AJ107" s="31">
        <f>IF(AE107="",0,IF(IFERROR(INDEX(Settings!$J$4:$J$14,MATCH(AI107,Settings!$I$4:$I$14,0)),"N")="Y",1,0))</f>
        <v/>
      </c>
      <c r="AK107" s="32">
        <f>IFERROR(INT(IFERROR(IF(ISNUMBER(INDEX($A107:$Z107,MATCH(Settings!$L$10,$A$1:$Z$1,0))),INDEX($A107:$Z107,MATCH(Settings!$L$10,$A$1:$Z$1,0)),DATE(VALUE(LEFT(IFERROR(TRIM(INDEX($A107:$Z107,MATCH(Settings!$L$10,$A$1:$Z$1,0))&amp;""),""),4)),VALUE(MID(IFERROR(TRIM(INDEX($A107:$Z107,MATCH(Settings!$L$10,$A$1:$Z$1,0))&amp;""),""),6,2)),VALUE(MID(IFERROR(TRIM(INDEX($A107:$Z107,MATCH(Settings!$L$10,$A$1:$Z$1,0))&amp;""),""),9,2)))+TIME(VALUE(MID(IFERROR(TRIM(INDEX($A107:$Z107,MATCH(Settings!$L$10,$A$1:$Z$1,0))&amp;""),""),12,2)),VALUE(MID(IFERROR(TRIM(INDEX($A107:$Z107,MATCH(Settings!$L$10,$A$1:$Z$1,0))&amp;""),""),15,2)),VALUE(MID(IFERROR(TRIM(INDEX($A107:$Z107,MATCH(Settings!$L$10,$A$1:$Z$1,0))&amp;""),""),18,2)))),"")),"")</f>
        <v/>
      </c>
      <c r="AL107" s="32">
        <f>IF(AE107="","",IF(ISNUMBER(AK107),AK107,IFERROR(INT(IFERROR(IF(ISNUMBER(INDEX($A107:$Z107,MATCH(Settings!$L$11,$A$1:$Z$1,0))),INDEX($A107:$Z107,MATCH(Settings!$L$11,$A$1:$Z$1,0)),DATE(VALUE(LEFT(IFERROR(TRIM(INDEX($A107:$Z107,MATCH(Settings!$L$11,$A$1:$Z$1,0))&amp;""),""),4)),VALUE(MID(IFERROR(TRIM(INDEX($A107:$Z107,MATCH(Settings!$L$11,$A$1:$Z$1,0))&amp;""),""),6,2)),VALUE(MID(IFERROR(TRIM(INDEX($A107:$Z107,MATCH(Settings!$L$11,$A$1:$Z$1,0))&amp;""),""),9,2)))+TIME(VALUE(MID(IFERROR(TRIM(INDEX($A107:$Z107,MATCH(Settings!$L$11,$A$1:$Z$1,0))&amp;""),""),12,2)),VALUE(MID(IFERROR(TRIM(INDEX($A107:$Z107,MATCH(Settings!$L$11,$A$1:$Z$1,0))&amp;""),""),15,2)),VALUE(MID(IFERROR(TRIM(INDEX($A107:$Z107,MATCH(Settings!$L$11,$A$1:$Z$1,0))&amp;""),""),18,2)))),"")),"")))</f>
        <v/>
      </c>
      <c r="AM107" s="31">
        <f>IF(AE107="","",IF(ISNUMBER(IFERROR(INDEX(Settings!$G$4:$G$11,MATCH(AH107,Settings!$F$4:$F$11,0)),"")),INDEX(Settings!$G$4:$G$11,MATCH(AH107,Settings!$F$4:$F$11,0)),Settings!$D$5))</f>
        <v/>
      </c>
      <c r="AN107" s="32">
        <f>IF(OR(AE107="",NOT(ISNUMBER(AL107)),NOT(ISNUMBER(AM107))),"",IF(AM107&lt;=0,"",IF(ISNUMBER(Settings!$D$8),DATE(YEAR(AL107)+IF(DATE(YEAR(AL107),MONTH(Settings!$D$8),DAY(Settings!$D$8))&gt;AL107,0,1),MONTH(Settings!$D$8),DAY(Settings!$D$8)),MIN(DATE(YEAR(AL107),MONTH(AL107)+AM107,DAY(AL107)),DATE(YEAR(AL107),MONTH(AL107)+AM107+1,0)))))</f>
        <v/>
      </c>
      <c r="AO107" s="31">
        <f>IF(ISNUMBER(AN107),AN107-Settings!$D$4,"")</f>
        <v/>
      </c>
      <c r="AP107" s="31">
        <f>IF(ISNUMBER(AL107),AL107+0+ROW()/100000,"")</f>
        <v/>
      </c>
      <c r="AQ107" s="31">
        <f>IF(OR(AG107="",NOT(ISNUMBER(AP107))),0,IF(SUMPRODUCT(('Responses'!$AG$2:$AG$501=AG107)*('Responses'!$AJ$2:$AJ$501=1)*ISNUMBER('Responses'!$AP$2:$AP$501)*('Responses'!$AP$2:$AP$501&gt;AP107)) + SUMPRODUCT(('Paper sign-ups'!$K$2:$K$101=AG107)*('Paper sign-ups'!$N$2:$N$101=1)*ISNUMBER('Paper sign-ups'!$T$2:$T$101)*('Paper sign-ups'!$T$2:$T$101&gt;AP107))&gt;0,1,0))</f>
        <v/>
      </c>
      <c r="AR107" s="31">
        <f>IF(AE107="","",IF(AQ107=1,"Joined again",IF(AJ107=0,"Unpaid",IF(NOT(ISNUMBER(AL107)),"Add a join date",IF(AN107="","No reminder",IF(AO107&lt;0,"Lapsed",IF(AO107&lt;=Settings!$D$6,"Remind soon","Current")))))))</f>
        <v/>
      </c>
      <c r="AS107" s="33">
        <f>IF(AJ107=1,IFERROR(VALUE(IFERROR(TRIM(INDEX($A107:$Z107,MATCH(Settings!$L$8,$A$1:$Z$1,0))&amp;""),"")),0)-IFERROR(VALUE(IFERROR(TRIM(INDEX($A107:$Z107,MATCH(Settings!$L$9,$A$1:$Z$1,0))&amp;""),"")),0),0)</f>
        <v/>
      </c>
      <c r="AT107" s="31">
        <f>IF(AND(AE107&lt;&gt;"",AQ107=0),1,0)</f>
        <v/>
      </c>
      <c r="AU107" s="31">
        <f>IF(AT107=0,"",IF(ISNUMBER(AN107),AN107,100000)+0+ROW()/1000000)</f>
        <v/>
      </c>
      <c r="AV107" s="31">
        <f>IF(ISNUMBER(AU107),SUMPRODUCT(ISNUMBER('Responses'!$AU$2:$AU$501)*('Responses'!$AU$2:$AU$501&lt;AU107)) + SUMPRODUCT(ISNUMBER('Paper sign-ups'!$Y$2:$Y$101)*('Paper sign-ups'!$Y$2:$Y$101&lt;AU107))+1,"")</f>
        <v/>
      </c>
    </row>
    <row r="108">
      <c r="AA108" s="29" t="n"/>
      <c r="AB108" s="30" t="n"/>
      <c r="AC108" s="30" t="n"/>
      <c r="AD108" s="29" t="n"/>
      <c r="AE108" s="31">
        <f>IFERROR(TRIM(INDEX($A108:$Z108,MATCH(Settings!$L$4,$A$1:$Z$1,0))&amp;""),"")</f>
        <v/>
      </c>
      <c r="AF108" s="31">
        <f>IFERROR(TRIM(INDEX($A108:$Z108,MATCH(Settings!$L$5,$A$1:$Z$1,0))&amp;""),"")</f>
        <v/>
      </c>
      <c r="AG108" s="31">
        <f>IF(AE108="","",LOWER(IF(AF108&lt;&gt;"",AF108,AE108)))</f>
        <v/>
      </c>
      <c r="AH108" s="31">
        <f>IFERROR(TRIM(INDEX($A108:$Z108,MATCH(Settings!$L$6,$A$1:$Z$1,0))&amp;""),"")</f>
        <v/>
      </c>
      <c r="AI108" s="31">
        <f>IF(AE108="","",IF(UPPER(TRIM(AB108&amp;""))="Y","Paid another way",IF(IFERROR(TRIM(INDEX($A108:$Z108,MATCH(Settings!$L$7,$A$1:$Z$1,0))&amp;""),"")="","No payment status",IFERROR(TRIM(INDEX($A108:$Z108,MATCH(Settings!$L$7,$A$1:$Z$1,0))&amp;""),""))))</f>
        <v/>
      </c>
      <c r="AJ108" s="31">
        <f>IF(AE108="",0,IF(IFERROR(INDEX(Settings!$J$4:$J$14,MATCH(AI108,Settings!$I$4:$I$14,0)),"N")="Y",1,0))</f>
        <v/>
      </c>
      <c r="AK108" s="32">
        <f>IFERROR(INT(IFERROR(IF(ISNUMBER(INDEX($A108:$Z108,MATCH(Settings!$L$10,$A$1:$Z$1,0))),INDEX($A108:$Z108,MATCH(Settings!$L$10,$A$1:$Z$1,0)),DATE(VALUE(LEFT(IFERROR(TRIM(INDEX($A108:$Z108,MATCH(Settings!$L$10,$A$1:$Z$1,0))&amp;""),""),4)),VALUE(MID(IFERROR(TRIM(INDEX($A108:$Z108,MATCH(Settings!$L$10,$A$1:$Z$1,0))&amp;""),""),6,2)),VALUE(MID(IFERROR(TRIM(INDEX($A108:$Z108,MATCH(Settings!$L$10,$A$1:$Z$1,0))&amp;""),""),9,2)))+TIME(VALUE(MID(IFERROR(TRIM(INDEX($A108:$Z108,MATCH(Settings!$L$10,$A$1:$Z$1,0))&amp;""),""),12,2)),VALUE(MID(IFERROR(TRIM(INDEX($A108:$Z108,MATCH(Settings!$L$10,$A$1:$Z$1,0))&amp;""),""),15,2)),VALUE(MID(IFERROR(TRIM(INDEX($A108:$Z108,MATCH(Settings!$L$10,$A$1:$Z$1,0))&amp;""),""),18,2)))),"")),"")</f>
        <v/>
      </c>
      <c r="AL108" s="32">
        <f>IF(AE108="","",IF(ISNUMBER(AK108),AK108,IFERROR(INT(IFERROR(IF(ISNUMBER(INDEX($A108:$Z108,MATCH(Settings!$L$11,$A$1:$Z$1,0))),INDEX($A108:$Z108,MATCH(Settings!$L$11,$A$1:$Z$1,0)),DATE(VALUE(LEFT(IFERROR(TRIM(INDEX($A108:$Z108,MATCH(Settings!$L$11,$A$1:$Z$1,0))&amp;""),""),4)),VALUE(MID(IFERROR(TRIM(INDEX($A108:$Z108,MATCH(Settings!$L$11,$A$1:$Z$1,0))&amp;""),""),6,2)),VALUE(MID(IFERROR(TRIM(INDEX($A108:$Z108,MATCH(Settings!$L$11,$A$1:$Z$1,0))&amp;""),""),9,2)))+TIME(VALUE(MID(IFERROR(TRIM(INDEX($A108:$Z108,MATCH(Settings!$L$11,$A$1:$Z$1,0))&amp;""),""),12,2)),VALUE(MID(IFERROR(TRIM(INDEX($A108:$Z108,MATCH(Settings!$L$11,$A$1:$Z$1,0))&amp;""),""),15,2)),VALUE(MID(IFERROR(TRIM(INDEX($A108:$Z108,MATCH(Settings!$L$11,$A$1:$Z$1,0))&amp;""),""),18,2)))),"")),"")))</f>
        <v/>
      </c>
      <c r="AM108" s="31">
        <f>IF(AE108="","",IF(ISNUMBER(IFERROR(INDEX(Settings!$G$4:$G$11,MATCH(AH108,Settings!$F$4:$F$11,0)),"")),INDEX(Settings!$G$4:$G$11,MATCH(AH108,Settings!$F$4:$F$11,0)),Settings!$D$5))</f>
        <v/>
      </c>
      <c r="AN108" s="32">
        <f>IF(OR(AE108="",NOT(ISNUMBER(AL108)),NOT(ISNUMBER(AM108))),"",IF(AM108&lt;=0,"",IF(ISNUMBER(Settings!$D$8),DATE(YEAR(AL108)+IF(DATE(YEAR(AL108),MONTH(Settings!$D$8),DAY(Settings!$D$8))&gt;AL108,0,1),MONTH(Settings!$D$8),DAY(Settings!$D$8)),MIN(DATE(YEAR(AL108),MONTH(AL108)+AM108,DAY(AL108)),DATE(YEAR(AL108),MONTH(AL108)+AM108+1,0)))))</f>
        <v/>
      </c>
      <c r="AO108" s="31">
        <f>IF(ISNUMBER(AN108),AN108-Settings!$D$4,"")</f>
        <v/>
      </c>
      <c r="AP108" s="31">
        <f>IF(ISNUMBER(AL108),AL108+0+ROW()/100000,"")</f>
        <v/>
      </c>
      <c r="AQ108" s="31">
        <f>IF(OR(AG108="",NOT(ISNUMBER(AP108))),0,IF(SUMPRODUCT(('Responses'!$AG$2:$AG$501=AG108)*('Responses'!$AJ$2:$AJ$501=1)*ISNUMBER('Responses'!$AP$2:$AP$501)*('Responses'!$AP$2:$AP$501&gt;AP108)) + SUMPRODUCT(('Paper sign-ups'!$K$2:$K$101=AG108)*('Paper sign-ups'!$N$2:$N$101=1)*ISNUMBER('Paper sign-ups'!$T$2:$T$101)*('Paper sign-ups'!$T$2:$T$101&gt;AP108))&gt;0,1,0))</f>
        <v/>
      </c>
      <c r="AR108" s="31">
        <f>IF(AE108="","",IF(AQ108=1,"Joined again",IF(AJ108=0,"Unpaid",IF(NOT(ISNUMBER(AL108)),"Add a join date",IF(AN108="","No reminder",IF(AO108&lt;0,"Lapsed",IF(AO108&lt;=Settings!$D$6,"Remind soon","Current")))))))</f>
        <v/>
      </c>
      <c r="AS108" s="33">
        <f>IF(AJ108=1,IFERROR(VALUE(IFERROR(TRIM(INDEX($A108:$Z108,MATCH(Settings!$L$8,$A$1:$Z$1,0))&amp;""),"")),0)-IFERROR(VALUE(IFERROR(TRIM(INDEX($A108:$Z108,MATCH(Settings!$L$9,$A$1:$Z$1,0))&amp;""),"")),0),0)</f>
        <v/>
      </c>
      <c r="AT108" s="31">
        <f>IF(AND(AE108&lt;&gt;"",AQ108=0),1,0)</f>
        <v/>
      </c>
      <c r="AU108" s="31">
        <f>IF(AT108=0,"",IF(ISNUMBER(AN108),AN108,100000)+0+ROW()/1000000)</f>
        <v/>
      </c>
      <c r="AV108" s="31">
        <f>IF(ISNUMBER(AU108),SUMPRODUCT(ISNUMBER('Responses'!$AU$2:$AU$501)*('Responses'!$AU$2:$AU$501&lt;AU108)) + SUMPRODUCT(ISNUMBER('Paper sign-ups'!$Y$2:$Y$101)*('Paper sign-ups'!$Y$2:$Y$101&lt;AU108))+1,"")</f>
        <v/>
      </c>
    </row>
    <row r="109">
      <c r="AA109" s="29" t="n"/>
      <c r="AB109" s="30" t="n"/>
      <c r="AC109" s="30" t="n"/>
      <c r="AD109" s="29" t="n"/>
      <c r="AE109" s="31">
        <f>IFERROR(TRIM(INDEX($A109:$Z109,MATCH(Settings!$L$4,$A$1:$Z$1,0))&amp;""),"")</f>
        <v/>
      </c>
      <c r="AF109" s="31">
        <f>IFERROR(TRIM(INDEX($A109:$Z109,MATCH(Settings!$L$5,$A$1:$Z$1,0))&amp;""),"")</f>
        <v/>
      </c>
      <c r="AG109" s="31">
        <f>IF(AE109="","",LOWER(IF(AF109&lt;&gt;"",AF109,AE109)))</f>
        <v/>
      </c>
      <c r="AH109" s="31">
        <f>IFERROR(TRIM(INDEX($A109:$Z109,MATCH(Settings!$L$6,$A$1:$Z$1,0))&amp;""),"")</f>
        <v/>
      </c>
      <c r="AI109" s="31">
        <f>IF(AE109="","",IF(UPPER(TRIM(AB109&amp;""))="Y","Paid another way",IF(IFERROR(TRIM(INDEX($A109:$Z109,MATCH(Settings!$L$7,$A$1:$Z$1,0))&amp;""),"")="","No payment status",IFERROR(TRIM(INDEX($A109:$Z109,MATCH(Settings!$L$7,$A$1:$Z$1,0))&amp;""),""))))</f>
        <v/>
      </c>
      <c r="AJ109" s="31">
        <f>IF(AE109="",0,IF(IFERROR(INDEX(Settings!$J$4:$J$14,MATCH(AI109,Settings!$I$4:$I$14,0)),"N")="Y",1,0))</f>
        <v/>
      </c>
      <c r="AK109" s="32">
        <f>IFERROR(INT(IFERROR(IF(ISNUMBER(INDEX($A109:$Z109,MATCH(Settings!$L$10,$A$1:$Z$1,0))),INDEX($A109:$Z109,MATCH(Settings!$L$10,$A$1:$Z$1,0)),DATE(VALUE(LEFT(IFERROR(TRIM(INDEX($A109:$Z109,MATCH(Settings!$L$10,$A$1:$Z$1,0))&amp;""),""),4)),VALUE(MID(IFERROR(TRIM(INDEX($A109:$Z109,MATCH(Settings!$L$10,$A$1:$Z$1,0))&amp;""),""),6,2)),VALUE(MID(IFERROR(TRIM(INDEX($A109:$Z109,MATCH(Settings!$L$10,$A$1:$Z$1,0))&amp;""),""),9,2)))+TIME(VALUE(MID(IFERROR(TRIM(INDEX($A109:$Z109,MATCH(Settings!$L$10,$A$1:$Z$1,0))&amp;""),""),12,2)),VALUE(MID(IFERROR(TRIM(INDEX($A109:$Z109,MATCH(Settings!$L$10,$A$1:$Z$1,0))&amp;""),""),15,2)),VALUE(MID(IFERROR(TRIM(INDEX($A109:$Z109,MATCH(Settings!$L$10,$A$1:$Z$1,0))&amp;""),""),18,2)))),"")),"")</f>
        <v/>
      </c>
      <c r="AL109" s="32">
        <f>IF(AE109="","",IF(ISNUMBER(AK109),AK109,IFERROR(INT(IFERROR(IF(ISNUMBER(INDEX($A109:$Z109,MATCH(Settings!$L$11,$A$1:$Z$1,0))),INDEX($A109:$Z109,MATCH(Settings!$L$11,$A$1:$Z$1,0)),DATE(VALUE(LEFT(IFERROR(TRIM(INDEX($A109:$Z109,MATCH(Settings!$L$11,$A$1:$Z$1,0))&amp;""),""),4)),VALUE(MID(IFERROR(TRIM(INDEX($A109:$Z109,MATCH(Settings!$L$11,$A$1:$Z$1,0))&amp;""),""),6,2)),VALUE(MID(IFERROR(TRIM(INDEX($A109:$Z109,MATCH(Settings!$L$11,$A$1:$Z$1,0))&amp;""),""),9,2)))+TIME(VALUE(MID(IFERROR(TRIM(INDEX($A109:$Z109,MATCH(Settings!$L$11,$A$1:$Z$1,0))&amp;""),""),12,2)),VALUE(MID(IFERROR(TRIM(INDEX($A109:$Z109,MATCH(Settings!$L$11,$A$1:$Z$1,0))&amp;""),""),15,2)),VALUE(MID(IFERROR(TRIM(INDEX($A109:$Z109,MATCH(Settings!$L$11,$A$1:$Z$1,0))&amp;""),""),18,2)))),"")),"")))</f>
        <v/>
      </c>
      <c r="AM109" s="31">
        <f>IF(AE109="","",IF(ISNUMBER(IFERROR(INDEX(Settings!$G$4:$G$11,MATCH(AH109,Settings!$F$4:$F$11,0)),"")),INDEX(Settings!$G$4:$G$11,MATCH(AH109,Settings!$F$4:$F$11,0)),Settings!$D$5))</f>
        <v/>
      </c>
      <c r="AN109" s="32">
        <f>IF(OR(AE109="",NOT(ISNUMBER(AL109)),NOT(ISNUMBER(AM109))),"",IF(AM109&lt;=0,"",IF(ISNUMBER(Settings!$D$8),DATE(YEAR(AL109)+IF(DATE(YEAR(AL109),MONTH(Settings!$D$8),DAY(Settings!$D$8))&gt;AL109,0,1),MONTH(Settings!$D$8),DAY(Settings!$D$8)),MIN(DATE(YEAR(AL109),MONTH(AL109)+AM109,DAY(AL109)),DATE(YEAR(AL109),MONTH(AL109)+AM109+1,0)))))</f>
        <v/>
      </c>
      <c r="AO109" s="31">
        <f>IF(ISNUMBER(AN109),AN109-Settings!$D$4,"")</f>
        <v/>
      </c>
      <c r="AP109" s="31">
        <f>IF(ISNUMBER(AL109),AL109+0+ROW()/100000,"")</f>
        <v/>
      </c>
      <c r="AQ109" s="31">
        <f>IF(OR(AG109="",NOT(ISNUMBER(AP109))),0,IF(SUMPRODUCT(('Responses'!$AG$2:$AG$501=AG109)*('Responses'!$AJ$2:$AJ$501=1)*ISNUMBER('Responses'!$AP$2:$AP$501)*('Responses'!$AP$2:$AP$501&gt;AP109)) + SUMPRODUCT(('Paper sign-ups'!$K$2:$K$101=AG109)*('Paper sign-ups'!$N$2:$N$101=1)*ISNUMBER('Paper sign-ups'!$T$2:$T$101)*('Paper sign-ups'!$T$2:$T$101&gt;AP109))&gt;0,1,0))</f>
        <v/>
      </c>
      <c r="AR109" s="31">
        <f>IF(AE109="","",IF(AQ109=1,"Joined again",IF(AJ109=0,"Unpaid",IF(NOT(ISNUMBER(AL109)),"Add a join date",IF(AN109="","No reminder",IF(AO109&lt;0,"Lapsed",IF(AO109&lt;=Settings!$D$6,"Remind soon","Current")))))))</f>
        <v/>
      </c>
      <c r="AS109" s="33">
        <f>IF(AJ109=1,IFERROR(VALUE(IFERROR(TRIM(INDEX($A109:$Z109,MATCH(Settings!$L$8,$A$1:$Z$1,0))&amp;""),"")),0)-IFERROR(VALUE(IFERROR(TRIM(INDEX($A109:$Z109,MATCH(Settings!$L$9,$A$1:$Z$1,0))&amp;""),"")),0),0)</f>
        <v/>
      </c>
      <c r="AT109" s="31">
        <f>IF(AND(AE109&lt;&gt;"",AQ109=0),1,0)</f>
        <v/>
      </c>
      <c r="AU109" s="31">
        <f>IF(AT109=0,"",IF(ISNUMBER(AN109),AN109,100000)+0+ROW()/1000000)</f>
        <v/>
      </c>
      <c r="AV109" s="31">
        <f>IF(ISNUMBER(AU109),SUMPRODUCT(ISNUMBER('Responses'!$AU$2:$AU$501)*('Responses'!$AU$2:$AU$501&lt;AU109)) + SUMPRODUCT(ISNUMBER('Paper sign-ups'!$Y$2:$Y$101)*('Paper sign-ups'!$Y$2:$Y$101&lt;AU109))+1,"")</f>
        <v/>
      </c>
    </row>
    <row r="110">
      <c r="AA110" s="29" t="n"/>
      <c r="AB110" s="30" t="n"/>
      <c r="AC110" s="30" t="n"/>
      <c r="AD110" s="29" t="n"/>
      <c r="AE110" s="31">
        <f>IFERROR(TRIM(INDEX($A110:$Z110,MATCH(Settings!$L$4,$A$1:$Z$1,0))&amp;""),"")</f>
        <v/>
      </c>
      <c r="AF110" s="31">
        <f>IFERROR(TRIM(INDEX($A110:$Z110,MATCH(Settings!$L$5,$A$1:$Z$1,0))&amp;""),"")</f>
        <v/>
      </c>
      <c r="AG110" s="31">
        <f>IF(AE110="","",LOWER(IF(AF110&lt;&gt;"",AF110,AE110)))</f>
        <v/>
      </c>
      <c r="AH110" s="31">
        <f>IFERROR(TRIM(INDEX($A110:$Z110,MATCH(Settings!$L$6,$A$1:$Z$1,0))&amp;""),"")</f>
        <v/>
      </c>
      <c r="AI110" s="31">
        <f>IF(AE110="","",IF(UPPER(TRIM(AB110&amp;""))="Y","Paid another way",IF(IFERROR(TRIM(INDEX($A110:$Z110,MATCH(Settings!$L$7,$A$1:$Z$1,0))&amp;""),"")="","No payment status",IFERROR(TRIM(INDEX($A110:$Z110,MATCH(Settings!$L$7,$A$1:$Z$1,0))&amp;""),""))))</f>
        <v/>
      </c>
      <c r="AJ110" s="31">
        <f>IF(AE110="",0,IF(IFERROR(INDEX(Settings!$J$4:$J$14,MATCH(AI110,Settings!$I$4:$I$14,0)),"N")="Y",1,0))</f>
        <v/>
      </c>
      <c r="AK110" s="32">
        <f>IFERROR(INT(IFERROR(IF(ISNUMBER(INDEX($A110:$Z110,MATCH(Settings!$L$10,$A$1:$Z$1,0))),INDEX($A110:$Z110,MATCH(Settings!$L$10,$A$1:$Z$1,0)),DATE(VALUE(LEFT(IFERROR(TRIM(INDEX($A110:$Z110,MATCH(Settings!$L$10,$A$1:$Z$1,0))&amp;""),""),4)),VALUE(MID(IFERROR(TRIM(INDEX($A110:$Z110,MATCH(Settings!$L$10,$A$1:$Z$1,0))&amp;""),""),6,2)),VALUE(MID(IFERROR(TRIM(INDEX($A110:$Z110,MATCH(Settings!$L$10,$A$1:$Z$1,0))&amp;""),""),9,2)))+TIME(VALUE(MID(IFERROR(TRIM(INDEX($A110:$Z110,MATCH(Settings!$L$10,$A$1:$Z$1,0))&amp;""),""),12,2)),VALUE(MID(IFERROR(TRIM(INDEX($A110:$Z110,MATCH(Settings!$L$10,$A$1:$Z$1,0))&amp;""),""),15,2)),VALUE(MID(IFERROR(TRIM(INDEX($A110:$Z110,MATCH(Settings!$L$10,$A$1:$Z$1,0))&amp;""),""),18,2)))),"")),"")</f>
        <v/>
      </c>
      <c r="AL110" s="32">
        <f>IF(AE110="","",IF(ISNUMBER(AK110),AK110,IFERROR(INT(IFERROR(IF(ISNUMBER(INDEX($A110:$Z110,MATCH(Settings!$L$11,$A$1:$Z$1,0))),INDEX($A110:$Z110,MATCH(Settings!$L$11,$A$1:$Z$1,0)),DATE(VALUE(LEFT(IFERROR(TRIM(INDEX($A110:$Z110,MATCH(Settings!$L$11,$A$1:$Z$1,0))&amp;""),""),4)),VALUE(MID(IFERROR(TRIM(INDEX($A110:$Z110,MATCH(Settings!$L$11,$A$1:$Z$1,0))&amp;""),""),6,2)),VALUE(MID(IFERROR(TRIM(INDEX($A110:$Z110,MATCH(Settings!$L$11,$A$1:$Z$1,0))&amp;""),""),9,2)))+TIME(VALUE(MID(IFERROR(TRIM(INDEX($A110:$Z110,MATCH(Settings!$L$11,$A$1:$Z$1,0))&amp;""),""),12,2)),VALUE(MID(IFERROR(TRIM(INDEX($A110:$Z110,MATCH(Settings!$L$11,$A$1:$Z$1,0))&amp;""),""),15,2)),VALUE(MID(IFERROR(TRIM(INDEX($A110:$Z110,MATCH(Settings!$L$11,$A$1:$Z$1,0))&amp;""),""),18,2)))),"")),"")))</f>
        <v/>
      </c>
      <c r="AM110" s="31">
        <f>IF(AE110="","",IF(ISNUMBER(IFERROR(INDEX(Settings!$G$4:$G$11,MATCH(AH110,Settings!$F$4:$F$11,0)),"")),INDEX(Settings!$G$4:$G$11,MATCH(AH110,Settings!$F$4:$F$11,0)),Settings!$D$5))</f>
        <v/>
      </c>
      <c r="AN110" s="32">
        <f>IF(OR(AE110="",NOT(ISNUMBER(AL110)),NOT(ISNUMBER(AM110))),"",IF(AM110&lt;=0,"",IF(ISNUMBER(Settings!$D$8),DATE(YEAR(AL110)+IF(DATE(YEAR(AL110),MONTH(Settings!$D$8),DAY(Settings!$D$8))&gt;AL110,0,1),MONTH(Settings!$D$8),DAY(Settings!$D$8)),MIN(DATE(YEAR(AL110),MONTH(AL110)+AM110,DAY(AL110)),DATE(YEAR(AL110),MONTH(AL110)+AM110+1,0)))))</f>
        <v/>
      </c>
      <c r="AO110" s="31">
        <f>IF(ISNUMBER(AN110),AN110-Settings!$D$4,"")</f>
        <v/>
      </c>
      <c r="AP110" s="31">
        <f>IF(ISNUMBER(AL110),AL110+0+ROW()/100000,"")</f>
        <v/>
      </c>
      <c r="AQ110" s="31">
        <f>IF(OR(AG110="",NOT(ISNUMBER(AP110))),0,IF(SUMPRODUCT(('Responses'!$AG$2:$AG$501=AG110)*('Responses'!$AJ$2:$AJ$501=1)*ISNUMBER('Responses'!$AP$2:$AP$501)*('Responses'!$AP$2:$AP$501&gt;AP110)) + SUMPRODUCT(('Paper sign-ups'!$K$2:$K$101=AG110)*('Paper sign-ups'!$N$2:$N$101=1)*ISNUMBER('Paper sign-ups'!$T$2:$T$101)*('Paper sign-ups'!$T$2:$T$101&gt;AP110))&gt;0,1,0))</f>
        <v/>
      </c>
      <c r="AR110" s="31">
        <f>IF(AE110="","",IF(AQ110=1,"Joined again",IF(AJ110=0,"Unpaid",IF(NOT(ISNUMBER(AL110)),"Add a join date",IF(AN110="","No reminder",IF(AO110&lt;0,"Lapsed",IF(AO110&lt;=Settings!$D$6,"Remind soon","Current")))))))</f>
        <v/>
      </c>
      <c r="AS110" s="33">
        <f>IF(AJ110=1,IFERROR(VALUE(IFERROR(TRIM(INDEX($A110:$Z110,MATCH(Settings!$L$8,$A$1:$Z$1,0))&amp;""),"")),0)-IFERROR(VALUE(IFERROR(TRIM(INDEX($A110:$Z110,MATCH(Settings!$L$9,$A$1:$Z$1,0))&amp;""),"")),0),0)</f>
        <v/>
      </c>
      <c r="AT110" s="31">
        <f>IF(AND(AE110&lt;&gt;"",AQ110=0),1,0)</f>
        <v/>
      </c>
      <c r="AU110" s="31">
        <f>IF(AT110=0,"",IF(ISNUMBER(AN110),AN110,100000)+0+ROW()/1000000)</f>
        <v/>
      </c>
      <c r="AV110" s="31">
        <f>IF(ISNUMBER(AU110),SUMPRODUCT(ISNUMBER('Responses'!$AU$2:$AU$501)*('Responses'!$AU$2:$AU$501&lt;AU110)) + SUMPRODUCT(ISNUMBER('Paper sign-ups'!$Y$2:$Y$101)*('Paper sign-ups'!$Y$2:$Y$101&lt;AU110))+1,"")</f>
        <v/>
      </c>
    </row>
    <row r="111">
      <c r="AA111" s="29" t="n"/>
      <c r="AB111" s="30" t="n"/>
      <c r="AC111" s="30" t="n"/>
      <c r="AD111" s="29" t="n"/>
      <c r="AE111" s="31">
        <f>IFERROR(TRIM(INDEX($A111:$Z111,MATCH(Settings!$L$4,$A$1:$Z$1,0))&amp;""),"")</f>
        <v/>
      </c>
      <c r="AF111" s="31">
        <f>IFERROR(TRIM(INDEX($A111:$Z111,MATCH(Settings!$L$5,$A$1:$Z$1,0))&amp;""),"")</f>
        <v/>
      </c>
      <c r="AG111" s="31">
        <f>IF(AE111="","",LOWER(IF(AF111&lt;&gt;"",AF111,AE111)))</f>
        <v/>
      </c>
      <c r="AH111" s="31">
        <f>IFERROR(TRIM(INDEX($A111:$Z111,MATCH(Settings!$L$6,$A$1:$Z$1,0))&amp;""),"")</f>
        <v/>
      </c>
      <c r="AI111" s="31">
        <f>IF(AE111="","",IF(UPPER(TRIM(AB111&amp;""))="Y","Paid another way",IF(IFERROR(TRIM(INDEX($A111:$Z111,MATCH(Settings!$L$7,$A$1:$Z$1,0))&amp;""),"")="","No payment status",IFERROR(TRIM(INDEX($A111:$Z111,MATCH(Settings!$L$7,$A$1:$Z$1,0))&amp;""),""))))</f>
        <v/>
      </c>
      <c r="AJ111" s="31">
        <f>IF(AE111="",0,IF(IFERROR(INDEX(Settings!$J$4:$J$14,MATCH(AI111,Settings!$I$4:$I$14,0)),"N")="Y",1,0))</f>
        <v/>
      </c>
      <c r="AK111" s="32">
        <f>IFERROR(INT(IFERROR(IF(ISNUMBER(INDEX($A111:$Z111,MATCH(Settings!$L$10,$A$1:$Z$1,0))),INDEX($A111:$Z111,MATCH(Settings!$L$10,$A$1:$Z$1,0)),DATE(VALUE(LEFT(IFERROR(TRIM(INDEX($A111:$Z111,MATCH(Settings!$L$10,$A$1:$Z$1,0))&amp;""),""),4)),VALUE(MID(IFERROR(TRIM(INDEX($A111:$Z111,MATCH(Settings!$L$10,$A$1:$Z$1,0))&amp;""),""),6,2)),VALUE(MID(IFERROR(TRIM(INDEX($A111:$Z111,MATCH(Settings!$L$10,$A$1:$Z$1,0))&amp;""),""),9,2)))+TIME(VALUE(MID(IFERROR(TRIM(INDEX($A111:$Z111,MATCH(Settings!$L$10,$A$1:$Z$1,0))&amp;""),""),12,2)),VALUE(MID(IFERROR(TRIM(INDEX($A111:$Z111,MATCH(Settings!$L$10,$A$1:$Z$1,0))&amp;""),""),15,2)),VALUE(MID(IFERROR(TRIM(INDEX($A111:$Z111,MATCH(Settings!$L$10,$A$1:$Z$1,0))&amp;""),""),18,2)))),"")),"")</f>
        <v/>
      </c>
      <c r="AL111" s="32">
        <f>IF(AE111="","",IF(ISNUMBER(AK111),AK111,IFERROR(INT(IFERROR(IF(ISNUMBER(INDEX($A111:$Z111,MATCH(Settings!$L$11,$A$1:$Z$1,0))),INDEX($A111:$Z111,MATCH(Settings!$L$11,$A$1:$Z$1,0)),DATE(VALUE(LEFT(IFERROR(TRIM(INDEX($A111:$Z111,MATCH(Settings!$L$11,$A$1:$Z$1,0))&amp;""),""),4)),VALUE(MID(IFERROR(TRIM(INDEX($A111:$Z111,MATCH(Settings!$L$11,$A$1:$Z$1,0))&amp;""),""),6,2)),VALUE(MID(IFERROR(TRIM(INDEX($A111:$Z111,MATCH(Settings!$L$11,$A$1:$Z$1,0))&amp;""),""),9,2)))+TIME(VALUE(MID(IFERROR(TRIM(INDEX($A111:$Z111,MATCH(Settings!$L$11,$A$1:$Z$1,0))&amp;""),""),12,2)),VALUE(MID(IFERROR(TRIM(INDEX($A111:$Z111,MATCH(Settings!$L$11,$A$1:$Z$1,0))&amp;""),""),15,2)),VALUE(MID(IFERROR(TRIM(INDEX($A111:$Z111,MATCH(Settings!$L$11,$A$1:$Z$1,0))&amp;""),""),18,2)))),"")),"")))</f>
        <v/>
      </c>
      <c r="AM111" s="31">
        <f>IF(AE111="","",IF(ISNUMBER(IFERROR(INDEX(Settings!$G$4:$G$11,MATCH(AH111,Settings!$F$4:$F$11,0)),"")),INDEX(Settings!$G$4:$G$11,MATCH(AH111,Settings!$F$4:$F$11,0)),Settings!$D$5))</f>
        <v/>
      </c>
      <c r="AN111" s="32">
        <f>IF(OR(AE111="",NOT(ISNUMBER(AL111)),NOT(ISNUMBER(AM111))),"",IF(AM111&lt;=0,"",IF(ISNUMBER(Settings!$D$8),DATE(YEAR(AL111)+IF(DATE(YEAR(AL111),MONTH(Settings!$D$8),DAY(Settings!$D$8))&gt;AL111,0,1),MONTH(Settings!$D$8),DAY(Settings!$D$8)),MIN(DATE(YEAR(AL111),MONTH(AL111)+AM111,DAY(AL111)),DATE(YEAR(AL111),MONTH(AL111)+AM111+1,0)))))</f>
        <v/>
      </c>
      <c r="AO111" s="31">
        <f>IF(ISNUMBER(AN111),AN111-Settings!$D$4,"")</f>
        <v/>
      </c>
      <c r="AP111" s="31">
        <f>IF(ISNUMBER(AL111),AL111+0+ROW()/100000,"")</f>
        <v/>
      </c>
      <c r="AQ111" s="31">
        <f>IF(OR(AG111="",NOT(ISNUMBER(AP111))),0,IF(SUMPRODUCT(('Responses'!$AG$2:$AG$501=AG111)*('Responses'!$AJ$2:$AJ$501=1)*ISNUMBER('Responses'!$AP$2:$AP$501)*('Responses'!$AP$2:$AP$501&gt;AP111)) + SUMPRODUCT(('Paper sign-ups'!$K$2:$K$101=AG111)*('Paper sign-ups'!$N$2:$N$101=1)*ISNUMBER('Paper sign-ups'!$T$2:$T$101)*('Paper sign-ups'!$T$2:$T$101&gt;AP111))&gt;0,1,0))</f>
        <v/>
      </c>
      <c r="AR111" s="31">
        <f>IF(AE111="","",IF(AQ111=1,"Joined again",IF(AJ111=0,"Unpaid",IF(NOT(ISNUMBER(AL111)),"Add a join date",IF(AN111="","No reminder",IF(AO111&lt;0,"Lapsed",IF(AO111&lt;=Settings!$D$6,"Remind soon","Current")))))))</f>
        <v/>
      </c>
      <c r="AS111" s="33">
        <f>IF(AJ111=1,IFERROR(VALUE(IFERROR(TRIM(INDEX($A111:$Z111,MATCH(Settings!$L$8,$A$1:$Z$1,0))&amp;""),"")),0)-IFERROR(VALUE(IFERROR(TRIM(INDEX($A111:$Z111,MATCH(Settings!$L$9,$A$1:$Z$1,0))&amp;""),"")),0),0)</f>
        <v/>
      </c>
      <c r="AT111" s="31">
        <f>IF(AND(AE111&lt;&gt;"",AQ111=0),1,0)</f>
        <v/>
      </c>
      <c r="AU111" s="31">
        <f>IF(AT111=0,"",IF(ISNUMBER(AN111),AN111,100000)+0+ROW()/1000000)</f>
        <v/>
      </c>
      <c r="AV111" s="31">
        <f>IF(ISNUMBER(AU111),SUMPRODUCT(ISNUMBER('Responses'!$AU$2:$AU$501)*('Responses'!$AU$2:$AU$501&lt;AU111)) + SUMPRODUCT(ISNUMBER('Paper sign-ups'!$Y$2:$Y$101)*('Paper sign-ups'!$Y$2:$Y$101&lt;AU111))+1,"")</f>
        <v/>
      </c>
    </row>
    <row r="112">
      <c r="AA112" s="29" t="n"/>
      <c r="AB112" s="30" t="n"/>
      <c r="AC112" s="30" t="n"/>
      <c r="AD112" s="29" t="n"/>
      <c r="AE112" s="31">
        <f>IFERROR(TRIM(INDEX($A112:$Z112,MATCH(Settings!$L$4,$A$1:$Z$1,0))&amp;""),"")</f>
        <v/>
      </c>
      <c r="AF112" s="31">
        <f>IFERROR(TRIM(INDEX($A112:$Z112,MATCH(Settings!$L$5,$A$1:$Z$1,0))&amp;""),"")</f>
        <v/>
      </c>
      <c r="AG112" s="31">
        <f>IF(AE112="","",LOWER(IF(AF112&lt;&gt;"",AF112,AE112)))</f>
        <v/>
      </c>
      <c r="AH112" s="31">
        <f>IFERROR(TRIM(INDEX($A112:$Z112,MATCH(Settings!$L$6,$A$1:$Z$1,0))&amp;""),"")</f>
        <v/>
      </c>
      <c r="AI112" s="31">
        <f>IF(AE112="","",IF(UPPER(TRIM(AB112&amp;""))="Y","Paid another way",IF(IFERROR(TRIM(INDEX($A112:$Z112,MATCH(Settings!$L$7,$A$1:$Z$1,0))&amp;""),"")="","No payment status",IFERROR(TRIM(INDEX($A112:$Z112,MATCH(Settings!$L$7,$A$1:$Z$1,0))&amp;""),""))))</f>
        <v/>
      </c>
      <c r="AJ112" s="31">
        <f>IF(AE112="",0,IF(IFERROR(INDEX(Settings!$J$4:$J$14,MATCH(AI112,Settings!$I$4:$I$14,0)),"N")="Y",1,0))</f>
        <v/>
      </c>
      <c r="AK112" s="32">
        <f>IFERROR(INT(IFERROR(IF(ISNUMBER(INDEX($A112:$Z112,MATCH(Settings!$L$10,$A$1:$Z$1,0))),INDEX($A112:$Z112,MATCH(Settings!$L$10,$A$1:$Z$1,0)),DATE(VALUE(LEFT(IFERROR(TRIM(INDEX($A112:$Z112,MATCH(Settings!$L$10,$A$1:$Z$1,0))&amp;""),""),4)),VALUE(MID(IFERROR(TRIM(INDEX($A112:$Z112,MATCH(Settings!$L$10,$A$1:$Z$1,0))&amp;""),""),6,2)),VALUE(MID(IFERROR(TRIM(INDEX($A112:$Z112,MATCH(Settings!$L$10,$A$1:$Z$1,0))&amp;""),""),9,2)))+TIME(VALUE(MID(IFERROR(TRIM(INDEX($A112:$Z112,MATCH(Settings!$L$10,$A$1:$Z$1,0))&amp;""),""),12,2)),VALUE(MID(IFERROR(TRIM(INDEX($A112:$Z112,MATCH(Settings!$L$10,$A$1:$Z$1,0))&amp;""),""),15,2)),VALUE(MID(IFERROR(TRIM(INDEX($A112:$Z112,MATCH(Settings!$L$10,$A$1:$Z$1,0))&amp;""),""),18,2)))),"")),"")</f>
        <v/>
      </c>
      <c r="AL112" s="32">
        <f>IF(AE112="","",IF(ISNUMBER(AK112),AK112,IFERROR(INT(IFERROR(IF(ISNUMBER(INDEX($A112:$Z112,MATCH(Settings!$L$11,$A$1:$Z$1,0))),INDEX($A112:$Z112,MATCH(Settings!$L$11,$A$1:$Z$1,0)),DATE(VALUE(LEFT(IFERROR(TRIM(INDEX($A112:$Z112,MATCH(Settings!$L$11,$A$1:$Z$1,0))&amp;""),""),4)),VALUE(MID(IFERROR(TRIM(INDEX($A112:$Z112,MATCH(Settings!$L$11,$A$1:$Z$1,0))&amp;""),""),6,2)),VALUE(MID(IFERROR(TRIM(INDEX($A112:$Z112,MATCH(Settings!$L$11,$A$1:$Z$1,0))&amp;""),""),9,2)))+TIME(VALUE(MID(IFERROR(TRIM(INDEX($A112:$Z112,MATCH(Settings!$L$11,$A$1:$Z$1,0))&amp;""),""),12,2)),VALUE(MID(IFERROR(TRIM(INDEX($A112:$Z112,MATCH(Settings!$L$11,$A$1:$Z$1,0))&amp;""),""),15,2)),VALUE(MID(IFERROR(TRIM(INDEX($A112:$Z112,MATCH(Settings!$L$11,$A$1:$Z$1,0))&amp;""),""),18,2)))),"")),"")))</f>
        <v/>
      </c>
      <c r="AM112" s="31">
        <f>IF(AE112="","",IF(ISNUMBER(IFERROR(INDEX(Settings!$G$4:$G$11,MATCH(AH112,Settings!$F$4:$F$11,0)),"")),INDEX(Settings!$G$4:$G$11,MATCH(AH112,Settings!$F$4:$F$11,0)),Settings!$D$5))</f>
        <v/>
      </c>
      <c r="AN112" s="32">
        <f>IF(OR(AE112="",NOT(ISNUMBER(AL112)),NOT(ISNUMBER(AM112))),"",IF(AM112&lt;=0,"",IF(ISNUMBER(Settings!$D$8),DATE(YEAR(AL112)+IF(DATE(YEAR(AL112),MONTH(Settings!$D$8),DAY(Settings!$D$8))&gt;AL112,0,1),MONTH(Settings!$D$8),DAY(Settings!$D$8)),MIN(DATE(YEAR(AL112),MONTH(AL112)+AM112,DAY(AL112)),DATE(YEAR(AL112),MONTH(AL112)+AM112+1,0)))))</f>
        <v/>
      </c>
      <c r="AO112" s="31">
        <f>IF(ISNUMBER(AN112),AN112-Settings!$D$4,"")</f>
        <v/>
      </c>
      <c r="AP112" s="31">
        <f>IF(ISNUMBER(AL112),AL112+0+ROW()/100000,"")</f>
        <v/>
      </c>
      <c r="AQ112" s="31">
        <f>IF(OR(AG112="",NOT(ISNUMBER(AP112))),0,IF(SUMPRODUCT(('Responses'!$AG$2:$AG$501=AG112)*('Responses'!$AJ$2:$AJ$501=1)*ISNUMBER('Responses'!$AP$2:$AP$501)*('Responses'!$AP$2:$AP$501&gt;AP112)) + SUMPRODUCT(('Paper sign-ups'!$K$2:$K$101=AG112)*('Paper sign-ups'!$N$2:$N$101=1)*ISNUMBER('Paper sign-ups'!$T$2:$T$101)*('Paper sign-ups'!$T$2:$T$101&gt;AP112))&gt;0,1,0))</f>
        <v/>
      </c>
      <c r="AR112" s="31">
        <f>IF(AE112="","",IF(AQ112=1,"Joined again",IF(AJ112=0,"Unpaid",IF(NOT(ISNUMBER(AL112)),"Add a join date",IF(AN112="","No reminder",IF(AO112&lt;0,"Lapsed",IF(AO112&lt;=Settings!$D$6,"Remind soon","Current")))))))</f>
        <v/>
      </c>
      <c r="AS112" s="33">
        <f>IF(AJ112=1,IFERROR(VALUE(IFERROR(TRIM(INDEX($A112:$Z112,MATCH(Settings!$L$8,$A$1:$Z$1,0))&amp;""),"")),0)-IFERROR(VALUE(IFERROR(TRIM(INDEX($A112:$Z112,MATCH(Settings!$L$9,$A$1:$Z$1,0))&amp;""),"")),0),0)</f>
        <v/>
      </c>
      <c r="AT112" s="31">
        <f>IF(AND(AE112&lt;&gt;"",AQ112=0),1,0)</f>
        <v/>
      </c>
      <c r="AU112" s="31">
        <f>IF(AT112=0,"",IF(ISNUMBER(AN112),AN112,100000)+0+ROW()/1000000)</f>
        <v/>
      </c>
      <c r="AV112" s="31">
        <f>IF(ISNUMBER(AU112),SUMPRODUCT(ISNUMBER('Responses'!$AU$2:$AU$501)*('Responses'!$AU$2:$AU$501&lt;AU112)) + SUMPRODUCT(ISNUMBER('Paper sign-ups'!$Y$2:$Y$101)*('Paper sign-ups'!$Y$2:$Y$101&lt;AU112))+1,"")</f>
        <v/>
      </c>
    </row>
    <row r="113">
      <c r="AA113" s="29" t="n"/>
      <c r="AB113" s="30" t="n"/>
      <c r="AC113" s="30" t="n"/>
      <c r="AD113" s="29" t="n"/>
      <c r="AE113" s="31">
        <f>IFERROR(TRIM(INDEX($A113:$Z113,MATCH(Settings!$L$4,$A$1:$Z$1,0))&amp;""),"")</f>
        <v/>
      </c>
      <c r="AF113" s="31">
        <f>IFERROR(TRIM(INDEX($A113:$Z113,MATCH(Settings!$L$5,$A$1:$Z$1,0))&amp;""),"")</f>
        <v/>
      </c>
      <c r="AG113" s="31">
        <f>IF(AE113="","",LOWER(IF(AF113&lt;&gt;"",AF113,AE113)))</f>
        <v/>
      </c>
      <c r="AH113" s="31">
        <f>IFERROR(TRIM(INDEX($A113:$Z113,MATCH(Settings!$L$6,$A$1:$Z$1,0))&amp;""),"")</f>
        <v/>
      </c>
      <c r="AI113" s="31">
        <f>IF(AE113="","",IF(UPPER(TRIM(AB113&amp;""))="Y","Paid another way",IF(IFERROR(TRIM(INDEX($A113:$Z113,MATCH(Settings!$L$7,$A$1:$Z$1,0))&amp;""),"")="","No payment status",IFERROR(TRIM(INDEX($A113:$Z113,MATCH(Settings!$L$7,$A$1:$Z$1,0))&amp;""),""))))</f>
        <v/>
      </c>
      <c r="AJ113" s="31">
        <f>IF(AE113="",0,IF(IFERROR(INDEX(Settings!$J$4:$J$14,MATCH(AI113,Settings!$I$4:$I$14,0)),"N")="Y",1,0))</f>
        <v/>
      </c>
      <c r="AK113" s="32">
        <f>IFERROR(INT(IFERROR(IF(ISNUMBER(INDEX($A113:$Z113,MATCH(Settings!$L$10,$A$1:$Z$1,0))),INDEX($A113:$Z113,MATCH(Settings!$L$10,$A$1:$Z$1,0)),DATE(VALUE(LEFT(IFERROR(TRIM(INDEX($A113:$Z113,MATCH(Settings!$L$10,$A$1:$Z$1,0))&amp;""),""),4)),VALUE(MID(IFERROR(TRIM(INDEX($A113:$Z113,MATCH(Settings!$L$10,$A$1:$Z$1,0))&amp;""),""),6,2)),VALUE(MID(IFERROR(TRIM(INDEX($A113:$Z113,MATCH(Settings!$L$10,$A$1:$Z$1,0))&amp;""),""),9,2)))+TIME(VALUE(MID(IFERROR(TRIM(INDEX($A113:$Z113,MATCH(Settings!$L$10,$A$1:$Z$1,0))&amp;""),""),12,2)),VALUE(MID(IFERROR(TRIM(INDEX($A113:$Z113,MATCH(Settings!$L$10,$A$1:$Z$1,0))&amp;""),""),15,2)),VALUE(MID(IFERROR(TRIM(INDEX($A113:$Z113,MATCH(Settings!$L$10,$A$1:$Z$1,0))&amp;""),""),18,2)))),"")),"")</f>
        <v/>
      </c>
      <c r="AL113" s="32">
        <f>IF(AE113="","",IF(ISNUMBER(AK113),AK113,IFERROR(INT(IFERROR(IF(ISNUMBER(INDEX($A113:$Z113,MATCH(Settings!$L$11,$A$1:$Z$1,0))),INDEX($A113:$Z113,MATCH(Settings!$L$11,$A$1:$Z$1,0)),DATE(VALUE(LEFT(IFERROR(TRIM(INDEX($A113:$Z113,MATCH(Settings!$L$11,$A$1:$Z$1,0))&amp;""),""),4)),VALUE(MID(IFERROR(TRIM(INDEX($A113:$Z113,MATCH(Settings!$L$11,$A$1:$Z$1,0))&amp;""),""),6,2)),VALUE(MID(IFERROR(TRIM(INDEX($A113:$Z113,MATCH(Settings!$L$11,$A$1:$Z$1,0))&amp;""),""),9,2)))+TIME(VALUE(MID(IFERROR(TRIM(INDEX($A113:$Z113,MATCH(Settings!$L$11,$A$1:$Z$1,0))&amp;""),""),12,2)),VALUE(MID(IFERROR(TRIM(INDEX($A113:$Z113,MATCH(Settings!$L$11,$A$1:$Z$1,0))&amp;""),""),15,2)),VALUE(MID(IFERROR(TRIM(INDEX($A113:$Z113,MATCH(Settings!$L$11,$A$1:$Z$1,0))&amp;""),""),18,2)))),"")),"")))</f>
        <v/>
      </c>
      <c r="AM113" s="31">
        <f>IF(AE113="","",IF(ISNUMBER(IFERROR(INDEX(Settings!$G$4:$G$11,MATCH(AH113,Settings!$F$4:$F$11,0)),"")),INDEX(Settings!$G$4:$G$11,MATCH(AH113,Settings!$F$4:$F$11,0)),Settings!$D$5))</f>
        <v/>
      </c>
      <c r="AN113" s="32">
        <f>IF(OR(AE113="",NOT(ISNUMBER(AL113)),NOT(ISNUMBER(AM113))),"",IF(AM113&lt;=0,"",IF(ISNUMBER(Settings!$D$8),DATE(YEAR(AL113)+IF(DATE(YEAR(AL113),MONTH(Settings!$D$8),DAY(Settings!$D$8))&gt;AL113,0,1),MONTH(Settings!$D$8),DAY(Settings!$D$8)),MIN(DATE(YEAR(AL113),MONTH(AL113)+AM113,DAY(AL113)),DATE(YEAR(AL113),MONTH(AL113)+AM113+1,0)))))</f>
        <v/>
      </c>
      <c r="AO113" s="31">
        <f>IF(ISNUMBER(AN113),AN113-Settings!$D$4,"")</f>
        <v/>
      </c>
      <c r="AP113" s="31">
        <f>IF(ISNUMBER(AL113),AL113+0+ROW()/100000,"")</f>
        <v/>
      </c>
      <c r="AQ113" s="31">
        <f>IF(OR(AG113="",NOT(ISNUMBER(AP113))),0,IF(SUMPRODUCT(('Responses'!$AG$2:$AG$501=AG113)*('Responses'!$AJ$2:$AJ$501=1)*ISNUMBER('Responses'!$AP$2:$AP$501)*('Responses'!$AP$2:$AP$501&gt;AP113)) + SUMPRODUCT(('Paper sign-ups'!$K$2:$K$101=AG113)*('Paper sign-ups'!$N$2:$N$101=1)*ISNUMBER('Paper sign-ups'!$T$2:$T$101)*('Paper sign-ups'!$T$2:$T$101&gt;AP113))&gt;0,1,0))</f>
        <v/>
      </c>
      <c r="AR113" s="31">
        <f>IF(AE113="","",IF(AQ113=1,"Joined again",IF(AJ113=0,"Unpaid",IF(NOT(ISNUMBER(AL113)),"Add a join date",IF(AN113="","No reminder",IF(AO113&lt;0,"Lapsed",IF(AO113&lt;=Settings!$D$6,"Remind soon","Current")))))))</f>
        <v/>
      </c>
      <c r="AS113" s="33">
        <f>IF(AJ113=1,IFERROR(VALUE(IFERROR(TRIM(INDEX($A113:$Z113,MATCH(Settings!$L$8,$A$1:$Z$1,0))&amp;""),"")),0)-IFERROR(VALUE(IFERROR(TRIM(INDEX($A113:$Z113,MATCH(Settings!$L$9,$A$1:$Z$1,0))&amp;""),"")),0),0)</f>
        <v/>
      </c>
      <c r="AT113" s="31">
        <f>IF(AND(AE113&lt;&gt;"",AQ113=0),1,0)</f>
        <v/>
      </c>
      <c r="AU113" s="31">
        <f>IF(AT113=0,"",IF(ISNUMBER(AN113),AN113,100000)+0+ROW()/1000000)</f>
        <v/>
      </c>
      <c r="AV113" s="31">
        <f>IF(ISNUMBER(AU113),SUMPRODUCT(ISNUMBER('Responses'!$AU$2:$AU$501)*('Responses'!$AU$2:$AU$501&lt;AU113)) + SUMPRODUCT(ISNUMBER('Paper sign-ups'!$Y$2:$Y$101)*('Paper sign-ups'!$Y$2:$Y$101&lt;AU113))+1,"")</f>
        <v/>
      </c>
    </row>
    <row r="114">
      <c r="AA114" s="29" t="n"/>
      <c r="AB114" s="30" t="n"/>
      <c r="AC114" s="30" t="n"/>
      <c r="AD114" s="29" t="n"/>
      <c r="AE114" s="31">
        <f>IFERROR(TRIM(INDEX($A114:$Z114,MATCH(Settings!$L$4,$A$1:$Z$1,0))&amp;""),"")</f>
        <v/>
      </c>
      <c r="AF114" s="31">
        <f>IFERROR(TRIM(INDEX($A114:$Z114,MATCH(Settings!$L$5,$A$1:$Z$1,0))&amp;""),"")</f>
        <v/>
      </c>
      <c r="AG114" s="31">
        <f>IF(AE114="","",LOWER(IF(AF114&lt;&gt;"",AF114,AE114)))</f>
        <v/>
      </c>
      <c r="AH114" s="31">
        <f>IFERROR(TRIM(INDEX($A114:$Z114,MATCH(Settings!$L$6,$A$1:$Z$1,0))&amp;""),"")</f>
        <v/>
      </c>
      <c r="AI114" s="31">
        <f>IF(AE114="","",IF(UPPER(TRIM(AB114&amp;""))="Y","Paid another way",IF(IFERROR(TRIM(INDEX($A114:$Z114,MATCH(Settings!$L$7,$A$1:$Z$1,0))&amp;""),"")="","No payment status",IFERROR(TRIM(INDEX($A114:$Z114,MATCH(Settings!$L$7,$A$1:$Z$1,0))&amp;""),""))))</f>
        <v/>
      </c>
      <c r="AJ114" s="31">
        <f>IF(AE114="",0,IF(IFERROR(INDEX(Settings!$J$4:$J$14,MATCH(AI114,Settings!$I$4:$I$14,0)),"N")="Y",1,0))</f>
        <v/>
      </c>
      <c r="AK114" s="32">
        <f>IFERROR(INT(IFERROR(IF(ISNUMBER(INDEX($A114:$Z114,MATCH(Settings!$L$10,$A$1:$Z$1,0))),INDEX($A114:$Z114,MATCH(Settings!$L$10,$A$1:$Z$1,0)),DATE(VALUE(LEFT(IFERROR(TRIM(INDEX($A114:$Z114,MATCH(Settings!$L$10,$A$1:$Z$1,0))&amp;""),""),4)),VALUE(MID(IFERROR(TRIM(INDEX($A114:$Z114,MATCH(Settings!$L$10,$A$1:$Z$1,0))&amp;""),""),6,2)),VALUE(MID(IFERROR(TRIM(INDEX($A114:$Z114,MATCH(Settings!$L$10,$A$1:$Z$1,0))&amp;""),""),9,2)))+TIME(VALUE(MID(IFERROR(TRIM(INDEX($A114:$Z114,MATCH(Settings!$L$10,$A$1:$Z$1,0))&amp;""),""),12,2)),VALUE(MID(IFERROR(TRIM(INDEX($A114:$Z114,MATCH(Settings!$L$10,$A$1:$Z$1,0))&amp;""),""),15,2)),VALUE(MID(IFERROR(TRIM(INDEX($A114:$Z114,MATCH(Settings!$L$10,$A$1:$Z$1,0))&amp;""),""),18,2)))),"")),"")</f>
        <v/>
      </c>
      <c r="AL114" s="32">
        <f>IF(AE114="","",IF(ISNUMBER(AK114),AK114,IFERROR(INT(IFERROR(IF(ISNUMBER(INDEX($A114:$Z114,MATCH(Settings!$L$11,$A$1:$Z$1,0))),INDEX($A114:$Z114,MATCH(Settings!$L$11,$A$1:$Z$1,0)),DATE(VALUE(LEFT(IFERROR(TRIM(INDEX($A114:$Z114,MATCH(Settings!$L$11,$A$1:$Z$1,0))&amp;""),""),4)),VALUE(MID(IFERROR(TRIM(INDEX($A114:$Z114,MATCH(Settings!$L$11,$A$1:$Z$1,0))&amp;""),""),6,2)),VALUE(MID(IFERROR(TRIM(INDEX($A114:$Z114,MATCH(Settings!$L$11,$A$1:$Z$1,0))&amp;""),""),9,2)))+TIME(VALUE(MID(IFERROR(TRIM(INDEX($A114:$Z114,MATCH(Settings!$L$11,$A$1:$Z$1,0))&amp;""),""),12,2)),VALUE(MID(IFERROR(TRIM(INDEX($A114:$Z114,MATCH(Settings!$L$11,$A$1:$Z$1,0))&amp;""),""),15,2)),VALUE(MID(IFERROR(TRIM(INDEX($A114:$Z114,MATCH(Settings!$L$11,$A$1:$Z$1,0))&amp;""),""),18,2)))),"")),"")))</f>
        <v/>
      </c>
      <c r="AM114" s="31">
        <f>IF(AE114="","",IF(ISNUMBER(IFERROR(INDEX(Settings!$G$4:$G$11,MATCH(AH114,Settings!$F$4:$F$11,0)),"")),INDEX(Settings!$G$4:$G$11,MATCH(AH114,Settings!$F$4:$F$11,0)),Settings!$D$5))</f>
        <v/>
      </c>
      <c r="AN114" s="32">
        <f>IF(OR(AE114="",NOT(ISNUMBER(AL114)),NOT(ISNUMBER(AM114))),"",IF(AM114&lt;=0,"",IF(ISNUMBER(Settings!$D$8),DATE(YEAR(AL114)+IF(DATE(YEAR(AL114),MONTH(Settings!$D$8),DAY(Settings!$D$8))&gt;AL114,0,1),MONTH(Settings!$D$8),DAY(Settings!$D$8)),MIN(DATE(YEAR(AL114),MONTH(AL114)+AM114,DAY(AL114)),DATE(YEAR(AL114),MONTH(AL114)+AM114+1,0)))))</f>
        <v/>
      </c>
      <c r="AO114" s="31">
        <f>IF(ISNUMBER(AN114),AN114-Settings!$D$4,"")</f>
        <v/>
      </c>
      <c r="AP114" s="31">
        <f>IF(ISNUMBER(AL114),AL114+0+ROW()/100000,"")</f>
        <v/>
      </c>
      <c r="AQ114" s="31">
        <f>IF(OR(AG114="",NOT(ISNUMBER(AP114))),0,IF(SUMPRODUCT(('Responses'!$AG$2:$AG$501=AG114)*('Responses'!$AJ$2:$AJ$501=1)*ISNUMBER('Responses'!$AP$2:$AP$501)*('Responses'!$AP$2:$AP$501&gt;AP114)) + SUMPRODUCT(('Paper sign-ups'!$K$2:$K$101=AG114)*('Paper sign-ups'!$N$2:$N$101=1)*ISNUMBER('Paper sign-ups'!$T$2:$T$101)*('Paper sign-ups'!$T$2:$T$101&gt;AP114))&gt;0,1,0))</f>
        <v/>
      </c>
      <c r="AR114" s="31">
        <f>IF(AE114="","",IF(AQ114=1,"Joined again",IF(AJ114=0,"Unpaid",IF(NOT(ISNUMBER(AL114)),"Add a join date",IF(AN114="","No reminder",IF(AO114&lt;0,"Lapsed",IF(AO114&lt;=Settings!$D$6,"Remind soon","Current")))))))</f>
        <v/>
      </c>
      <c r="AS114" s="33">
        <f>IF(AJ114=1,IFERROR(VALUE(IFERROR(TRIM(INDEX($A114:$Z114,MATCH(Settings!$L$8,$A$1:$Z$1,0))&amp;""),"")),0)-IFERROR(VALUE(IFERROR(TRIM(INDEX($A114:$Z114,MATCH(Settings!$L$9,$A$1:$Z$1,0))&amp;""),"")),0),0)</f>
        <v/>
      </c>
      <c r="AT114" s="31">
        <f>IF(AND(AE114&lt;&gt;"",AQ114=0),1,0)</f>
        <v/>
      </c>
      <c r="AU114" s="31">
        <f>IF(AT114=0,"",IF(ISNUMBER(AN114),AN114,100000)+0+ROW()/1000000)</f>
        <v/>
      </c>
      <c r="AV114" s="31">
        <f>IF(ISNUMBER(AU114),SUMPRODUCT(ISNUMBER('Responses'!$AU$2:$AU$501)*('Responses'!$AU$2:$AU$501&lt;AU114)) + SUMPRODUCT(ISNUMBER('Paper sign-ups'!$Y$2:$Y$101)*('Paper sign-ups'!$Y$2:$Y$101&lt;AU114))+1,"")</f>
        <v/>
      </c>
    </row>
    <row r="115">
      <c r="AA115" s="29" t="n"/>
      <c r="AB115" s="30" t="n"/>
      <c r="AC115" s="30" t="n"/>
      <c r="AD115" s="29" t="n"/>
      <c r="AE115" s="31">
        <f>IFERROR(TRIM(INDEX($A115:$Z115,MATCH(Settings!$L$4,$A$1:$Z$1,0))&amp;""),"")</f>
        <v/>
      </c>
      <c r="AF115" s="31">
        <f>IFERROR(TRIM(INDEX($A115:$Z115,MATCH(Settings!$L$5,$A$1:$Z$1,0))&amp;""),"")</f>
        <v/>
      </c>
      <c r="AG115" s="31">
        <f>IF(AE115="","",LOWER(IF(AF115&lt;&gt;"",AF115,AE115)))</f>
        <v/>
      </c>
      <c r="AH115" s="31">
        <f>IFERROR(TRIM(INDEX($A115:$Z115,MATCH(Settings!$L$6,$A$1:$Z$1,0))&amp;""),"")</f>
        <v/>
      </c>
      <c r="AI115" s="31">
        <f>IF(AE115="","",IF(UPPER(TRIM(AB115&amp;""))="Y","Paid another way",IF(IFERROR(TRIM(INDEX($A115:$Z115,MATCH(Settings!$L$7,$A$1:$Z$1,0))&amp;""),"")="","No payment status",IFERROR(TRIM(INDEX($A115:$Z115,MATCH(Settings!$L$7,$A$1:$Z$1,0))&amp;""),""))))</f>
        <v/>
      </c>
      <c r="AJ115" s="31">
        <f>IF(AE115="",0,IF(IFERROR(INDEX(Settings!$J$4:$J$14,MATCH(AI115,Settings!$I$4:$I$14,0)),"N")="Y",1,0))</f>
        <v/>
      </c>
      <c r="AK115" s="32">
        <f>IFERROR(INT(IFERROR(IF(ISNUMBER(INDEX($A115:$Z115,MATCH(Settings!$L$10,$A$1:$Z$1,0))),INDEX($A115:$Z115,MATCH(Settings!$L$10,$A$1:$Z$1,0)),DATE(VALUE(LEFT(IFERROR(TRIM(INDEX($A115:$Z115,MATCH(Settings!$L$10,$A$1:$Z$1,0))&amp;""),""),4)),VALUE(MID(IFERROR(TRIM(INDEX($A115:$Z115,MATCH(Settings!$L$10,$A$1:$Z$1,0))&amp;""),""),6,2)),VALUE(MID(IFERROR(TRIM(INDEX($A115:$Z115,MATCH(Settings!$L$10,$A$1:$Z$1,0))&amp;""),""),9,2)))+TIME(VALUE(MID(IFERROR(TRIM(INDEX($A115:$Z115,MATCH(Settings!$L$10,$A$1:$Z$1,0))&amp;""),""),12,2)),VALUE(MID(IFERROR(TRIM(INDEX($A115:$Z115,MATCH(Settings!$L$10,$A$1:$Z$1,0))&amp;""),""),15,2)),VALUE(MID(IFERROR(TRIM(INDEX($A115:$Z115,MATCH(Settings!$L$10,$A$1:$Z$1,0))&amp;""),""),18,2)))),"")),"")</f>
        <v/>
      </c>
      <c r="AL115" s="32">
        <f>IF(AE115="","",IF(ISNUMBER(AK115),AK115,IFERROR(INT(IFERROR(IF(ISNUMBER(INDEX($A115:$Z115,MATCH(Settings!$L$11,$A$1:$Z$1,0))),INDEX($A115:$Z115,MATCH(Settings!$L$11,$A$1:$Z$1,0)),DATE(VALUE(LEFT(IFERROR(TRIM(INDEX($A115:$Z115,MATCH(Settings!$L$11,$A$1:$Z$1,0))&amp;""),""),4)),VALUE(MID(IFERROR(TRIM(INDEX($A115:$Z115,MATCH(Settings!$L$11,$A$1:$Z$1,0))&amp;""),""),6,2)),VALUE(MID(IFERROR(TRIM(INDEX($A115:$Z115,MATCH(Settings!$L$11,$A$1:$Z$1,0))&amp;""),""),9,2)))+TIME(VALUE(MID(IFERROR(TRIM(INDEX($A115:$Z115,MATCH(Settings!$L$11,$A$1:$Z$1,0))&amp;""),""),12,2)),VALUE(MID(IFERROR(TRIM(INDEX($A115:$Z115,MATCH(Settings!$L$11,$A$1:$Z$1,0))&amp;""),""),15,2)),VALUE(MID(IFERROR(TRIM(INDEX($A115:$Z115,MATCH(Settings!$L$11,$A$1:$Z$1,0))&amp;""),""),18,2)))),"")),"")))</f>
        <v/>
      </c>
      <c r="AM115" s="31">
        <f>IF(AE115="","",IF(ISNUMBER(IFERROR(INDEX(Settings!$G$4:$G$11,MATCH(AH115,Settings!$F$4:$F$11,0)),"")),INDEX(Settings!$G$4:$G$11,MATCH(AH115,Settings!$F$4:$F$11,0)),Settings!$D$5))</f>
        <v/>
      </c>
      <c r="AN115" s="32">
        <f>IF(OR(AE115="",NOT(ISNUMBER(AL115)),NOT(ISNUMBER(AM115))),"",IF(AM115&lt;=0,"",IF(ISNUMBER(Settings!$D$8),DATE(YEAR(AL115)+IF(DATE(YEAR(AL115),MONTH(Settings!$D$8),DAY(Settings!$D$8))&gt;AL115,0,1),MONTH(Settings!$D$8),DAY(Settings!$D$8)),MIN(DATE(YEAR(AL115),MONTH(AL115)+AM115,DAY(AL115)),DATE(YEAR(AL115),MONTH(AL115)+AM115+1,0)))))</f>
        <v/>
      </c>
      <c r="AO115" s="31">
        <f>IF(ISNUMBER(AN115),AN115-Settings!$D$4,"")</f>
        <v/>
      </c>
      <c r="AP115" s="31">
        <f>IF(ISNUMBER(AL115),AL115+0+ROW()/100000,"")</f>
        <v/>
      </c>
      <c r="AQ115" s="31">
        <f>IF(OR(AG115="",NOT(ISNUMBER(AP115))),0,IF(SUMPRODUCT(('Responses'!$AG$2:$AG$501=AG115)*('Responses'!$AJ$2:$AJ$501=1)*ISNUMBER('Responses'!$AP$2:$AP$501)*('Responses'!$AP$2:$AP$501&gt;AP115)) + SUMPRODUCT(('Paper sign-ups'!$K$2:$K$101=AG115)*('Paper sign-ups'!$N$2:$N$101=1)*ISNUMBER('Paper sign-ups'!$T$2:$T$101)*('Paper sign-ups'!$T$2:$T$101&gt;AP115))&gt;0,1,0))</f>
        <v/>
      </c>
      <c r="AR115" s="31">
        <f>IF(AE115="","",IF(AQ115=1,"Joined again",IF(AJ115=0,"Unpaid",IF(NOT(ISNUMBER(AL115)),"Add a join date",IF(AN115="","No reminder",IF(AO115&lt;0,"Lapsed",IF(AO115&lt;=Settings!$D$6,"Remind soon","Current")))))))</f>
        <v/>
      </c>
      <c r="AS115" s="33">
        <f>IF(AJ115=1,IFERROR(VALUE(IFERROR(TRIM(INDEX($A115:$Z115,MATCH(Settings!$L$8,$A$1:$Z$1,0))&amp;""),"")),0)-IFERROR(VALUE(IFERROR(TRIM(INDEX($A115:$Z115,MATCH(Settings!$L$9,$A$1:$Z$1,0))&amp;""),"")),0),0)</f>
        <v/>
      </c>
      <c r="AT115" s="31">
        <f>IF(AND(AE115&lt;&gt;"",AQ115=0),1,0)</f>
        <v/>
      </c>
      <c r="AU115" s="31">
        <f>IF(AT115=0,"",IF(ISNUMBER(AN115),AN115,100000)+0+ROW()/1000000)</f>
        <v/>
      </c>
      <c r="AV115" s="31">
        <f>IF(ISNUMBER(AU115),SUMPRODUCT(ISNUMBER('Responses'!$AU$2:$AU$501)*('Responses'!$AU$2:$AU$501&lt;AU115)) + SUMPRODUCT(ISNUMBER('Paper sign-ups'!$Y$2:$Y$101)*('Paper sign-ups'!$Y$2:$Y$101&lt;AU115))+1,"")</f>
        <v/>
      </c>
    </row>
    <row r="116">
      <c r="AA116" s="29" t="n"/>
      <c r="AB116" s="30" t="n"/>
      <c r="AC116" s="30" t="n"/>
      <c r="AD116" s="29" t="n"/>
      <c r="AE116" s="31">
        <f>IFERROR(TRIM(INDEX($A116:$Z116,MATCH(Settings!$L$4,$A$1:$Z$1,0))&amp;""),"")</f>
        <v/>
      </c>
      <c r="AF116" s="31">
        <f>IFERROR(TRIM(INDEX($A116:$Z116,MATCH(Settings!$L$5,$A$1:$Z$1,0))&amp;""),"")</f>
        <v/>
      </c>
      <c r="AG116" s="31">
        <f>IF(AE116="","",LOWER(IF(AF116&lt;&gt;"",AF116,AE116)))</f>
        <v/>
      </c>
      <c r="AH116" s="31">
        <f>IFERROR(TRIM(INDEX($A116:$Z116,MATCH(Settings!$L$6,$A$1:$Z$1,0))&amp;""),"")</f>
        <v/>
      </c>
      <c r="AI116" s="31">
        <f>IF(AE116="","",IF(UPPER(TRIM(AB116&amp;""))="Y","Paid another way",IF(IFERROR(TRIM(INDEX($A116:$Z116,MATCH(Settings!$L$7,$A$1:$Z$1,0))&amp;""),"")="","No payment status",IFERROR(TRIM(INDEX($A116:$Z116,MATCH(Settings!$L$7,$A$1:$Z$1,0))&amp;""),""))))</f>
        <v/>
      </c>
      <c r="AJ116" s="31">
        <f>IF(AE116="",0,IF(IFERROR(INDEX(Settings!$J$4:$J$14,MATCH(AI116,Settings!$I$4:$I$14,0)),"N")="Y",1,0))</f>
        <v/>
      </c>
      <c r="AK116" s="32">
        <f>IFERROR(INT(IFERROR(IF(ISNUMBER(INDEX($A116:$Z116,MATCH(Settings!$L$10,$A$1:$Z$1,0))),INDEX($A116:$Z116,MATCH(Settings!$L$10,$A$1:$Z$1,0)),DATE(VALUE(LEFT(IFERROR(TRIM(INDEX($A116:$Z116,MATCH(Settings!$L$10,$A$1:$Z$1,0))&amp;""),""),4)),VALUE(MID(IFERROR(TRIM(INDEX($A116:$Z116,MATCH(Settings!$L$10,$A$1:$Z$1,0))&amp;""),""),6,2)),VALUE(MID(IFERROR(TRIM(INDEX($A116:$Z116,MATCH(Settings!$L$10,$A$1:$Z$1,0))&amp;""),""),9,2)))+TIME(VALUE(MID(IFERROR(TRIM(INDEX($A116:$Z116,MATCH(Settings!$L$10,$A$1:$Z$1,0))&amp;""),""),12,2)),VALUE(MID(IFERROR(TRIM(INDEX($A116:$Z116,MATCH(Settings!$L$10,$A$1:$Z$1,0))&amp;""),""),15,2)),VALUE(MID(IFERROR(TRIM(INDEX($A116:$Z116,MATCH(Settings!$L$10,$A$1:$Z$1,0))&amp;""),""),18,2)))),"")),"")</f>
        <v/>
      </c>
      <c r="AL116" s="32">
        <f>IF(AE116="","",IF(ISNUMBER(AK116),AK116,IFERROR(INT(IFERROR(IF(ISNUMBER(INDEX($A116:$Z116,MATCH(Settings!$L$11,$A$1:$Z$1,0))),INDEX($A116:$Z116,MATCH(Settings!$L$11,$A$1:$Z$1,0)),DATE(VALUE(LEFT(IFERROR(TRIM(INDEX($A116:$Z116,MATCH(Settings!$L$11,$A$1:$Z$1,0))&amp;""),""),4)),VALUE(MID(IFERROR(TRIM(INDEX($A116:$Z116,MATCH(Settings!$L$11,$A$1:$Z$1,0))&amp;""),""),6,2)),VALUE(MID(IFERROR(TRIM(INDEX($A116:$Z116,MATCH(Settings!$L$11,$A$1:$Z$1,0))&amp;""),""),9,2)))+TIME(VALUE(MID(IFERROR(TRIM(INDEX($A116:$Z116,MATCH(Settings!$L$11,$A$1:$Z$1,0))&amp;""),""),12,2)),VALUE(MID(IFERROR(TRIM(INDEX($A116:$Z116,MATCH(Settings!$L$11,$A$1:$Z$1,0))&amp;""),""),15,2)),VALUE(MID(IFERROR(TRIM(INDEX($A116:$Z116,MATCH(Settings!$L$11,$A$1:$Z$1,0))&amp;""),""),18,2)))),"")),"")))</f>
        <v/>
      </c>
      <c r="AM116" s="31">
        <f>IF(AE116="","",IF(ISNUMBER(IFERROR(INDEX(Settings!$G$4:$G$11,MATCH(AH116,Settings!$F$4:$F$11,0)),"")),INDEX(Settings!$G$4:$G$11,MATCH(AH116,Settings!$F$4:$F$11,0)),Settings!$D$5))</f>
        <v/>
      </c>
      <c r="AN116" s="32">
        <f>IF(OR(AE116="",NOT(ISNUMBER(AL116)),NOT(ISNUMBER(AM116))),"",IF(AM116&lt;=0,"",IF(ISNUMBER(Settings!$D$8),DATE(YEAR(AL116)+IF(DATE(YEAR(AL116),MONTH(Settings!$D$8),DAY(Settings!$D$8))&gt;AL116,0,1),MONTH(Settings!$D$8),DAY(Settings!$D$8)),MIN(DATE(YEAR(AL116),MONTH(AL116)+AM116,DAY(AL116)),DATE(YEAR(AL116),MONTH(AL116)+AM116+1,0)))))</f>
        <v/>
      </c>
      <c r="AO116" s="31">
        <f>IF(ISNUMBER(AN116),AN116-Settings!$D$4,"")</f>
        <v/>
      </c>
      <c r="AP116" s="31">
        <f>IF(ISNUMBER(AL116),AL116+0+ROW()/100000,"")</f>
        <v/>
      </c>
      <c r="AQ116" s="31">
        <f>IF(OR(AG116="",NOT(ISNUMBER(AP116))),0,IF(SUMPRODUCT(('Responses'!$AG$2:$AG$501=AG116)*('Responses'!$AJ$2:$AJ$501=1)*ISNUMBER('Responses'!$AP$2:$AP$501)*('Responses'!$AP$2:$AP$501&gt;AP116)) + SUMPRODUCT(('Paper sign-ups'!$K$2:$K$101=AG116)*('Paper sign-ups'!$N$2:$N$101=1)*ISNUMBER('Paper sign-ups'!$T$2:$T$101)*('Paper sign-ups'!$T$2:$T$101&gt;AP116))&gt;0,1,0))</f>
        <v/>
      </c>
      <c r="AR116" s="31">
        <f>IF(AE116="","",IF(AQ116=1,"Joined again",IF(AJ116=0,"Unpaid",IF(NOT(ISNUMBER(AL116)),"Add a join date",IF(AN116="","No reminder",IF(AO116&lt;0,"Lapsed",IF(AO116&lt;=Settings!$D$6,"Remind soon","Current")))))))</f>
        <v/>
      </c>
      <c r="AS116" s="33">
        <f>IF(AJ116=1,IFERROR(VALUE(IFERROR(TRIM(INDEX($A116:$Z116,MATCH(Settings!$L$8,$A$1:$Z$1,0))&amp;""),"")),0)-IFERROR(VALUE(IFERROR(TRIM(INDEX($A116:$Z116,MATCH(Settings!$L$9,$A$1:$Z$1,0))&amp;""),"")),0),0)</f>
        <v/>
      </c>
      <c r="AT116" s="31">
        <f>IF(AND(AE116&lt;&gt;"",AQ116=0),1,0)</f>
        <v/>
      </c>
      <c r="AU116" s="31">
        <f>IF(AT116=0,"",IF(ISNUMBER(AN116),AN116,100000)+0+ROW()/1000000)</f>
        <v/>
      </c>
      <c r="AV116" s="31">
        <f>IF(ISNUMBER(AU116),SUMPRODUCT(ISNUMBER('Responses'!$AU$2:$AU$501)*('Responses'!$AU$2:$AU$501&lt;AU116)) + SUMPRODUCT(ISNUMBER('Paper sign-ups'!$Y$2:$Y$101)*('Paper sign-ups'!$Y$2:$Y$101&lt;AU116))+1,"")</f>
        <v/>
      </c>
    </row>
    <row r="117">
      <c r="AA117" s="29" t="n"/>
      <c r="AB117" s="30" t="n"/>
      <c r="AC117" s="30" t="n"/>
      <c r="AD117" s="29" t="n"/>
      <c r="AE117" s="31">
        <f>IFERROR(TRIM(INDEX($A117:$Z117,MATCH(Settings!$L$4,$A$1:$Z$1,0))&amp;""),"")</f>
        <v/>
      </c>
      <c r="AF117" s="31">
        <f>IFERROR(TRIM(INDEX($A117:$Z117,MATCH(Settings!$L$5,$A$1:$Z$1,0))&amp;""),"")</f>
        <v/>
      </c>
      <c r="AG117" s="31">
        <f>IF(AE117="","",LOWER(IF(AF117&lt;&gt;"",AF117,AE117)))</f>
        <v/>
      </c>
      <c r="AH117" s="31">
        <f>IFERROR(TRIM(INDEX($A117:$Z117,MATCH(Settings!$L$6,$A$1:$Z$1,0))&amp;""),"")</f>
        <v/>
      </c>
      <c r="AI117" s="31">
        <f>IF(AE117="","",IF(UPPER(TRIM(AB117&amp;""))="Y","Paid another way",IF(IFERROR(TRIM(INDEX($A117:$Z117,MATCH(Settings!$L$7,$A$1:$Z$1,0))&amp;""),"")="","No payment status",IFERROR(TRIM(INDEX($A117:$Z117,MATCH(Settings!$L$7,$A$1:$Z$1,0))&amp;""),""))))</f>
        <v/>
      </c>
      <c r="AJ117" s="31">
        <f>IF(AE117="",0,IF(IFERROR(INDEX(Settings!$J$4:$J$14,MATCH(AI117,Settings!$I$4:$I$14,0)),"N")="Y",1,0))</f>
        <v/>
      </c>
      <c r="AK117" s="32">
        <f>IFERROR(INT(IFERROR(IF(ISNUMBER(INDEX($A117:$Z117,MATCH(Settings!$L$10,$A$1:$Z$1,0))),INDEX($A117:$Z117,MATCH(Settings!$L$10,$A$1:$Z$1,0)),DATE(VALUE(LEFT(IFERROR(TRIM(INDEX($A117:$Z117,MATCH(Settings!$L$10,$A$1:$Z$1,0))&amp;""),""),4)),VALUE(MID(IFERROR(TRIM(INDEX($A117:$Z117,MATCH(Settings!$L$10,$A$1:$Z$1,0))&amp;""),""),6,2)),VALUE(MID(IFERROR(TRIM(INDEX($A117:$Z117,MATCH(Settings!$L$10,$A$1:$Z$1,0))&amp;""),""),9,2)))+TIME(VALUE(MID(IFERROR(TRIM(INDEX($A117:$Z117,MATCH(Settings!$L$10,$A$1:$Z$1,0))&amp;""),""),12,2)),VALUE(MID(IFERROR(TRIM(INDEX($A117:$Z117,MATCH(Settings!$L$10,$A$1:$Z$1,0))&amp;""),""),15,2)),VALUE(MID(IFERROR(TRIM(INDEX($A117:$Z117,MATCH(Settings!$L$10,$A$1:$Z$1,0))&amp;""),""),18,2)))),"")),"")</f>
        <v/>
      </c>
      <c r="AL117" s="32">
        <f>IF(AE117="","",IF(ISNUMBER(AK117),AK117,IFERROR(INT(IFERROR(IF(ISNUMBER(INDEX($A117:$Z117,MATCH(Settings!$L$11,$A$1:$Z$1,0))),INDEX($A117:$Z117,MATCH(Settings!$L$11,$A$1:$Z$1,0)),DATE(VALUE(LEFT(IFERROR(TRIM(INDEX($A117:$Z117,MATCH(Settings!$L$11,$A$1:$Z$1,0))&amp;""),""),4)),VALUE(MID(IFERROR(TRIM(INDEX($A117:$Z117,MATCH(Settings!$L$11,$A$1:$Z$1,0))&amp;""),""),6,2)),VALUE(MID(IFERROR(TRIM(INDEX($A117:$Z117,MATCH(Settings!$L$11,$A$1:$Z$1,0))&amp;""),""),9,2)))+TIME(VALUE(MID(IFERROR(TRIM(INDEX($A117:$Z117,MATCH(Settings!$L$11,$A$1:$Z$1,0))&amp;""),""),12,2)),VALUE(MID(IFERROR(TRIM(INDEX($A117:$Z117,MATCH(Settings!$L$11,$A$1:$Z$1,0))&amp;""),""),15,2)),VALUE(MID(IFERROR(TRIM(INDEX($A117:$Z117,MATCH(Settings!$L$11,$A$1:$Z$1,0))&amp;""),""),18,2)))),"")),"")))</f>
        <v/>
      </c>
      <c r="AM117" s="31">
        <f>IF(AE117="","",IF(ISNUMBER(IFERROR(INDEX(Settings!$G$4:$G$11,MATCH(AH117,Settings!$F$4:$F$11,0)),"")),INDEX(Settings!$G$4:$G$11,MATCH(AH117,Settings!$F$4:$F$11,0)),Settings!$D$5))</f>
        <v/>
      </c>
      <c r="AN117" s="32">
        <f>IF(OR(AE117="",NOT(ISNUMBER(AL117)),NOT(ISNUMBER(AM117))),"",IF(AM117&lt;=0,"",IF(ISNUMBER(Settings!$D$8),DATE(YEAR(AL117)+IF(DATE(YEAR(AL117),MONTH(Settings!$D$8),DAY(Settings!$D$8))&gt;AL117,0,1),MONTH(Settings!$D$8),DAY(Settings!$D$8)),MIN(DATE(YEAR(AL117),MONTH(AL117)+AM117,DAY(AL117)),DATE(YEAR(AL117),MONTH(AL117)+AM117+1,0)))))</f>
        <v/>
      </c>
      <c r="AO117" s="31">
        <f>IF(ISNUMBER(AN117),AN117-Settings!$D$4,"")</f>
        <v/>
      </c>
      <c r="AP117" s="31">
        <f>IF(ISNUMBER(AL117),AL117+0+ROW()/100000,"")</f>
        <v/>
      </c>
      <c r="AQ117" s="31">
        <f>IF(OR(AG117="",NOT(ISNUMBER(AP117))),0,IF(SUMPRODUCT(('Responses'!$AG$2:$AG$501=AG117)*('Responses'!$AJ$2:$AJ$501=1)*ISNUMBER('Responses'!$AP$2:$AP$501)*('Responses'!$AP$2:$AP$501&gt;AP117)) + SUMPRODUCT(('Paper sign-ups'!$K$2:$K$101=AG117)*('Paper sign-ups'!$N$2:$N$101=1)*ISNUMBER('Paper sign-ups'!$T$2:$T$101)*('Paper sign-ups'!$T$2:$T$101&gt;AP117))&gt;0,1,0))</f>
        <v/>
      </c>
      <c r="AR117" s="31">
        <f>IF(AE117="","",IF(AQ117=1,"Joined again",IF(AJ117=0,"Unpaid",IF(NOT(ISNUMBER(AL117)),"Add a join date",IF(AN117="","No reminder",IF(AO117&lt;0,"Lapsed",IF(AO117&lt;=Settings!$D$6,"Remind soon","Current")))))))</f>
        <v/>
      </c>
      <c r="AS117" s="33">
        <f>IF(AJ117=1,IFERROR(VALUE(IFERROR(TRIM(INDEX($A117:$Z117,MATCH(Settings!$L$8,$A$1:$Z$1,0))&amp;""),"")),0)-IFERROR(VALUE(IFERROR(TRIM(INDEX($A117:$Z117,MATCH(Settings!$L$9,$A$1:$Z$1,0))&amp;""),"")),0),0)</f>
        <v/>
      </c>
      <c r="AT117" s="31">
        <f>IF(AND(AE117&lt;&gt;"",AQ117=0),1,0)</f>
        <v/>
      </c>
      <c r="AU117" s="31">
        <f>IF(AT117=0,"",IF(ISNUMBER(AN117),AN117,100000)+0+ROW()/1000000)</f>
        <v/>
      </c>
      <c r="AV117" s="31">
        <f>IF(ISNUMBER(AU117),SUMPRODUCT(ISNUMBER('Responses'!$AU$2:$AU$501)*('Responses'!$AU$2:$AU$501&lt;AU117)) + SUMPRODUCT(ISNUMBER('Paper sign-ups'!$Y$2:$Y$101)*('Paper sign-ups'!$Y$2:$Y$101&lt;AU117))+1,"")</f>
        <v/>
      </c>
    </row>
    <row r="118">
      <c r="AA118" s="29" t="n"/>
      <c r="AB118" s="30" t="n"/>
      <c r="AC118" s="30" t="n"/>
      <c r="AD118" s="29" t="n"/>
      <c r="AE118" s="31">
        <f>IFERROR(TRIM(INDEX($A118:$Z118,MATCH(Settings!$L$4,$A$1:$Z$1,0))&amp;""),"")</f>
        <v/>
      </c>
      <c r="AF118" s="31">
        <f>IFERROR(TRIM(INDEX($A118:$Z118,MATCH(Settings!$L$5,$A$1:$Z$1,0))&amp;""),"")</f>
        <v/>
      </c>
      <c r="AG118" s="31">
        <f>IF(AE118="","",LOWER(IF(AF118&lt;&gt;"",AF118,AE118)))</f>
        <v/>
      </c>
      <c r="AH118" s="31">
        <f>IFERROR(TRIM(INDEX($A118:$Z118,MATCH(Settings!$L$6,$A$1:$Z$1,0))&amp;""),"")</f>
        <v/>
      </c>
      <c r="AI118" s="31">
        <f>IF(AE118="","",IF(UPPER(TRIM(AB118&amp;""))="Y","Paid another way",IF(IFERROR(TRIM(INDEX($A118:$Z118,MATCH(Settings!$L$7,$A$1:$Z$1,0))&amp;""),"")="","No payment status",IFERROR(TRIM(INDEX($A118:$Z118,MATCH(Settings!$L$7,$A$1:$Z$1,0))&amp;""),""))))</f>
        <v/>
      </c>
      <c r="AJ118" s="31">
        <f>IF(AE118="",0,IF(IFERROR(INDEX(Settings!$J$4:$J$14,MATCH(AI118,Settings!$I$4:$I$14,0)),"N")="Y",1,0))</f>
        <v/>
      </c>
      <c r="AK118" s="32">
        <f>IFERROR(INT(IFERROR(IF(ISNUMBER(INDEX($A118:$Z118,MATCH(Settings!$L$10,$A$1:$Z$1,0))),INDEX($A118:$Z118,MATCH(Settings!$L$10,$A$1:$Z$1,0)),DATE(VALUE(LEFT(IFERROR(TRIM(INDEX($A118:$Z118,MATCH(Settings!$L$10,$A$1:$Z$1,0))&amp;""),""),4)),VALUE(MID(IFERROR(TRIM(INDEX($A118:$Z118,MATCH(Settings!$L$10,$A$1:$Z$1,0))&amp;""),""),6,2)),VALUE(MID(IFERROR(TRIM(INDEX($A118:$Z118,MATCH(Settings!$L$10,$A$1:$Z$1,0))&amp;""),""),9,2)))+TIME(VALUE(MID(IFERROR(TRIM(INDEX($A118:$Z118,MATCH(Settings!$L$10,$A$1:$Z$1,0))&amp;""),""),12,2)),VALUE(MID(IFERROR(TRIM(INDEX($A118:$Z118,MATCH(Settings!$L$10,$A$1:$Z$1,0))&amp;""),""),15,2)),VALUE(MID(IFERROR(TRIM(INDEX($A118:$Z118,MATCH(Settings!$L$10,$A$1:$Z$1,0))&amp;""),""),18,2)))),"")),"")</f>
        <v/>
      </c>
      <c r="AL118" s="32">
        <f>IF(AE118="","",IF(ISNUMBER(AK118),AK118,IFERROR(INT(IFERROR(IF(ISNUMBER(INDEX($A118:$Z118,MATCH(Settings!$L$11,$A$1:$Z$1,0))),INDEX($A118:$Z118,MATCH(Settings!$L$11,$A$1:$Z$1,0)),DATE(VALUE(LEFT(IFERROR(TRIM(INDEX($A118:$Z118,MATCH(Settings!$L$11,$A$1:$Z$1,0))&amp;""),""),4)),VALUE(MID(IFERROR(TRIM(INDEX($A118:$Z118,MATCH(Settings!$L$11,$A$1:$Z$1,0))&amp;""),""),6,2)),VALUE(MID(IFERROR(TRIM(INDEX($A118:$Z118,MATCH(Settings!$L$11,$A$1:$Z$1,0))&amp;""),""),9,2)))+TIME(VALUE(MID(IFERROR(TRIM(INDEX($A118:$Z118,MATCH(Settings!$L$11,$A$1:$Z$1,0))&amp;""),""),12,2)),VALUE(MID(IFERROR(TRIM(INDEX($A118:$Z118,MATCH(Settings!$L$11,$A$1:$Z$1,0))&amp;""),""),15,2)),VALUE(MID(IFERROR(TRIM(INDEX($A118:$Z118,MATCH(Settings!$L$11,$A$1:$Z$1,0))&amp;""),""),18,2)))),"")),"")))</f>
        <v/>
      </c>
      <c r="AM118" s="31">
        <f>IF(AE118="","",IF(ISNUMBER(IFERROR(INDEX(Settings!$G$4:$G$11,MATCH(AH118,Settings!$F$4:$F$11,0)),"")),INDEX(Settings!$G$4:$G$11,MATCH(AH118,Settings!$F$4:$F$11,0)),Settings!$D$5))</f>
        <v/>
      </c>
      <c r="AN118" s="32">
        <f>IF(OR(AE118="",NOT(ISNUMBER(AL118)),NOT(ISNUMBER(AM118))),"",IF(AM118&lt;=0,"",IF(ISNUMBER(Settings!$D$8),DATE(YEAR(AL118)+IF(DATE(YEAR(AL118),MONTH(Settings!$D$8),DAY(Settings!$D$8))&gt;AL118,0,1),MONTH(Settings!$D$8),DAY(Settings!$D$8)),MIN(DATE(YEAR(AL118),MONTH(AL118)+AM118,DAY(AL118)),DATE(YEAR(AL118),MONTH(AL118)+AM118+1,0)))))</f>
        <v/>
      </c>
      <c r="AO118" s="31">
        <f>IF(ISNUMBER(AN118),AN118-Settings!$D$4,"")</f>
        <v/>
      </c>
      <c r="AP118" s="31">
        <f>IF(ISNUMBER(AL118),AL118+0+ROW()/100000,"")</f>
        <v/>
      </c>
      <c r="AQ118" s="31">
        <f>IF(OR(AG118="",NOT(ISNUMBER(AP118))),0,IF(SUMPRODUCT(('Responses'!$AG$2:$AG$501=AG118)*('Responses'!$AJ$2:$AJ$501=1)*ISNUMBER('Responses'!$AP$2:$AP$501)*('Responses'!$AP$2:$AP$501&gt;AP118)) + SUMPRODUCT(('Paper sign-ups'!$K$2:$K$101=AG118)*('Paper sign-ups'!$N$2:$N$101=1)*ISNUMBER('Paper sign-ups'!$T$2:$T$101)*('Paper sign-ups'!$T$2:$T$101&gt;AP118))&gt;0,1,0))</f>
        <v/>
      </c>
      <c r="AR118" s="31">
        <f>IF(AE118="","",IF(AQ118=1,"Joined again",IF(AJ118=0,"Unpaid",IF(NOT(ISNUMBER(AL118)),"Add a join date",IF(AN118="","No reminder",IF(AO118&lt;0,"Lapsed",IF(AO118&lt;=Settings!$D$6,"Remind soon","Current")))))))</f>
        <v/>
      </c>
      <c r="AS118" s="33">
        <f>IF(AJ118=1,IFERROR(VALUE(IFERROR(TRIM(INDEX($A118:$Z118,MATCH(Settings!$L$8,$A$1:$Z$1,0))&amp;""),"")),0)-IFERROR(VALUE(IFERROR(TRIM(INDEX($A118:$Z118,MATCH(Settings!$L$9,$A$1:$Z$1,0))&amp;""),"")),0),0)</f>
        <v/>
      </c>
      <c r="AT118" s="31">
        <f>IF(AND(AE118&lt;&gt;"",AQ118=0),1,0)</f>
        <v/>
      </c>
      <c r="AU118" s="31">
        <f>IF(AT118=0,"",IF(ISNUMBER(AN118),AN118,100000)+0+ROW()/1000000)</f>
        <v/>
      </c>
      <c r="AV118" s="31">
        <f>IF(ISNUMBER(AU118),SUMPRODUCT(ISNUMBER('Responses'!$AU$2:$AU$501)*('Responses'!$AU$2:$AU$501&lt;AU118)) + SUMPRODUCT(ISNUMBER('Paper sign-ups'!$Y$2:$Y$101)*('Paper sign-ups'!$Y$2:$Y$101&lt;AU118))+1,"")</f>
        <v/>
      </c>
    </row>
    <row r="119">
      <c r="AA119" s="29" t="n"/>
      <c r="AB119" s="30" t="n"/>
      <c r="AC119" s="30" t="n"/>
      <c r="AD119" s="29" t="n"/>
      <c r="AE119" s="31">
        <f>IFERROR(TRIM(INDEX($A119:$Z119,MATCH(Settings!$L$4,$A$1:$Z$1,0))&amp;""),"")</f>
        <v/>
      </c>
      <c r="AF119" s="31">
        <f>IFERROR(TRIM(INDEX($A119:$Z119,MATCH(Settings!$L$5,$A$1:$Z$1,0))&amp;""),"")</f>
        <v/>
      </c>
      <c r="AG119" s="31">
        <f>IF(AE119="","",LOWER(IF(AF119&lt;&gt;"",AF119,AE119)))</f>
        <v/>
      </c>
      <c r="AH119" s="31">
        <f>IFERROR(TRIM(INDEX($A119:$Z119,MATCH(Settings!$L$6,$A$1:$Z$1,0))&amp;""),"")</f>
        <v/>
      </c>
      <c r="AI119" s="31">
        <f>IF(AE119="","",IF(UPPER(TRIM(AB119&amp;""))="Y","Paid another way",IF(IFERROR(TRIM(INDEX($A119:$Z119,MATCH(Settings!$L$7,$A$1:$Z$1,0))&amp;""),"")="","No payment status",IFERROR(TRIM(INDEX($A119:$Z119,MATCH(Settings!$L$7,$A$1:$Z$1,0))&amp;""),""))))</f>
        <v/>
      </c>
      <c r="AJ119" s="31">
        <f>IF(AE119="",0,IF(IFERROR(INDEX(Settings!$J$4:$J$14,MATCH(AI119,Settings!$I$4:$I$14,0)),"N")="Y",1,0))</f>
        <v/>
      </c>
      <c r="AK119" s="32">
        <f>IFERROR(INT(IFERROR(IF(ISNUMBER(INDEX($A119:$Z119,MATCH(Settings!$L$10,$A$1:$Z$1,0))),INDEX($A119:$Z119,MATCH(Settings!$L$10,$A$1:$Z$1,0)),DATE(VALUE(LEFT(IFERROR(TRIM(INDEX($A119:$Z119,MATCH(Settings!$L$10,$A$1:$Z$1,0))&amp;""),""),4)),VALUE(MID(IFERROR(TRIM(INDEX($A119:$Z119,MATCH(Settings!$L$10,$A$1:$Z$1,0))&amp;""),""),6,2)),VALUE(MID(IFERROR(TRIM(INDEX($A119:$Z119,MATCH(Settings!$L$10,$A$1:$Z$1,0))&amp;""),""),9,2)))+TIME(VALUE(MID(IFERROR(TRIM(INDEX($A119:$Z119,MATCH(Settings!$L$10,$A$1:$Z$1,0))&amp;""),""),12,2)),VALUE(MID(IFERROR(TRIM(INDEX($A119:$Z119,MATCH(Settings!$L$10,$A$1:$Z$1,0))&amp;""),""),15,2)),VALUE(MID(IFERROR(TRIM(INDEX($A119:$Z119,MATCH(Settings!$L$10,$A$1:$Z$1,0))&amp;""),""),18,2)))),"")),"")</f>
        <v/>
      </c>
      <c r="AL119" s="32">
        <f>IF(AE119="","",IF(ISNUMBER(AK119),AK119,IFERROR(INT(IFERROR(IF(ISNUMBER(INDEX($A119:$Z119,MATCH(Settings!$L$11,$A$1:$Z$1,0))),INDEX($A119:$Z119,MATCH(Settings!$L$11,$A$1:$Z$1,0)),DATE(VALUE(LEFT(IFERROR(TRIM(INDEX($A119:$Z119,MATCH(Settings!$L$11,$A$1:$Z$1,0))&amp;""),""),4)),VALUE(MID(IFERROR(TRIM(INDEX($A119:$Z119,MATCH(Settings!$L$11,$A$1:$Z$1,0))&amp;""),""),6,2)),VALUE(MID(IFERROR(TRIM(INDEX($A119:$Z119,MATCH(Settings!$L$11,$A$1:$Z$1,0))&amp;""),""),9,2)))+TIME(VALUE(MID(IFERROR(TRIM(INDEX($A119:$Z119,MATCH(Settings!$L$11,$A$1:$Z$1,0))&amp;""),""),12,2)),VALUE(MID(IFERROR(TRIM(INDEX($A119:$Z119,MATCH(Settings!$L$11,$A$1:$Z$1,0))&amp;""),""),15,2)),VALUE(MID(IFERROR(TRIM(INDEX($A119:$Z119,MATCH(Settings!$L$11,$A$1:$Z$1,0))&amp;""),""),18,2)))),"")),"")))</f>
        <v/>
      </c>
      <c r="AM119" s="31">
        <f>IF(AE119="","",IF(ISNUMBER(IFERROR(INDEX(Settings!$G$4:$G$11,MATCH(AH119,Settings!$F$4:$F$11,0)),"")),INDEX(Settings!$G$4:$G$11,MATCH(AH119,Settings!$F$4:$F$11,0)),Settings!$D$5))</f>
        <v/>
      </c>
      <c r="AN119" s="32">
        <f>IF(OR(AE119="",NOT(ISNUMBER(AL119)),NOT(ISNUMBER(AM119))),"",IF(AM119&lt;=0,"",IF(ISNUMBER(Settings!$D$8),DATE(YEAR(AL119)+IF(DATE(YEAR(AL119),MONTH(Settings!$D$8),DAY(Settings!$D$8))&gt;AL119,0,1),MONTH(Settings!$D$8),DAY(Settings!$D$8)),MIN(DATE(YEAR(AL119),MONTH(AL119)+AM119,DAY(AL119)),DATE(YEAR(AL119),MONTH(AL119)+AM119+1,0)))))</f>
        <v/>
      </c>
      <c r="AO119" s="31">
        <f>IF(ISNUMBER(AN119),AN119-Settings!$D$4,"")</f>
        <v/>
      </c>
      <c r="AP119" s="31">
        <f>IF(ISNUMBER(AL119),AL119+0+ROW()/100000,"")</f>
        <v/>
      </c>
      <c r="AQ119" s="31">
        <f>IF(OR(AG119="",NOT(ISNUMBER(AP119))),0,IF(SUMPRODUCT(('Responses'!$AG$2:$AG$501=AG119)*('Responses'!$AJ$2:$AJ$501=1)*ISNUMBER('Responses'!$AP$2:$AP$501)*('Responses'!$AP$2:$AP$501&gt;AP119)) + SUMPRODUCT(('Paper sign-ups'!$K$2:$K$101=AG119)*('Paper sign-ups'!$N$2:$N$101=1)*ISNUMBER('Paper sign-ups'!$T$2:$T$101)*('Paper sign-ups'!$T$2:$T$101&gt;AP119))&gt;0,1,0))</f>
        <v/>
      </c>
      <c r="AR119" s="31">
        <f>IF(AE119="","",IF(AQ119=1,"Joined again",IF(AJ119=0,"Unpaid",IF(NOT(ISNUMBER(AL119)),"Add a join date",IF(AN119="","No reminder",IF(AO119&lt;0,"Lapsed",IF(AO119&lt;=Settings!$D$6,"Remind soon","Current")))))))</f>
        <v/>
      </c>
      <c r="AS119" s="33">
        <f>IF(AJ119=1,IFERROR(VALUE(IFERROR(TRIM(INDEX($A119:$Z119,MATCH(Settings!$L$8,$A$1:$Z$1,0))&amp;""),"")),0)-IFERROR(VALUE(IFERROR(TRIM(INDEX($A119:$Z119,MATCH(Settings!$L$9,$A$1:$Z$1,0))&amp;""),"")),0),0)</f>
        <v/>
      </c>
      <c r="AT119" s="31">
        <f>IF(AND(AE119&lt;&gt;"",AQ119=0),1,0)</f>
        <v/>
      </c>
      <c r="AU119" s="31">
        <f>IF(AT119=0,"",IF(ISNUMBER(AN119),AN119,100000)+0+ROW()/1000000)</f>
        <v/>
      </c>
      <c r="AV119" s="31">
        <f>IF(ISNUMBER(AU119),SUMPRODUCT(ISNUMBER('Responses'!$AU$2:$AU$501)*('Responses'!$AU$2:$AU$501&lt;AU119)) + SUMPRODUCT(ISNUMBER('Paper sign-ups'!$Y$2:$Y$101)*('Paper sign-ups'!$Y$2:$Y$101&lt;AU119))+1,"")</f>
        <v/>
      </c>
    </row>
    <row r="120">
      <c r="AA120" s="29" t="n"/>
      <c r="AB120" s="30" t="n"/>
      <c r="AC120" s="30" t="n"/>
      <c r="AD120" s="29" t="n"/>
      <c r="AE120" s="31">
        <f>IFERROR(TRIM(INDEX($A120:$Z120,MATCH(Settings!$L$4,$A$1:$Z$1,0))&amp;""),"")</f>
        <v/>
      </c>
      <c r="AF120" s="31">
        <f>IFERROR(TRIM(INDEX($A120:$Z120,MATCH(Settings!$L$5,$A$1:$Z$1,0))&amp;""),"")</f>
        <v/>
      </c>
      <c r="AG120" s="31">
        <f>IF(AE120="","",LOWER(IF(AF120&lt;&gt;"",AF120,AE120)))</f>
        <v/>
      </c>
      <c r="AH120" s="31">
        <f>IFERROR(TRIM(INDEX($A120:$Z120,MATCH(Settings!$L$6,$A$1:$Z$1,0))&amp;""),"")</f>
        <v/>
      </c>
      <c r="AI120" s="31">
        <f>IF(AE120="","",IF(UPPER(TRIM(AB120&amp;""))="Y","Paid another way",IF(IFERROR(TRIM(INDEX($A120:$Z120,MATCH(Settings!$L$7,$A$1:$Z$1,0))&amp;""),"")="","No payment status",IFERROR(TRIM(INDEX($A120:$Z120,MATCH(Settings!$L$7,$A$1:$Z$1,0))&amp;""),""))))</f>
        <v/>
      </c>
      <c r="AJ120" s="31">
        <f>IF(AE120="",0,IF(IFERROR(INDEX(Settings!$J$4:$J$14,MATCH(AI120,Settings!$I$4:$I$14,0)),"N")="Y",1,0))</f>
        <v/>
      </c>
      <c r="AK120" s="32">
        <f>IFERROR(INT(IFERROR(IF(ISNUMBER(INDEX($A120:$Z120,MATCH(Settings!$L$10,$A$1:$Z$1,0))),INDEX($A120:$Z120,MATCH(Settings!$L$10,$A$1:$Z$1,0)),DATE(VALUE(LEFT(IFERROR(TRIM(INDEX($A120:$Z120,MATCH(Settings!$L$10,$A$1:$Z$1,0))&amp;""),""),4)),VALUE(MID(IFERROR(TRIM(INDEX($A120:$Z120,MATCH(Settings!$L$10,$A$1:$Z$1,0))&amp;""),""),6,2)),VALUE(MID(IFERROR(TRIM(INDEX($A120:$Z120,MATCH(Settings!$L$10,$A$1:$Z$1,0))&amp;""),""),9,2)))+TIME(VALUE(MID(IFERROR(TRIM(INDEX($A120:$Z120,MATCH(Settings!$L$10,$A$1:$Z$1,0))&amp;""),""),12,2)),VALUE(MID(IFERROR(TRIM(INDEX($A120:$Z120,MATCH(Settings!$L$10,$A$1:$Z$1,0))&amp;""),""),15,2)),VALUE(MID(IFERROR(TRIM(INDEX($A120:$Z120,MATCH(Settings!$L$10,$A$1:$Z$1,0))&amp;""),""),18,2)))),"")),"")</f>
        <v/>
      </c>
      <c r="AL120" s="32">
        <f>IF(AE120="","",IF(ISNUMBER(AK120),AK120,IFERROR(INT(IFERROR(IF(ISNUMBER(INDEX($A120:$Z120,MATCH(Settings!$L$11,$A$1:$Z$1,0))),INDEX($A120:$Z120,MATCH(Settings!$L$11,$A$1:$Z$1,0)),DATE(VALUE(LEFT(IFERROR(TRIM(INDEX($A120:$Z120,MATCH(Settings!$L$11,$A$1:$Z$1,0))&amp;""),""),4)),VALUE(MID(IFERROR(TRIM(INDEX($A120:$Z120,MATCH(Settings!$L$11,$A$1:$Z$1,0))&amp;""),""),6,2)),VALUE(MID(IFERROR(TRIM(INDEX($A120:$Z120,MATCH(Settings!$L$11,$A$1:$Z$1,0))&amp;""),""),9,2)))+TIME(VALUE(MID(IFERROR(TRIM(INDEX($A120:$Z120,MATCH(Settings!$L$11,$A$1:$Z$1,0))&amp;""),""),12,2)),VALUE(MID(IFERROR(TRIM(INDEX($A120:$Z120,MATCH(Settings!$L$11,$A$1:$Z$1,0))&amp;""),""),15,2)),VALUE(MID(IFERROR(TRIM(INDEX($A120:$Z120,MATCH(Settings!$L$11,$A$1:$Z$1,0))&amp;""),""),18,2)))),"")),"")))</f>
        <v/>
      </c>
      <c r="AM120" s="31">
        <f>IF(AE120="","",IF(ISNUMBER(IFERROR(INDEX(Settings!$G$4:$G$11,MATCH(AH120,Settings!$F$4:$F$11,0)),"")),INDEX(Settings!$G$4:$G$11,MATCH(AH120,Settings!$F$4:$F$11,0)),Settings!$D$5))</f>
        <v/>
      </c>
      <c r="AN120" s="32">
        <f>IF(OR(AE120="",NOT(ISNUMBER(AL120)),NOT(ISNUMBER(AM120))),"",IF(AM120&lt;=0,"",IF(ISNUMBER(Settings!$D$8),DATE(YEAR(AL120)+IF(DATE(YEAR(AL120),MONTH(Settings!$D$8),DAY(Settings!$D$8))&gt;AL120,0,1),MONTH(Settings!$D$8),DAY(Settings!$D$8)),MIN(DATE(YEAR(AL120),MONTH(AL120)+AM120,DAY(AL120)),DATE(YEAR(AL120),MONTH(AL120)+AM120+1,0)))))</f>
        <v/>
      </c>
      <c r="AO120" s="31">
        <f>IF(ISNUMBER(AN120),AN120-Settings!$D$4,"")</f>
        <v/>
      </c>
      <c r="AP120" s="31">
        <f>IF(ISNUMBER(AL120),AL120+0+ROW()/100000,"")</f>
        <v/>
      </c>
      <c r="AQ120" s="31">
        <f>IF(OR(AG120="",NOT(ISNUMBER(AP120))),0,IF(SUMPRODUCT(('Responses'!$AG$2:$AG$501=AG120)*('Responses'!$AJ$2:$AJ$501=1)*ISNUMBER('Responses'!$AP$2:$AP$501)*('Responses'!$AP$2:$AP$501&gt;AP120)) + SUMPRODUCT(('Paper sign-ups'!$K$2:$K$101=AG120)*('Paper sign-ups'!$N$2:$N$101=1)*ISNUMBER('Paper sign-ups'!$T$2:$T$101)*('Paper sign-ups'!$T$2:$T$101&gt;AP120))&gt;0,1,0))</f>
        <v/>
      </c>
      <c r="AR120" s="31">
        <f>IF(AE120="","",IF(AQ120=1,"Joined again",IF(AJ120=0,"Unpaid",IF(NOT(ISNUMBER(AL120)),"Add a join date",IF(AN120="","No reminder",IF(AO120&lt;0,"Lapsed",IF(AO120&lt;=Settings!$D$6,"Remind soon","Current")))))))</f>
        <v/>
      </c>
      <c r="AS120" s="33">
        <f>IF(AJ120=1,IFERROR(VALUE(IFERROR(TRIM(INDEX($A120:$Z120,MATCH(Settings!$L$8,$A$1:$Z$1,0))&amp;""),"")),0)-IFERROR(VALUE(IFERROR(TRIM(INDEX($A120:$Z120,MATCH(Settings!$L$9,$A$1:$Z$1,0))&amp;""),"")),0),0)</f>
        <v/>
      </c>
      <c r="AT120" s="31">
        <f>IF(AND(AE120&lt;&gt;"",AQ120=0),1,0)</f>
        <v/>
      </c>
      <c r="AU120" s="31">
        <f>IF(AT120=0,"",IF(ISNUMBER(AN120),AN120,100000)+0+ROW()/1000000)</f>
        <v/>
      </c>
      <c r="AV120" s="31">
        <f>IF(ISNUMBER(AU120),SUMPRODUCT(ISNUMBER('Responses'!$AU$2:$AU$501)*('Responses'!$AU$2:$AU$501&lt;AU120)) + SUMPRODUCT(ISNUMBER('Paper sign-ups'!$Y$2:$Y$101)*('Paper sign-ups'!$Y$2:$Y$101&lt;AU120))+1,"")</f>
        <v/>
      </c>
    </row>
    <row r="121">
      <c r="AA121" s="29" t="n"/>
      <c r="AB121" s="30" t="n"/>
      <c r="AC121" s="30" t="n"/>
      <c r="AD121" s="29" t="n"/>
      <c r="AE121" s="31">
        <f>IFERROR(TRIM(INDEX($A121:$Z121,MATCH(Settings!$L$4,$A$1:$Z$1,0))&amp;""),"")</f>
        <v/>
      </c>
      <c r="AF121" s="31">
        <f>IFERROR(TRIM(INDEX($A121:$Z121,MATCH(Settings!$L$5,$A$1:$Z$1,0))&amp;""),"")</f>
        <v/>
      </c>
      <c r="AG121" s="31">
        <f>IF(AE121="","",LOWER(IF(AF121&lt;&gt;"",AF121,AE121)))</f>
        <v/>
      </c>
      <c r="AH121" s="31">
        <f>IFERROR(TRIM(INDEX($A121:$Z121,MATCH(Settings!$L$6,$A$1:$Z$1,0))&amp;""),"")</f>
        <v/>
      </c>
      <c r="AI121" s="31">
        <f>IF(AE121="","",IF(UPPER(TRIM(AB121&amp;""))="Y","Paid another way",IF(IFERROR(TRIM(INDEX($A121:$Z121,MATCH(Settings!$L$7,$A$1:$Z$1,0))&amp;""),"")="","No payment status",IFERROR(TRIM(INDEX($A121:$Z121,MATCH(Settings!$L$7,$A$1:$Z$1,0))&amp;""),""))))</f>
        <v/>
      </c>
      <c r="AJ121" s="31">
        <f>IF(AE121="",0,IF(IFERROR(INDEX(Settings!$J$4:$J$14,MATCH(AI121,Settings!$I$4:$I$14,0)),"N")="Y",1,0))</f>
        <v/>
      </c>
      <c r="AK121" s="32">
        <f>IFERROR(INT(IFERROR(IF(ISNUMBER(INDEX($A121:$Z121,MATCH(Settings!$L$10,$A$1:$Z$1,0))),INDEX($A121:$Z121,MATCH(Settings!$L$10,$A$1:$Z$1,0)),DATE(VALUE(LEFT(IFERROR(TRIM(INDEX($A121:$Z121,MATCH(Settings!$L$10,$A$1:$Z$1,0))&amp;""),""),4)),VALUE(MID(IFERROR(TRIM(INDEX($A121:$Z121,MATCH(Settings!$L$10,$A$1:$Z$1,0))&amp;""),""),6,2)),VALUE(MID(IFERROR(TRIM(INDEX($A121:$Z121,MATCH(Settings!$L$10,$A$1:$Z$1,0))&amp;""),""),9,2)))+TIME(VALUE(MID(IFERROR(TRIM(INDEX($A121:$Z121,MATCH(Settings!$L$10,$A$1:$Z$1,0))&amp;""),""),12,2)),VALUE(MID(IFERROR(TRIM(INDEX($A121:$Z121,MATCH(Settings!$L$10,$A$1:$Z$1,0))&amp;""),""),15,2)),VALUE(MID(IFERROR(TRIM(INDEX($A121:$Z121,MATCH(Settings!$L$10,$A$1:$Z$1,0))&amp;""),""),18,2)))),"")),"")</f>
        <v/>
      </c>
      <c r="AL121" s="32">
        <f>IF(AE121="","",IF(ISNUMBER(AK121),AK121,IFERROR(INT(IFERROR(IF(ISNUMBER(INDEX($A121:$Z121,MATCH(Settings!$L$11,$A$1:$Z$1,0))),INDEX($A121:$Z121,MATCH(Settings!$L$11,$A$1:$Z$1,0)),DATE(VALUE(LEFT(IFERROR(TRIM(INDEX($A121:$Z121,MATCH(Settings!$L$11,$A$1:$Z$1,0))&amp;""),""),4)),VALUE(MID(IFERROR(TRIM(INDEX($A121:$Z121,MATCH(Settings!$L$11,$A$1:$Z$1,0))&amp;""),""),6,2)),VALUE(MID(IFERROR(TRIM(INDEX($A121:$Z121,MATCH(Settings!$L$11,$A$1:$Z$1,0))&amp;""),""),9,2)))+TIME(VALUE(MID(IFERROR(TRIM(INDEX($A121:$Z121,MATCH(Settings!$L$11,$A$1:$Z$1,0))&amp;""),""),12,2)),VALUE(MID(IFERROR(TRIM(INDEX($A121:$Z121,MATCH(Settings!$L$11,$A$1:$Z$1,0))&amp;""),""),15,2)),VALUE(MID(IFERROR(TRIM(INDEX($A121:$Z121,MATCH(Settings!$L$11,$A$1:$Z$1,0))&amp;""),""),18,2)))),"")),"")))</f>
        <v/>
      </c>
      <c r="AM121" s="31">
        <f>IF(AE121="","",IF(ISNUMBER(IFERROR(INDEX(Settings!$G$4:$G$11,MATCH(AH121,Settings!$F$4:$F$11,0)),"")),INDEX(Settings!$G$4:$G$11,MATCH(AH121,Settings!$F$4:$F$11,0)),Settings!$D$5))</f>
        <v/>
      </c>
      <c r="AN121" s="32">
        <f>IF(OR(AE121="",NOT(ISNUMBER(AL121)),NOT(ISNUMBER(AM121))),"",IF(AM121&lt;=0,"",IF(ISNUMBER(Settings!$D$8),DATE(YEAR(AL121)+IF(DATE(YEAR(AL121),MONTH(Settings!$D$8),DAY(Settings!$D$8))&gt;AL121,0,1),MONTH(Settings!$D$8),DAY(Settings!$D$8)),MIN(DATE(YEAR(AL121),MONTH(AL121)+AM121,DAY(AL121)),DATE(YEAR(AL121),MONTH(AL121)+AM121+1,0)))))</f>
        <v/>
      </c>
      <c r="AO121" s="31">
        <f>IF(ISNUMBER(AN121),AN121-Settings!$D$4,"")</f>
        <v/>
      </c>
      <c r="AP121" s="31">
        <f>IF(ISNUMBER(AL121),AL121+0+ROW()/100000,"")</f>
        <v/>
      </c>
      <c r="AQ121" s="31">
        <f>IF(OR(AG121="",NOT(ISNUMBER(AP121))),0,IF(SUMPRODUCT(('Responses'!$AG$2:$AG$501=AG121)*('Responses'!$AJ$2:$AJ$501=1)*ISNUMBER('Responses'!$AP$2:$AP$501)*('Responses'!$AP$2:$AP$501&gt;AP121)) + SUMPRODUCT(('Paper sign-ups'!$K$2:$K$101=AG121)*('Paper sign-ups'!$N$2:$N$101=1)*ISNUMBER('Paper sign-ups'!$T$2:$T$101)*('Paper sign-ups'!$T$2:$T$101&gt;AP121))&gt;0,1,0))</f>
        <v/>
      </c>
      <c r="AR121" s="31">
        <f>IF(AE121="","",IF(AQ121=1,"Joined again",IF(AJ121=0,"Unpaid",IF(NOT(ISNUMBER(AL121)),"Add a join date",IF(AN121="","No reminder",IF(AO121&lt;0,"Lapsed",IF(AO121&lt;=Settings!$D$6,"Remind soon","Current")))))))</f>
        <v/>
      </c>
      <c r="AS121" s="33">
        <f>IF(AJ121=1,IFERROR(VALUE(IFERROR(TRIM(INDEX($A121:$Z121,MATCH(Settings!$L$8,$A$1:$Z$1,0))&amp;""),"")),0)-IFERROR(VALUE(IFERROR(TRIM(INDEX($A121:$Z121,MATCH(Settings!$L$9,$A$1:$Z$1,0))&amp;""),"")),0),0)</f>
        <v/>
      </c>
      <c r="AT121" s="31">
        <f>IF(AND(AE121&lt;&gt;"",AQ121=0),1,0)</f>
        <v/>
      </c>
      <c r="AU121" s="31">
        <f>IF(AT121=0,"",IF(ISNUMBER(AN121),AN121,100000)+0+ROW()/1000000)</f>
        <v/>
      </c>
      <c r="AV121" s="31">
        <f>IF(ISNUMBER(AU121),SUMPRODUCT(ISNUMBER('Responses'!$AU$2:$AU$501)*('Responses'!$AU$2:$AU$501&lt;AU121)) + SUMPRODUCT(ISNUMBER('Paper sign-ups'!$Y$2:$Y$101)*('Paper sign-ups'!$Y$2:$Y$101&lt;AU121))+1,"")</f>
        <v/>
      </c>
    </row>
    <row r="122">
      <c r="AA122" s="29" t="n"/>
      <c r="AB122" s="30" t="n"/>
      <c r="AC122" s="30" t="n"/>
      <c r="AD122" s="29" t="n"/>
      <c r="AE122" s="31">
        <f>IFERROR(TRIM(INDEX($A122:$Z122,MATCH(Settings!$L$4,$A$1:$Z$1,0))&amp;""),"")</f>
        <v/>
      </c>
      <c r="AF122" s="31">
        <f>IFERROR(TRIM(INDEX($A122:$Z122,MATCH(Settings!$L$5,$A$1:$Z$1,0))&amp;""),"")</f>
        <v/>
      </c>
      <c r="AG122" s="31">
        <f>IF(AE122="","",LOWER(IF(AF122&lt;&gt;"",AF122,AE122)))</f>
        <v/>
      </c>
      <c r="AH122" s="31">
        <f>IFERROR(TRIM(INDEX($A122:$Z122,MATCH(Settings!$L$6,$A$1:$Z$1,0))&amp;""),"")</f>
        <v/>
      </c>
      <c r="AI122" s="31">
        <f>IF(AE122="","",IF(UPPER(TRIM(AB122&amp;""))="Y","Paid another way",IF(IFERROR(TRIM(INDEX($A122:$Z122,MATCH(Settings!$L$7,$A$1:$Z$1,0))&amp;""),"")="","No payment status",IFERROR(TRIM(INDEX($A122:$Z122,MATCH(Settings!$L$7,$A$1:$Z$1,0))&amp;""),""))))</f>
        <v/>
      </c>
      <c r="AJ122" s="31">
        <f>IF(AE122="",0,IF(IFERROR(INDEX(Settings!$J$4:$J$14,MATCH(AI122,Settings!$I$4:$I$14,0)),"N")="Y",1,0))</f>
        <v/>
      </c>
      <c r="AK122" s="32">
        <f>IFERROR(INT(IFERROR(IF(ISNUMBER(INDEX($A122:$Z122,MATCH(Settings!$L$10,$A$1:$Z$1,0))),INDEX($A122:$Z122,MATCH(Settings!$L$10,$A$1:$Z$1,0)),DATE(VALUE(LEFT(IFERROR(TRIM(INDEX($A122:$Z122,MATCH(Settings!$L$10,$A$1:$Z$1,0))&amp;""),""),4)),VALUE(MID(IFERROR(TRIM(INDEX($A122:$Z122,MATCH(Settings!$L$10,$A$1:$Z$1,0))&amp;""),""),6,2)),VALUE(MID(IFERROR(TRIM(INDEX($A122:$Z122,MATCH(Settings!$L$10,$A$1:$Z$1,0))&amp;""),""),9,2)))+TIME(VALUE(MID(IFERROR(TRIM(INDEX($A122:$Z122,MATCH(Settings!$L$10,$A$1:$Z$1,0))&amp;""),""),12,2)),VALUE(MID(IFERROR(TRIM(INDEX($A122:$Z122,MATCH(Settings!$L$10,$A$1:$Z$1,0))&amp;""),""),15,2)),VALUE(MID(IFERROR(TRIM(INDEX($A122:$Z122,MATCH(Settings!$L$10,$A$1:$Z$1,0))&amp;""),""),18,2)))),"")),"")</f>
        <v/>
      </c>
      <c r="AL122" s="32">
        <f>IF(AE122="","",IF(ISNUMBER(AK122),AK122,IFERROR(INT(IFERROR(IF(ISNUMBER(INDEX($A122:$Z122,MATCH(Settings!$L$11,$A$1:$Z$1,0))),INDEX($A122:$Z122,MATCH(Settings!$L$11,$A$1:$Z$1,0)),DATE(VALUE(LEFT(IFERROR(TRIM(INDEX($A122:$Z122,MATCH(Settings!$L$11,$A$1:$Z$1,0))&amp;""),""),4)),VALUE(MID(IFERROR(TRIM(INDEX($A122:$Z122,MATCH(Settings!$L$11,$A$1:$Z$1,0))&amp;""),""),6,2)),VALUE(MID(IFERROR(TRIM(INDEX($A122:$Z122,MATCH(Settings!$L$11,$A$1:$Z$1,0))&amp;""),""),9,2)))+TIME(VALUE(MID(IFERROR(TRIM(INDEX($A122:$Z122,MATCH(Settings!$L$11,$A$1:$Z$1,0))&amp;""),""),12,2)),VALUE(MID(IFERROR(TRIM(INDEX($A122:$Z122,MATCH(Settings!$L$11,$A$1:$Z$1,0))&amp;""),""),15,2)),VALUE(MID(IFERROR(TRIM(INDEX($A122:$Z122,MATCH(Settings!$L$11,$A$1:$Z$1,0))&amp;""),""),18,2)))),"")),"")))</f>
        <v/>
      </c>
      <c r="AM122" s="31">
        <f>IF(AE122="","",IF(ISNUMBER(IFERROR(INDEX(Settings!$G$4:$G$11,MATCH(AH122,Settings!$F$4:$F$11,0)),"")),INDEX(Settings!$G$4:$G$11,MATCH(AH122,Settings!$F$4:$F$11,0)),Settings!$D$5))</f>
        <v/>
      </c>
      <c r="AN122" s="32">
        <f>IF(OR(AE122="",NOT(ISNUMBER(AL122)),NOT(ISNUMBER(AM122))),"",IF(AM122&lt;=0,"",IF(ISNUMBER(Settings!$D$8),DATE(YEAR(AL122)+IF(DATE(YEAR(AL122),MONTH(Settings!$D$8),DAY(Settings!$D$8))&gt;AL122,0,1),MONTH(Settings!$D$8),DAY(Settings!$D$8)),MIN(DATE(YEAR(AL122),MONTH(AL122)+AM122,DAY(AL122)),DATE(YEAR(AL122),MONTH(AL122)+AM122+1,0)))))</f>
        <v/>
      </c>
      <c r="AO122" s="31">
        <f>IF(ISNUMBER(AN122),AN122-Settings!$D$4,"")</f>
        <v/>
      </c>
      <c r="AP122" s="31">
        <f>IF(ISNUMBER(AL122),AL122+0+ROW()/100000,"")</f>
        <v/>
      </c>
      <c r="AQ122" s="31">
        <f>IF(OR(AG122="",NOT(ISNUMBER(AP122))),0,IF(SUMPRODUCT(('Responses'!$AG$2:$AG$501=AG122)*('Responses'!$AJ$2:$AJ$501=1)*ISNUMBER('Responses'!$AP$2:$AP$501)*('Responses'!$AP$2:$AP$501&gt;AP122)) + SUMPRODUCT(('Paper sign-ups'!$K$2:$K$101=AG122)*('Paper sign-ups'!$N$2:$N$101=1)*ISNUMBER('Paper sign-ups'!$T$2:$T$101)*('Paper sign-ups'!$T$2:$T$101&gt;AP122))&gt;0,1,0))</f>
        <v/>
      </c>
      <c r="AR122" s="31">
        <f>IF(AE122="","",IF(AQ122=1,"Joined again",IF(AJ122=0,"Unpaid",IF(NOT(ISNUMBER(AL122)),"Add a join date",IF(AN122="","No reminder",IF(AO122&lt;0,"Lapsed",IF(AO122&lt;=Settings!$D$6,"Remind soon","Current")))))))</f>
        <v/>
      </c>
      <c r="AS122" s="33">
        <f>IF(AJ122=1,IFERROR(VALUE(IFERROR(TRIM(INDEX($A122:$Z122,MATCH(Settings!$L$8,$A$1:$Z$1,0))&amp;""),"")),0)-IFERROR(VALUE(IFERROR(TRIM(INDEX($A122:$Z122,MATCH(Settings!$L$9,$A$1:$Z$1,0))&amp;""),"")),0),0)</f>
        <v/>
      </c>
      <c r="AT122" s="31">
        <f>IF(AND(AE122&lt;&gt;"",AQ122=0),1,0)</f>
        <v/>
      </c>
      <c r="AU122" s="31">
        <f>IF(AT122=0,"",IF(ISNUMBER(AN122),AN122,100000)+0+ROW()/1000000)</f>
        <v/>
      </c>
      <c r="AV122" s="31">
        <f>IF(ISNUMBER(AU122),SUMPRODUCT(ISNUMBER('Responses'!$AU$2:$AU$501)*('Responses'!$AU$2:$AU$501&lt;AU122)) + SUMPRODUCT(ISNUMBER('Paper sign-ups'!$Y$2:$Y$101)*('Paper sign-ups'!$Y$2:$Y$101&lt;AU122))+1,"")</f>
        <v/>
      </c>
    </row>
    <row r="123">
      <c r="AA123" s="29" t="n"/>
      <c r="AB123" s="30" t="n"/>
      <c r="AC123" s="30" t="n"/>
      <c r="AD123" s="29" t="n"/>
      <c r="AE123" s="31">
        <f>IFERROR(TRIM(INDEX($A123:$Z123,MATCH(Settings!$L$4,$A$1:$Z$1,0))&amp;""),"")</f>
        <v/>
      </c>
      <c r="AF123" s="31">
        <f>IFERROR(TRIM(INDEX($A123:$Z123,MATCH(Settings!$L$5,$A$1:$Z$1,0))&amp;""),"")</f>
        <v/>
      </c>
      <c r="AG123" s="31">
        <f>IF(AE123="","",LOWER(IF(AF123&lt;&gt;"",AF123,AE123)))</f>
        <v/>
      </c>
      <c r="AH123" s="31">
        <f>IFERROR(TRIM(INDEX($A123:$Z123,MATCH(Settings!$L$6,$A$1:$Z$1,0))&amp;""),"")</f>
        <v/>
      </c>
      <c r="AI123" s="31">
        <f>IF(AE123="","",IF(UPPER(TRIM(AB123&amp;""))="Y","Paid another way",IF(IFERROR(TRIM(INDEX($A123:$Z123,MATCH(Settings!$L$7,$A$1:$Z$1,0))&amp;""),"")="","No payment status",IFERROR(TRIM(INDEX($A123:$Z123,MATCH(Settings!$L$7,$A$1:$Z$1,0))&amp;""),""))))</f>
        <v/>
      </c>
      <c r="AJ123" s="31">
        <f>IF(AE123="",0,IF(IFERROR(INDEX(Settings!$J$4:$J$14,MATCH(AI123,Settings!$I$4:$I$14,0)),"N")="Y",1,0))</f>
        <v/>
      </c>
      <c r="AK123" s="32">
        <f>IFERROR(INT(IFERROR(IF(ISNUMBER(INDEX($A123:$Z123,MATCH(Settings!$L$10,$A$1:$Z$1,0))),INDEX($A123:$Z123,MATCH(Settings!$L$10,$A$1:$Z$1,0)),DATE(VALUE(LEFT(IFERROR(TRIM(INDEX($A123:$Z123,MATCH(Settings!$L$10,$A$1:$Z$1,0))&amp;""),""),4)),VALUE(MID(IFERROR(TRIM(INDEX($A123:$Z123,MATCH(Settings!$L$10,$A$1:$Z$1,0))&amp;""),""),6,2)),VALUE(MID(IFERROR(TRIM(INDEX($A123:$Z123,MATCH(Settings!$L$10,$A$1:$Z$1,0))&amp;""),""),9,2)))+TIME(VALUE(MID(IFERROR(TRIM(INDEX($A123:$Z123,MATCH(Settings!$L$10,$A$1:$Z$1,0))&amp;""),""),12,2)),VALUE(MID(IFERROR(TRIM(INDEX($A123:$Z123,MATCH(Settings!$L$10,$A$1:$Z$1,0))&amp;""),""),15,2)),VALUE(MID(IFERROR(TRIM(INDEX($A123:$Z123,MATCH(Settings!$L$10,$A$1:$Z$1,0))&amp;""),""),18,2)))),"")),"")</f>
        <v/>
      </c>
      <c r="AL123" s="32">
        <f>IF(AE123="","",IF(ISNUMBER(AK123),AK123,IFERROR(INT(IFERROR(IF(ISNUMBER(INDEX($A123:$Z123,MATCH(Settings!$L$11,$A$1:$Z$1,0))),INDEX($A123:$Z123,MATCH(Settings!$L$11,$A$1:$Z$1,0)),DATE(VALUE(LEFT(IFERROR(TRIM(INDEX($A123:$Z123,MATCH(Settings!$L$11,$A$1:$Z$1,0))&amp;""),""),4)),VALUE(MID(IFERROR(TRIM(INDEX($A123:$Z123,MATCH(Settings!$L$11,$A$1:$Z$1,0))&amp;""),""),6,2)),VALUE(MID(IFERROR(TRIM(INDEX($A123:$Z123,MATCH(Settings!$L$11,$A$1:$Z$1,0))&amp;""),""),9,2)))+TIME(VALUE(MID(IFERROR(TRIM(INDEX($A123:$Z123,MATCH(Settings!$L$11,$A$1:$Z$1,0))&amp;""),""),12,2)),VALUE(MID(IFERROR(TRIM(INDEX($A123:$Z123,MATCH(Settings!$L$11,$A$1:$Z$1,0))&amp;""),""),15,2)),VALUE(MID(IFERROR(TRIM(INDEX($A123:$Z123,MATCH(Settings!$L$11,$A$1:$Z$1,0))&amp;""),""),18,2)))),"")),"")))</f>
        <v/>
      </c>
      <c r="AM123" s="31">
        <f>IF(AE123="","",IF(ISNUMBER(IFERROR(INDEX(Settings!$G$4:$G$11,MATCH(AH123,Settings!$F$4:$F$11,0)),"")),INDEX(Settings!$G$4:$G$11,MATCH(AH123,Settings!$F$4:$F$11,0)),Settings!$D$5))</f>
        <v/>
      </c>
      <c r="AN123" s="32">
        <f>IF(OR(AE123="",NOT(ISNUMBER(AL123)),NOT(ISNUMBER(AM123))),"",IF(AM123&lt;=0,"",IF(ISNUMBER(Settings!$D$8),DATE(YEAR(AL123)+IF(DATE(YEAR(AL123),MONTH(Settings!$D$8),DAY(Settings!$D$8))&gt;AL123,0,1),MONTH(Settings!$D$8),DAY(Settings!$D$8)),MIN(DATE(YEAR(AL123),MONTH(AL123)+AM123,DAY(AL123)),DATE(YEAR(AL123),MONTH(AL123)+AM123+1,0)))))</f>
        <v/>
      </c>
      <c r="AO123" s="31">
        <f>IF(ISNUMBER(AN123),AN123-Settings!$D$4,"")</f>
        <v/>
      </c>
      <c r="AP123" s="31">
        <f>IF(ISNUMBER(AL123),AL123+0+ROW()/100000,"")</f>
        <v/>
      </c>
      <c r="AQ123" s="31">
        <f>IF(OR(AG123="",NOT(ISNUMBER(AP123))),0,IF(SUMPRODUCT(('Responses'!$AG$2:$AG$501=AG123)*('Responses'!$AJ$2:$AJ$501=1)*ISNUMBER('Responses'!$AP$2:$AP$501)*('Responses'!$AP$2:$AP$501&gt;AP123)) + SUMPRODUCT(('Paper sign-ups'!$K$2:$K$101=AG123)*('Paper sign-ups'!$N$2:$N$101=1)*ISNUMBER('Paper sign-ups'!$T$2:$T$101)*('Paper sign-ups'!$T$2:$T$101&gt;AP123))&gt;0,1,0))</f>
        <v/>
      </c>
      <c r="AR123" s="31">
        <f>IF(AE123="","",IF(AQ123=1,"Joined again",IF(AJ123=0,"Unpaid",IF(NOT(ISNUMBER(AL123)),"Add a join date",IF(AN123="","No reminder",IF(AO123&lt;0,"Lapsed",IF(AO123&lt;=Settings!$D$6,"Remind soon","Current")))))))</f>
        <v/>
      </c>
      <c r="AS123" s="33">
        <f>IF(AJ123=1,IFERROR(VALUE(IFERROR(TRIM(INDEX($A123:$Z123,MATCH(Settings!$L$8,$A$1:$Z$1,0))&amp;""),"")),0)-IFERROR(VALUE(IFERROR(TRIM(INDEX($A123:$Z123,MATCH(Settings!$L$9,$A$1:$Z$1,0))&amp;""),"")),0),0)</f>
        <v/>
      </c>
      <c r="AT123" s="31">
        <f>IF(AND(AE123&lt;&gt;"",AQ123=0),1,0)</f>
        <v/>
      </c>
      <c r="AU123" s="31">
        <f>IF(AT123=0,"",IF(ISNUMBER(AN123),AN123,100000)+0+ROW()/1000000)</f>
        <v/>
      </c>
      <c r="AV123" s="31">
        <f>IF(ISNUMBER(AU123),SUMPRODUCT(ISNUMBER('Responses'!$AU$2:$AU$501)*('Responses'!$AU$2:$AU$501&lt;AU123)) + SUMPRODUCT(ISNUMBER('Paper sign-ups'!$Y$2:$Y$101)*('Paper sign-ups'!$Y$2:$Y$101&lt;AU123))+1,"")</f>
        <v/>
      </c>
    </row>
    <row r="124">
      <c r="AA124" s="29" t="n"/>
      <c r="AB124" s="30" t="n"/>
      <c r="AC124" s="30" t="n"/>
      <c r="AD124" s="29" t="n"/>
      <c r="AE124" s="31">
        <f>IFERROR(TRIM(INDEX($A124:$Z124,MATCH(Settings!$L$4,$A$1:$Z$1,0))&amp;""),"")</f>
        <v/>
      </c>
      <c r="AF124" s="31">
        <f>IFERROR(TRIM(INDEX($A124:$Z124,MATCH(Settings!$L$5,$A$1:$Z$1,0))&amp;""),"")</f>
        <v/>
      </c>
      <c r="AG124" s="31">
        <f>IF(AE124="","",LOWER(IF(AF124&lt;&gt;"",AF124,AE124)))</f>
        <v/>
      </c>
      <c r="AH124" s="31">
        <f>IFERROR(TRIM(INDEX($A124:$Z124,MATCH(Settings!$L$6,$A$1:$Z$1,0))&amp;""),"")</f>
        <v/>
      </c>
      <c r="AI124" s="31">
        <f>IF(AE124="","",IF(UPPER(TRIM(AB124&amp;""))="Y","Paid another way",IF(IFERROR(TRIM(INDEX($A124:$Z124,MATCH(Settings!$L$7,$A$1:$Z$1,0))&amp;""),"")="","No payment status",IFERROR(TRIM(INDEX($A124:$Z124,MATCH(Settings!$L$7,$A$1:$Z$1,0))&amp;""),""))))</f>
        <v/>
      </c>
      <c r="AJ124" s="31">
        <f>IF(AE124="",0,IF(IFERROR(INDEX(Settings!$J$4:$J$14,MATCH(AI124,Settings!$I$4:$I$14,0)),"N")="Y",1,0))</f>
        <v/>
      </c>
      <c r="AK124" s="32">
        <f>IFERROR(INT(IFERROR(IF(ISNUMBER(INDEX($A124:$Z124,MATCH(Settings!$L$10,$A$1:$Z$1,0))),INDEX($A124:$Z124,MATCH(Settings!$L$10,$A$1:$Z$1,0)),DATE(VALUE(LEFT(IFERROR(TRIM(INDEX($A124:$Z124,MATCH(Settings!$L$10,$A$1:$Z$1,0))&amp;""),""),4)),VALUE(MID(IFERROR(TRIM(INDEX($A124:$Z124,MATCH(Settings!$L$10,$A$1:$Z$1,0))&amp;""),""),6,2)),VALUE(MID(IFERROR(TRIM(INDEX($A124:$Z124,MATCH(Settings!$L$10,$A$1:$Z$1,0))&amp;""),""),9,2)))+TIME(VALUE(MID(IFERROR(TRIM(INDEX($A124:$Z124,MATCH(Settings!$L$10,$A$1:$Z$1,0))&amp;""),""),12,2)),VALUE(MID(IFERROR(TRIM(INDEX($A124:$Z124,MATCH(Settings!$L$10,$A$1:$Z$1,0))&amp;""),""),15,2)),VALUE(MID(IFERROR(TRIM(INDEX($A124:$Z124,MATCH(Settings!$L$10,$A$1:$Z$1,0))&amp;""),""),18,2)))),"")),"")</f>
        <v/>
      </c>
      <c r="AL124" s="32">
        <f>IF(AE124="","",IF(ISNUMBER(AK124),AK124,IFERROR(INT(IFERROR(IF(ISNUMBER(INDEX($A124:$Z124,MATCH(Settings!$L$11,$A$1:$Z$1,0))),INDEX($A124:$Z124,MATCH(Settings!$L$11,$A$1:$Z$1,0)),DATE(VALUE(LEFT(IFERROR(TRIM(INDEX($A124:$Z124,MATCH(Settings!$L$11,$A$1:$Z$1,0))&amp;""),""),4)),VALUE(MID(IFERROR(TRIM(INDEX($A124:$Z124,MATCH(Settings!$L$11,$A$1:$Z$1,0))&amp;""),""),6,2)),VALUE(MID(IFERROR(TRIM(INDEX($A124:$Z124,MATCH(Settings!$L$11,$A$1:$Z$1,0))&amp;""),""),9,2)))+TIME(VALUE(MID(IFERROR(TRIM(INDEX($A124:$Z124,MATCH(Settings!$L$11,$A$1:$Z$1,0))&amp;""),""),12,2)),VALUE(MID(IFERROR(TRIM(INDEX($A124:$Z124,MATCH(Settings!$L$11,$A$1:$Z$1,0))&amp;""),""),15,2)),VALUE(MID(IFERROR(TRIM(INDEX($A124:$Z124,MATCH(Settings!$L$11,$A$1:$Z$1,0))&amp;""),""),18,2)))),"")),"")))</f>
        <v/>
      </c>
      <c r="AM124" s="31">
        <f>IF(AE124="","",IF(ISNUMBER(IFERROR(INDEX(Settings!$G$4:$G$11,MATCH(AH124,Settings!$F$4:$F$11,0)),"")),INDEX(Settings!$G$4:$G$11,MATCH(AH124,Settings!$F$4:$F$11,0)),Settings!$D$5))</f>
        <v/>
      </c>
      <c r="AN124" s="32">
        <f>IF(OR(AE124="",NOT(ISNUMBER(AL124)),NOT(ISNUMBER(AM124))),"",IF(AM124&lt;=0,"",IF(ISNUMBER(Settings!$D$8),DATE(YEAR(AL124)+IF(DATE(YEAR(AL124),MONTH(Settings!$D$8),DAY(Settings!$D$8))&gt;AL124,0,1),MONTH(Settings!$D$8),DAY(Settings!$D$8)),MIN(DATE(YEAR(AL124),MONTH(AL124)+AM124,DAY(AL124)),DATE(YEAR(AL124),MONTH(AL124)+AM124+1,0)))))</f>
        <v/>
      </c>
      <c r="AO124" s="31">
        <f>IF(ISNUMBER(AN124),AN124-Settings!$D$4,"")</f>
        <v/>
      </c>
      <c r="AP124" s="31">
        <f>IF(ISNUMBER(AL124),AL124+0+ROW()/100000,"")</f>
        <v/>
      </c>
      <c r="AQ124" s="31">
        <f>IF(OR(AG124="",NOT(ISNUMBER(AP124))),0,IF(SUMPRODUCT(('Responses'!$AG$2:$AG$501=AG124)*('Responses'!$AJ$2:$AJ$501=1)*ISNUMBER('Responses'!$AP$2:$AP$501)*('Responses'!$AP$2:$AP$501&gt;AP124)) + SUMPRODUCT(('Paper sign-ups'!$K$2:$K$101=AG124)*('Paper sign-ups'!$N$2:$N$101=1)*ISNUMBER('Paper sign-ups'!$T$2:$T$101)*('Paper sign-ups'!$T$2:$T$101&gt;AP124))&gt;0,1,0))</f>
        <v/>
      </c>
      <c r="AR124" s="31">
        <f>IF(AE124="","",IF(AQ124=1,"Joined again",IF(AJ124=0,"Unpaid",IF(NOT(ISNUMBER(AL124)),"Add a join date",IF(AN124="","No reminder",IF(AO124&lt;0,"Lapsed",IF(AO124&lt;=Settings!$D$6,"Remind soon","Current")))))))</f>
        <v/>
      </c>
      <c r="AS124" s="33">
        <f>IF(AJ124=1,IFERROR(VALUE(IFERROR(TRIM(INDEX($A124:$Z124,MATCH(Settings!$L$8,$A$1:$Z$1,0))&amp;""),"")),0)-IFERROR(VALUE(IFERROR(TRIM(INDEX($A124:$Z124,MATCH(Settings!$L$9,$A$1:$Z$1,0))&amp;""),"")),0),0)</f>
        <v/>
      </c>
      <c r="AT124" s="31">
        <f>IF(AND(AE124&lt;&gt;"",AQ124=0),1,0)</f>
        <v/>
      </c>
      <c r="AU124" s="31">
        <f>IF(AT124=0,"",IF(ISNUMBER(AN124),AN124,100000)+0+ROW()/1000000)</f>
        <v/>
      </c>
      <c r="AV124" s="31">
        <f>IF(ISNUMBER(AU124),SUMPRODUCT(ISNUMBER('Responses'!$AU$2:$AU$501)*('Responses'!$AU$2:$AU$501&lt;AU124)) + SUMPRODUCT(ISNUMBER('Paper sign-ups'!$Y$2:$Y$101)*('Paper sign-ups'!$Y$2:$Y$101&lt;AU124))+1,"")</f>
        <v/>
      </c>
    </row>
    <row r="125">
      <c r="AA125" s="29" t="n"/>
      <c r="AB125" s="30" t="n"/>
      <c r="AC125" s="30" t="n"/>
      <c r="AD125" s="29" t="n"/>
      <c r="AE125" s="31">
        <f>IFERROR(TRIM(INDEX($A125:$Z125,MATCH(Settings!$L$4,$A$1:$Z$1,0))&amp;""),"")</f>
        <v/>
      </c>
      <c r="AF125" s="31">
        <f>IFERROR(TRIM(INDEX($A125:$Z125,MATCH(Settings!$L$5,$A$1:$Z$1,0))&amp;""),"")</f>
        <v/>
      </c>
      <c r="AG125" s="31">
        <f>IF(AE125="","",LOWER(IF(AF125&lt;&gt;"",AF125,AE125)))</f>
        <v/>
      </c>
      <c r="AH125" s="31">
        <f>IFERROR(TRIM(INDEX($A125:$Z125,MATCH(Settings!$L$6,$A$1:$Z$1,0))&amp;""),"")</f>
        <v/>
      </c>
      <c r="AI125" s="31">
        <f>IF(AE125="","",IF(UPPER(TRIM(AB125&amp;""))="Y","Paid another way",IF(IFERROR(TRIM(INDEX($A125:$Z125,MATCH(Settings!$L$7,$A$1:$Z$1,0))&amp;""),"")="","No payment status",IFERROR(TRIM(INDEX($A125:$Z125,MATCH(Settings!$L$7,$A$1:$Z$1,0))&amp;""),""))))</f>
        <v/>
      </c>
      <c r="AJ125" s="31">
        <f>IF(AE125="",0,IF(IFERROR(INDEX(Settings!$J$4:$J$14,MATCH(AI125,Settings!$I$4:$I$14,0)),"N")="Y",1,0))</f>
        <v/>
      </c>
      <c r="AK125" s="32">
        <f>IFERROR(INT(IFERROR(IF(ISNUMBER(INDEX($A125:$Z125,MATCH(Settings!$L$10,$A$1:$Z$1,0))),INDEX($A125:$Z125,MATCH(Settings!$L$10,$A$1:$Z$1,0)),DATE(VALUE(LEFT(IFERROR(TRIM(INDEX($A125:$Z125,MATCH(Settings!$L$10,$A$1:$Z$1,0))&amp;""),""),4)),VALUE(MID(IFERROR(TRIM(INDEX($A125:$Z125,MATCH(Settings!$L$10,$A$1:$Z$1,0))&amp;""),""),6,2)),VALUE(MID(IFERROR(TRIM(INDEX($A125:$Z125,MATCH(Settings!$L$10,$A$1:$Z$1,0))&amp;""),""),9,2)))+TIME(VALUE(MID(IFERROR(TRIM(INDEX($A125:$Z125,MATCH(Settings!$L$10,$A$1:$Z$1,0))&amp;""),""),12,2)),VALUE(MID(IFERROR(TRIM(INDEX($A125:$Z125,MATCH(Settings!$L$10,$A$1:$Z$1,0))&amp;""),""),15,2)),VALUE(MID(IFERROR(TRIM(INDEX($A125:$Z125,MATCH(Settings!$L$10,$A$1:$Z$1,0))&amp;""),""),18,2)))),"")),"")</f>
        <v/>
      </c>
      <c r="AL125" s="32">
        <f>IF(AE125="","",IF(ISNUMBER(AK125),AK125,IFERROR(INT(IFERROR(IF(ISNUMBER(INDEX($A125:$Z125,MATCH(Settings!$L$11,$A$1:$Z$1,0))),INDEX($A125:$Z125,MATCH(Settings!$L$11,$A$1:$Z$1,0)),DATE(VALUE(LEFT(IFERROR(TRIM(INDEX($A125:$Z125,MATCH(Settings!$L$11,$A$1:$Z$1,0))&amp;""),""),4)),VALUE(MID(IFERROR(TRIM(INDEX($A125:$Z125,MATCH(Settings!$L$11,$A$1:$Z$1,0))&amp;""),""),6,2)),VALUE(MID(IFERROR(TRIM(INDEX($A125:$Z125,MATCH(Settings!$L$11,$A$1:$Z$1,0))&amp;""),""),9,2)))+TIME(VALUE(MID(IFERROR(TRIM(INDEX($A125:$Z125,MATCH(Settings!$L$11,$A$1:$Z$1,0))&amp;""),""),12,2)),VALUE(MID(IFERROR(TRIM(INDEX($A125:$Z125,MATCH(Settings!$L$11,$A$1:$Z$1,0))&amp;""),""),15,2)),VALUE(MID(IFERROR(TRIM(INDEX($A125:$Z125,MATCH(Settings!$L$11,$A$1:$Z$1,0))&amp;""),""),18,2)))),"")),"")))</f>
        <v/>
      </c>
      <c r="AM125" s="31">
        <f>IF(AE125="","",IF(ISNUMBER(IFERROR(INDEX(Settings!$G$4:$G$11,MATCH(AH125,Settings!$F$4:$F$11,0)),"")),INDEX(Settings!$G$4:$G$11,MATCH(AH125,Settings!$F$4:$F$11,0)),Settings!$D$5))</f>
        <v/>
      </c>
      <c r="AN125" s="32">
        <f>IF(OR(AE125="",NOT(ISNUMBER(AL125)),NOT(ISNUMBER(AM125))),"",IF(AM125&lt;=0,"",IF(ISNUMBER(Settings!$D$8),DATE(YEAR(AL125)+IF(DATE(YEAR(AL125),MONTH(Settings!$D$8),DAY(Settings!$D$8))&gt;AL125,0,1),MONTH(Settings!$D$8),DAY(Settings!$D$8)),MIN(DATE(YEAR(AL125),MONTH(AL125)+AM125,DAY(AL125)),DATE(YEAR(AL125),MONTH(AL125)+AM125+1,0)))))</f>
        <v/>
      </c>
      <c r="AO125" s="31">
        <f>IF(ISNUMBER(AN125),AN125-Settings!$D$4,"")</f>
        <v/>
      </c>
      <c r="AP125" s="31">
        <f>IF(ISNUMBER(AL125),AL125+0+ROW()/100000,"")</f>
        <v/>
      </c>
      <c r="AQ125" s="31">
        <f>IF(OR(AG125="",NOT(ISNUMBER(AP125))),0,IF(SUMPRODUCT(('Responses'!$AG$2:$AG$501=AG125)*('Responses'!$AJ$2:$AJ$501=1)*ISNUMBER('Responses'!$AP$2:$AP$501)*('Responses'!$AP$2:$AP$501&gt;AP125)) + SUMPRODUCT(('Paper sign-ups'!$K$2:$K$101=AG125)*('Paper sign-ups'!$N$2:$N$101=1)*ISNUMBER('Paper sign-ups'!$T$2:$T$101)*('Paper sign-ups'!$T$2:$T$101&gt;AP125))&gt;0,1,0))</f>
        <v/>
      </c>
      <c r="AR125" s="31">
        <f>IF(AE125="","",IF(AQ125=1,"Joined again",IF(AJ125=0,"Unpaid",IF(NOT(ISNUMBER(AL125)),"Add a join date",IF(AN125="","No reminder",IF(AO125&lt;0,"Lapsed",IF(AO125&lt;=Settings!$D$6,"Remind soon","Current")))))))</f>
        <v/>
      </c>
      <c r="AS125" s="33">
        <f>IF(AJ125=1,IFERROR(VALUE(IFERROR(TRIM(INDEX($A125:$Z125,MATCH(Settings!$L$8,$A$1:$Z$1,0))&amp;""),"")),0)-IFERROR(VALUE(IFERROR(TRIM(INDEX($A125:$Z125,MATCH(Settings!$L$9,$A$1:$Z$1,0))&amp;""),"")),0),0)</f>
        <v/>
      </c>
      <c r="AT125" s="31">
        <f>IF(AND(AE125&lt;&gt;"",AQ125=0),1,0)</f>
        <v/>
      </c>
      <c r="AU125" s="31">
        <f>IF(AT125=0,"",IF(ISNUMBER(AN125),AN125,100000)+0+ROW()/1000000)</f>
        <v/>
      </c>
      <c r="AV125" s="31">
        <f>IF(ISNUMBER(AU125),SUMPRODUCT(ISNUMBER('Responses'!$AU$2:$AU$501)*('Responses'!$AU$2:$AU$501&lt;AU125)) + SUMPRODUCT(ISNUMBER('Paper sign-ups'!$Y$2:$Y$101)*('Paper sign-ups'!$Y$2:$Y$101&lt;AU125))+1,"")</f>
        <v/>
      </c>
    </row>
    <row r="126">
      <c r="AA126" s="29" t="n"/>
      <c r="AB126" s="30" t="n"/>
      <c r="AC126" s="30" t="n"/>
      <c r="AD126" s="29" t="n"/>
      <c r="AE126" s="31">
        <f>IFERROR(TRIM(INDEX($A126:$Z126,MATCH(Settings!$L$4,$A$1:$Z$1,0))&amp;""),"")</f>
        <v/>
      </c>
      <c r="AF126" s="31">
        <f>IFERROR(TRIM(INDEX($A126:$Z126,MATCH(Settings!$L$5,$A$1:$Z$1,0))&amp;""),"")</f>
        <v/>
      </c>
      <c r="AG126" s="31">
        <f>IF(AE126="","",LOWER(IF(AF126&lt;&gt;"",AF126,AE126)))</f>
        <v/>
      </c>
      <c r="AH126" s="31">
        <f>IFERROR(TRIM(INDEX($A126:$Z126,MATCH(Settings!$L$6,$A$1:$Z$1,0))&amp;""),"")</f>
        <v/>
      </c>
      <c r="AI126" s="31">
        <f>IF(AE126="","",IF(UPPER(TRIM(AB126&amp;""))="Y","Paid another way",IF(IFERROR(TRIM(INDEX($A126:$Z126,MATCH(Settings!$L$7,$A$1:$Z$1,0))&amp;""),"")="","No payment status",IFERROR(TRIM(INDEX($A126:$Z126,MATCH(Settings!$L$7,$A$1:$Z$1,0))&amp;""),""))))</f>
        <v/>
      </c>
      <c r="AJ126" s="31">
        <f>IF(AE126="",0,IF(IFERROR(INDEX(Settings!$J$4:$J$14,MATCH(AI126,Settings!$I$4:$I$14,0)),"N")="Y",1,0))</f>
        <v/>
      </c>
      <c r="AK126" s="32">
        <f>IFERROR(INT(IFERROR(IF(ISNUMBER(INDEX($A126:$Z126,MATCH(Settings!$L$10,$A$1:$Z$1,0))),INDEX($A126:$Z126,MATCH(Settings!$L$10,$A$1:$Z$1,0)),DATE(VALUE(LEFT(IFERROR(TRIM(INDEX($A126:$Z126,MATCH(Settings!$L$10,$A$1:$Z$1,0))&amp;""),""),4)),VALUE(MID(IFERROR(TRIM(INDEX($A126:$Z126,MATCH(Settings!$L$10,$A$1:$Z$1,0))&amp;""),""),6,2)),VALUE(MID(IFERROR(TRIM(INDEX($A126:$Z126,MATCH(Settings!$L$10,$A$1:$Z$1,0))&amp;""),""),9,2)))+TIME(VALUE(MID(IFERROR(TRIM(INDEX($A126:$Z126,MATCH(Settings!$L$10,$A$1:$Z$1,0))&amp;""),""),12,2)),VALUE(MID(IFERROR(TRIM(INDEX($A126:$Z126,MATCH(Settings!$L$10,$A$1:$Z$1,0))&amp;""),""),15,2)),VALUE(MID(IFERROR(TRIM(INDEX($A126:$Z126,MATCH(Settings!$L$10,$A$1:$Z$1,0))&amp;""),""),18,2)))),"")),"")</f>
        <v/>
      </c>
      <c r="AL126" s="32">
        <f>IF(AE126="","",IF(ISNUMBER(AK126),AK126,IFERROR(INT(IFERROR(IF(ISNUMBER(INDEX($A126:$Z126,MATCH(Settings!$L$11,$A$1:$Z$1,0))),INDEX($A126:$Z126,MATCH(Settings!$L$11,$A$1:$Z$1,0)),DATE(VALUE(LEFT(IFERROR(TRIM(INDEX($A126:$Z126,MATCH(Settings!$L$11,$A$1:$Z$1,0))&amp;""),""),4)),VALUE(MID(IFERROR(TRIM(INDEX($A126:$Z126,MATCH(Settings!$L$11,$A$1:$Z$1,0))&amp;""),""),6,2)),VALUE(MID(IFERROR(TRIM(INDEX($A126:$Z126,MATCH(Settings!$L$11,$A$1:$Z$1,0))&amp;""),""),9,2)))+TIME(VALUE(MID(IFERROR(TRIM(INDEX($A126:$Z126,MATCH(Settings!$L$11,$A$1:$Z$1,0))&amp;""),""),12,2)),VALUE(MID(IFERROR(TRIM(INDEX($A126:$Z126,MATCH(Settings!$L$11,$A$1:$Z$1,0))&amp;""),""),15,2)),VALUE(MID(IFERROR(TRIM(INDEX($A126:$Z126,MATCH(Settings!$L$11,$A$1:$Z$1,0))&amp;""),""),18,2)))),"")),"")))</f>
        <v/>
      </c>
      <c r="AM126" s="31">
        <f>IF(AE126="","",IF(ISNUMBER(IFERROR(INDEX(Settings!$G$4:$G$11,MATCH(AH126,Settings!$F$4:$F$11,0)),"")),INDEX(Settings!$G$4:$G$11,MATCH(AH126,Settings!$F$4:$F$11,0)),Settings!$D$5))</f>
        <v/>
      </c>
      <c r="AN126" s="32">
        <f>IF(OR(AE126="",NOT(ISNUMBER(AL126)),NOT(ISNUMBER(AM126))),"",IF(AM126&lt;=0,"",IF(ISNUMBER(Settings!$D$8),DATE(YEAR(AL126)+IF(DATE(YEAR(AL126),MONTH(Settings!$D$8),DAY(Settings!$D$8))&gt;AL126,0,1),MONTH(Settings!$D$8),DAY(Settings!$D$8)),MIN(DATE(YEAR(AL126),MONTH(AL126)+AM126,DAY(AL126)),DATE(YEAR(AL126),MONTH(AL126)+AM126+1,0)))))</f>
        <v/>
      </c>
      <c r="AO126" s="31">
        <f>IF(ISNUMBER(AN126),AN126-Settings!$D$4,"")</f>
        <v/>
      </c>
      <c r="AP126" s="31">
        <f>IF(ISNUMBER(AL126),AL126+0+ROW()/100000,"")</f>
        <v/>
      </c>
      <c r="AQ126" s="31">
        <f>IF(OR(AG126="",NOT(ISNUMBER(AP126))),0,IF(SUMPRODUCT(('Responses'!$AG$2:$AG$501=AG126)*('Responses'!$AJ$2:$AJ$501=1)*ISNUMBER('Responses'!$AP$2:$AP$501)*('Responses'!$AP$2:$AP$501&gt;AP126)) + SUMPRODUCT(('Paper sign-ups'!$K$2:$K$101=AG126)*('Paper sign-ups'!$N$2:$N$101=1)*ISNUMBER('Paper sign-ups'!$T$2:$T$101)*('Paper sign-ups'!$T$2:$T$101&gt;AP126))&gt;0,1,0))</f>
        <v/>
      </c>
      <c r="AR126" s="31">
        <f>IF(AE126="","",IF(AQ126=1,"Joined again",IF(AJ126=0,"Unpaid",IF(NOT(ISNUMBER(AL126)),"Add a join date",IF(AN126="","No reminder",IF(AO126&lt;0,"Lapsed",IF(AO126&lt;=Settings!$D$6,"Remind soon","Current")))))))</f>
        <v/>
      </c>
      <c r="AS126" s="33">
        <f>IF(AJ126=1,IFERROR(VALUE(IFERROR(TRIM(INDEX($A126:$Z126,MATCH(Settings!$L$8,$A$1:$Z$1,0))&amp;""),"")),0)-IFERROR(VALUE(IFERROR(TRIM(INDEX($A126:$Z126,MATCH(Settings!$L$9,$A$1:$Z$1,0))&amp;""),"")),0),0)</f>
        <v/>
      </c>
      <c r="AT126" s="31">
        <f>IF(AND(AE126&lt;&gt;"",AQ126=0),1,0)</f>
        <v/>
      </c>
      <c r="AU126" s="31">
        <f>IF(AT126=0,"",IF(ISNUMBER(AN126),AN126,100000)+0+ROW()/1000000)</f>
        <v/>
      </c>
      <c r="AV126" s="31">
        <f>IF(ISNUMBER(AU126),SUMPRODUCT(ISNUMBER('Responses'!$AU$2:$AU$501)*('Responses'!$AU$2:$AU$501&lt;AU126)) + SUMPRODUCT(ISNUMBER('Paper sign-ups'!$Y$2:$Y$101)*('Paper sign-ups'!$Y$2:$Y$101&lt;AU126))+1,"")</f>
        <v/>
      </c>
    </row>
    <row r="127">
      <c r="AA127" s="29" t="n"/>
      <c r="AB127" s="30" t="n"/>
      <c r="AC127" s="30" t="n"/>
      <c r="AD127" s="29" t="n"/>
      <c r="AE127" s="31">
        <f>IFERROR(TRIM(INDEX($A127:$Z127,MATCH(Settings!$L$4,$A$1:$Z$1,0))&amp;""),"")</f>
        <v/>
      </c>
      <c r="AF127" s="31">
        <f>IFERROR(TRIM(INDEX($A127:$Z127,MATCH(Settings!$L$5,$A$1:$Z$1,0))&amp;""),"")</f>
        <v/>
      </c>
      <c r="AG127" s="31">
        <f>IF(AE127="","",LOWER(IF(AF127&lt;&gt;"",AF127,AE127)))</f>
        <v/>
      </c>
      <c r="AH127" s="31">
        <f>IFERROR(TRIM(INDEX($A127:$Z127,MATCH(Settings!$L$6,$A$1:$Z$1,0))&amp;""),"")</f>
        <v/>
      </c>
      <c r="AI127" s="31">
        <f>IF(AE127="","",IF(UPPER(TRIM(AB127&amp;""))="Y","Paid another way",IF(IFERROR(TRIM(INDEX($A127:$Z127,MATCH(Settings!$L$7,$A$1:$Z$1,0))&amp;""),"")="","No payment status",IFERROR(TRIM(INDEX($A127:$Z127,MATCH(Settings!$L$7,$A$1:$Z$1,0))&amp;""),""))))</f>
        <v/>
      </c>
      <c r="AJ127" s="31">
        <f>IF(AE127="",0,IF(IFERROR(INDEX(Settings!$J$4:$J$14,MATCH(AI127,Settings!$I$4:$I$14,0)),"N")="Y",1,0))</f>
        <v/>
      </c>
      <c r="AK127" s="32">
        <f>IFERROR(INT(IFERROR(IF(ISNUMBER(INDEX($A127:$Z127,MATCH(Settings!$L$10,$A$1:$Z$1,0))),INDEX($A127:$Z127,MATCH(Settings!$L$10,$A$1:$Z$1,0)),DATE(VALUE(LEFT(IFERROR(TRIM(INDEX($A127:$Z127,MATCH(Settings!$L$10,$A$1:$Z$1,0))&amp;""),""),4)),VALUE(MID(IFERROR(TRIM(INDEX($A127:$Z127,MATCH(Settings!$L$10,$A$1:$Z$1,0))&amp;""),""),6,2)),VALUE(MID(IFERROR(TRIM(INDEX($A127:$Z127,MATCH(Settings!$L$10,$A$1:$Z$1,0))&amp;""),""),9,2)))+TIME(VALUE(MID(IFERROR(TRIM(INDEX($A127:$Z127,MATCH(Settings!$L$10,$A$1:$Z$1,0))&amp;""),""),12,2)),VALUE(MID(IFERROR(TRIM(INDEX($A127:$Z127,MATCH(Settings!$L$10,$A$1:$Z$1,0))&amp;""),""),15,2)),VALUE(MID(IFERROR(TRIM(INDEX($A127:$Z127,MATCH(Settings!$L$10,$A$1:$Z$1,0))&amp;""),""),18,2)))),"")),"")</f>
        <v/>
      </c>
      <c r="AL127" s="32">
        <f>IF(AE127="","",IF(ISNUMBER(AK127),AK127,IFERROR(INT(IFERROR(IF(ISNUMBER(INDEX($A127:$Z127,MATCH(Settings!$L$11,$A$1:$Z$1,0))),INDEX($A127:$Z127,MATCH(Settings!$L$11,$A$1:$Z$1,0)),DATE(VALUE(LEFT(IFERROR(TRIM(INDEX($A127:$Z127,MATCH(Settings!$L$11,$A$1:$Z$1,0))&amp;""),""),4)),VALUE(MID(IFERROR(TRIM(INDEX($A127:$Z127,MATCH(Settings!$L$11,$A$1:$Z$1,0))&amp;""),""),6,2)),VALUE(MID(IFERROR(TRIM(INDEX($A127:$Z127,MATCH(Settings!$L$11,$A$1:$Z$1,0))&amp;""),""),9,2)))+TIME(VALUE(MID(IFERROR(TRIM(INDEX($A127:$Z127,MATCH(Settings!$L$11,$A$1:$Z$1,0))&amp;""),""),12,2)),VALUE(MID(IFERROR(TRIM(INDEX($A127:$Z127,MATCH(Settings!$L$11,$A$1:$Z$1,0))&amp;""),""),15,2)),VALUE(MID(IFERROR(TRIM(INDEX($A127:$Z127,MATCH(Settings!$L$11,$A$1:$Z$1,0))&amp;""),""),18,2)))),"")),"")))</f>
        <v/>
      </c>
      <c r="AM127" s="31">
        <f>IF(AE127="","",IF(ISNUMBER(IFERROR(INDEX(Settings!$G$4:$G$11,MATCH(AH127,Settings!$F$4:$F$11,0)),"")),INDEX(Settings!$G$4:$G$11,MATCH(AH127,Settings!$F$4:$F$11,0)),Settings!$D$5))</f>
        <v/>
      </c>
      <c r="AN127" s="32">
        <f>IF(OR(AE127="",NOT(ISNUMBER(AL127)),NOT(ISNUMBER(AM127))),"",IF(AM127&lt;=0,"",IF(ISNUMBER(Settings!$D$8),DATE(YEAR(AL127)+IF(DATE(YEAR(AL127),MONTH(Settings!$D$8),DAY(Settings!$D$8))&gt;AL127,0,1),MONTH(Settings!$D$8),DAY(Settings!$D$8)),MIN(DATE(YEAR(AL127),MONTH(AL127)+AM127,DAY(AL127)),DATE(YEAR(AL127),MONTH(AL127)+AM127+1,0)))))</f>
        <v/>
      </c>
      <c r="AO127" s="31">
        <f>IF(ISNUMBER(AN127),AN127-Settings!$D$4,"")</f>
        <v/>
      </c>
      <c r="AP127" s="31">
        <f>IF(ISNUMBER(AL127),AL127+0+ROW()/100000,"")</f>
        <v/>
      </c>
      <c r="AQ127" s="31">
        <f>IF(OR(AG127="",NOT(ISNUMBER(AP127))),0,IF(SUMPRODUCT(('Responses'!$AG$2:$AG$501=AG127)*('Responses'!$AJ$2:$AJ$501=1)*ISNUMBER('Responses'!$AP$2:$AP$501)*('Responses'!$AP$2:$AP$501&gt;AP127)) + SUMPRODUCT(('Paper sign-ups'!$K$2:$K$101=AG127)*('Paper sign-ups'!$N$2:$N$101=1)*ISNUMBER('Paper sign-ups'!$T$2:$T$101)*('Paper sign-ups'!$T$2:$T$101&gt;AP127))&gt;0,1,0))</f>
        <v/>
      </c>
      <c r="AR127" s="31">
        <f>IF(AE127="","",IF(AQ127=1,"Joined again",IF(AJ127=0,"Unpaid",IF(NOT(ISNUMBER(AL127)),"Add a join date",IF(AN127="","No reminder",IF(AO127&lt;0,"Lapsed",IF(AO127&lt;=Settings!$D$6,"Remind soon","Current")))))))</f>
        <v/>
      </c>
      <c r="AS127" s="33">
        <f>IF(AJ127=1,IFERROR(VALUE(IFERROR(TRIM(INDEX($A127:$Z127,MATCH(Settings!$L$8,$A$1:$Z$1,0))&amp;""),"")),0)-IFERROR(VALUE(IFERROR(TRIM(INDEX($A127:$Z127,MATCH(Settings!$L$9,$A$1:$Z$1,0))&amp;""),"")),0),0)</f>
        <v/>
      </c>
      <c r="AT127" s="31">
        <f>IF(AND(AE127&lt;&gt;"",AQ127=0),1,0)</f>
        <v/>
      </c>
      <c r="AU127" s="31">
        <f>IF(AT127=0,"",IF(ISNUMBER(AN127),AN127,100000)+0+ROW()/1000000)</f>
        <v/>
      </c>
      <c r="AV127" s="31">
        <f>IF(ISNUMBER(AU127),SUMPRODUCT(ISNUMBER('Responses'!$AU$2:$AU$501)*('Responses'!$AU$2:$AU$501&lt;AU127)) + SUMPRODUCT(ISNUMBER('Paper sign-ups'!$Y$2:$Y$101)*('Paper sign-ups'!$Y$2:$Y$101&lt;AU127))+1,"")</f>
        <v/>
      </c>
    </row>
    <row r="128">
      <c r="AA128" s="29" t="n"/>
      <c r="AB128" s="30" t="n"/>
      <c r="AC128" s="30" t="n"/>
      <c r="AD128" s="29" t="n"/>
      <c r="AE128" s="31">
        <f>IFERROR(TRIM(INDEX($A128:$Z128,MATCH(Settings!$L$4,$A$1:$Z$1,0))&amp;""),"")</f>
        <v/>
      </c>
      <c r="AF128" s="31">
        <f>IFERROR(TRIM(INDEX($A128:$Z128,MATCH(Settings!$L$5,$A$1:$Z$1,0))&amp;""),"")</f>
        <v/>
      </c>
      <c r="AG128" s="31">
        <f>IF(AE128="","",LOWER(IF(AF128&lt;&gt;"",AF128,AE128)))</f>
        <v/>
      </c>
      <c r="AH128" s="31">
        <f>IFERROR(TRIM(INDEX($A128:$Z128,MATCH(Settings!$L$6,$A$1:$Z$1,0))&amp;""),"")</f>
        <v/>
      </c>
      <c r="AI128" s="31">
        <f>IF(AE128="","",IF(UPPER(TRIM(AB128&amp;""))="Y","Paid another way",IF(IFERROR(TRIM(INDEX($A128:$Z128,MATCH(Settings!$L$7,$A$1:$Z$1,0))&amp;""),"")="","No payment status",IFERROR(TRIM(INDEX($A128:$Z128,MATCH(Settings!$L$7,$A$1:$Z$1,0))&amp;""),""))))</f>
        <v/>
      </c>
      <c r="AJ128" s="31">
        <f>IF(AE128="",0,IF(IFERROR(INDEX(Settings!$J$4:$J$14,MATCH(AI128,Settings!$I$4:$I$14,0)),"N")="Y",1,0))</f>
        <v/>
      </c>
      <c r="AK128" s="32">
        <f>IFERROR(INT(IFERROR(IF(ISNUMBER(INDEX($A128:$Z128,MATCH(Settings!$L$10,$A$1:$Z$1,0))),INDEX($A128:$Z128,MATCH(Settings!$L$10,$A$1:$Z$1,0)),DATE(VALUE(LEFT(IFERROR(TRIM(INDEX($A128:$Z128,MATCH(Settings!$L$10,$A$1:$Z$1,0))&amp;""),""),4)),VALUE(MID(IFERROR(TRIM(INDEX($A128:$Z128,MATCH(Settings!$L$10,$A$1:$Z$1,0))&amp;""),""),6,2)),VALUE(MID(IFERROR(TRIM(INDEX($A128:$Z128,MATCH(Settings!$L$10,$A$1:$Z$1,0))&amp;""),""),9,2)))+TIME(VALUE(MID(IFERROR(TRIM(INDEX($A128:$Z128,MATCH(Settings!$L$10,$A$1:$Z$1,0))&amp;""),""),12,2)),VALUE(MID(IFERROR(TRIM(INDEX($A128:$Z128,MATCH(Settings!$L$10,$A$1:$Z$1,0))&amp;""),""),15,2)),VALUE(MID(IFERROR(TRIM(INDEX($A128:$Z128,MATCH(Settings!$L$10,$A$1:$Z$1,0))&amp;""),""),18,2)))),"")),"")</f>
        <v/>
      </c>
      <c r="AL128" s="32">
        <f>IF(AE128="","",IF(ISNUMBER(AK128),AK128,IFERROR(INT(IFERROR(IF(ISNUMBER(INDEX($A128:$Z128,MATCH(Settings!$L$11,$A$1:$Z$1,0))),INDEX($A128:$Z128,MATCH(Settings!$L$11,$A$1:$Z$1,0)),DATE(VALUE(LEFT(IFERROR(TRIM(INDEX($A128:$Z128,MATCH(Settings!$L$11,$A$1:$Z$1,0))&amp;""),""),4)),VALUE(MID(IFERROR(TRIM(INDEX($A128:$Z128,MATCH(Settings!$L$11,$A$1:$Z$1,0))&amp;""),""),6,2)),VALUE(MID(IFERROR(TRIM(INDEX($A128:$Z128,MATCH(Settings!$L$11,$A$1:$Z$1,0))&amp;""),""),9,2)))+TIME(VALUE(MID(IFERROR(TRIM(INDEX($A128:$Z128,MATCH(Settings!$L$11,$A$1:$Z$1,0))&amp;""),""),12,2)),VALUE(MID(IFERROR(TRIM(INDEX($A128:$Z128,MATCH(Settings!$L$11,$A$1:$Z$1,0))&amp;""),""),15,2)),VALUE(MID(IFERROR(TRIM(INDEX($A128:$Z128,MATCH(Settings!$L$11,$A$1:$Z$1,0))&amp;""),""),18,2)))),"")),"")))</f>
        <v/>
      </c>
      <c r="AM128" s="31">
        <f>IF(AE128="","",IF(ISNUMBER(IFERROR(INDEX(Settings!$G$4:$G$11,MATCH(AH128,Settings!$F$4:$F$11,0)),"")),INDEX(Settings!$G$4:$G$11,MATCH(AH128,Settings!$F$4:$F$11,0)),Settings!$D$5))</f>
        <v/>
      </c>
      <c r="AN128" s="32">
        <f>IF(OR(AE128="",NOT(ISNUMBER(AL128)),NOT(ISNUMBER(AM128))),"",IF(AM128&lt;=0,"",IF(ISNUMBER(Settings!$D$8),DATE(YEAR(AL128)+IF(DATE(YEAR(AL128),MONTH(Settings!$D$8),DAY(Settings!$D$8))&gt;AL128,0,1),MONTH(Settings!$D$8),DAY(Settings!$D$8)),MIN(DATE(YEAR(AL128),MONTH(AL128)+AM128,DAY(AL128)),DATE(YEAR(AL128),MONTH(AL128)+AM128+1,0)))))</f>
        <v/>
      </c>
      <c r="AO128" s="31">
        <f>IF(ISNUMBER(AN128),AN128-Settings!$D$4,"")</f>
        <v/>
      </c>
      <c r="AP128" s="31">
        <f>IF(ISNUMBER(AL128),AL128+0+ROW()/100000,"")</f>
        <v/>
      </c>
      <c r="AQ128" s="31">
        <f>IF(OR(AG128="",NOT(ISNUMBER(AP128))),0,IF(SUMPRODUCT(('Responses'!$AG$2:$AG$501=AG128)*('Responses'!$AJ$2:$AJ$501=1)*ISNUMBER('Responses'!$AP$2:$AP$501)*('Responses'!$AP$2:$AP$501&gt;AP128)) + SUMPRODUCT(('Paper sign-ups'!$K$2:$K$101=AG128)*('Paper sign-ups'!$N$2:$N$101=1)*ISNUMBER('Paper sign-ups'!$T$2:$T$101)*('Paper sign-ups'!$T$2:$T$101&gt;AP128))&gt;0,1,0))</f>
        <v/>
      </c>
      <c r="AR128" s="31">
        <f>IF(AE128="","",IF(AQ128=1,"Joined again",IF(AJ128=0,"Unpaid",IF(NOT(ISNUMBER(AL128)),"Add a join date",IF(AN128="","No reminder",IF(AO128&lt;0,"Lapsed",IF(AO128&lt;=Settings!$D$6,"Remind soon","Current")))))))</f>
        <v/>
      </c>
      <c r="AS128" s="33">
        <f>IF(AJ128=1,IFERROR(VALUE(IFERROR(TRIM(INDEX($A128:$Z128,MATCH(Settings!$L$8,$A$1:$Z$1,0))&amp;""),"")),0)-IFERROR(VALUE(IFERROR(TRIM(INDEX($A128:$Z128,MATCH(Settings!$L$9,$A$1:$Z$1,0))&amp;""),"")),0),0)</f>
        <v/>
      </c>
      <c r="AT128" s="31">
        <f>IF(AND(AE128&lt;&gt;"",AQ128=0),1,0)</f>
        <v/>
      </c>
      <c r="AU128" s="31">
        <f>IF(AT128=0,"",IF(ISNUMBER(AN128),AN128,100000)+0+ROW()/1000000)</f>
        <v/>
      </c>
      <c r="AV128" s="31">
        <f>IF(ISNUMBER(AU128),SUMPRODUCT(ISNUMBER('Responses'!$AU$2:$AU$501)*('Responses'!$AU$2:$AU$501&lt;AU128)) + SUMPRODUCT(ISNUMBER('Paper sign-ups'!$Y$2:$Y$101)*('Paper sign-ups'!$Y$2:$Y$101&lt;AU128))+1,"")</f>
        <v/>
      </c>
    </row>
    <row r="129">
      <c r="AA129" s="29" t="n"/>
      <c r="AB129" s="30" t="n"/>
      <c r="AC129" s="30" t="n"/>
      <c r="AD129" s="29" t="n"/>
      <c r="AE129" s="31">
        <f>IFERROR(TRIM(INDEX($A129:$Z129,MATCH(Settings!$L$4,$A$1:$Z$1,0))&amp;""),"")</f>
        <v/>
      </c>
      <c r="AF129" s="31">
        <f>IFERROR(TRIM(INDEX($A129:$Z129,MATCH(Settings!$L$5,$A$1:$Z$1,0))&amp;""),"")</f>
        <v/>
      </c>
      <c r="AG129" s="31">
        <f>IF(AE129="","",LOWER(IF(AF129&lt;&gt;"",AF129,AE129)))</f>
        <v/>
      </c>
      <c r="AH129" s="31">
        <f>IFERROR(TRIM(INDEX($A129:$Z129,MATCH(Settings!$L$6,$A$1:$Z$1,0))&amp;""),"")</f>
        <v/>
      </c>
      <c r="AI129" s="31">
        <f>IF(AE129="","",IF(UPPER(TRIM(AB129&amp;""))="Y","Paid another way",IF(IFERROR(TRIM(INDEX($A129:$Z129,MATCH(Settings!$L$7,$A$1:$Z$1,0))&amp;""),"")="","No payment status",IFERROR(TRIM(INDEX($A129:$Z129,MATCH(Settings!$L$7,$A$1:$Z$1,0))&amp;""),""))))</f>
        <v/>
      </c>
      <c r="AJ129" s="31">
        <f>IF(AE129="",0,IF(IFERROR(INDEX(Settings!$J$4:$J$14,MATCH(AI129,Settings!$I$4:$I$14,0)),"N")="Y",1,0))</f>
        <v/>
      </c>
      <c r="AK129" s="32">
        <f>IFERROR(INT(IFERROR(IF(ISNUMBER(INDEX($A129:$Z129,MATCH(Settings!$L$10,$A$1:$Z$1,0))),INDEX($A129:$Z129,MATCH(Settings!$L$10,$A$1:$Z$1,0)),DATE(VALUE(LEFT(IFERROR(TRIM(INDEX($A129:$Z129,MATCH(Settings!$L$10,$A$1:$Z$1,0))&amp;""),""),4)),VALUE(MID(IFERROR(TRIM(INDEX($A129:$Z129,MATCH(Settings!$L$10,$A$1:$Z$1,0))&amp;""),""),6,2)),VALUE(MID(IFERROR(TRIM(INDEX($A129:$Z129,MATCH(Settings!$L$10,$A$1:$Z$1,0))&amp;""),""),9,2)))+TIME(VALUE(MID(IFERROR(TRIM(INDEX($A129:$Z129,MATCH(Settings!$L$10,$A$1:$Z$1,0))&amp;""),""),12,2)),VALUE(MID(IFERROR(TRIM(INDEX($A129:$Z129,MATCH(Settings!$L$10,$A$1:$Z$1,0))&amp;""),""),15,2)),VALUE(MID(IFERROR(TRIM(INDEX($A129:$Z129,MATCH(Settings!$L$10,$A$1:$Z$1,0))&amp;""),""),18,2)))),"")),"")</f>
        <v/>
      </c>
      <c r="AL129" s="32">
        <f>IF(AE129="","",IF(ISNUMBER(AK129),AK129,IFERROR(INT(IFERROR(IF(ISNUMBER(INDEX($A129:$Z129,MATCH(Settings!$L$11,$A$1:$Z$1,0))),INDEX($A129:$Z129,MATCH(Settings!$L$11,$A$1:$Z$1,0)),DATE(VALUE(LEFT(IFERROR(TRIM(INDEX($A129:$Z129,MATCH(Settings!$L$11,$A$1:$Z$1,0))&amp;""),""),4)),VALUE(MID(IFERROR(TRIM(INDEX($A129:$Z129,MATCH(Settings!$L$11,$A$1:$Z$1,0))&amp;""),""),6,2)),VALUE(MID(IFERROR(TRIM(INDEX($A129:$Z129,MATCH(Settings!$L$11,$A$1:$Z$1,0))&amp;""),""),9,2)))+TIME(VALUE(MID(IFERROR(TRIM(INDEX($A129:$Z129,MATCH(Settings!$L$11,$A$1:$Z$1,0))&amp;""),""),12,2)),VALUE(MID(IFERROR(TRIM(INDEX($A129:$Z129,MATCH(Settings!$L$11,$A$1:$Z$1,0))&amp;""),""),15,2)),VALUE(MID(IFERROR(TRIM(INDEX($A129:$Z129,MATCH(Settings!$L$11,$A$1:$Z$1,0))&amp;""),""),18,2)))),"")),"")))</f>
        <v/>
      </c>
      <c r="AM129" s="31">
        <f>IF(AE129="","",IF(ISNUMBER(IFERROR(INDEX(Settings!$G$4:$G$11,MATCH(AH129,Settings!$F$4:$F$11,0)),"")),INDEX(Settings!$G$4:$G$11,MATCH(AH129,Settings!$F$4:$F$11,0)),Settings!$D$5))</f>
        <v/>
      </c>
      <c r="AN129" s="32">
        <f>IF(OR(AE129="",NOT(ISNUMBER(AL129)),NOT(ISNUMBER(AM129))),"",IF(AM129&lt;=0,"",IF(ISNUMBER(Settings!$D$8),DATE(YEAR(AL129)+IF(DATE(YEAR(AL129),MONTH(Settings!$D$8),DAY(Settings!$D$8))&gt;AL129,0,1),MONTH(Settings!$D$8),DAY(Settings!$D$8)),MIN(DATE(YEAR(AL129),MONTH(AL129)+AM129,DAY(AL129)),DATE(YEAR(AL129),MONTH(AL129)+AM129+1,0)))))</f>
        <v/>
      </c>
      <c r="AO129" s="31">
        <f>IF(ISNUMBER(AN129),AN129-Settings!$D$4,"")</f>
        <v/>
      </c>
      <c r="AP129" s="31">
        <f>IF(ISNUMBER(AL129),AL129+0+ROW()/100000,"")</f>
        <v/>
      </c>
      <c r="AQ129" s="31">
        <f>IF(OR(AG129="",NOT(ISNUMBER(AP129))),0,IF(SUMPRODUCT(('Responses'!$AG$2:$AG$501=AG129)*('Responses'!$AJ$2:$AJ$501=1)*ISNUMBER('Responses'!$AP$2:$AP$501)*('Responses'!$AP$2:$AP$501&gt;AP129)) + SUMPRODUCT(('Paper sign-ups'!$K$2:$K$101=AG129)*('Paper sign-ups'!$N$2:$N$101=1)*ISNUMBER('Paper sign-ups'!$T$2:$T$101)*('Paper sign-ups'!$T$2:$T$101&gt;AP129))&gt;0,1,0))</f>
        <v/>
      </c>
      <c r="AR129" s="31">
        <f>IF(AE129="","",IF(AQ129=1,"Joined again",IF(AJ129=0,"Unpaid",IF(NOT(ISNUMBER(AL129)),"Add a join date",IF(AN129="","No reminder",IF(AO129&lt;0,"Lapsed",IF(AO129&lt;=Settings!$D$6,"Remind soon","Current")))))))</f>
        <v/>
      </c>
      <c r="AS129" s="33">
        <f>IF(AJ129=1,IFERROR(VALUE(IFERROR(TRIM(INDEX($A129:$Z129,MATCH(Settings!$L$8,$A$1:$Z$1,0))&amp;""),"")),0)-IFERROR(VALUE(IFERROR(TRIM(INDEX($A129:$Z129,MATCH(Settings!$L$9,$A$1:$Z$1,0))&amp;""),"")),0),0)</f>
        <v/>
      </c>
      <c r="AT129" s="31">
        <f>IF(AND(AE129&lt;&gt;"",AQ129=0),1,0)</f>
        <v/>
      </c>
      <c r="AU129" s="31">
        <f>IF(AT129=0,"",IF(ISNUMBER(AN129),AN129,100000)+0+ROW()/1000000)</f>
        <v/>
      </c>
      <c r="AV129" s="31">
        <f>IF(ISNUMBER(AU129),SUMPRODUCT(ISNUMBER('Responses'!$AU$2:$AU$501)*('Responses'!$AU$2:$AU$501&lt;AU129)) + SUMPRODUCT(ISNUMBER('Paper sign-ups'!$Y$2:$Y$101)*('Paper sign-ups'!$Y$2:$Y$101&lt;AU129))+1,"")</f>
        <v/>
      </c>
    </row>
    <row r="130">
      <c r="AA130" s="29" t="n"/>
      <c r="AB130" s="30" t="n"/>
      <c r="AC130" s="30" t="n"/>
      <c r="AD130" s="29" t="n"/>
      <c r="AE130" s="31">
        <f>IFERROR(TRIM(INDEX($A130:$Z130,MATCH(Settings!$L$4,$A$1:$Z$1,0))&amp;""),"")</f>
        <v/>
      </c>
      <c r="AF130" s="31">
        <f>IFERROR(TRIM(INDEX($A130:$Z130,MATCH(Settings!$L$5,$A$1:$Z$1,0))&amp;""),"")</f>
        <v/>
      </c>
      <c r="AG130" s="31">
        <f>IF(AE130="","",LOWER(IF(AF130&lt;&gt;"",AF130,AE130)))</f>
        <v/>
      </c>
      <c r="AH130" s="31">
        <f>IFERROR(TRIM(INDEX($A130:$Z130,MATCH(Settings!$L$6,$A$1:$Z$1,0))&amp;""),"")</f>
        <v/>
      </c>
      <c r="AI130" s="31">
        <f>IF(AE130="","",IF(UPPER(TRIM(AB130&amp;""))="Y","Paid another way",IF(IFERROR(TRIM(INDEX($A130:$Z130,MATCH(Settings!$L$7,$A$1:$Z$1,0))&amp;""),"")="","No payment status",IFERROR(TRIM(INDEX($A130:$Z130,MATCH(Settings!$L$7,$A$1:$Z$1,0))&amp;""),""))))</f>
        <v/>
      </c>
      <c r="AJ130" s="31">
        <f>IF(AE130="",0,IF(IFERROR(INDEX(Settings!$J$4:$J$14,MATCH(AI130,Settings!$I$4:$I$14,0)),"N")="Y",1,0))</f>
        <v/>
      </c>
      <c r="AK130" s="32">
        <f>IFERROR(INT(IFERROR(IF(ISNUMBER(INDEX($A130:$Z130,MATCH(Settings!$L$10,$A$1:$Z$1,0))),INDEX($A130:$Z130,MATCH(Settings!$L$10,$A$1:$Z$1,0)),DATE(VALUE(LEFT(IFERROR(TRIM(INDEX($A130:$Z130,MATCH(Settings!$L$10,$A$1:$Z$1,0))&amp;""),""),4)),VALUE(MID(IFERROR(TRIM(INDEX($A130:$Z130,MATCH(Settings!$L$10,$A$1:$Z$1,0))&amp;""),""),6,2)),VALUE(MID(IFERROR(TRIM(INDEX($A130:$Z130,MATCH(Settings!$L$10,$A$1:$Z$1,0))&amp;""),""),9,2)))+TIME(VALUE(MID(IFERROR(TRIM(INDEX($A130:$Z130,MATCH(Settings!$L$10,$A$1:$Z$1,0))&amp;""),""),12,2)),VALUE(MID(IFERROR(TRIM(INDEX($A130:$Z130,MATCH(Settings!$L$10,$A$1:$Z$1,0))&amp;""),""),15,2)),VALUE(MID(IFERROR(TRIM(INDEX($A130:$Z130,MATCH(Settings!$L$10,$A$1:$Z$1,0))&amp;""),""),18,2)))),"")),"")</f>
        <v/>
      </c>
      <c r="AL130" s="32">
        <f>IF(AE130="","",IF(ISNUMBER(AK130),AK130,IFERROR(INT(IFERROR(IF(ISNUMBER(INDEX($A130:$Z130,MATCH(Settings!$L$11,$A$1:$Z$1,0))),INDEX($A130:$Z130,MATCH(Settings!$L$11,$A$1:$Z$1,0)),DATE(VALUE(LEFT(IFERROR(TRIM(INDEX($A130:$Z130,MATCH(Settings!$L$11,$A$1:$Z$1,0))&amp;""),""),4)),VALUE(MID(IFERROR(TRIM(INDEX($A130:$Z130,MATCH(Settings!$L$11,$A$1:$Z$1,0))&amp;""),""),6,2)),VALUE(MID(IFERROR(TRIM(INDEX($A130:$Z130,MATCH(Settings!$L$11,$A$1:$Z$1,0))&amp;""),""),9,2)))+TIME(VALUE(MID(IFERROR(TRIM(INDEX($A130:$Z130,MATCH(Settings!$L$11,$A$1:$Z$1,0))&amp;""),""),12,2)),VALUE(MID(IFERROR(TRIM(INDEX($A130:$Z130,MATCH(Settings!$L$11,$A$1:$Z$1,0))&amp;""),""),15,2)),VALUE(MID(IFERROR(TRIM(INDEX($A130:$Z130,MATCH(Settings!$L$11,$A$1:$Z$1,0))&amp;""),""),18,2)))),"")),"")))</f>
        <v/>
      </c>
      <c r="AM130" s="31">
        <f>IF(AE130="","",IF(ISNUMBER(IFERROR(INDEX(Settings!$G$4:$G$11,MATCH(AH130,Settings!$F$4:$F$11,0)),"")),INDEX(Settings!$G$4:$G$11,MATCH(AH130,Settings!$F$4:$F$11,0)),Settings!$D$5))</f>
        <v/>
      </c>
      <c r="AN130" s="32">
        <f>IF(OR(AE130="",NOT(ISNUMBER(AL130)),NOT(ISNUMBER(AM130))),"",IF(AM130&lt;=0,"",IF(ISNUMBER(Settings!$D$8),DATE(YEAR(AL130)+IF(DATE(YEAR(AL130),MONTH(Settings!$D$8),DAY(Settings!$D$8))&gt;AL130,0,1),MONTH(Settings!$D$8),DAY(Settings!$D$8)),MIN(DATE(YEAR(AL130),MONTH(AL130)+AM130,DAY(AL130)),DATE(YEAR(AL130),MONTH(AL130)+AM130+1,0)))))</f>
        <v/>
      </c>
      <c r="AO130" s="31">
        <f>IF(ISNUMBER(AN130),AN130-Settings!$D$4,"")</f>
        <v/>
      </c>
      <c r="AP130" s="31">
        <f>IF(ISNUMBER(AL130),AL130+0+ROW()/100000,"")</f>
        <v/>
      </c>
      <c r="AQ130" s="31">
        <f>IF(OR(AG130="",NOT(ISNUMBER(AP130))),0,IF(SUMPRODUCT(('Responses'!$AG$2:$AG$501=AG130)*('Responses'!$AJ$2:$AJ$501=1)*ISNUMBER('Responses'!$AP$2:$AP$501)*('Responses'!$AP$2:$AP$501&gt;AP130)) + SUMPRODUCT(('Paper sign-ups'!$K$2:$K$101=AG130)*('Paper sign-ups'!$N$2:$N$101=1)*ISNUMBER('Paper sign-ups'!$T$2:$T$101)*('Paper sign-ups'!$T$2:$T$101&gt;AP130))&gt;0,1,0))</f>
        <v/>
      </c>
      <c r="AR130" s="31">
        <f>IF(AE130="","",IF(AQ130=1,"Joined again",IF(AJ130=0,"Unpaid",IF(NOT(ISNUMBER(AL130)),"Add a join date",IF(AN130="","No reminder",IF(AO130&lt;0,"Lapsed",IF(AO130&lt;=Settings!$D$6,"Remind soon","Current")))))))</f>
        <v/>
      </c>
      <c r="AS130" s="33">
        <f>IF(AJ130=1,IFERROR(VALUE(IFERROR(TRIM(INDEX($A130:$Z130,MATCH(Settings!$L$8,$A$1:$Z$1,0))&amp;""),"")),0)-IFERROR(VALUE(IFERROR(TRIM(INDEX($A130:$Z130,MATCH(Settings!$L$9,$A$1:$Z$1,0))&amp;""),"")),0),0)</f>
        <v/>
      </c>
      <c r="AT130" s="31">
        <f>IF(AND(AE130&lt;&gt;"",AQ130=0),1,0)</f>
        <v/>
      </c>
      <c r="AU130" s="31">
        <f>IF(AT130=0,"",IF(ISNUMBER(AN130),AN130,100000)+0+ROW()/1000000)</f>
        <v/>
      </c>
      <c r="AV130" s="31">
        <f>IF(ISNUMBER(AU130),SUMPRODUCT(ISNUMBER('Responses'!$AU$2:$AU$501)*('Responses'!$AU$2:$AU$501&lt;AU130)) + SUMPRODUCT(ISNUMBER('Paper sign-ups'!$Y$2:$Y$101)*('Paper sign-ups'!$Y$2:$Y$101&lt;AU130))+1,"")</f>
        <v/>
      </c>
    </row>
    <row r="131">
      <c r="AA131" s="29" t="n"/>
      <c r="AB131" s="30" t="n"/>
      <c r="AC131" s="30" t="n"/>
      <c r="AD131" s="29" t="n"/>
      <c r="AE131" s="31">
        <f>IFERROR(TRIM(INDEX($A131:$Z131,MATCH(Settings!$L$4,$A$1:$Z$1,0))&amp;""),"")</f>
        <v/>
      </c>
      <c r="AF131" s="31">
        <f>IFERROR(TRIM(INDEX($A131:$Z131,MATCH(Settings!$L$5,$A$1:$Z$1,0))&amp;""),"")</f>
        <v/>
      </c>
      <c r="AG131" s="31">
        <f>IF(AE131="","",LOWER(IF(AF131&lt;&gt;"",AF131,AE131)))</f>
        <v/>
      </c>
      <c r="AH131" s="31">
        <f>IFERROR(TRIM(INDEX($A131:$Z131,MATCH(Settings!$L$6,$A$1:$Z$1,0))&amp;""),"")</f>
        <v/>
      </c>
      <c r="AI131" s="31">
        <f>IF(AE131="","",IF(UPPER(TRIM(AB131&amp;""))="Y","Paid another way",IF(IFERROR(TRIM(INDEX($A131:$Z131,MATCH(Settings!$L$7,$A$1:$Z$1,0))&amp;""),"")="","No payment status",IFERROR(TRIM(INDEX($A131:$Z131,MATCH(Settings!$L$7,$A$1:$Z$1,0))&amp;""),""))))</f>
        <v/>
      </c>
      <c r="AJ131" s="31">
        <f>IF(AE131="",0,IF(IFERROR(INDEX(Settings!$J$4:$J$14,MATCH(AI131,Settings!$I$4:$I$14,0)),"N")="Y",1,0))</f>
        <v/>
      </c>
      <c r="AK131" s="32">
        <f>IFERROR(INT(IFERROR(IF(ISNUMBER(INDEX($A131:$Z131,MATCH(Settings!$L$10,$A$1:$Z$1,0))),INDEX($A131:$Z131,MATCH(Settings!$L$10,$A$1:$Z$1,0)),DATE(VALUE(LEFT(IFERROR(TRIM(INDEX($A131:$Z131,MATCH(Settings!$L$10,$A$1:$Z$1,0))&amp;""),""),4)),VALUE(MID(IFERROR(TRIM(INDEX($A131:$Z131,MATCH(Settings!$L$10,$A$1:$Z$1,0))&amp;""),""),6,2)),VALUE(MID(IFERROR(TRIM(INDEX($A131:$Z131,MATCH(Settings!$L$10,$A$1:$Z$1,0))&amp;""),""),9,2)))+TIME(VALUE(MID(IFERROR(TRIM(INDEX($A131:$Z131,MATCH(Settings!$L$10,$A$1:$Z$1,0))&amp;""),""),12,2)),VALUE(MID(IFERROR(TRIM(INDEX($A131:$Z131,MATCH(Settings!$L$10,$A$1:$Z$1,0))&amp;""),""),15,2)),VALUE(MID(IFERROR(TRIM(INDEX($A131:$Z131,MATCH(Settings!$L$10,$A$1:$Z$1,0))&amp;""),""),18,2)))),"")),"")</f>
        <v/>
      </c>
      <c r="AL131" s="32">
        <f>IF(AE131="","",IF(ISNUMBER(AK131),AK131,IFERROR(INT(IFERROR(IF(ISNUMBER(INDEX($A131:$Z131,MATCH(Settings!$L$11,$A$1:$Z$1,0))),INDEX($A131:$Z131,MATCH(Settings!$L$11,$A$1:$Z$1,0)),DATE(VALUE(LEFT(IFERROR(TRIM(INDEX($A131:$Z131,MATCH(Settings!$L$11,$A$1:$Z$1,0))&amp;""),""),4)),VALUE(MID(IFERROR(TRIM(INDEX($A131:$Z131,MATCH(Settings!$L$11,$A$1:$Z$1,0))&amp;""),""),6,2)),VALUE(MID(IFERROR(TRIM(INDEX($A131:$Z131,MATCH(Settings!$L$11,$A$1:$Z$1,0))&amp;""),""),9,2)))+TIME(VALUE(MID(IFERROR(TRIM(INDEX($A131:$Z131,MATCH(Settings!$L$11,$A$1:$Z$1,0))&amp;""),""),12,2)),VALUE(MID(IFERROR(TRIM(INDEX($A131:$Z131,MATCH(Settings!$L$11,$A$1:$Z$1,0))&amp;""),""),15,2)),VALUE(MID(IFERROR(TRIM(INDEX($A131:$Z131,MATCH(Settings!$L$11,$A$1:$Z$1,0))&amp;""),""),18,2)))),"")),"")))</f>
        <v/>
      </c>
      <c r="AM131" s="31">
        <f>IF(AE131="","",IF(ISNUMBER(IFERROR(INDEX(Settings!$G$4:$G$11,MATCH(AH131,Settings!$F$4:$F$11,0)),"")),INDEX(Settings!$G$4:$G$11,MATCH(AH131,Settings!$F$4:$F$11,0)),Settings!$D$5))</f>
        <v/>
      </c>
      <c r="AN131" s="32">
        <f>IF(OR(AE131="",NOT(ISNUMBER(AL131)),NOT(ISNUMBER(AM131))),"",IF(AM131&lt;=0,"",IF(ISNUMBER(Settings!$D$8),DATE(YEAR(AL131)+IF(DATE(YEAR(AL131),MONTH(Settings!$D$8),DAY(Settings!$D$8))&gt;AL131,0,1),MONTH(Settings!$D$8),DAY(Settings!$D$8)),MIN(DATE(YEAR(AL131),MONTH(AL131)+AM131,DAY(AL131)),DATE(YEAR(AL131),MONTH(AL131)+AM131+1,0)))))</f>
        <v/>
      </c>
      <c r="AO131" s="31">
        <f>IF(ISNUMBER(AN131),AN131-Settings!$D$4,"")</f>
        <v/>
      </c>
      <c r="AP131" s="31">
        <f>IF(ISNUMBER(AL131),AL131+0+ROW()/100000,"")</f>
        <v/>
      </c>
      <c r="AQ131" s="31">
        <f>IF(OR(AG131="",NOT(ISNUMBER(AP131))),0,IF(SUMPRODUCT(('Responses'!$AG$2:$AG$501=AG131)*('Responses'!$AJ$2:$AJ$501=1)*ISNUMBER('Responses'!$AP$2:$AP$501)*('Responses'!$AP$2:$AP$501&gt;AP131)) + SUMPRODUCT(('Paper sign-ups'!$K$2:$K$101=AG131)*('Paper sign-ups'!$N$2:$N$101=1)*ISNUMBER('Paper sign-ups'!$T$2:$T$101)*('Paper sign-ups'!$T$2:$T$101&gt;AP131))&gt;0,1,0))</f>
        <v/>
      </c>
      <c r="AR131" s="31">
        <f>IF(AE131="","",IF(AQ131=1,"Joined again",IF(AJ131=0,"Unpaid",IF(NOT(ISNUMBER(AL131)),"Add a join date",IF(AN131="","No reminder",IF(AO131&lt;0,"Lapsed",IF(AO131&lt;=Settings!$D$6,"Remind soon","Current")))))))</f>
        <v/>
      </c>
      <c r="AS131" s="33">
        <f>IF(AJ131=1,IFERROR(VALUE(IFERROR(TRIM(INDEX($A131:$Z131,MATCH(Settings!$L$8,$A$1:$Z$1,0))&amp;""),"")),0)-IFERROR(VALUE(IFERROR(TRIM(INDEX($A131:$Z131,MATCH(Settings!$L$9,$A$1:$Z$1,0))&amp;""),"")),0),0)</f>
        <v/>
      </c>
      <c r="AT131" s="31">
        <f>IF(AND(AE131&lt;&gt;"",AQ131=0),1,0)</f>
        <v/>
      </c>
      <c r="AU131" s="31">
        <f>IF(AT131=0,"",IF(ISNUMBER(AN131),AN131,100000)+0+ROW()/1000000)</f>
        <v/>
      </c>
      <c r="AV131" s="31">
        <f>IF(ISNUMBER(AU131),SUMPRODUCT(ISNUMBER('Responses'!$AU$2:$AU$501)*('Responses'!$AU$2:$AU$501&lt;AU131)) + SUMPRODUCT(ISNUMBER('Paper sign-ups'!$Y$2:$Y$101)*('Paper sign-ups'!$Y$2:$Y$101&lt;AU131))+1,"")</f>
        <v/>
      </c>
    </row>
    <row r="132">
      <c r="AA132" s="29" t="n"/>
      <c r="AB132" s="30" t="n"/>
      <c r="AC132" s="30" t="n"/>
      <c r="AD132" s="29" t="n"/>
      <c r="AE132" s="31">
        <f>IFERROR(TRIM(INDEX($A132:$Z132,MATCH(Settings!$L$4,$A$1:$Z$1,0))&amp;""),"")</f>
        <v/>
      </c>
      <c r="AF132" s="31">
        <f>IFERROR(TRIM(INDEX($A132:$Z132,MATCH(Settings!$L$5,$A$1:$Z$1,0))&amp;""),"")</f>
        <v/>
      </c>
      <c r="AG132" s="31">
        <f>IF(AE132="","",LOWER(IF(AF132&lt;&gt;"",AF132,AE132)))</f>
        <v/>
      </c>
      <c r="AH132" s="31">
        <f>IFERROR(TRIM(INDEX($A132:$Z132,MATCH(Settings!$L$6,$A$1:$Z$1,0))&amp;""),"")</f>
        <v/>
      </c>
      <c r="AI132" s="31">
        <f>IF(AE132="","",IF(UPPER(TRIM(AB132&amp;""))="Y","Paid another way",IF(IFERROR(TRIM(INDEX($A132:$Z132,MATCH(Settings!$L$7,$A$1:$Z$1,0))&amp;""),"")="","No payment status",IFERROR(TRIM(INDEX($A132:$Z132,MATCH(Settings!$L$7,$A$1:$Z$1,0))&amp;""),""))))</f>
        <v/>
      </c>
      <c r="AJ132" s="31">
        <f>IF(AE132="",0,IF(IFERROR(INDEX(Settings!$J$4:$J$14,MATCH(AI132,Settings!$I$4:$I$14,0)),"N")="Y",1,0))</f>
        <v/>
      </c>
      <c r="AK132" s="32">
        <f>IFERROR(INT(IFERROR(IF(ISNUMBER(INDEX($A132:$Z132,MATCH(Settings!$L$10,$A$1:$Z$1,0))),INDEX($A132:$Z132,MATCH(Settings!$L$10,$A$1:$Z$1,0)),DATE(VALUE(LEFT(IFERROR(TRIM(INDEX($A132:$Z132,MATCH(Settings!$L$10,$A$1:$Z$1,0))&amp;""),""),4)),VALUE(MID(IFERROR(TRIM(INDEX($A132:$Z132,MATCH(Settings!$L$10,$A$1:$Z$1,0))&amp;""),""),6,2)),VALUE(MID(IFERROR(TRIM(INDEX($A132:$Z132,MATCH(Settings!$L$10,$A$1:$Z$1,0))&amp;""),""),9,2)))+TIME(VALUE(MID(IFERROR(TRIM(INDEX($A132:$Z132,MATCH(Settings!$L$10,$A$1:$Z$1,0))&amp;""),""),12,2)),VALUE(MID(IFERROR(TRIM(INDEX($A132:$Z132,MATCH(Settings!$L$10,$A$1:$Z$1,0))&amp;""),""),15,2)),VALUE(MID(IFERROR(TRIM(INDEX($A132:$Z132,MATCH(Settings!$L$10,$A$1:$Z$1,0))&amp;""),""),18,2)))),"")),"")</f>
        <v/>
      </c>
      <c r="AL132" s="32">
        <f>IF(AE132="","",IF(ISNUMBER(AK132),AK132,IFERROR(INT(IFERROR(IF(ISNUMBER(INDEX($A132:$Z132,MATCH(Settings!$L$11,$A$1:$Z$1,0))),INDEX($A132:$Z132,MATCH(Settings!$L$11,$A$1:$Z$1,0)),DATE(VALUE(LEFT(IFERROR(TRIM(INDEX($A132:$Z132,MATCH(Settings!$L$11,$A$1:$Z$1,0))&amp;""),""),4)),VALUE(MID(IFERROR(TRIM(INDEX($A132:$Z132,MATCH(Settings!$L$11,$A$1:$Z$1,0))&amp;""),""),6,2)),VALUE(MID(IFERROR(TRIM(INDEX($A132:$Z132,MATCH(Settings!$L$11,$A$1:$Z$1,0))&amp;""),""),9,2)))+TIME(VALUE(MID(IFERROR(TRIM(INDEX($A132:$Z132,MATCH(Settings!$L$11,$A$1:$Z$1,0))&amp;""),""),12,2)),VALUE(MID(IFERROR(TRIM(INDEX($A132:$Z132,MATCH(Settings!$L$11,$A$1:$Z$1,0))&amp;""),""),15,2)),VALUE(MID(IFERROR(TRIM(INDEX($A132:$Z132,MATCH(Settings!$L$11,$A$1:$Z$1,0))&amp;""),""),18,2)))),"")),"")))</f>
        <v/>
      </c>
      <c r="AM132" s="31">
        <f>IF(AE132="","",IF(ISNUMBER(IFERROR(INDEX(Settings!$G$4:$G$11,MATCH(AH132,Settings!$F$4:$F$11,0)),"")),INDEX(Settings!$G$4:$G$11,MATCH(AH132,Settings!$F$4:$F$11,0)),Settings!$D$5))</f>
        <v/>
      </c>
      <c r="AN132" s="32">
        <f>IF(OR(AE132="",NOT(ISNUMBER(AL132)),NOT(ISNUMBER(AM132))),"",IF(AM132&lt;=0,"",IF(ISNUMBER(Settings!$D$8),DATE(YEAR(AL132)+IF(DATE(YEAR(AL132),MONTH(Settings!$D$8),DAY(Settings!$D$8))&gt;AL132,0,1),MONTH(Settings!$D$8),DAY(Settings!$D$8)),MIN(DATE(YEAR(AL132),MONTH(AL132)+AM132,DAY(AL132)),DATE(YEAR(AL132),MONTH(AL132)+AM132+1,0)))))</f>
        <v/>
      </c>
      <c r="AO132" s="31">
        <f>IF(ISNUMBER(AN132),AN132-Settings!$D$4,"")</f>
        <v/>
      </c>
      <c r="AP132" s="31">
        <f>IF(ISNUMBER(AL132),AL132+0+ROW()/100000,"")</f>
        <v/>
      </c>
      <c r="AQ132" s="31">
        <f>IF(OR(AG132="",NOT(ISNUMBER(AP132))),0,IF(SUMPRODUCT(('Responses'!$AG$2:$AG$501=AG132)*('Responses'!$AJ$2:$AJ$501=1)*ISNUMBER('Responses'!$AP$2:$AP$501)*('Responses'!$AP$2:$AP$501&gt;AP132)) + SUMPRODUCT(('Paper sign-ups'!$K$2:$K$101=AG132)*('Paper sign-ups'!$N$2:$N$101=1)*ISNUMBER('Paper sign-ups'!$T$2:$T$101)*('Paper sign-ups'!$T$2:$T$101&gt;AP132))&gt;0,1,0))</f>
        <v/>
      </c>
      <c r="AR132" s="31">
        <f>IF(AE132="","",IF(AQ132=1,"Joined again",IF(AJ132=0,"Unpaid",IF(NOT(ISNUMBER(AL132)),"Add a join date",IF(AN132="","No reminder",IF(AO132&lt;0,"Lapsed",IF(AO132&lt;=Settings!$D$6,"Remind soon","Current")))))))</f>
        <v/>
      </c>
      <c r="AS132" s="33">
        <f>IF(AJ132=1,IFERROR(VALUE(IFERROR(TRIM(INDEX($A132:$Z132,MATCH(Settings!$L$8,$A$1:$Z$1,0))&amp;""),"")),0)-IFERROR(VALUE(IFERROR(TRIM(INDEX($A132:$Z132,MATCH(Settings!$L$9,$A$1:$Z$1,0))&amp;""),"")),0),0)</f>
        <v/>
      </c>
      <c r="AT132" s="31">
        <f>IF(AND(AE132&lt;&gt;"",AQ132=0),1,0)</f>
        <v/>
      </c>
      <c r="AU132" s="31">
        <f>IF(AT132=0,"",IF(ISNUMBER(AN132),AN132,100000)+0+ROW()/1000000)</f>
        <v/>
      </c>
      <c r="AV132" s="31">
        <f>IF(ISNUMBER(AU132),SUMPRODUCT(ISNUMBER('Responses'!$AU$2:$AU$501)*('Responses'!$AU$2:$AU$501&lt;AU132)) + SUMPRODUCT(ISNUMBER('Paper sign-ups'!$Y$2:$Y$101)*('Paper sign-ups'!$Y$2:$Y$101&lt;AU132))+1,"")</f>
        <v/>
      </c>
    </row>
    <row r="133">
      <c r="AA133" s="29" t="n"/>
      <c r="AB133" s="30" t="n"/>
      <c r="AC133" s="30" t="n"/>
      <c r="AD133" s="29" t="n"/>
      <c r="AE133" s="31">
        <f>IFERROR(TRIM(INDEX($A133:$Z133,MATCH(Settings!$L$4,$A$1:$Z$1,0))&amp;""),"")</f>
        <v/>
      </c>
      <c r="AF133" s="31">
        <f>IFERROR(TRIM(INDEX($A133:$Z133,MATCH(Settings!$L$5,$A$1:$Z$1,0))&amp;""),"")</f>
        <v/>
      </c>
      <c r="AG133" s="31">
        <f>IF(AE133="","",LOWER(IF(AF133&lt;&gt;"",AF133,AE133)))</f>
        <v/>
      </c>
      <c r="AH133" s="31">
        <f>IFERROR(TRIM(INDEX($A133:$Z133,MATCH(Settings!$L$6,$A$1:$Z$1,0))&amp;""),"")</f>
        <v/>
      </c>
      <c r="AI133" s="31">
        <f>IF(AE133="","",IF(UPPER(TRIM(AB133&amp;""))="Y","Paid another way",IF(IFERROR(TRIM(INDEX($A133:$Z133,MATCH(Settings!$L$7,$A$1:$Z$1,0))&amp;""),"")="","No payment status",IFERROR(TRIM(INDEX($A133:$Z133,MATCH(Settings!$L$7,$A$1:$Z$1,0))&amp;""),""))))</f>
        <v/>
      </c>
      <c r="AJ133" s="31">
        <f>IF(AE133="",0,IF(IFERROR(INDEX(Settings!$J$4:$J$14,MATCH(AI133,Settings!$I$4:$I$14,0)),"N")="Y",1,0))</f>
        <v/>
      </c>
      <c r="AK133" s="32">
        <f>IFERROR(INT(IFERROR(IF(ISNUMBER(INDEX($A133:$Z133,MATCH(Settings!$L$10,$A$1:$Z$1,0))),INDEX($A133:$Z133,MATCH(Settings!$L$10,$A$1:$Z$1,0)),DATE(VALUE(LEFT(IFERROR(TRIM(INDEX($A133:$Z133,MATCH(Settings!$L$10,$A$1:$Z$1,0))&amp;""),""),4)),VALUE(MID(IFERROR(TRIM(INDEX($A133:$Z133,MATCH(Settings!$L$10,$A$1:$Z$1,0))&amp;""),""),6,2)),VALUE(MID(IFERROR(TRIM(INDEX($A133:$Z133,MATCH(Settings!$L$10,$A$1:$Z$1,0))&amp;""),""),9,2)))+TIME(VALUE(MID(IFERROR(TRIM(INDEX($A133:$Z133,MATCH(Settings!$L$10,$A$1:$Z$1,0))&amp;""),""),12,2)),VALUE(MID(IFERROR(TRIM(INDEX($A133:$Z133,MATCH(Settings!$L$10,$A$1:$Z$1,0))&amp;""),""),15,2)),VALUE(MID(IFERROR(TRIM(INDEX($A133:$Z133,MATCH(Settings!$L$10,$A$1:$Z$1,0))&amp;""),""),18,2)))),"")),"")</f>
        <v/>
      </c>
      <c r="AL133" s="32">
        <f>IF(AE133="","",IF(ISNUMBER(AK133),AK133,IFERROR(INT(IFERROR(IF(ISNUMBER(INDEX($A133:$Z133,MATCH(Settings!$L$11,$A$1:$Z$1,0))),INDEX($A133:$Z133,MATCH(Settings!$L$11,$A$1:$Z$1,0)),DATE(VALUE(LEFT(IFERROR(TRIM(INDEX($A133:$Z133,MATCH(Settings!$L$11,$A$1:$Z$1,0))&amp;""),""),4)),VALUE(MID(IFERROR(TRIM(INDEX($A133:$Z133,MATCH(Settings!$L$11,$A$1:$Z$1,0))&amp;""),""),6,2)),VALUE(MID(IFERROR(TRIM(INDEX($A133:$Z133,MATCH(Settings!$L$11,$A$1:$Z$1,0))&amp;""),""),9,2)))+TIME(VALUE(MID(IFERROR(TRIM(INDEX($A133:$Z133,MATCH(Settings!$L$11,$A$1:$Z$1,0))&amp;""),""),12,2)),VALUE(MID(IFERROR(TRIM(INDEX($A133:$Z133,MATCH(Settings!$L$11,$A$1:$Z$1,0))&amp;""),""),15,2)),VALUE(MID(IFERROR(TRIM(INDEX($A133:$Z133,MATCH(Settings!$L$11,$A$1:$Z$1,0))&amp;""),""),18,2)))),"")),"")))</f>
        <v/>
      </c>
      <c r="AM133" s="31">
        <f>IF(AE133="","",IF(ISNUMBER(IFERROR(INDEX(Settings!$G$4:$G$11,MATCH(AH133,Settings!$F$4:$F$11,0)),"")),INDEX(Settings!$G$4:$G$11,MATCH(AH133,Settings!$F$4:$F$11,0)),Settings!$D$5))</f>
        <v/>
      </c>
      <c r="AN133" s="32">
        <f>IF(OR(AE133="",NOT(ISNUMBER(AL133)),NOT(ISNUMBER(AM133))),"",IF(AM133&lt;=0,"",IF(ISNUMBER(Settings!$D$8),DATE(YEAR(AL133)+IF(DATE(YEAR(AL133),MONTH(Settings!$D$8),DAY(Settings!$D$8))&gt;AL133,0,1),MONTH(Settings!$D$8),DAY(Settings!$D$8)),MIN(DATE(YEAR(AL133),MONTH(AL133)+AM133,DAY(AL133)),DATE(YEAR(AL133),MONTH(AL133)+AM133+1,0)))))</f>
        <v/>
      </c>
      <c r="AO133" s="31">
        <f>IF(ISNUMBER(AN133),AN133-Settings!$D$4,"")</f>
        <v/>
      </c>
      <c r="AP133" s="31">
        <f>IF(ISNUMBER(AL133),AL133+0+ROW()/100000,"")</f>
        <v/>
      </c>
      <c r="AQ133" s="31">
        <f>IF(OR(AG133="",NOT(ISNUMBER(AP133))),0,IF(SUMPRODUCT(('Responses'!$AG$2:$AG$501=AG133)*('Responses'!$AJ$2:$AJ$501=1)*ISNUMBER('Responses'!$AP$2:$AP$501)*('Responses'!$AP$2:$AP$501&gt;AP133)) + SUMPRODUCT(('Paper sign-ups'!$K$2:$K$101=AG133)*('Paper sign-ups'!$N$2:$N$101=1)*ISNUMBER('Paper sign-ups'!$T$2:$T$101)*('Paper sign-ups'!$T$2:$T$101&gt;AP133))&gt;0,1,0))</f>
        <v/>
      </c>
      <c r="AR133" s="31">
        <f>IF(AE133="","",IF(AQ133=1,"Joined again",IF(AJ133=0,"Unpaid",IF(NOT(ISNUMBER(AL133)),"Add a join date",IF(AN133="","No reminder",IF(AO133&lt;0,"Lapsed",IF(AO133&lt;=Settings!$D$6,"Remind soon","Current")))))))</f>
        <v/>
      </c>
      <c r="AS133" s="33">
        <f>IF(AJ133=1,IFERROR(VALUE(IFERROR(TRIM(INDEX($A133:$Z133,MATCH(Settings!$L$8,$A$1:$Z$1,0))&amp;""),"")),0)-IFERROR(VALUE(IFERROR(TRIM(INDEX($A133:$Z133,MATCH(Settings!$L$9,$A$1:$Z$1,0))&amp;""),"")),0),0)</f>
        <v/>
      </c>
      <c r="AT133" s="31">
        <f>IF(AND(AE133&lt;&gt;"",AQ133=0),1,0)</f>
        <v/>
      </c>
      <c r="AU133" s="31">
        <f>IF(AT133=0,"",IF(ISNUMBER(AN133),AN133,100000)+0+ROW()/1000000)</f>
        <v/>
      </c>
      <c r="AV133" s="31">
        <f>IF(ISNUMBER(AU133),SUMPRODUCT(ISNUMBER('Responses'!$AU$2:$AU$501)*('Responses'!$AU$2:$AU$501&lt;AU133)) + SUMPRODUCT(ISNUMBER('Paper sign-ups'!$Y$2:$Y$101)*('Paper sign-ups'!$Y$2:$Y$101&lt;AU133))+1,"")</f>
        <v/>
      </c>
    </row>
    <row r="134">
      <c r="AA134" s="29" t="n"/>
      <c r="AB134" s="30" t="n"/>
      <c r="AC134" s="30" t="n"/>
      <c r="AD134" s="29" t="n"/>
      <c r="AE134" s="31">
        <f>IFERROR(TRIM(INDEX($A134:$Z134,MATCH(Settings!$L$4,$A$1:$Z$1,0))&amp;""),"")</f>
        <v/>
      </c>
      <c r="AF134" s="31">
        <f>IFERROR(TRIM(INDEX($A134:$Z134,MATCH(Settings!$L$5,$A$1:$Z$1,0))&amp;""),"")</f>
        <v/>
      </c>
      <c r="AG134" s="31">
        <f>IF(AE134="","",LOWER(IF(AF134&lt;&gt;"",AF134,AE134)))</f>
        <v/>
      </c>
      <c r="AH134" s="31">
        <f>IFERROR(TRIM(INDEX($A134:$Z134,MATCH(Settings!$L$6,$A$1:$Z$1,0))&amp;""),"")</f>
        <v/>
      </c>
      <c r="AI134" s="31">
        <f>IF(AE134="","",IF(UPPER(TRIM(AB134&amp;""))="Y","Paid another way",IF(IFERROR(TRIM(INDEX($A134:$Z134,MATCH(Settings!$L$7,$A$1:$Z$1,0))&amp;""),"")="","No payment status",IFERROR(TRIM(INDEX($A134:$Z134,MATCH(Settings!$L$7,$A$1:$Z$1,0))&amp;""),""))))</f>
        <v/>
      </c>
      <c r="AJ134" s="31">
        <f>IF(AE134="",0,IF(IFERROR(INDEX(Settings!$J$4:$J$14,MATCH(AI134,Settings!$I$4:$I$14,0)),"N")="Y",1,0))</f>
        <v/>
      </c>
      <c r="AK134" s="32">
        <f>IFERROR(INT(IFERROR(IF(ISNUMBER(INDEX($A134:$Z134,MATCH(Settings!$L$10,$A$1:$Z$1,0))),INDEX($A134:$Z134,MATCH(Settings!$L$10,$A$1:$Z$1,0)),DATE(VALUE(LEFT(IFERROR(TRIM(INDEX($A134:$Z134,MATCH(Settings!$L$10,$A$1:$Z$1,0))&amp;""),""),4)),VALUE(MID(IFERROR(TRIM(INDEX($A134:$Z134,MATCH(Settings!$L$10,$A$1:$Z$1,0))&amp;""),""),6,2)),VALUE(MID(IFERROR(TRIM(INDEX($A134:$Z134,MATCH(Settings!$L$10,$A$1:$Z$1,0))&amp;""),""),9,2)))+TIME(VALUE(MID(IFERROR(TRIM(INDEX($A134:$Z134,MATCH(Settings!$L$10,$A$1:$Z$1,0))&amp;""),""),12,2)),VALUE(MID(IFERROR(TRIM(INDEX($A134:$Z134,MATCH(Settings!$L$10,$A$1:$Z$1,0))&amp;""),""),15,2)),VALUE(MID(IFERROR(TRIM(INDEX($A134:$Z134,MATCH(Settings!$L$10,$A$1:$Z$1,0))&amp;""),""),18,2)))),"")),"")</f>
        <v/>
      </c>
      <c r="AL134" s="32">
        <f>IF(AE134="","",IF(ISNUMBER(AK134),AK134,IFERROR(INT(IFERROR(IF(ISNUMBER(INDEX($A134:$Z134,MATCH(Settings!$L$11,$A$1:$Z$1,0))),INDEX($A134:$Z134,MATCH(Settings!$L$11,$A$1:$Z$1,0)),DATE(VALUE(LEFT(IFERROR(TRIM(INDEX($A134:$Z134,MATCH(Settings!$L$11,$A$1:$Z$1,0))&amp;""),""),4)),VALUE(MID(IFERROR(TRIM(INDEX($A134:$Z134,MATCH(Settings!$L$11,$A$1:$Z$1,0))&amp;""),""),6,2)),VALUE(MID(IFERROR(TRIM(INDEX($A134:$Z134,MATCH(Settings!$L$11,$A$1:$Z$1,0))&amp;""),""),9,2)))+TIME(VALUE(MID(IFERROR(TRIM(INDEX($A134:$Z134,MATCH(Settings!$L$11,$A$1:$Z$1,0))&amp;""),""),12,2)),VALUE(MID(IFERROR(TRIM(INDEX($A134:$Z134,MATCH(Settings!$L$11,$A$1:$Z$1,0))&amp;""),""),15,2)),VALUE(MID(IFERROR(TRIM(INDEX($A134:$Z134,MATCH(Settings!$L$11,$A$1:$Z$1,0))&amp;""),""),18,2)))),"")),"")))</f>
        <v/>
      </c>
      <c r="AM134" s="31">
        <f>IF(AE134="","",IF(ISNUMBER(IFERROR(INDEX(Settings!$G$4:$G$11,MATCH(AH134,Settings!$F$4:$F$11,0)),"")),INDEX(Settings!$G$4:$G$11,MATCH(AH134,Settings!$F$4:$F$11,0)),Settings!$D$5))</f>
        <v/>
      </c>
      <c r="AN134" s="32">
        <f>IF(OR(AE134="",NOT(ISNUMBER(AL134)),NOT(ISNUMBER(AM134))),"",IF(AM134&lt;=0,"",IF(ISNUMBER(Settings!$D$8),DATE(YEAR(AL134)+IF(DATE(YEAR(AL134),MONTH(Settings!$D$8),DAY(Settings!$D$8))&gt;AL134,0,1),MONTH(Settings!$D$8),DAY(Settings!$D$8)),MIN(DATE(YEAR(AL134),MONTH(AL134)+AM134,DAY(AL134)),DATE(YEAR(AL134),MONTH(AL134)+AM134+1,0)))))</f>
        <v/>
      </c>
      <c r="AO134" s="31">
        <f>IF(ISNUMBER(AN134),AN134-Settings!$D$4,"")</f>
        <v/>
      </c>
      <c r="AP134" s="31">
        <f>IF(ISNUMBER(AL134),AL134+0+ROW()/100000,"")</f>
        <v/>
      </c>
      <c r="AQ134" s="31">
        <f>IF(OR(AG134="",NOT(ISNUMBER(AP134))),0,IF(SUMPRODUCT(('Responses'!$AG$2:$AG$501=AG134)*('Responses'!$AJ$2:$AJ$501=1)*ISNUMBER('Responses'!$AP$2:$AP$501)*('Responses'!$AP$2:$AP$501&gt;AP134)) + SUMPRODUCT(('Paper sign-ups'!$K$2:$K$101=AG134)*('Paper sign-ups'!$N$2:$N$101=1)*ISNUMBER('Paper sign-ups'!$T$2:$T$101)*('Paper sign-ups'!$T$2:$T$101&gt;AP134))&gt;0,1,0))</f>
        <v/>
      </c>
      <c r="AR134" s="31">
        <f>IF(AE134="","",IF(AQ134=1,"Joined again",IF(AJ134=0,"Unpaid",IF(NOT(ISNUMBER(AL134)),"Add a join date",IF(AN134="","No reminder",IF(AO134&lt;0,"Lapsed",IF(AO134&lt;=Settings!$D$6,"Remind soon","Current")))))))</f>
        <v/>
      </c>
      <c r="AS134" s="33">
        <f>IF(AJ134=1,IFERROR(VALUE(IFERROR(TRIM(INDEX($A134:$Z134,MATCH(Settings!$L$8,$A$1:$Z$1,0))&amp;""),"")),0)-IFERROR(VALUE(IFERROR(TRIM(INDEX($A134:$Z134,MATCH(Settings!$L$9,$A$1:$Z$1,0))&amp;""),"")),0),0)</f>
        <v/>
      </c>
      <c r="AT134" s="31">
        <f>IF(AND(AE134&lt;&gt;"",AQ134=0),1,0)</f>
        <v/>
      </c>
      <c r="AU134" s="31">
        <f>IF(AT134=0,"",IF(ISNUMBER(AN134),AN134,100000)+0+ROW()/1000000)</f>
        <v/>
      </c>
      <c r="AV134" s="31">
        <f>IF(ISNUMBER(AU134),SUMPRODUCT(ISNUMBER('Responses'!$AU$2:$AU$501)*('Responses'!$AU$2:$AU$501&lt;AU134)) + SUMPRODUCT(ISNUMBER('Paper sign-ups'!$Y$2:$Y$101)*('Paper sign-ups'!$Y$2:$Y$101&lt;AU134))+1,"")</f>
        <v/>
      </c>
    </row>
    <row r="135">
      <c r="AA135" s="29" t="n"/>
      <c r="AB135" s="30" t="n"/>
      <c r="AC135" s="30" t="n"/>
      <c r="AD135" s="29" t="n"/>
      <c r="AE135" s="31">
        <f>IFERROR(TRIM(INDEX($A135:$Z135,MATCH(Settings!$L$4,$A$1:$Z$1,0))&amp;""),"")</f>
        <v/>
      </c>
      <c r="AF135" s="31">
        <f>IFERROR(TRIM(INDEX($A135:$Z135,MATCH(Settings!$L$5,$A$1:$Z$1,0))&amp;""),"")</f>
        <v/>
      </c>
      <c r="AG135" s="31">
        <f>IF(AE135="","",LOWER(IF(AF135&lt;&gt;"",AF135,AE135)))</f>
        <v/>
      </c>
      <c r="AH135" s="31">
        <f>IFERROR(TRIM(INDEX($A135:$Z135,MATCH(Settings!$L$6,$A$1:$Z$1,0))&amp;""),"")</f>
        <v/>
      </c>
      <c r="AI135" s="31">
        <f>IF(AE135="","",IF(UPPER(TRIM(AB135&amp;""))="Y","Paid another way",IF(IFERROR(TRIM(INDEX($A135:$Z135,MATCH(Settings!$L$7,$A$1:$Z$1,0))&amp;""),"")="","No payment status",IFERROR(TRIM(INDEX($A135:$Z135,MATCH(Settings!$L$7,$A$1:$Z$1,0))&amp;""),""))))</f>
        <v/>
      </c>
      <c r="AJ135" s="31">
        <f>IF(AE135="",0,IF(IFERROR(INDEX(Settings!$J$4:$J$14,MATCH(AI135,Settings!$I$4:$I$14,0)),"N")="Y",1,0))</f>
        <v/>
      </c>
      <c r="AK135" s="32">
        <f>IFERROR(INT(IFERROR(IF(ISNUMBER(INDEX($A135:$Z135,MATCH(Settings!$L$10,$A$1:$Z$1,0))),INDEX($A135:$Z135,MATCH(Settings!$L$10,$A$1:$Z$1,0)),DATE(VALUE(LEFT(IFERROR(TRIM(INDEX($A135:$Z135,MATCH(Settings!$L$10,$A$1:$Z$1,0))&amp;""),""),4)),VALUE(MID(IFERROR(TRIM(INDEX($A135:$Z135,MATCH(Settings!$L$10,$A$1:$Z$1,0))&amp;""),""),6,2)),VALUE(MID(IFERROR(TRIM(INDEX($A135:$Z135,MATCH(Settings!$L$10,$A$1:$Z$1,0))&amp;""),""),9,2)))+TIME(VALUE(MID(IFERROR(TRIM(INDEX($A135:$Z135,MATCH(Settings!$L$10,$A$1:$Z$1,0))&amp;""),""),12,2)),VALUE(MID(IFERROR(TRIM(INDEX($A135:$Z135,MATCH(Settings!$L$10,$A$1:$Z$1,0))&amp;""),""),15,2)),VALUE(MID(IFERROR(TRIM(INDEX($A135:$Z135,MATCH(Settings!$L$10,$A$1:$Z$1,0))&amp;""),""),18,2)))),"")),"")</f>
        <v/>
      </c>
      <c r="AL135" s="32">
        <f>IF(AE135="","",IF(ISNUMBER(AK135),AK135,IFERROR(INT(IFERROR(IF(ISNUMBER(INDEX($A135:$Z135,MATCH(Settings!$L$11,$A$1:$Z$1,0))),INDEX($A135:$Z135,MATCH(Settings!$L$11,$A$1:$Z$1,0)),DATE(VALUE(LEFT(IFERROR(TRIM(INDEX($A135:$Z135,MATCH(Settings!$L$11,$A$1:$Z$1,0))&amp;""),""),4)),VALUE(MID(IFERROR(TRIM(INDEX($A135:$Z135,MATCH(Settings!$L$11,$A$1:$Z$1,0))&amp;""),""),6,2)),VALUE(MID(IFERROR(TRIM(INDEX($A135:$Z135,MATCH(Settings!$L$11,$A$1:$Z$1,0))&amp;""),""),9,2)))+TIME(VALUE(MID(IFERROR(TRIM(INDEX($A135:$Z135,MATCH(Settings!$L$11,$A$1:$Z$1,0))&amp;""),""),12,2)),VALUE(MID(IFERROR(TRIM(INDEX($A135:$Z135,MATCH(Settings!$L$11,$A$1:$Z$1,0))&amp;""),""),15,2)),VALUE(MID(IFERROR(TRIM(INDEX($A135:$Z135,MATCH(Settings!$L$11,$A$1:$Z$1,0))&amp;""),""),18,2)))),"")),"")))</f>
        <v/>
      </c>
      <c r="AM135" s="31">
        <f>IF(AE135="","",IF(ISNUMBER(IFERROR(INDEX(Settings!$G$4:$G$11,MATCH(AH135,Settings!$F$4:$F$11,0)),"")),INDEX(Settings!$G$4:$G$11,MATCH(AH135,Settings!$F$4:$F$11,0)),Settings!$D$5))</f>
        <v/>
      </c>
      <c r="AN135" s="32">
        <f>IF(OR(AE135="",NOT(ISNUMBER(AL135)),NOT(ISNUMBER(AM135))),"",IF(AM135&lt;=0,"",IF(ISNUMBER(Settings!$D$8),DATE(YEAR(AL135)+IF(DATE(YEAR(AL135),MONTH(Settings!$D$8),DAY(Settings!$D$8))&gt;AL135,0,1),MONTH(Settings!$D$8),DAY(Settings!$D$8)),MIN(DATE(YEAR(AL135),MONTH(AL135)+AM135,DAY(AL135)),DATE(YEAR(AL135),MONTH(AL135)+AM135+1,0)))))</f>
        <v/>
      </c>
      <c r="AO135" s="31">
        <f>IF(ISNUMBER(AN135),AN135-Settings!$D$4,"")</f>
        <v/>
      </c>
      <c r="AP135" s="31">
        <f>IF(ISNUMBER(AL135),AL135+0+ROW()/100000,"")</f>
        <v/>
      </c>
      <c r="AQ135" s="31">
        <f>IF(OR(AG135="",NOT(ISNUMBER(AP135))),0,IF(SUMPRODUCT(('Responses'!$AG$2:$AG$501=AG135)*('Responses'!$AJ$2:$AJ$501=1)*ISNUMBER('Responses'!$AP$2:$AP$501)*('Responses'!$AP$2:$AP$501&gt;AP135)) + SUMPRODUCT(('Paper sign-ups'!$K$2:$K$101=AG135)*('Paper sign-ups'!$N$2:$N$101=1)*ISNUMBER('Paper sign-ups'!$T$2:$T$101)*('Paper sign-ups'!$T$2:$T$101&gt;AP135))&gt;0,1,0))</f>
        <v/>
      </c>
      <c r="AR135" s="31">
        <f>IF(AE135="","",IF(AQ135=1,"Joined again",IF(AJ135=0,"Unpaid",IF(NOT(ISNUMBER(AL135)),"Add a join date",IF(AN135="","No reminder",IF(AO135&lt;0,"Lapsed",IF(AO135&lt;=Settings!$D$6,"Remind soon","Current")))))))</f>
        <v/>
      </c>
      <c r="AS135" s="33">
        <f>IF(AJ135=1,IFERROR(VALUE(IFERROR(TRIM(INDEX($A135:$Z135,MATCH(Settings!$L$8,$A$1:$Z$1,0))&amp;""),"")),0)-IFERROR(VALUE(IFERROR(TRIM(INDEX($A135:$Z135,MATCH(Settings!$L$9,$A$1:$Z$1,0))&amp;""),"")),0),0)</f>
        <v/>
      </c>
      <c r="AT135" s="31">
        <f>IF(AND(AE135&lt;&gt;"",AQ135=0),1,0)</f>
        <v/>
      </c>
      <c r="AU135" s="31">
        <f>IF(AT135=0,"",IF(ISNUMBER(AN135),AN135,100000)+0+ROW()/1000000)</f>
        <v/>
      </c>
      <c r="AV135" s="31">
        <f>IF(ISNUMBER(AU135),SUMPRODUCT(ISNUMBER('Responses'!$AU$2:$AU$501)*('Responses'!$AU$2:$AU$501&lt;AU135)) + SUMPRODUCT(ISNUMBER('Paper sign-ups'!$Y$2:$Y$101)*('Paper sign-ups'!$Y$2:$Y$101&lt;AU135))+1,"")</f>
        <v/>
      </c>
    </row>
    <row r="136">
      <c r="AA136" s="29" t="n"/>
      <c r="AB136" s="30" t="n"/>
      <c r="AC136" s="30" t="n"/>
      <c r="AD136" s="29" t="n"/>
      <c r="AE136" s="31">
        <f>IFERROR(TRIM(INDEX($A136:$Z136,MATCH(Settings!$L$4,$A$1:$Z$1,0))&amp;""),"")</f>
        <v/>
      </c>
      <c r="AF136" s="31">
        <f>IFERROR(TRIM(INDEX($A136:$Z136,MATCH(Settings!$L$5,$A$1:$Z$1,0))&amp;""),"")</f>
        <v/>
      </c>
      <c r="AG136" s="31">
        <f>IF(AE136="","",LOWER(IF(AF136&lt;&gt;"",AF136,AE136)))</f>
        <v/>
      </c>
      <c r="AH136" s="31">
        <f>IFERROR(TRIM(INDEX($A136:$Z136,MATCH(Settings!$L$6,$A$1:$Z$1,0))&amp;""),"")</f>
        <v/>
      </c>
      <c r="AI136" s="31">
        <f>IF(AE136="","",IF(UPPER(TRIM(AB136&amp;""))="Y","Paid another way",IF(IFERROR(TRIM(INDEX($A136:$Z136,MATCH(Settings!$L$7,$A$1:$Z$1,0))&amp;""),"")="","No payment status",IFERROR(TRIM(INDEX($A136:$Z136,MATCH(Settings!$L$7,$A$1:$Z$1,0))&amp;""),""))))</f>
        <v/>
      </c>
      <c r="AJ136" s="31">
        <f>IF(AE136="",0,IF(IFERROR(INDEX(Settings!$J$4:$J$14,MATCH(AI136,Settings!$I$4:$I$14,0)),"N")="Y",1,0))</f>
        <v/>
      </c>
      <c r="AK136" s="32">
        <f>IFERROR(INT(IFERROR(IF(ISNUMBER(INDEX($A136:$Z136,MATCH(Settings!$L$10,$A$1:$Z$1,0))),INDEX($A136:$Z136,MATCH(Settings!$L$10,$A$1:$Z$1,0)),DATE(VALUE(LEFT(IFERROR(TRIM(INDEX($A136:$Z136,MATCH(Settings!$L$10,$A$1:$Z$1,0))&amp;""),""),4)),VALUE(MID(IFERROR(TRIM(INDEX($A136:$Z136,MATCH(Settings!$L$10,$A$1:$Z$1,0))&amp;""),""),6,2)),VALUE(MID(IFERROR(TRIM(INDEX($A136:$Z136,MATCH(Settings!$L$10,$A$1:$Z$1,0))&amp;""),""),9,2)))+TIME(VALUE(MID(IFERROR(TRIM(INDEX($A136:$Z136,MATCH(Settings!$L$10,$A$1:$Z$1,0))&amp;""),""),12,2)),VALUE(MID(IFERROR(TRIM(INDEX($A136:$Z136,MATCH(Settings!$L$10,$A$1:$Z$1,0))&amp;""),""),15,2)),VALUE(MID(IFERROR(TRIM(INDEX($A136:$Z136,MATCH(Settings!$L$10,$A$1:$Z$1,0))&amp;""),""),18,2)))),"")),"")</f>
        <v/>
      </c>
      <c r="AL136" s="32">
        <f>IF(AE136="","",IF(ISNUMBER(AK136),AK136,IFERROR(INT(IFERROR(IF(ISNUMBER(INDEX($A136:$Z136,MATCH(Settings!$L$11,$A$1:$Z$1,0))),INDEX($A136:$Z136,MATCH(Settings!$L$11,$A$1:$Z$1,0)),DATE(VALUE(LEFT(IFERROR(TRIM(INDEX($A136:$Z136,MATCH(Settings!$L$11,$A$1:$Z$1,0))&amp;""),""),4)),VALUE(MID(IFERROR(TRIM(INDEX($A136:$Z136,MATCH(Settings!$L$11,$A$1:$Z$1,0))&amp;""),""),6,2)),VALUE(MID(IFERROR(TRIM(INDEX($A136:$Z136,MATCH(Settings!$L$11,$A$1:$Z$1,0))&amp;""),""),9,2)))+TIME(VALUE(MID(IFERROR(TRIM(INDEX($A136:$Z136,MATCH(Settings!$L$11,$A$1:$Z$1,0))&amp;""),""),12,2)),VALUE(MID(IFERROR(TRIM(INDEX($A136:$Z136,MATCH(Settings!$L$11,$A$1:$Z$1,0))&amp;""),""),15,2)),VALUE(MID(IFERROR(TRIM(INDEX($A136:$Z136,MATCH(Settings!$L$11,$A$1:$Z$1,0))&amp;""),""),18,2)))),"")),"")))</f>
        <v/>
      </c>
      <c r="AM136" s="31">
        <f>IF(AE136="","",IF(ISNUMBER(IFERROR(INDEX(Settings!$G$4:$G$11,MATCH(AH136,Settings!$F$4:$F$11,0)),"")),INDEX(Settings!$G$4:$G$11,MATCH(AH136,Settings!$F$4:$F$11,0)),Settings!$D$5))</f>
        <v/>
      </c>
      <c r="AN136" s="32">
        <f>IF(OR(AE136="",NOT(ISNUMBER(AL136)),NOT(ISNUMBER(AM136))),"",IF(AM136&lt;=0,"",IF(ISNUMBER(Settings!$D$8),DATE(YEAR(AL136)+IF(DATE(YEAR(AL136),MONTH(Settings!$D$8),DAY(Settings!$D$8))&gt;AL136,0,1),MONTH(Settings!$D$8),DAY(Settings!$D$8)),MIN(DATE(YEAR(AL136),MONTH(AL136)+AM136,DAY(AL136)),DATE(YEAR(AL136),MONTH(AL136)+AM136+1,0)))))</f>
        <v/>
      </c>
      <c r="AO136" s="31">
        <f>IF(ISNUMBER(AN136),AN136-Settings!$D$4,"")</f>
        <v/>
      </c>
      <c r="AP136" s="31">
        <f>IF(ISNUMBER(AL136),AL136+0+ROW()/100000,"")</f>
        <v/>
      </c>
      <c r="AQ136" s="31">
        <f>IF(OR(AG136="",NOT(ISNUMBER(AP136))),0,IF(SUMPRODUCT(('Responses'!$AG$2:$AG$501=AG136)*('Responses'!$AJ$2:$AJ$501=1)*ISNUMBER('Responses'!$AP$2:$AP$501)*('Responses'!$AP$2:$AP$501&gt;AP136)) + SUMPRODUCT(('Paper sign-ups'!$K$2:$K$101=AG136)*('Paper sign-ups'!$N$2:$N$101=1)*ISNUMBER('Paper sign-ups'!$T$2:$T$101)*('Paper sign-ups'!$T$2:$T$101&gt;AP136))&gt;0,1,0))</f>
        <v/>
      </c>
      <c r="AR136" s="31">
        <f>IF(AE136="","",IF(AQ136=1,"Joined again",IF(AJ136=0,"Unpaid",IF(NOT(ISNUMBER(AL136)),"Add a join date",IF(AN136="","No reminder",IF(AO136&lt;0,"Lapsed",IF(AO136&lt;=Settings!$D$6,"Remind soon","Current")))))))</f>
        <v/>
      </c>
      <c r="AS136" s="33">
        <f>IF(AJ136=1,IFERROR(VALUE(IFERROR(TRIM(INDEX($A136:$Z136,MATCH(Settings!$L$8,$A$1:$Z$1,0))&amp;""),"")),0)-IFERROR(VALUE(IFERROR(TRIM(INDEX($A136:$Z136,MATCH(Settings!$L$9,$A$1:$Z$1,0))&amp;""),"")),0),0)</f>
        <v/>
      </c>
      <c r="AT136" s="31">
        <f>IF(AND(AE136&lt;&gt;"",AQ136=0),1,0)</f>
        <v/>
      </c>
      <c r="AU136" s="31">
        <f>IF(AT136=0,"",IF(ISNUMBER(AN136),AN136,100000)+0+ROW()/1000000)</f>
        <v/>
      </c>
      <c r="AV136" s="31">
        <f>IF(ISNUMBER(AU136),SUMPRODUCT(ISNUMBER('Responses'!$AU$2:$AU$501)*('Responses'!$AU$2:$AU$501&lt;AU136)) + SUMPRODUCT(ISNUMBER('Paper sign-ups'!$Y$2:$Y$101)*('Paper sign-ups'!$Y$2:$Y$101&lt;AU136))+1,"")</f>
        <v/>
      </c>
    </row>
    <row r="137">
      <c r="AA137" s="29" t="n"/>
      <c r="AB137" s="30" t="n"/>
      <c r="AC137" s="30" t="n"/>
      <c r="AD137" s="29" t="n"/>
      <c r="AE137" s="31">
        <f>IFERROR(TRIM(INDEX($A137:$Z137,MATCH(Settings!$L$4,$A$1:$Z$1,0))&amp;""),"")</f>
        <v/>
      </c>
      <c r="AF137" s="31">
        <f>IFERROR(TRIM(INDEX($A137:$Z137,MATCH(Settings!$L$5,$A$1:$Z$1,0))&amp;""),"")</f>
        <v/>
      </c>
      <c r="AG137" s="31">
        <f>IF(AE137="","",LOWER(IF(AF137&lt;&gt;"",AF137,AE137)))</f>
        <v/>
      </c>
      <c r="AH137" s="31">
        <f>IFERROR(TRIM(INDEX($A137:$Z137,MATCH(Settings!$L$6,$A$1:$Z$1,0))&amp;""),"")</f>
        <v/>
      </c>
      <c r="AI137" s="31">
        <f>IF(AE137="","",IF(UPPER(TRIM(AB137&amp;""))="Y","Paid another way",IF(IFERROR(TRIM(INDEX($A137:$Z137,MATCH(Settings!$L$7,$A$1:$Z$1,0))&amp;""),"")="","No payment status",IFERROR(TRIM(INDEX($A137:$Z137,MATCH(Settings!$L$7,$A$1:$Z$1,0))&amp;""),""))))</f>
        <v/>
      </c>
      <c r="AJ137" s="31">
        <f>IF(AE137="",0,IF(IFERROR(INDEX(Settings!$J$4:$J$14,MATCH(AI137,Settings!$I$4:$I$14,0)),"N")="Y",1,0))</f>
        <v/>
      </c>
      <c r="AK137" s="32">
        <f>IFERROR(INT(IFERROR(IF(ISNUMBER(INDEX($A137:$Z137,MATCH(Settings!$L$10,$A$1:$Z$1,0))),INDEX($A137:$Z137,MATCH(Settings!$L$10,$A$1:$Z$1,0)),DATE(VALUE(LEFT(IFERROR(TRIM(INDEX($A137:$Z137,MATCH(Settings!$L$10,$A$1:$Z$1,0))&amp;""),""),4)),VALUE(MID(IFERROR(TRIM(INDEX($A137:$Z137,MATCH(Settings!$L$10,$A$1:$Z$1,0))&amp;""),""),6,2)),VALUE(MID(IFERROR(TRIM(INDEX($A137:$Z137,MATCH(Settings!$L$10,$A$1:$Z$1,0))&amp;""),""),9,2)))+TIME(VALUE(MID(IFERROR(TRIM(INDEX($A137:$Z137,MATCH(Settings!$L$10,$A$1:$Z$1,0))&amp;""),""),12,2)),VALUE(MID(IFERROR(TRIM(INDEX($A137:$Z137,MATCH(Settings!$L$10,$A$1:$Z$1,0))&amp;""),""),15,2)),VALUE(MID(IFERROR(TRIM(INDEX($A137:$Z137,MATCH(Settings!$L$10,$A$1:$Z$1,0))&amp;""),""),18,2)))),"")),"")</f>
        <v/>
      </c>
      <c r="AL137" s="32">
        <f>IF(AE137="","",IF(ISNUMBER(AK137),AK137,IFERROR(INT(IFERROR(IF(ISNUMBER(INDEX($A137:$Z137,MATCH(Settings!$L$11,$A$1:$Z$1,0))),INDEX($A137:$Z137,MATCH(Settings!$L$11,$A$1:$Z$1,0)),DATE(VALUE(LEFT(IFERROR(TRIM(INDEX($A137:$Z137,MATCH(Settings!$L$11,$A$1:$Z$1,0))&amp;""),""),4)),VALUE(MID(IFERROR(TRIM(INDEX($A137:$Z137,MATCH(Settings!$L$11,$A$1:$Z$1,0))&amp;""),""),6,2)),VALUE(MID(IFERROR(TRIM(INDEX($A137:$Z137,MATCH(Settings!$L$11,$A$1:$Z$1,0))&amp;""),""),9,2)))+TIME(VALUE(MID(IFERROR(TRIM(INDEX($A137:$Z137,MATCH(Settings!$L$11,$A$1:$Z$1,0))&amp;""),""),12,2)),VALUE(MID(IFERROR(TRIM(INDEX($A137:$Z137,MATCH(Settings!$L$11,$A$1:$Z$1,0))&amp;""),""),15,2)),VALUE(MID(IFERROR(TRIM(INDEX($A137:$Z137,MATCH(Settings!$L$11,$A$1:$Z$1,0))&amp;""),""),18,2)))),"")),"")))</f>
        <v/>
      </c>
      <c r="AM137" s="31">
        <f>IF(AE137="","",IF(ISNUMBER(IFERROR(INDEX(Settings!$G$4:$G$11,MATCH(AH137,Settings!$F$4:$F$11,0)),"")),INDEX(Settings!$G$4:$G$11,MATCH(AH137,Settings!$F$4:$F$11,0)),Settings!$D$5))</f>
        <v/>
      </c>
      <c r="AN137" s="32">
        <f>IF(OR(AE137="",NOT(ISNUMBER(AL137)),NOT(ISNUMBER(AM137))),"",IF(AM137&lt;=0,"",IF(ISNUMBER(Settings!$D$8),DATE(YEAR(AL137)+IF(DATE(YEAR(AL137),MONTH(Settings!$D$8),DAY(Settings!$D$8))&gt;AL137,0,1),MONTH(Settings!$D$8),DAY(Settings!$D$8)),MIN(DATE(YEAR(AL137),MONTH(AL137)+AM137,DAY(AL137)),DATE(YEAR(AL137),MONTH(AL137)+AM137+1,0)))))</f>
        <v/>
      </c>
      <c r="AO137" s="31">
        <f>IF(ISNUMBER(AN137),AN137-Settings!$D$4,"")</f>
        <v/>
      </c>
      <c r="AP137" s="31">
        <f>IF(ISNUMBER(AL137),AL137+0+ROW()/100000,"")</f>
        <v/>
      </c>
      <c r="AQ137" s="31">
        <f>IF(OR(AG137="",NOT(ISNUMBER(AP137))),0,IF(SUMPRODUCT(('Responses'!$AG$2:$AG$501=AG137)*('Responses'!$AJ$2:$AJ$501=1)*ISNUMBER('Responses'!$AP$2:$AP$501)*('Responses'!$AP$2:$AP$501&gt;AP137)) + SUMPRODUCT(('Paper sign-ups'!$K$2:$K$101=AG137)*('Paper sign-ups'!$N$2:$N$101=1)*ISNUMBER('Paper sign-ups'!$T$2:$T$101)*('Paper sign-ups'!$T$2:$T$101&gt;AP137))&gt;0,1,0))</f>
        <v/>
      </c>
      <c r="AR137" s="31">
        <f>IF(AE137="","",IF(AQ137=1,"Joined again",IF(AJ137=0,"Unpaid",IF(NOT(ISNUMBER(AL137)),"Add a join date",IF(AN137="","No reminder",IF(AO137&lt;0,"Lapsed",IF(AO137&lt;=Settings!$D$6,"Remind soon","Current")))))))</f>
        <v/>
      </c>
      <c r="AS137" s="33">
        <f>IF(AJ137=1,IFERROR(VALUE(IFERROR(TRIM(INDEX($A137:$Z137,MATCH(Settings!$L$8,$A$1:$Z$1,0))&amp;""),"")),0)-IFERROR(VALUE(IFERROR(TRIM(INDEX($A137:$Z137,MATCH(Settings!$L$9,$A$1:$Z$1,0))&amp;""),"")),0),0)</f>
        <v/>
      </c>
      <c r="AT137" s="31">
        <f>IF(AND(AE137&lt;&gt;"",AQ137=0),1,0)</f>
        <v/>
      </c>
      <c r="AU137" s="31">
        <f>IF(AT137=0,"",IF(ISNUMBER(AN137),AN137,100000)+0+ROW()/1000000)</f>
        <v/>
      </c>
      <c r="AV137" s="31">
        <f>IF(ISNUMBER(AU137),SUMPRODUCT(ISNUMBER('Responses'!$AU$2:$AU$501)*('Responses'!$AU$2:$AU$501&lt;AU137)) + SUMPRODUCT(ISNUMBER('Paper sign-ups'!$Y$2:$Y$101)*('Paper sign-ups'!$Y$2:$Y$101&lt;AU137))+1,"")</f>
        <v/>
      </c>
    </row>
    <row r="138">
      <c r="AA138" s="29" t="n"/>
      <c r="AB138" s="30" t="n"/>
      <c r="AC138" s="30" t="n"/>
      <c r="AD138" s="29" t="n"/>
      <c r="AE138" s="31">
        <f>IFERROR(TRIM(INDEX($A138:$Z138,MATCH(Settings!$L$4,$A$1:$Z$1,0))&amp;""),"")</f>
        <v/>
      </c>
      <c r="AF138" s="31">
        <f>IFERROR(TRIM(INDEX($A138:$Z138,MATCH(Settings!$L$5,$A$1:$Z$1,0))&amp;""),"")</f>
        <v/>
      </c>
      <c r="AG138" s="31">
        <f>IF(AE138="","",LOWER(IF(AF138&lt;&gt;"",AF138,AE138)))</f>
        <v/>
      </c>
      <c r="AH138" s="31">
        <f>IFERROR(TRIM(INDEX($A138:$Z138,MATCH(Settings!$L$6,$A$1:$Z$1,0))&amp;""),"")</f>
        <v/>
      </c>
      <c r="AI138" s="31">
        <f>IF(AE138="","",IF(UPPER(TRIM(AB138&amp;""))="Y","Paid another way",IF(IFERROR(TRIM(INDEX($A138:$Z138,MATCH(Settings!$L$7,$A$1:$Z$1,0))&amp;""),"")="","No payment status",IFERROR(TRIM(INDEX($A138:$Z138,MATCH(Settings!$L$7,$A$1:$Z$1,0))&amp;""),""))))</f>
        <v/>
      </c>
      <c r="AJ138" s="31">
        <f>IF(AE138="",0,IF(IFERROR(INDEX(Settings!$J$4:$J$14,MATCH(AI138,Settings!$I$4:$I$14,0)),"N")="Y",1,0))</f>
        <v/>
      </c>
      <c r="AK138" s="32">
        <f>IFERROR(INT(IFERROR(IF(ISNUMBER(INDEX($A138:$Z138,MATCH(Settings!$L$10,$A$1:$Z$1,0))),INDEX($A138:$Z138,MATCH(Settings!$L$10,$A$1:$Z$1,0)),DATE(VALUE(LEFT(IFERROR(TRIM(INDEX($A138:$Z138,MATCH(Settings!$L$10,$A$1:$Z$1,0))&amp;""),""),4)),VALUE(MID(IFERROR(TRIM(INDEX($A138:$Z138,MATCH(Settings!$L$10,$A$1:$Z$1,0))&amp;""),""),6,2)),VALUE(MID(IFERROR(TRIM(INDEX($A138:$Z138,MATCH(Settings!$L$10,$A$1:$Z$1,0))&amp;""),""),9,2)))+TIME(VALUE(MID(IFERROR(TRIM(INDEX($A138:$Z138,MATCH(Settings!$L$10,$A$1:$Z$1,0))&amp;""),""),12,2)),VALUE(MID(IFERROR(TRIM(INDEX($A138:$Z138,MATCH(Settings!$L$10,$A$1:$Z$1,0))&amp;""),""),15,2)),VALUE(MID(IFERROR(TRIM(INDEX($A138:$Z138,MATCH(Settings!$L$10,$A$1:$Z$1,0))&amp;""),""),18,2)))),"")),"")</f>
        <v/>
      </c>
      <c r="AL138" s="32">
        <f>IF(AE138="","",IF(ISNUMBER(AK138),AK138,IFERROR(INT(IFERROR(IF(ISNUMBER(INDEX($A138:$Z138,MATCH(Settings!$L$11,$A$1:$Z$1,0))),INDEX($A138:$Z138,MATCH(Settings!$L$11,$A$1:$Z$1,0)),DATE(VALUE(LEFT(IFERROR(TRIM(INDEX($A138:$Z138,MATCH(Settings!$L$11,$A$1:$Z$1,0))&amp;""),""),4)),VALUE(MID(IFERROR(TRIM(INDEX($A138:$Z138,MATCH(Settings!$L$11,$A$1:$Z$1,0))&amp;""),""),6,2)),VALUE(MID(IFERROR(TRIM(INDEX($A138:$Z138,MATCH(Settings!$L$11,$A$1:$Z$1,0))&amp;""),""),9,2)))+TIME(VALUE(MID(IFERROR(TRIM(INDEX($A138:$Z138,MATCH(Settings!$L$11,$A$1:$Z$1,0))&amp;""),""),12,2)),VALUE(MID(IFERROR(TRIM(INDEX($A138:$Z138,MATCH(Settings!$L$11,$A$1:$Z$1,0))&amp;""),""),15,2)),VALUE(MID(IFERROR(TRIM(INDEX($A138:$Z138,MATCH(Settings!$L$11,$A$1:$Z$1,0))&amp;""),""),18,2)))),"")),"")))</f>
        <v/>
      </c>
      <c r="AM138" s="31">
        <f>IF(AE138="","",IF(ISNUMBER(IFERROR(INDEX(Settings!$G$4:$G$11,MATCH(AH138,Settings!$F$4:$F$11,0)),"")),INDEX(Settings!$G$4:$G$11,MATCH(AH138,Settings!$F$4:$F$11,0)),Settings!$D$5))</f>
        <v/>
      </c>
      <c r="AN138" s="32">
        <f>IF(OR(AE138="",NOT(ISNUMBER(AL138)),NOT(ISNUMBER(AM138))),"",IF(AM138&lt;=0,"",IF(ISNUMBER(Settings!$D$8),DATE(YEAR(AL138)+IF(DATE(YEAR(AL138),MONTH(Settings!$D$8),DAY(Settings!$D$8))&gt;AL138,0,1),MONTH(Settings!$D$8),DAY(Settings!$D$8)),MIN(DATE(YEAR(AL138),MONTH(AL138)+AM138,DAY(AL138)),DATE(YEAR(AL138),MONTH(AL138)+AM138+1,0)))))</f>
        <v/>
      </c>
      <c r="AO138" s="31">
        <f>IF(ISNUMBER(AN138),AN138-Settings!$D$4,"")</f>
        <v/>
      </c>
      <c r="AP138" s="31">
        <f>IF(ISNUMBER(AL138),AL138+0+ROW()/100000,"")</f>
        <v/>
      </c>
      <c r="AQ138" s="31">
        <f>IF(OR(AG138="",NOT(ISNUMBER(AP138))),0,IF(SUMPRODUCT(('Responses'!$AG$2:$AG$501=AG138)*('Responses'!$AJ$2:$AJ$501=1)*ISNUMBER('Responses'!$AP$2:$AP$501)*('Responses'!$AP$2:$AP$501&gt;AP138)) + SUMPRODUCT(('Paper sign-ups'!$K$2:$K$101=AG138)*('Paper sign-ups'!$N$2:$N$101=1)*ISNUMBER('Paper sign-ups'!$T$2:$T$101)*('Paper sign-ups'!$T$2:$T$101&gt;AP138))&gt;0,1,0))</f>
        <v/>
      </c>
      <c r="AR138" s="31">
        <f>IF(AE138="","",IF(AQ138=1,"Joined again",IF(AJ138=0,"Unpaid",IF(NOT(ISNUMBER(AL138)),"Add a join date",IF(AN138="","No reminder",IF(AO138&lt;0,"Lapsed",IF(AO138&lt;=Settings!$D$6,"Remind soon","Current")))))))</f>
        <v/>
      </c>
      <c r="AS138" s="33">
        <f>IF(AJ138=1,IFERROR(VALUE(IFERROR(TRIM(INDEX($A138:$Z138,MATCH(Settings!$L$8,$A$1:$Z$1,0))&amp;""),"")),0)-IFERROR(VALUE(IFERROR(TRIM(INDEX($A138:$Z138,MATCH(Settings!$L$9,$A$1:$Z$1,0))&amp;""),"")),0),0)</f>
        <v/>
      </c>
      <c r="AT138" s="31">
        <f>IF(AND(AE138&lt;&gt;"",AQ138=0),1,0)</f>
        <v/>
      </c>
      <c r="AU138" s="31">
        <f>IF(AT138=0,"",IF(ISNUMBER(AN138),AN138,100000)+0+ROW()/1000000)</f>
        <v/>
      </c>
      <c r="AV138" s="31">
        <f>IF(ISNUMBER(AU138),SUMPRODUCT(ISNUMBER('Responses'!$AU$2:$AU$501)*('Responses'!$AU$2:$AU$501&lt;AU138)) + SUMPRODUCT(ISNUMBER('Paper sign-ups'!$Y$2:$Y$101)*('Paper sign-ups'!$Y$2:$Y$101&lt;AU138))+1,"")</f>
        <v/>
      </c>
    </row>
    <row r="139">
      <c r="AA139" s="29" t="n"/>
      <c r="AB139" s="30" t="n"/>
      <c r="AC139" s="30" t="n"/>
      <c r="AD139" s="29" t="n"/>
      <c r="AE139" s="31">
        <f>IFERROR(TRIM(INDEX($A139:$Z139,MATCH(Settings!$L$4,$A$1:$Z$1,0))&amp;""),"")</f>
        <v/>
      </c>
      <c r="AF139" s="31">
        <f>IFERROR(TRIM(INDEX($A139:$Z139,MATCH(Settings!$L$5,$A$1:$Z$1,0))&amp;""),"")</f>
        <v/>
      </c>
      <c r="AG139" s="31">
        <f>IF(AE139="","",LOWER(IF(AF139&lt;&gt;"",AF139,AE139)))</f>
        <v/>
      </c>
      <c r="AH139" s="31">
        <f>IFERROR(TRIM(INDEX($A139:$Z139,MATCH(Settings!$L$6,$A$1:$Z$1,0))&amp;""),"")</f>
        <v/>
      </c>
      <c r="AI139" s="31">
        <f>IF(AE139="","",IF(UPPER(TRIM(AB139&amp;""))="Y","Paid another way",IF(IFERROR(TRIM(INDEX($A139:$Z139,MATCH(Settings!$L$7,$A$1:$Z$1,0))&amp;""),"")="","No payment status",IFERROR(TRIM(INDEX($A139:$Z139,MATCH(Settings!$L$7,$A$1:$Z$1,0))&amp;""),""))))</f>
        <v/>
      </c>
      <c r="AJ139" s="31">
        <f>IF(AE139="",0,IF(IFERROR(INDEX(Settings!$J$4:$J$14,MATCH(AI139,Settings!$I$4:$I$14,0)),"N")="Y",1,0))</f>
        <v/>
      </c>
      <c r="AK139" s="32">
        <f>IFERROR(INT(IFERROR(IF(ISNUMBER(INDEX($A139:$Z139,MATCH(Settings!$L$10,$A$1:$Z$1,0))),INDEX($A139:$Z139,MATCH(Settings!$L$10,$A$1:$Z$1,0)),DATE(VALUE(LEFT(IFERROR(TRIM(INDEX($A139:$Z139,MATCH(Settings!$L$10,$A$1:$Z$1,0))&amp;""),""),4)),VALUE(MID(IFERROR(TRIM(INDEX($A139:$Z139,MATCH(Settings!$L$10,$A$1:$Z$1,0))&amp;""),""),6,2)),VALUE(MID(IFERROR(TRIM(INDEX($A139:$Z139,MATCH(Settings!$L$10,$A$1:$Z$1,0))&amp;""),""),9,2)))+TIME(VALUE(MID(IFERROR(TRIM(INDEX($A139:$Z139,MATCH(Settings!$L$10,$A$1:$Z$1,0))&amp;""),""),12,2)),VALUE(MID(IFERROR(TRIM(INDEX($A139:$Z139,MATCH(Settings!$L$10,$A$1:$Z$1,0))&amp;""),""),15,2)),VALUE(MID(IFERROR(TRIM(INDEX($A139:$Z139,MATCH(Settings!$L$10,$A$1:$Z$1,0))&amp;""),""),18,2)))),"")),"")</f>
        <v/>
      </c>
      <c r="AL139" s="32">
        <f>IF(AE139="","",IF(ISNUMBER(AK139),AK139,IFERROR(INT(IFERROR(IF(ISNUMBER(INDEX($A139:$Z139,MATCH(Settings!$L$11,$A$1:$Z$1,0))),INDEX($A139:$Z139,MATCH(Settings!$L$11,$A$1:$Z$1,0)),DATE(VALUE(LEFT(IFERROR(TRIM(INDEX($A139:$Z139,MATCH(Settings!$L$11,$A$1:$Z$1,0))&amp;""),""),4)),VALUE(MID(IFERROR(TRIM(INDEX($A139:$Z139,MATCH(Settings!$L$11,$A$1:$Z$1,0))&amp;""),""),6,2)),VALUE(MID(IFERROR(TRIM(INDEX($A139:$Z139,MATCH(Settings!$L$11,$A$1:$Z$1,0))&amp;""),""),9,2)))+TIME(VALUE(MID(IFERROR(TRIM(INDEX($A139:$Z139,MATCH(Settings!$L$11,$A$1:$Z$1,0))&amp;""),""),12,2)),VALUE(MID(IFERROR(TRIM(INDEX($A139:$Z139,MATCH(Settings!$L$11,$A$1:$Z$1,0))&amp;""),""),15,2)),VALUE(MID(IFERROR(TRIM(INDEX($A139:$Z139,MATCH(Settings!$L$11,$A$1:$Z$1,0))&amp;""),""),18,2)))),"")),"")))</f>
        <v/>
      </c>
      <c r="AM139" s="31">
        <f>IF(AE139="","",IF(ISNUMBER(IFERROR(INDEX(Settings!$G$4:$G$11,MATCH(AH139,Settings!$F$4:$F$11,0)),"")),INDEX(Settings!$G$4:$G$11,MATCH(AH139,Settings!$F$4:$F$11,0)),Settings!$D$5))</f>
        <v/>
      </c>
      <c r="AN139" s="32">
        <f>IF(OR(AE139="",NOT(ISNUMBER(AL139)),NOT(ISNUMBER(AM139))),"",IF(AM139&lt;=0,"",IF(ISNUMBER(Settings!$D$8),DATE(YEAR(AL139)+IF(DATE(YEAR(AL139),MONTH(Settings!$D$8),DAY(Settings!$D$8))&gt;AL139,0,1),MONTH(Settings!$D$8),DAY(Settings!$D$8)),MIN(DATE(YEAR(AL139),MONTH(AL139)+AM139,DAY(AL139)),DATE(YEAR(AL139),MONTH(AL139)+AM139+1,0)))))</f>
        <v/>
      </c>
      <c r="AO139" s="31">
        <f>IF(ISNUMBER(AN139),AN139-Settings!$D$4,"")</f>
        <v/>
      </c>
      <c r="AP139" s="31">
        <f>IF(ISNUMBER(AL139),AL139+0+ROW()/100000,"")</f>
        <v/>
      </c>
      <c r="AQ139" s="31">
        <f>IF(OR(AG139="",NOT(ISNUMBER(AP139))),0,IF(SUMPRODUCT(('Responses'!$AG$2:$AG$501=AG139)*('Responses'!$AJ$2:$AJ$501=1)*ISNUMBER('Responses'!$AP$2:$AP$501)*('Responses'!$AP$2:$AP$501&gt;AP139)) + SUMPRODUCT(('Paper sign-ups'!$K$2:$K$101=AG139)*('Paper sign-ups'!$N$2:$N$101=1)*ISNUMBER('Paper sign-ups'!$T$2:$T$101)*('Paper sign-ups'!$T$2:$T$101&gt;AP139))&gt;0,1,0))</f>
        <v/>
      </c>
      <c r="AR139" s="31">
        <f>IF(AE139="","",IF(AQ139=1,"Joined again",IF(AJ139=0,"Unpaid",IF(NOT(ISNUMBER(AL139)),"Add a join date",IF(AN139="","No reminder",IF(AO139&lt;0,"Lapsed",IF(AO139&lt;=Settings!$D$6,"Remind soon","Current")))))))</f>
        <v/>
      </c>
      <c r="AS139" s="33">
        <f>IF(AJ139=1,IFERROR(VALUE(IFERROR(TRIM(INDEX($A139:$Z139,MATCH(Settings!$L$8,$A$1:$Z$1,0))&amp;""),"")),0)-IFERROR(VALUE(IFERROR(TRIM(INDEX($A139:$Z139,MATCH(Settings!$L$9,$A$1:$Z$1,0))&amp;""),"")),0),0)</f>
        <v/>
      </c>
      <c r="AT139" s="31">
        <f>IF(AND(AE139&lt;&gt;"",AQ139=0),1,0)</f>
        <v/>
      </c>
      <c r="AU139" s="31">
        <f>IF(AT139=0,"",IF(ISNUMBER(AN139),AN139,100000)+0+ROW()/1000000)</f>
        <v/>
      </c>
      <c r="AV139" s="31">
        <f>IF(ISNUMBER(AU139),SUMPRODUCT(ISNUMBER('Responses'!$AU$2:$AU$501)*('Responses'!$AU$2:$AU$501&lt;AU139)) + SUMPRODUCT(ISNUMBER('Paper sign-ups'!$Y$2:$Y$101)*('Paper sign-ups'!$Y$2:$Y$101&lt;AU139))+1,"")</f>
        <v/>
      </c>
    </row>
    <row r="140">
      <c r="AA140" s="29" t="n"/>
      <c r="AB140" s="30" t="n"/>
      <c r="AC140" s="30" t="n"/>
      <c r="AD140" s="29" t="n"/>
      <c r="AE140" s="31">
        <f>IFERROR(TRIM(INDEX($A140:$Z140,MATCH(Settings!$L$4,$A$1:$Z$1,0))&amp;""),"")</f>
        <v/>
      </c>
      <c r="AF140" s="31">
        <f>IFERROR(TRIM(INDEX($A140:$Z140,MATCH(Settings!$L$5,$A$1:$Z$1,0))&amp;""),"")</f>
        <v/>
      </c>
      <c r="AG140" s="31">
        <f>IF(AE140="","",LOWER(IF(AF140&lt;&gt;"",AF140,AE140)))</f>
        <v/>
      </c>
      <c r="AH140" s="31">
        <f>IFERROR(TRIM(INDEX($A140:$Z140,MATCH(Settings!$L$6,$A$1:$Z$1,0))&amp;""),"")</f>
        <v/>
      </c>
      <c r="AI140" s="31">
        <f>IF(AE140="","",IF(UPPER(TRIM(AB140&amp;""))="Y","Paid another way",IF(IFERROR(TRIM(INDEX($A140:$Z140,MATCH(Settings!$L$7,$A$1:$Z$1,0))&amp;""),"")="","No payment status",IFERROR(TRIM(INDEX($A140:$Z140,MATCH(Settings!$L$7,$A$1:$Z$1,0))&amp;""),""))))</f>
        <v/>
      </c>
      <c r="AJ140" s="31">
        <f>IF(AE140="",0,IF(IFERROR(INDEX(Settings!$J$4:$J$14,MATCH(AI140,Settings!$I$4:$I$14,0)),"N")="Y",1,0))</f>
        <v/>
      </c>
      <c r="AK140" s="32">
        <f>IFERROR(INT(IFERROR(IF(ISNUMBER(INDEX($A140:$Z140,MATCH(Settings!$L$10,$A$1:$Z$1,0))),INDEX($A140:$Z140,MATCH(Settings!$L$10,$A$1:$Z$1,0)),DATE(VALUE(LEFT(IFERROR(TRIM(INDEX($A140:$Z140,MATCH(Settings!$L$10,$A$1:$Z$1,0))&amp;""),""),4)),VALUE(MID(IFERROR(TRIM(INDEX($A140:$Z140,MATCH(Settings!$L$10,$A$1:$Z$1,0))&amp;""),""),6,2)),VALUE(MID(IFERROR(TRIM(INDEX($A140:$Z140,MATCH(Settings!$L$10,$A$1:$Z$1,0))&amp;""),""),9,2)))+TIME(VALUE(MID(IFERROR(TRIM(INDEX($A140:$Z140,MATCH(Settings!$L$10,$A$1:$Z$1,0))&amp;""),""),12,2)),VALUE(MID(IFERROR(TRIM(INDEX($A140:$Z140,MATCH(Settings!$L$10,$A$1:$Z$1,0))&amp;""),""),15,2)),VALUE(MID(IFERROR(TRIM(INDEX($A140:$Z140,MATCH(Settings!$L$10,$A$1:$Z$1,0))&amp;""),""),18,2)))),"")),"")</f>
        <v/>
      </c>
      <c r="AL140" s="32">
        <f>IF(AE140="","",IF(ISNUMBER(AK140),AK140,IFERROR(INT(IFERROR(IF(ISNUMBER(INDEX($A140:$Z140,MATCH(Settings!$L$11,$A$1:$Z$1,0))),INDEX($A140:$Z140,MATCH(Settings!$L$11,$A$1:$Z$1,0)),DATE(VALUE(LEFT(IFERROR(TRIM(INDEX($A140:$Z140,MATCH(Settings!$L$11,$A$1:$Z$1,0))&amp;""),""),4)),VALUE(MID(IFERROR(TRIM(INDEX($A140:$Z140,MATCH(Settings!$L$11,$A$1:$Z$1,0))&amp;""),""),6,2)),VALUE(MID(IFERROR(TRIM(INDEX($A140:$Z140,MATCH(Settings!$L$11,$A$1:$Z$1,0))&amp;""),""),9,2)))+TIME(VALUE(MID(IFERROR(TRIM(INDEX($A140:$Z140,MATCH(Settings!$L$11,$A$1:$Z$1,0))&amp;""),""),12,2)),VALUE(MID(IFERROR(TRIM(INDEX($A140:$Z140,MATCH(Settings!$L$11,$A$1:$Z$1,0))&amp;""),""),15,2)),VALUE(MID(IFERROR(TRIM(INDEX($A140:$Z140,MATCH(Settings!$L$11,$A$1:$Z$1,0))&amp;""),""),18,2)))),"")),"")))</f>
        <v/>
      </c>
      <c r="AM140" s="31">
        <f>IF(AE140="","",IF(ISNUMBER(IFERROR(INDEX(Settings!$G$4:$G$11,MATCH(AH140,Settings!$F$4:$F$11,0)),"")),INDEX(Settings!$G$4:$G$11,MATCH(AH140,Settings!$F$4:$F$11,0)),Settings!$D$5))</f>
        <v/>
      </c>
      <c r="AN140" s="32">
        <f>IF(OR(AE140="",NOT(ISNUMBER(AL140)),NOT(ISNUMBER(AM140))),"",IF(AM140&lt;=0,"",IF(ISNUMBER(Settings!$D$8),DATE(YEAR(AL140)+IF(DATE(YEAR(AL140),MONTH(Settings!$D$8),DAY(Settings!$D$8))&gt;AL140,0,1),MONTH(Settings!$D$8),DAY(Settings!$D$8)),MIN(DATE(YEAR(AL140),MONTH(AL140)+AM140,DAY(AL140)),DATE(YEAR(AL140),MONTH(AL140)+AM140+1,0)))))</f>
        <v/>
      </c>
      <c r="AO140" s="31">
        <f>IF(ISNUMBER(AN140),AN140-Settings!$D$4,"")</f>
        <v/>
      </c>
      <c r="AP140" s="31">
        <f>IF(ISNUMBER(AL140),AL140+0+ROW()/100000,"")</f>
        <v/>
      </c>
      <c r="AQ140" s="31">
        <f>IF(OR(AG140="",NOT(ISNUMBER(AP140))),0,IF(SUMPRODUCT(('Responses'!$AG$2:$AG$501=AG140)*('Responses'!$AJ$2:$AJ$501=1)*ISNUMBER('Responses'!$AP$2:$AP$501)*('Responses'!$AP$2:$AP$501&gt;AP140)) + SUMPRODUCT(('Paper sign-ups'!$K$2:$K$101=AG140)*('Paper sign-ups'!$N$2:$N$101=1)*ISNUMBER('Paper sign-ups'!$T$2:$T$101)*('Paper sign-ups'!$T$2:$T$101&gt;AP140))&gt;0,1,0))</f>
        <v/>
      </c>
      <c r="AR140" s="31">
        <f>IF(AE140="","",IF(AQ140=1,"Joined again",IF(AJ140=0,"Unpaid",IF(NOT(ISNUMBER(AL140)),"Add a join date",IF(AN140="","No reminder",IF(AO140&lt;0,"Lapsed",IF(AO140&lt;=Settings!$D$6,"Remind soon","Current")))))))</f>
        <v/>
      </c>
      <c r="AS140" s="33">
        <f>IF(AJ140=1,IFERROR(VALUE(IFERROR(TRIM(INDEX($A140:$Z140,MATCH(Settings!$L$8,$A$1:$Z$1,0))&amp;""),"")),0)-IFERROR(VALUE(IFERROR(TRIM(INDEX($A140:$Z140,MATCH(Settings!$L$9,$A$1:$Z$1,0))&amp;""),"")),0),0)</f>
        <v/>
      </c>
      <c r="AT140" s="31">
        <f>IF(AND(AE140&lt;&gt;"",AQ140=0),1,0)</f>
        <v/>
      </c>
      <c r="AU140" s="31">
        <f>IF(AT140=0,"",IF(ISNUMBER(AN140),AN140,100000)+0+ROW()/1000000)</f>
        <v/>
      </c>
      <c r="AV140" s="31">
        <f>IF(ISNUMBER(AU140),SUMPRODUCT(ISNUMBER('Responses'!$AU$2:$AU$501)*('Responses'!$AU$2:$AU$501&lt;AU140)) + SUMPRODUCT(ISNUMBER('Paper sign-ups'!$Y$2:$Y$101)*('Paper sign-ups'!$Y$2:$Y$101&lt;AU140))+1,"")</f>
        <v/>
      </c>
    </row>
    <row r="141">
      <c r="AA141" s="29" t="n"/>
      <c r="AB141" s="30" t="n"/>
      <c r="AC141" s="30" t="n"/>
      <c r="AD141" s="29" t="n"/>
      <c r="AE141" s="31">
        <f>IFERROR(TRIM(INDEX($A141:$Z141,MATCH(Settings!$L$4,$A$1:$Z$1,0))&amp;""),"")</f>
        <v/>
      </c>
      <c r="AF141" s="31">
        <f>IFERROR(TRIM(INDEX($A141:$Z141,MATCH(Settings!$L$5,$A$1:$Z$1,0))&amp;""),"")</f>
        <v/>
      </c>
      <c r="AG141" s="31">
        <f>IF(AE141="","",LOWER(IF(AF141&lt;&gt;"",AF141,AE141)))</f>
        <v/>
      </c>
      <c r="AH141" s="31">
        <f>IFERROR(TRIM(INDEX($A141:$Z141,MATCH(Settings!$L$6,$A$1:$Z$1,0))&amp;""),"")</f>
        <v/>
      </c>
      <c r="AI141" s="31">
        <f>IF(AE141="","",IF(UPPER(TRIM(AB141&amp;""))="Y","Paid another way",IF(IFERROR(TRIM(INDEX($A141:$Z141,MATCH(Settings!$L$7,$A$1:$Z$1,0))&amp;""),"")="","No payment status",IFERROR(TRIM(INDEX($A141:$Z141,MATCH(Settings!$L$7,$A$1:$Z$1,0))&amp;""),""))))</f>
        <v/>
      </c>
      <c r="AJ141" s="31">
        <f>IF(AE141="",0,IF(IFERROR(INDEX(Settings!$J$4:$J$14,MATCH(AI141,Settings!$I$4:$I$14,0)),"N")="Y",1,0))</f>
        <v/>
      </c>
      <c r="AK141" s="32">
        <f>IFERROR(INT(IFERROR(IF(ISNUMBER(INDEX($A141:$Z141,MATCH(Settings!$L$10,$A$1:$Z$1,0))),INDEX($A141:$Z141,MATCH(Settings!$L$10,$A$1:$Z$1,0)),DATE(VALUE(LEFT(IFERROR(TRIM(INDEX($A141:$Z141,MATCH(Settings!$L$10,$A$1:$Z$1,0))&amp;""),""),4)),VALUE(MID(IFERROR(TRIM(INDEX($A141:$Z141,MATCH(Settings!$L$10,$A$1:$Z$1,0))&amp;""),""),6,2)),VALUE(MID(IFERROR(TRIM(INDEX($A141:$Z141,MATCH(Settings!$L$10,$A$1:$Z$1,0))&amp;""),""),9,2)))+TIME(VALUE(MID(IFERROR(TRIM(INDEX($A141:$Z141,MATCH(Settings!$L$10,$A$1:$Z$1,0))&amp;""),""),12,2)),VALUE(MID(IFERROR(TRIM(INDEX($A141:$Z141,MATCH(Settings!$L$10,$A$1:$Z$1,0))&amp;""),""),15,2)),VALUE(MID(IFERROR(TRIM(INDEX($A141:$Z141,MATCH(Settings!$L$10,$A$1:$Z$1,0))&amp;""),""),18,2)))),"")),"")</f>
        <v/>
      </c>
      <c r="AL141" s="32">
        <f>IF(AE141="","",IF(ISNUMBER(AK141),AK141,IFERROR(INT(IFERROR(IF(ISNUMBER(INDEX($A141:$Z141,MATCH(Settings!$L$11,$A$1:$Z$1,0))),INDEX($A141:$Z141,MATCH(Settings!$L$11,$A$1:$Z$1,0)),DATE(VALUE(LEFT(IFERROR(TRIM(INDEX($A141:$Z141,MATCH(Settings!$L$11,$A$1:$Z$1,0))&amp;""),""),4)),VALUE(MID(IFERROR(TRIM(INDEX($A141:$Z141,MATCH(Settings!$L$11,$A$1:$Z$1,0))&amp;""),""),6,2)),VALUE(MID(IFERROR(TRIM(INDEX($A141:$Z141,MATCH(Settings!$L$11,$A$1:$Z$1,0))&amp;""),""),9,2)))+TIME(VALUE(MID(IFERROR(TRIM(INDEX($A141:$Z141,MATCH(Settings!$L$11,$A$1:$Z$1,0))&amp;""),""),12,2)),VALUE(MID(IFERROR(TRIM(INDEX($A141:$Z141,MATCH(Settings!$L$11,$A$1:$Z$1,0))&amp;""),""),15,2)),VALUE(MID(IFERROR(TRIM(INDEX($A141:$Z141,MATCH(Settings!$L$11,$A$1:$Z$1,0))&amp;""),""),18,2)))),"")),"")))</f>
        <v/>
      </c>
      <c r="AM141" s="31">
        <f>IF(AE141="","",IF(ISNUMBER(IFERROR(INDEX(Settings!$G$4:$G$11,MATCH(AH141,Settings!$F$4:$F$11,0)),"")),INDEX(Settings!$G$4:$G$11,MATCH(AH141,Settings!$F$4:$F$11,0)),Settings!$D$5))</f>
        <v/>
      </c>
      <c r="AN141" s="32">
        <f>IF(OR(AE141="",NOT(ISNUMBER(AL141)),NOT(ISNUMBER(AM141))),"",IF(AM141&lt;=0,"",IF(ISNUMBER(Settings!$D$8),DATE(YEAR(AL141)+IF(DATE(YEAR(AL141),MONTH(Settings!$D$8),DAY(Settings!$D$8))&gt;AL141,0,1),MONTH(Settings!$D$8),DAY(Settings!$D$8)),MIN(DATE(YEAR(AL141),MONTH(AL141)+AM141,DAY(AL141)),DATE(YEAR(AL141),MONTH(AL141)+AM141+1,0)))))</f>
        <v/>
      </c>
      <c r="AO141" s="31">
        <f>IF(ISNUMBER(AN141),AN141-Settings!$D$4,"")</f>
        <v/>
      </c>
      <c r="AP141" s="31">
        <f>IF(ISNUMBER(AL141),AL141+0+ROW()/100000,"")</f>
        <v/>
      </c>
      <c r="AQ141" s="31">
        <f>IF(OR(AG141="",NOT(ISNUMBER(AP141))),0,IF(SUMPRODUCT(('Responses'!$AG$2:$AG$501=AG141)*('Responses'!$AJ$2:$AJ$501=1)*ISNUMBER('Responses'!$AP$2:$AP$501)*('Responses'!$AP$2:$AP$501&gt;AP141)) + SUMPRODUCT(('Paper sign-ups'!$K$2:$K$101=AG141)*('Paper sign-ups'!$N$2:$N$101=1)*ISNUMBER('Paper sign-ups'!$T$2:$T$101)*('Paper sign-ups'!$T$2:$T$101&gt;AP141))&gt;0,1,0))</f>
        <v/>
      </c>
      <c r="AR141" s="31">
        <f>IF(AE141="","",IF(AQ141=1,"Joined again",IF(AJ141=0,"Unpaid",IF(NOT(ISNUMBER(AL141)),"Add a join date",IF(AN141="","No reminder",IF(AO141&lt;0,"Lapsed",IF(AO141&lt;=Settings!$D$6,"Remind soon","Current")))))))</f>
        <v/>
      </c>
      <c r="AS141" s="33">
        <f>IF(AJ141=1,IFERROR(VALUE(IFERROR(TRIM(INDEX($A141:$Z141,MATCH(Settings!$L$8,$A$1:$Z$1,0))&amp;""),"")),0)-IFERROR(VALUE(IFERROR(TRIM(INDEX($A141:$Z141,MATCH(Settings!$L$9,$A$1:$Z$1,0))&amp;""),"")),0),0)</f>
        <v/>
      </c>
      <c r="AT141" s="31">
        <f>IF(AND(AE141&lt;&gt;"",AQ141=0),1,0)</f>
        <v/>
      </c>
      <c r="AU141" s="31">
        <f>IF(AT141=0,"",IF(ISNUMBER(AN141),AN141,100000)+0+ROW()/1000000)</f>
        <v/>
      </c>
      <c r="AV141" s="31">
        <f>IF(ISNUMBER(AU141),SUMPRODUCT(ISNUMBER('Responses'!$AU$2:$AU$501)*('Responses'!$AU$2:$AU$501&lt;AU141)) + SUMPRODUCT(ISNUMBER('Paper sign-ups'!$Y$2:$Y$101)*('Paper sign-ups'!$Y$2:$Y$101&lt;AU141))+1,"")</f>
        <v/>
      </c>
    </row>
    <row r="142">
      <c r="AA142" s="29" t="n"/>
      <c r="AB142" s="30" t="n"/>
      <c r="AC142" s="30" t="n"/>
      <c r="AD142" s="29" t="n"/>
      <c r="AE142" s="31">
        <f>IFERROR(TRIM(INDEX($A142:$Z142,MATCH(Settings!$L$4,$A$1:$Z$1,0))&amp;""),"")</f>
        <v/>
      </c>
      <c r="AF142" s="31">
        <f>IFERROR(TRIM(INDEX($A142:$Z142,MATCH(Settings!$L$5,$A$1:$Z$1,0))&amp;""),"")</f>
        <v/>
      </c>
      <c r="AG142" s="31">
        <f>IF(AE142="","",LOWER(IF(AF142&lt;&gt;"",AF142,AE142)))</f>
        <v/>
      </c>
      <c r="AH142" s="31">
        <f>IFERROR(TRIM(INDEX($A142:$Z142,MATCH(Settings!$L$6,$A$1:$Z$1,0))&amp;""),"")</f>
        <v/>
      </c>
      <c r="AI142" s="31">
        <f>IF(AE142="","",IF(UPPER(TRIM(AB142&amp;""))="Y","Paid another way",IF(IFERROR(TRIM(INDEX($A142:$Z142,MATCH(Settings!$L$7,$A$1:$Z$1,0))&amp;""),"")="","No payment status",IFERROR(TRIM(INDEX($A142:$Z142,MATCH(Settings!$L$7,$A$1:$Z$1,0))&amp;""),""))))</f>
        <v/>
      </c>
      <c r="AJ142" s="31">
        <f>IF(AE142="",0,IF(IFERROR(INDEX(Settings!$J$4:$J$14,MATCH(AI142,Settings!$I$4:$I$14,0)),"N")="Y",1,0))</f>
        <v/>
      </c>
      <c r="AK142" s="32">
        <f>IFERROR(INT(IFERROR(IF(ISNUMBER(INDEX($A142:$Z142,MATCH(Settings!$L$10,$A$1:$Z$1,0))),INDEX($A142:$Z142,MATCH(Settings!$L$10,$A$1:$Z$1,0)),DATE(VALUE(LEFT(IFERROR(TRIM(INDEX($A142:$Z142,MATCH(Settings!$L$10,$A$1:$Z$1,0))&amp;""),""),4)),VALUE(MID(IFERROR(TRIM(INDEX($A142:$Z142,MATCH(Settings!$L$10,$A$1:$Z$1,0))&amp;""),""),6,2)),VALUE(MID(IFERROR(TRIM(INDEX($A142:$Z142,MATCH(Settings!$L$10,$A$1:$Z$1,0))&amp;""),""),9,2)))+TIME(VALUE(MID(IFERROR(TRIM(INDEX($A142:$Z142,MATCH(Settings!$L$10,$A$1:$Z$1,0))&amp;""),""),12,2)),VALUE(MID(IFERROR(TRIM(INDEX($A142:$Z142,MATCH(Settings!$L$10,$A$1:$Z$1,0))&amp;""),""),15,2)),VALUE(MID(IFERROR(TRIM(INDEX($A142:$Z142,MATCH(Settings!$L$10,$A$1:$Z$1,0))&amp;""),""),18,2)))),"")),"")</f>
        <v/>
      </c>
      <c r="AL142" s="32">
        <f>IF(AE142="","",IF(ISNUMBER(AK142),AK142,IFERROR(INT(IFERROR(IF(ISNUMBER(INDEX($A142:$Z142,MATCH(Settings!$L$11,$A$1:$Z$1,0))),INDEX($A142:$Z142,MATCH(Settings!$L$11,$A$1:$Z$1,0)),DATE(VALUE(LEFT(IFERROR(TRIM(INDEX($A142:$Z142,MATCH(Settings!$L$11,$A$1:$Z$1,0))&amp;""),""),4)),VALUE(MID(IFERROR(TRIM(INDEX($A142:$Z142,MATCH(Settings!$L$11,$A$1:$Z$1,0))&amp;""),""),6,2)),VALUE(MID(IFERROR(TRIM(INDEX($A142:$Z142,MATCH(Settings!$L$11,$A$1:$Z$1,0))&amp;""),""),9,2)))+TIME(VALUE(MID(IFERROR(TRIM(INDEX($A142:$Z142,MATCH(Settings!$L$11,$A$1:$Z$1,0))&amp;""),""),12,2)),VALUE(MID(IFERROR(TRIM(INDEX($A142:$Z142,MATCH(Settings!$L$11,$A$1:$Z$1,0))&amp;""),""),15,2)),VALUE(MID(IFERROR(TRIM(INDEX($A142:$Z142,MATCH(Settings!$L$11,$A$1:$Z$1,0))&amp;""),""),18,2)))),"")),"")))</f>
        <v/>
      </c>
      <c r="AM142" s="31">
        <f>IF(AE142="","",IF(ISNUMBER(IFERROR(INDEX(Settings!$G$4:$G$11,MATCH(AH142,Settings!$F$4:$F$11,0)),"")),INDEX(Settings!$G$4:$G$11,MATCH(AH142,Settings!$F$4:$F$11,0)),Settings!$D$5))</f>
        <v/>
      </c>
      <c r="AN142" s="32">
        <f>IF(OR(AE142="",NOT(ISNUMBER(AL142)),NOT(ISNUMBER(AM142))),"",IF(AM142&lt;=0,"",IF(ISNUMBER(Settings!$D$8),DATE(YEAR(AL142)+IF(DATE(YEAR(AL142),MONTH(Settings!$D$8),DAY(Settings!$D$8))&gt;AL142,0,1),MONTH(Settings!$D$8),DAY(Settings!$D$8)),MIN(DATE(YEAR(AL142),MONTH(AL142)+AM142,DAY(AL142)),DATE(YEAR(AL142),MONTH(AL142)+AM142+1,0)))))</f>
        <v/>
      </c>
      <c r="AO142" s="31">
        <f>IF(ISNUMBER(AN142),AN142-Settings!$D$4,"")</f>
        <v/>
      </c>
      <c r="AP142" s="31">
        <f>IF(ISNUMBER(AL142),AL142+0+ROW()/100000,"")</f>
        <v/>
      </c>
      <c r="AQ142" s="31">
        <f>IF(OR(AG142="",NOT(ISNUMBER(AP142))),0,IF(SUMPRODUCT(('Responses'!$AG$2:$AG$501=AG142)*('Responses'!$AJ$2:$AJ$501=1)*ISNUMBER('Responses'!$AP$2:$AP$501)*('Responses'!$AP$2:$AP$501&gt;AP142)) + SUMPRODUCT(('Paper sign-ups'!$K$2:$K$101=AG142)*('Paper sign-ups'!$N$2:$N$101=1)*ISNUMBER('Paper sign-ups'!$T$2:$T$101)*('Paper sign-ups'!$T$2:$T$101&gt;AP142))&gt;0,1,0))</f>
        <v/>
      </c>
      <c r="AR142" s="31">
        <f>IF(AE142="","",IF(AQ142=1,"Joined again",IF(AJ142=0,"Unpaid",IF(NOT(ISNUMBER(AL142)),"Add a join date",IF(AN142="","No reminder",IF(AO142&lt;0,"Lapsed",IF(AO142&lt;=Settings!$D$6,"Remind soon","Current")))))))</f>
        <v/>
      </c>
      <c r="AS142" s="33">
        <f>IF(AJ142=1,IFERROR(VALUE(IFERROR(TRIM(INDEX($A142:$Z142,MATCH(Settings!$L$8,$A$1:$Z$1,0))&amp;""),"")),0)-IFERROR(VALUE(IFERROR(TRIM(INDEX($A142:$Z142,MATCH(Settings!$L$9,$A$1:$Z$1,0))&amp;""),"")),0),0)</f>
        <v/>
      </c>
      <c r="AT142" s="31">
        <f>IF(AND(AE142&lt;&gt;"",AQ142=0),1,0)</f>
        <v/>
      </c>
      <c r="AU142" s="31">
        <f>IF(AT142=0,"",IF(ISNUMBER(AN142),AN142,100000)+0+ROW()/1000000)</f>
        <v/>
      </c>
      <c r="AV142" s="31">
        <f>IF(ISNUMBER(AU142),SUMPRODUCT(ISNUMBER('Responses'!$AU$2:$AU$501)*('Responses'!$AU$2:$AU$501&lt;AU142)) + SUMPRODUCT(ISNUMBER('Paper sign-ups'!$Y$2:$Y$101)*('Paper sign-ups'!$Y$2:$Y$101&lt;AU142))+1,"")</f>
        <v/>
      </c>
    </row>
    <row r="143">
      <c r="AA143" s="29" t="n"/>
      <c r="AB143" s="30" t="n"/>
      <c r="AC143" s="30" t="n"/>
      <c r="AD143" s="29" t="n"/>
      <c r="AE143" s="31">
        <f>IFERROR(TRIM(INDEX($A143:$Z143,MATCH(Settings!$L$4,$A$1:$Z$1,0))&amp;""),"")</f>
        <v/>
      </c>
      <c r="AF143" s="31">
        <f>IFERROR(TRIM(INDEX($A143:$Z143,MATCH(Settings!$L$5,$A$1:$Z$1,0))&amp;""),"")</f>
        <v/>
      </c>
      <c r="AG143" s="31">
        <f>IF(AE143="","",LOWER(IF(AF143&lt;&gt;"",AF143,AE143)))</f>
        <v/>
      </c>
      <c r="AH143" s="31">
        <f>IFERROR(TRIM(INDEX($A143:$Z143,MATCH(Settings!$L$6,$A$1:$Z$1,0))&amp;""),"")</f>
        <v/>
      </c>
      <c r="AI143" s="31">
        <f>IF(AE143="","",IF(UPPER(TRIM(AB143&amp;""))="Y","Paid another way",IF(IFERROR(TRIM(INDEX($A143:$Z143,MATCH(Settings!$L$7,$A$1:$Z$1,0))&amp;""),"")="","No payment status",IFERROR(TRIM(INDEX($A143:$Z143,MATCH(Settings!$L$7,$A$1:$Z$1,0))&amp;""),""))))</f>
        <v/>
      </c>
      <c r="AJ143" s="31">
        <f>IF(AE143="",0,IF(IFERROR(INDEX(Settings!$J$4:$J$14,MATCH(AI143,Settings!$I$4:$I$14,0)),"N")="Y",1,0))</f>
        <v/>
      </c>
      <c r="AK143" s="32">
        <f>IFERROR(INT(IFERROR(IF(ISNUMBER(INDEX($A143:$Z143,MATCH(Settings!$L$10,$A$1:$Z$1,0))),INDEX($A143:$Z143,MATCH(Settings!$L$10,$A$1:$Z$1,0)),DATE(VALUE(LEFT(IFERROR(TRIM(INDEX($A143:$Z143,MATCH(Settings!$L$10,$A$1:$Z$1,0))&amp;""),""),4)),VALUE(MID(IFERROR(TRIM(INDEX($A143:$Z143,MATCH(Settings!$L$10,$A$1:$Z$1,0))&amp;""),""),6,2)),VALUE(MID(IFERROR(TRIM(INDEX($A143:$Z143,MATCH(Settings!$L$10,$A$1:$Z$1,0))&amp;""),""),9,2)))+TIME(VALUE(MID(IFERROR(TRIM(INDEX($A143:$Z143,MATCH(Settings!$L$10,$A$1:$Z$1,0))&amp;""),""),12,2)),VALUE(MID(IFERROR(TRIM(INDEX($A143:$Z143,MATCH(Settings!$L$10,$A$1:$Z$1,0))&amp;""),""),15,2)),VALUE(MID(IFERROR(TRIM(INDEX($A143:$Z143,MATCH(Settings!$L$10,$A$1:$Z$1,0))&amp;""),""),18,2)))),"")),"")</f>
        <v/>
      </c>
      <c r="AL143" s="32">
        <f>IF(AE143="","",IF(ISNUMBER(AK143),AK143,IFERROR(INT(IFERROR(IF(ISNUMBER(INDEX($A143:$Z143,MATCH(Settings!$L$11,$A$1:$Z$1,0))),INDEX($A143:$Z143,MATCH(Settings!$L$11,$A$1:$Z$1,0)),DATE(VALUE(LEFT(IFERROR(TRIM(INDEX($A143:$Z143,MATCH(Settings!$L$11,$A$1:$Z$1,0))&amp;""),""),4)),VALUE(MID(IFERROR(TRIM(INDEX($A143:$Z143,MATCH(Settings!$L$11,$A$1:$Z$1,0))&amp;""),""),6,2)),VALUE(MID(IFERROR(TRIM(INDEX($A143:$Z143,MATCH(Settings!$L$11,$A$1:$Z$1,0))&amp;""),""),9,2)))+TIME(VALUE(MID(IFERROR(TRIM(INDEX($A143:$Z143,MATCH(Settings!$L$11,$A$1:$Z$1,0))&amp;""),""),12,2)),VALUE(MID(IFERROR(TRIM(INDEX($A143:$Z143,MATCH(Settings!$L$11,$A$1:$Z$1,0))&amp;""),""),15,2)),VALUE(MID(IFERROR(TRIM(INDEX($A143:$Z143,MATCH(Settings!$L$11,$A$1:$Z$1,0))&amp;""),""),18,2)))),"")),"")))</f>
        <v/>
      </c>
      <c r="AM143" s="31">
        <f>IF(AE143="","",IF(ISNUMBER(IFERROR(INDEX(Settings!$G$4:$G$11,MATCH(AH143,Settings!$F$4:$F$11,0)),"")),INDEX(Settings!$G$4:$G$11,MATCH(AH143,Settings!$F$4:$F$11,0)),Settings!$D$5))</f>
        <v/>
      </c>
      <c r="AN143" s="32">
        <f>IF(OR(AE143="",NOT(ISNUMBER(AL143)),NOT(ISNUMBER(AM143))),"",IF(AM143&lt;=0,"",IF(ISNUMBER(Settings!$D$8),DATE(YEAR(AL143)+IF(DATE(YEAR(AL143),MONTH(Settings!$D$8),DAY(Settings!$D$8))&gt;AL143,0,1),MONTH(Settings!$D$8),DAY(Settings!$D$8)),MIN(DATE(YEAR(AL143),MONTH(AL143)+AM143,DAY(AL143)),DATE(YEAR(AL143),MONTH(AL143)+AM143+1,0)))))</f>
        <v/>
      </c>
      <c r="AO143" s="31">
        <f>IF(ISNUMBER(AN143),AN143-Settings!$D$4,"")</f>
        <v/>
      </c>
      <c r="AP143" s="31">
        <f>IF(ISNUMBER(AL143),AL143+0+ROW()/100000,"")</f>
        <v/>
      </c>
      <c r="AQ143" s="31">
        <f>IF(OR(AG143="",NOT(ISNUMBER(AP143))),0,IF(SUMPRODUCT(('Responses'!$AG$2:$AG$501=AG143)*('Responses'!$AJ$2:$AJ$501=1)*ISNUMBER('Responses'!$AP$2:$AP$501)*('Responses'!$AP$2:$AP$501&gt;AP143)) + SUMPRODUCT(('Paper sign-ups'!$K$2:$K$101=AG143)*('Paper sign-ups'!$N$2:$N$101=1)*ISNUMBER('Paper sign-ups'!$T$2:$T$101)*('Paper sign-ups'!$T$2:$T$101&gt;AP143))&gt;0,1,0))</f>
        <v/>
      </c>
      <c r="AR143" s="31">
        <f>IF(AE143="","",IF(AQ143=1,"Joined again",IF(AJ143=0,"Unpaid",IF(NOT(ISNUMBER(AL143)),"Add a join date",IF(AN143="","No reminder",IF(AO143&lt;0,"Lapsed",IF(AO143&lt;=Settings!$D$6,"Remind soon","Current")))))))</f>
        <v/>
      </c>
      <c r="AS143" s="33">
        <f>IF(AJ143=1,IFERROR(VALUE(IFERROR(TRIM(INDEX($A143:$Z143,MATCH(Settings!$L$8,$A$1:$Z$1,0))&amp;""),"")),0)-IFERROR(VALUE(IFERROR(TRIM(INDEX($A143:$Z143,MATCH(Settings!$L$9,$A$1:$Z$1,0))&amp;""),"")),0),0)</f>
        <v/>
      </c>
      <c r="AT143" s="31">
        <f>IF(AND(AE143&lt;&gt;"",AQ143=0),1,0)</f>
        <v/>
      </c>
      <c r="AU143" s="31">
        <f>IF(AT143=0,"",IF(ISNUMBER(AN143),AN143,100000)+0+ROW()/1000000)</f>
        <v/>
      </c>
      <c r="AV143" s="31">
        <f>IF(ISNUMBER(AU143),SUMPRODUCT(ISNUMBER('Responses'!$AU$2:$AU$501)*('Responses'!$AU$2:$AU$501&lt;AU143)) + SUMPRODUCT(ISNUMBER('Paper sign-ups'!$Y$2:$Y$101)*('Paper sign-ups'!$Y$2:$Y$101&lt;AU143))+1,"")</f>
        <v/>
      </c>
    </row>
    <row r="144">
      <c r="AA144" s="29" t="n"/>
      <c r="AB144" s="30" t="n"/>
      <c r="AC144" s="30" t="n"/>
      <c r="AD144" s="29" t="n"/>
      <c r="AE144" s="31">
        <f>IFERROR(TRIM(INDEX($A144:$Z144,MATCH(Settings!$L$4,$A$1:$Z$1,0))&amp;""),"")</f>
        <v/>
      </c>
      <c r="AF144" s="31">
        <f>IFERROR(TRIM(INDEX($A144:$Z144,MATCH(Settings!$L$5,$A$1:$Z$1,0))&amp;""),"")</f>
        <v/>
      </c>
      <c r="AG144" s="31">
        <f>IF(AE144="","",LOWER(IF(AF144&lt;&gt;"",AF144,AE144)))</f>
        <v/>
      </c>
      <c r="AH144" s="31">
        <f>IFERROR(TRIM(INDEX($A144:$Z144,MATCH(Settings!$L$6,$A$1:$Z$1,0))&amp;""),"")</f>
        <v/>
      </c>
      <c r="AI144" s="31">
        <f>IF(AE144="","",IF(UPPER(TRIM(AB144&amp;""))="Y","Paid another way",IF(IFERROR(TRIM(INDEX($A144:$Z144,MATCH(Settings!$L$7,$A$1:$Z$1,0))&amp;""),"")="","No payment status",IFERROR(TRIM(INDEX($A144:$Z144,MATCH(Settings!$L$7,$A$1:$Z$1,0))&amp;""),""))))</f>
        <v/>
      </c>
      <c r="AJ144" s="31">
        <f>IF(AE144="",0,IF(IFERROR(INDEX(Settings!$J$4:$J$14,MATCH(AI144,Settings!$I$4:$I$14,0)),"N")="Y",1,0))</f>
        <v/>
      </c>
      <c r="AK144" s="32">
        <f>IFERROR(INT(IFERROR(IF(ISNUMBER(INDEX($A144:$Z144,MATCH(Settings!$L$10,$A$1:$Z$1,0))),INDEX($A144:$Z144,MATCH(Settings!$L$10,$A$1:$Z$1,0)),DATE(VALUE(LEFT(IFERROR(TRIM(INDEX($A144:$Z144,MATCH(Settings!$L$10,$A$1:$Z$1,0))&amp;""),""),4)),VALUE(MID(IFERROR(TRIM(INDEX($A144:$Z144,MATCH(Settings!$L$10,$A$1:$Z$1,0))&amp;""),""),6,2)),VALUE(MID(IFERROR(TRIM(INDEX($A144:$Z144,MATCH(Settings!$L$10,$A$1:$Z$1,0))&amp;""),""),9,2)))+TIME(VALUE(MID(IFERROR(TRIM(INDEX($A144:$Z144,MATCH(Settings!$L$10,$A$1:$Z$1,0))&amp;""),""),12,2)),VALUE(MID(IFERROR(TRIM(INDEX($A144:$Z144,MATCH(Settings!$L$10,$A$1:$Z$1,0))&amp;""),""),15,2)),VALUE(MID(IFERROR(TRIM(INDEX($A144:$Z144,MATCH(Settings!$L$10,$A$1:$Z$1,0))&amp;""),""),18,2)))),"")),"")</f>
        <v/>
      </c>
      <c r="AL144" s="32">
        <f>IF(AE144="","",IF(ISNUMBER(AK144),AK144,IFERROR(INT(IFERROR(IF(ISNUMBER(INDEX($A144:$Z144,MATCH(Settings!$L$11,$A$1:$Z$1,0))),INDEX($A144:$Z144,MATCH(Settings!$L$11,$A$1:$Z$1,0)),DATE(VALUE(LEFT(IFERROR(TRIM(INDEX($A144:$Z144,MATCH(Settings!$L$11,$A$1:$Z$1,0))&amp;""),""),4)),VALUE(MID(IFERROR(TRIM(INDEX($A144:$Z144,MATCH(Settings!$L$11,$A$1:$Z$1,0))&amp;""),""),6,2)),VALUE(MID(IFERROR(TRIM(INDEX($A144:$Z144,MATCH(Settings!$L$11,$A$1:$Z$1,0))&amp;""),""),9,2)))+TIME(VALUE(MID(IFERROR(TRIM(INDEX($A144:$Z144,MATCH(Settings!$L$11,$A$1:$Z$1,0))&amp;""),""),12,2)),VALUE(MID(IFERROR(TRIM(INDEX($A144:$Z144,MATCH(Settings!$L$11,$A$1:$Z$1,0))&amp;""),""),15,2)),VALUE(MID(IFERROR(TRIM(INDEX($A144:$Z144,MATCH(Settings!$L$11,$A$1:$Z$1,0))&amp;""),""),18,2)))),"")),"")))</f>
        <v/>
      </c>
      <c r="AM144" s="31">
        <f>IF(AE144="","",IF(ISNUMBER(IFERROR(INDEX(Settings!$G$4:$G$11,MATCH(AH144,Settings!$F$4:$F$11,0)),"")),INDEX(Settings!$G$4:$G$11,MATCH(AH144,Settings!$F$4:$F$11,0)),Settings!$D$5))</f>
        <v/>
      </c>
      <c r="AN144" s="32">
        <f>IF(OR(AE144="",NOT(ISNUMBER(AL144)),NOT(ISNUMBER(AM144))),"",IF(AM144&lt;=0,"",IF(ISNUMBER(Settings!$D$8),DATE(YEAR(AL144)+IF(DATE(YEAR(AL144),MONTH(Settings!$D$8),DAY(Settings!$D$8))&gt;AL144,0,1),MONTH(Settings!$D$8),DAY(Settings!$D$8)),MIN(DATE(YEAR(AL144),MONTH(AL144)+AM144,DAY(AL144)),DATE(YEAR(AL144),MONTH(AL144)+AM144+1,0)))))</f>
        <v/>
      </c>
      <c r="AO144" s="31">
        <f>IF(ISNUMBER(AN144),AN144-Settings!$D$4,"")</f>
        <v/>
      </c>
      <c r="AP144" s="31">
        <f>IF(ISNUMBER(AL144),AL144+0+ROW()/100000,"")</f>
        <v/>
      </c>
      <c r="AQ144" s="31">
        <f>IF(OR(AG144="",NOT(ISNUMBER(AP144))),0,IF(SUMPRODUCT(('Responses'!$AG$2:$AG$501=AG144)*('Responses'!$AJ$2:$AJ$501=1)*ISNUMBER('Responses'!$AP$2:$AP$501)*('Responses'!$AP$2:$AP$501&gt;AP144)) + SUMPRODUCT(('Paper sign-ups'!$K$2:$K$101=AG144)*('Paper sign-ups'!$N$2:$N$101=1)*ISNUMBER('Paper sign-ups'!$T$2:$T$101)*('Paper sign-ups'!$T$2:$T$101&gt;AP144))&gt;0,1,0))</f>
        <v/>
      </c>
      <c r="AR144" s="31">
        <f>IF(AE144="","",IF(AQ144=1,"Joined again",IF(AJ144=0,"Unpaid",IF(NOT(ISNUMBER(AL144)),"Add a join date",IF(AN144="","No reminder",IF(AO144&lt;0,"Lapsed",IF(AO144&lt;=Settings!$D$6,"Remind soon","Current")))))))</f>
        <v/>
      </c>
      <c r="AS144" s="33">
        <f>IF(AJ144=1,IFERROR(VALUE(IFERROR(TRIM(INDEX($A144:$Z144,MATCH(Settings!$L$8,$A$1:$Z$1,0))&amp;""),"")),0)-IFERROR(VALUE(IFERROR(TRIM(INDEX($A144:$Z144,MATCH(Settings!$L$9,$A$1:$Z$1,0))&amp;""),"")),0),0)</f>
        <v/>
      </c>
      <c r="AT144" s="31">
        <f>IF(AND(AE144&lt;&gt;"",AQ144=0),1,0)</f>
        <v/>
      </c>
      <c r="AU144" s="31">
        <f>IF(AT144=0,"",IF(ISNUMBER(AN144),AN144,100000)+0+ROW()/1000000)</f>
        <v/>
      </c>
      <c r="AV144" s="31">
        <f>IF(ISNUMBER(AU144),SUMPRODUCT(ISNUMBER('Responses'!$AU$2:$AU$501)*('Responses'!$AU$2:$AU$501&lt;AU144)) + SUMPRODUCT(ISNUMBER('Paper sign-ups'!$Y$2:$Y$101)*('Paper sign-ups'!$Y$2:$Y$101&lt;AU144))+1,"")</f>
        <v/>
      </c>
    </row>
    <row r="145">
      <c r="AA145" s="29" t="n"/>
      <c r="AB145" s="30" t="n"/>
      <c r="AC145" s="30" t="n"/>
      <c r="AD145" s="29" t="n"/>
      <c r="AE145" s="31">
        <f>IFERROR(TRIM(INDEX($A145:$Z145,MATCH(Settings!$L$4,$A$1:$Z$1,0))&amp;""),"")</f>
        <v/>
      </c>
      <c r="AF145" s="31">
        <f>IFERROR(TRIM(INDEX($A145:$Z145,MATCH(Settings!$L$5,$A$1:$Z$1,0))&amp;""),"")</f>
        <v/>
      </c>
      <c r="AG145" s="31">
        <f>IF(AE145="","",LOWER(IF(AF145&lt;&gt;"",AF145,AE145)))</f>
        <v/>
      </c>
      <c r="AH145" s="31">
        <f>IFERROR(TRIM(INDEX($A145:$Z145,MATCH(Settings!$L$6,$A$1:$Z$1,0))&amp;""),"")</f>
        <v/>
      </c>
      <c r="AI145" s="31">
        <f>IF(AE145="","",IF(UPPER(TRIM(AB145&amp;""))="Y","Paid another way",IF(IFERROR(TRIM(INDEX($A145:$Z145,MATCH(Settings!$L$7,$A$1:$Z$1,0))&amp;""),"")="","No payment status",IFERROR(TRIM(INDEX($A145:$Z145,MATCH(Settings!$L$7,$A$1:$Z$1,0))&amp;""),""))))</f>
        <v/>
      </c>
      <c r="AJ145" s="31">
        <f>IF(AE145="",0,IF(IFERROR(INDEX(Settings!$J$4:$J$14,MATCH(AI145,Settings!$I$4:$I$14,0)),"N")="Y",1,0))</f>
        <v/>
      </c>
      <c r="AK145" s="32">
        <f>IFERROR(INT(IFERROR(IF(ISNUMBER(INDEX($A145:$Z145,MATCH(Settings!$L$10,$A$1:$Z$1,0))),INDEX($A145:$Z145,MATCH(Settings!$L$10,$A$1:$Z$1,0)),DATE(VALUE(LEFT(IFERROR(TRIM(INDEX($A145:$Z145,MATCH(Settings!$L$10,$A$1:$Z$1,0))&amp;""),""),4)),VALUE(MID(IFERROR(TRIM(INDEX($A145:$Z145,MATCH(Settings!$L$10,$A$1:$Z$1,0))&amp;""),""),6,2)),VALUE(MID(IFERROR(TRIM(INDEX($A145:$Z145,MATCH(Settings!$L$10,$A$1:$Z$1,0))&amp;""),""),9,2)))+TIME(VALUE(MID(IFERROR(TRIM(INDEX($A145:$Z145,MATCH(Settings!$L$10,$A$1:$Z$1,0))&amp;""),""),12,2)),VALUE(MID(IFERROR(TRIM(INDEX($A145:$Z145,MATCH(Settings!$L$10,$A$1:$Z$1,0))&amp;""),""),15,2)),VALUE(MID(IFERROR(TRIM(INDEX($A145:$Z145,MATCH(Settings!$L$10,$A$1:$Z$1,0))&amp;""),""),18,2)))),"")),"")</f>
        <v/>
      </c>
      <c r="AL145" s="32">
        <f>IF(AE145="","",IF(ISNUMBER(AK145),AK145,IFERROR(INT(IFERROR(IF(ISNUMBER(INDEX($A145:$Z145,MATCH(Settings!$L$11,$A$1:$Z$1,0))),INDEX($A145:$Z145,MATCH(Settings!$L$11,$A$1:$Z$1,0)),DATE(VALUE(LEFT(IFERROR(TRIM(INDEX($A145:$Z145,MATCH(Settings!$L$11,$A$1:$Z$1,0))&amp;""),""),4)),VALUE(MID(IFERROR(TRIM(INDEX($A145:$Z145,MATCH(Settings!$L$11,$A$1:$Z$1,0))&amp;""),""),6,2)),VALUE(MID(IFERROR(TRIM(INDEX($A145:$Z145,MATCH(Settings!$L$11,$A$1:$Z$1,0))&amp;""),""),9,2)))+TIME(VALUE(MID(IFERROR(TRIM(INDEX($A145:$Z145,MATCH(Settings!$L$11,$A$1:$Z$1,0))&amp;""),""),12,2)),VALUE(MID(IFERROR(TRIM(INDEX($A145:$Z145,MATCH(Settings!$L$11,$A$1:$Z$1,0))&amp;""),""),15,2)),VALUE(MID(IFERROR(TRIM(INDEX($A145:$Z145,MATCH(Settings!$L$11,$A$1:$Z$1,0))&amp;""),""),18,2)))),"")),"")))</f>
        <v/>
      </c>
      <c r="AM145" s="31">
        <f>IF(AE145="","",IF(ISNUMBER(IFERROR(INDEX(Settings!$G$4:$G$11,MATCH(AH145,Settings!$F$4:$F$11,0)),"")),INDEX(Settings!$G$4:$G$11,MATCH(AH145,Settings!$F$4:$F$11,0)),Settings!$D$5))</f>
        <v/>
      </c>
      <c r="AN145" s="32">
        <f>IF(OR(AE145="",NOT(ISNUMBER(AL145)),NOT(ISNUMBER(AM145))),"",IF(AM145&lt;=0,"",IF(ISNUMBER(Settings!$D$8),DATE(YEAR(AL145)+IF(DATE(YEAR(AL145),MONTH(Settings!$D$8),DAY(Settings!$D$8))&gt;AL145,0,1),MONTH(Settings!$D$8),DAY(Settings!$D$8)),MIN(DATE(YEAR(AL145),MONTH(AL145)+AM145,DAY(AL145)),DATE(YEAR(AL145),MONTH(AL145)+AM145+1,0)))))</f>
        <v/>
      </c>
      <c r="AO145" s="31">
        <f>IF(ISNUMBER(AN145),AN145-Settings!$D$4,"")</f>
        <v/>
      </c>
      <c r="AP145" s="31">
        <f>IF(ISNUMBER(AL145),AL145+0+ROW()/100000,"")</f>
        <v/>
      </c>
      <c r="AQ145" s="31">
        <f>IF(OR(AG145="",NOT(ISNUMBER(AP145))),0,IF(SUMPRODUCT(('Responses'!$AG$2:$AG$501=AG145)*('Responses'!$AJ$2:$AJ$501=1)*ISNUMBER('Responses'!$AP$2:$AP$501)*('Responses'!$AP$2:$AP$501&gt;AP145)) + SUMPRODUCT(('Paper sign-ups'!$K$2:$K$101=AG145)*('Paper sign-ups'!$N$2:$N$101=1)*ISNUMBER('Paper sign-ups'!$T$2:$T$101)*('Paper sign-ups'!$T$2:$T$101&gt;AP145))&gt;0,1,0))</f>
        <v/>
      </c>
      <c r="AR145" s="31">
        <f>IF(AE145="","",IF(AQ145=1,"Joined again",IF(AJ145=0,"Unpaid",IF(NOT(ISNUMBER(AL145)),"Add a join date",IF(AN145="","No reminder",IF(AO145&lt;0,"Lapsed",IF(AO145&lt;=Settings!$D$6,"Remind soon","Current")))))))</f>
        <v/>
      </c>
      <c r="AS145" s="33">
        <f>IF(AJ145=1,IFERROR(VALUE(IFERROR(TRIM(INDEX($A145:$Z145,MATCH(Settings!$L$8,$A$1:$Z$1,0))&amp;""),"")),0)-IFERROR(VALUE(IFERROR(TRIM(INDEX($A145:$Z145,MATCH(Settings!$L$9,$A$1:$Z$1,0))&amp;""),"")),0),0)</f>
        <v/>
      </c>
      <c r="AT145" s="31">
        <f>IF(AND(AE145&lt;&gt;"",AQ145=0),1,0)</f>
        <v/>
      </c>
      <c r="AU145" s="31">
        <f>IF(AT145=0,"",IF(ISNUMBER(AN145),AN145,100000)+0+ROW()/1000000)</f>
        <v/>
      </c>
      <c r="AV145" s="31">
        <f>IF(ISNUMBER(AU145),SUMPRODUCT(ISNUMBER('Responses'!$AU$2:$AU$501)*('Responses'!$AU$2:$AU$501&lt;AU145)) + SUMPRODUCT(ISNUMBER('Paper sign-ups'!$Y$2:$Y$101)*('Paper sign-ups'!$Y$2:$Y$101&lt;AU145))+1,"")</f>
        <v/>
      </c>
    </row>
    <row r="146">
      <c r="AA146" s="29" t="n"/>
      <c r="AB146" s="30" t="n"/>
      <c r="AC146" s="30" t="n"/>
      <c r="AD146" s="29" t="n"/>
      <c r="AE146" s="31">
        <f>IFERROR(TRIM(INDEX($A146:$Z146,MATCH(Settings!$L$4,$A$1:$Z$1,0))&amp;""),"")</f>
        <v/>
      </c>
      <c r="AF146" s="31">
        <f>IFERROR(TRIM(INDEX($A146:$Z146,MATCH(Settings!$L$5,$A$1:$Z$1,0))&amp;""),"")</f>
        <v/>
      </c>
      <c r="AG146" s="31">
        <f>IF(AE146="","",LOWER(IF(AF146&lt;&gt;"",AF146,AE146)))</f>
        <v/>
      </c>
      <c r="AH146" s="31">
        <f>IFERROR(TRIM(INDEX($A146:$Z146,MATCH(Settings!$L$6,$A$1:$Z$1,0))&amp;""),"")</f>
        <v/>
      </c>
      <c r="AI146" s="31">
        <f>IF(AE146="","",IF(UPPER(TRIM(AB146&amp;""))="Y","Paid another way",IF(IFERROR(TRIM(INDEX($A146:$Z146,MATCH(Settings!$L$7,$A$1:$Z$1,0))&amp;""),"")="","No payment status",IFERROR(TRIM(INDEX($A146:$Z146,MATCH(Settings!$L$7,$A$1:$Z$1,0))&amp;""),""))))</f>
        <v/>
      </c>
      <c r="AJ146" s="31">
        <f>IF(AE146="",0,IF(IFERROR(INDEX(Settings!$J$4:$J$14,MATCH(AI146,Settings!$I$4:$I$14,0)),"N")="Y",1,0))</f>
        <v/>
      </c>
      <c r="AK146" s="32">
        <f>IFERROR(INT(IFERROR(IF(ISNUMBER(INDEX($A146:$Z146,MATCH(Settings!$L$10,$A$1:$Z$1,0))),INDEX($A146:$Z146,MATCH(Settings!$L$10,$A$1:$Z$1,0)),DATE(VALUE(LEFT(IFERROR(TRIM(INDEX($A146:$Z146,MATCH(Settings!$L$10,$A$1:$Z$1,0))&amp;""),""),4)),VALUE(MID(IFERROR(TRIM(INDEX($A146:$Z146,MATCH(Settings!$L$10,$A$1:$Z$1,0))&amp;""),""),6,2)),VALUE(MID(IFERROR(TRIM(INDEX($A146:$Z146,MATCH(Settings!$L$10,$A$1:$Z$1,0))&amp;""),""),9,2)))+TIME(VALUE(MID(IFERROR(TRIM(INDEX($A146:$Z146,MATCH(Settings!$L$10,$A$1:$Z$1,0))&amp;""),""),12,2)),VALUE(MID(IFERROR(TRIM(INDEX($A146:$Z146,MATCH(Settings!$L$10,$A$1:$Z$1,0))&amp;""),""),15,2)),VALUE(MID(IFERROR(TRIM(INDEX($A146:$Z146,MATCH(Settings!$L$10,$A$1:$Z$1,0))&amp;""),""),18,2)))),"")),"")</f>
        <v/>
      </c>
      <c r="AL146" s="32">
        <f>IF(AE146="","",IF(ISNUMBER(AK146),AK146,IFERROR(INT(IFERROR(IF(ISNUMBER(INDEX($A146:$Z146,MATCH(Settings!$L$11,$A$1:$Z$1,0))),INDEX($A146:$Z146,MATCH(Settings!$L$11,$A$1:$Z$1,0)),DATE(VALUE(LEFT(IFERROR(TRIM(INDEX($A146:$Z146,MATCH(Settings!$L$11,$A$1:$Z$1,0))&amp;""),""),4)),VALUE(MID(IFERROR(TRIM(INDEX($A146:$Z146,MATCH(Settings!$L$11,$A$1:$Z$1,0))&amp;""),""),6,2)),VALUE(MID(IFERROR(TRIM(INDEX($A146:$Z146,MATCH(Settings!$L$11,$A$1:$Z$1,0))&amp;""),""),9,2)))+TIME(VALUE(MID(IFERROR(TRIM(INDEX($A146:$Z146,MATCH(Settings!$L$11,$A$1:$Z$1,0))&amp;""),""),12,2)),VALUE(MID(IFERROR(TRIM(INDEX($A146:$Z146,MATCH(Settings!$L$11,$A$1:$Z$1,0))&amp;""),""),15,2)),VALUE(MID(IFERROR(TRIM(INDEX($A146:$Z146,MATCH(Settings!$L$11,$A$1:$Z$1,0))&amp;""),""),18,2)))),"")),"")))</f>
        <v/>
      </c>
      <c r="AM146" s="31">
        <f>IF(AE146="","",IF(ISNUMBER(IFERROR(INDEX(Settings!$G$4:$G$11,MATCH(AH146,Settings!$F$4:$F$11,0)),"")),INDEX(Settings!$G$4:$G$11,MATCH(AH146,Settings!$F$4:$F$11,0)),Settings!$D$5))</f>
        <v/>
      </c>
      <c r="AN146" s="32">
        <f>IF(OR(AE146="",NOT(ISNUMBER(AL146)),NOT(ISNUMBER(AM146))),"",IF(AM146&lt;=0,"",IF(ISNUMBER(Settings!$D$8),DATE(YEAR(AL146)+IF(DATE(YEAR(AL146),MONTH(Settings!$D$8),DAY(Settings!$D$8))&gt;AL146,0,1),MONTH(Settings!$D$8),DAY(Settings!$D$8)),MIN(DATE(YEAR(AL146),MONTH(AL146)+AM146,DAY(AL146)),DATE(YEAR(AL146),MONTH(AL146)+AM146+1,0)))))</f>
        <v/>
      </c>
      <c r="AO146" s="31">
        <f>IF(ISNUMBER(AN146),AN146-Settings!$D$4,"")</f>
        <v/>
      </c>
      <c r="AP146" s="31">
        <f>IF(ISNUMBER(AL146),AL146+0+ROW()/100000,"")</f>
        <v/>
      </c>
      <c r="AQ146" s="31">
        <f>IF(OR(AG146="",NOT(ISNUMBER(AP146))),0,IF(SUMPRODUCT(('Responses'!$AG$2:$AG$501=AG146)*('Responses'!$AJ$2:$AJ$501=1)*ISNUMBER('Responses'!$AP$2:$AP$501)*('Responses'!$AP$2:$AP$501&gt;AP146)) + SUMPRODUCT(('Paper sign-ups'!$K$2:$K$101=AG146)*('Paper sign-ups'!$N$2:$N$101=1)*ISNUMBER('Paper sign-ups'!$T$2:$T$101)*('Paper sign-ups'!$T$2:$T$101&gt;AP146))&gt;0,1,0))</f>
        <v/>
      </c>
      <c r="AR146" s="31">
        <f>IF(AE146="","",IF(AQ146=1,"Joined again",IF(AJ146=0,"Unpaid",IF(NOT(ISNUMBER(AL146)),"Add a join date",IF(AN146="","No reminder",IF(AO146&lt;0,"Lapsed",IF(AO146&lt;=Settings!$D$6,"Remind soon","Current")))))))</f>
        <v/>
      </c>
      <c r="AS146" s="33">
        <f>IF(AJ146=1,IFERROR(VALUE(IFERROR(TRIM(INDEX($A146:$Z146,MATCH(Settings!$L$8,$A$1:$Z$1,0))&amp;""),"")),0)-IFERROR(VALUE(IFERROR(TRIM(INDEX($A146:$Z146,MATCH(Settings!$L$9,$A$1:$Z$1,0))&amp;""),"")),0),0)</f>
        <v/>
      </c>
      <c r="AT146" s="31">
        <f>IF(AND(AE146&lt;&gt;"",AQ146=0),1,0)</f>
        <v/>
      </c>
      <c r="AU146" s="31">
        <f>IF(AT146=0,"",IF(ISNUMBER(AN146),AN146,100000)+0+ROW()/1000000)</f>
        <v/>
      </c>
      <c r="AV146" s="31">
        <f>IF(ISNUMBER(AU146),SUMPRODUCT(ISNUMBER('Responses'!$AU$2:$AU$501)*('Responses'!$AU$2:$AU$501&lt;AU146)) + SUMPRODUCT(ISNUMBER('Paper sign-ups'!$Y$2:$Y$101)*('Paper sign-ups'!$Y$2:$Y$101&lt;AU146))+1,"")</f>
        <v/>
      </c>
    </row>
    <row r="147">
      <c r="AA147" s="29" t="n"/>
      <c r="AB147" s="30" t="n"/>
      <c r="AC147" s="30" t="n"/>
      <c r="AD147" s="29" t="n"/>
      <c r="AE147" s="31">
        <f>IFERROR(TRIM(INDEX($A147:$Z147,MATCH(Settings!$L$4,$A$1:$Z$1,0))&amp;""),"")</f>
        <v/>
      </c>
      <c r="AF147" s="31">
        <f>IFERROR(TRIM(INDEX($A147:$Z147,MATCH(Settings!$L$5,$A$1:$Z$1,0))&amp;""),"")</f>
        <v/>
      </c>
      <c r="AG147" s="31">
        <f>IF(AE147="","",LOWER(IF(AF147&lt;&gt;"",AF147,AE147)))</f>
        <v/>
      </c>
      <c r="AH147" s="31">
        <f>IFERROR(TRIM(INDEX($A147:$Z147,MATCH(Settings!$L$6,$A$1:$Z$1,0))&amp;""),"")</f>
        <v/>
      </c>
      <c r="AI147" s="31">
        <f>IF(AE147="","",IF(UPPER(TRIM(AB147&amp;""))="Y","Paid another way",IF(IFERROR(TRIM(INDEX($A147:$Z147,MATCH(Settings!$L$7,$A$1:$Z$1,0))&amp;""),"")="","No payment status",IFERROR(TRIM(INDEX($A147:$Z147,MATCH(Settings!$L$7,$A$1:$Z$1,0))&amp;""),""))))</f>
        <v/>
      </c>
      <c r="AJ147" s="31">
        <f>IF(AE147="",0,IF(IFERROR(INDEX(Settings!$J$4:$J$14,MATCH(AI147,Settings!$I$4:$I$14,0)),"N")="Y",1,0))</f>
        <v/>
      </c>
      <c r="AK147" s="32">
        <f>IFERROR(INT(IFERROR(IF(ISNUMBER(INDEX($A147:$Z147,MATCH(Settings!$L$10,$A$1:$Z$1,0))),INDEX($A147:$Z147,MATCH(Settings!$L$10,$A$1:$Z$1,0)),DATE(VALUE(LEFT(IFERROR(TRIM(INDEX($A147:$Z147,MATCH(Settings!$L$10,$A$1:$Z$1,0))&amp;""),""),4)),VALUE(MID(IFERROR(TRIM(INDEX($A147:$Z147,MATCH(Settings!$L$10,$A$1:$Z$1,0))&amp;""),""),6,2)),VALUE(MID(IFERROR(TRIM(INDEX($A147:$Z147,MATCH(Settings!$L$10,$A$1:$Z$1,0))&amp;""),""),9,2)))+TIME(VALUE(MID(IFERROR(TRIM(INDEX($A147:$Z147,MATCH(Settings!$L$10,$A$1:$Z$1,0))&amp;""),""),12,2)),VALUE(MID(IFERROR(TRIM(INDEX($A147:$Z147,MATCH(Settings!$L$10,$A$1:$Z$1,0))&amp;""),""),15,2)),VALUE(MID(IFERROR(TRIM(INDEX($A147:$Z147,MATCH(Settings!$L$10,$A$1:$Z$1,0))&amp;""),""),18,2)))),"")),"")</f>
        <v/>
      </c>
      <c r="AL147" s="32">
        <f>IF(AE147="","",IF(ISNUMBER(AK147),AK147,IFERROR(INT(IFERROR(IF(ISNUMBER(INDEX($A147:$Z147,MATCH(Settings!$L$11,$A$1:$Z$1,0))),INDEX($A147:$Z147,MATCH(Settings!$L$11,$A$1:$Z$1,0)),DATE(VALUE(LEFT(IFERROR(TRIM(INDEX($A147:$Z147,MATCH(Settings!$L$11,$A$1:$Z$1,0))&amp;""),""),4)),VALUE(MID(IFERROR(TRIM(INDEX($A147:$Z147,MATCH(Settings!$L$11,$A$1:$Z$1,0))&amp;""),""),6,2)),VALUE(MID(IFERROR(TRIM(INDEX($A147:$Z147,MATCH(Settings!$L$11,$A$1:$Z$1,0))&amp;""),""),9,2)))+TIME(VALUE(MID(IFERROR(TRIM(INDEX($A147:$Z147,MATCH(Settings!$L$11,$A$1:$Z$1,0))&amp;""),""),12,2)),VALUE(MID(IFERROR(TRIM(INDEX($A147:$Z147,MATCH(Settings!$L$11,$A$1:$Z$1,0))&amp;""),""),15,2)),VALUE(MID(IFERROR(TRIM(INDEX($A147:$Z147,MATCH(Settings!$L$11,$A$1:$Z$1,0))&amp;""),""),18,2)))),"")),"")))</f>
        <v/>
      </c>
      <c r="AM147" s="31">
        <f>IF(AE147="","",IF(ISNUMBER(IFERROR(INDEX(Settings!$G$4:$G$11,MATCH(AH147,Settings!$F$4:$F$11,0)),"")),INDEX(Settings!$G$4:$G$11,MATCH(AH147,Settings!$F$4:$F$11,0)),Settings!$D$5))</f>
        <v/>
      </c>
      <c r="AN147" s="32">
        <f>IF(OR(AE147="",NOT(ISNUMBER(AL147)),NOT(ISNUMBER(AM147))),"",IF(AM147&lt;=0,"",IF(ISNUMBER(Settings!$D$8),DATE(YEAR(AL147)+IF(DATE(YEAR(AL147),MONTH(Settings!$D$8),DAY(Settings!$D$8))&gt;AL147,0,1),MONTH(Settings!$D$8),DAY(Settings!$D$8)),MIN(DATE(YEAR(AL147),MONTH(AL147)+AM147,DAY(AL147)),DATE(YEAR(AL147),MONTH(AL147)+AM147+1,0)))))</f>
        <v/>
      </c>
      <c r="AO147" s="31">
        <f>IF(ISNUMBER(AN147),AN147-Settings!$D$4,"")</f>
        <v/>
      </c>
      <c r="AP147" s="31">
        <f>IF(ISNUMBER(AL147),AL147+0+ROW()/100000,"")</f>
        <v/>
      </c>
      <c r="AQ147" s="31">
        <f>IF(OR(AG147="",NOT(ISNUMBER(AP147))),0,IF(SUMPRODUCT(('Responses'!$AG$2:$AG$501=AG147)*('Responses'!$AJ$2:$AJ$501=1)*ISNUMBER('Responses'!$AP$2:$AP$501)*('Responses'!$AP$2:$AP$501&gt;AP147)) + SUMPRODUCT(('Paper sign-ups'!$K$2:$K$101=AG147)*('Paper sign-ups'!$N$2:$N$101=1)*ISNUMBER('Paper sign-ups'!$T$2:$T$101)*('Paper sign-ups'!$T$2:$T$101&gt;AP147))&gt;0,1,0))</f>
        <v/>
      </c>
      <c r="AR147" s="31">
        <f>IF(AE147="","",IF(AQ147=1,"Joined again",IF(AJ147=0,"Unpaid",IF(NOT(ISNUMBER(AL147)),"Add a join date",IF(AN147="","No reminder",IF(AO147&lt;0,"Lapsed",IF(AO147&lt;=Settings!$D$6,"Remind soon","Current")))))))</f>
        <v/>
      </c>
      <c r="AS147" s="33">
        <f>IF(AJ147=1,IFERROR(VALUE(IFERROR(TRIM(INDEX($A147:$Z147,MATCH(Settings!$L$8,$A$1:$Z$1,0))&amp;""),"")),0)-IFERROR(VALUE(IFERROR(TRIM(INDEX($A147:$Z147,MATCH(Settings!$L$9,$A$1:$Z$1,0))&amp;""),"")),0),0)</f>
        <v/>
      </c>
      <c r="AT147" s="31">
        <f>IF(AND(AE147&lt;&gt;"",AQ147=0),1,0)</f>
        <v/>
      </c>
      <c r="AU147" s="31">
        <f>IF(AT147=0,"",IF(ISNUMBER(AN147),AN147,100000)+0+ROW()/1000000)</f>
        <v/>
      </c>
      <c r="AV147" s="31">
        <f>IF(ISNUMBER(AU147),SUMPRODUCT(ISNUMBER('Responses'!$AU$2:$AU$501)*('Responses'!$AU$2:$AU$501&lt;AU147)) + SUMPRODUCT(ISNUMBER('Paper sign-ups'!$Y$2:$Y$101)*('Paper sign-ups'!$Y$2:$Y$101&lt;AU147))+1,"")</f>
        <v/>
      </c>
    </row>
    <row r="148">
      <c r="AA148" s="29" t="n"/>
      <c r="AB148" s="30" t="n"/>
      <c r="AC148" s="30" t="n"/>
      <c r="AD148" s="29" t="n"/>
      <c r="AE148" s="31">
        <f>IFERROR(TRIM(INDEX($A148:$Z148,MATCH(Settings!$L$4,$A$1:$Z$1,0))&amp;""),"")</f>
        <v/>
      </c>
      <c r="AF148" s="31">
        <f>IFERROR(TRIM(INDEX($A148:$Z148,MATCH(Settings!$L$5,$A$1:$Z$1,0))&amp;""),"")</f>
        <v/>
      </c>
      <c r="AG148" s="31">
        <f>IF(AE148="","",LOWER(IF(AF148&lt;&gt;"",AF148,AE148)))</f>
        <v/>
      </c>
      <c r="AH148" s="31">
        <f>IFERROR(TRIM(INDEX($A148:$Z148,MATCH(Settings!$L$6,$A$1:$Z$1,0))&amp;""),"")</f>
        <v/>
      </c>
      <c r="AI148" s="31">
        <f>IF(AE148="","",IF(UPPER(TRIM(AB148&amp;""))="Y","Paid another way",IF(IFERROR(TRIM(INDEX($A148:$Z148,MATCH(Settings!$L$7,$A$1:$Z$1,0))&amp;""),"")="","No payment status",IFERROR(TRIM(INDEX($A148:$Z148,MATCH(Settings!$L$7,$A$1:$Z$1,0))&amp;""),""))))</f>
        <v/>
      </c>
      <c r="AJ148" s="31">
        <f>IF(AE148="",0,IF(IFERROR(INDEX(Settings!$J$4:$J$14,MATCH(AI148,Settings!$I$4:$I$14,0)),"N")="Y",1,0))</f>
        <v/>
      </c>
      <c r="AK148" s="32">
        <f>IFERROR(INT(IFERROR(IF(ISNUMBER(INDEX($A148:$Z148,MATCH(Settings!$L$10,$A$1:$Z$1,0))),INDEX($A148:$Z148,MATCH(Settings!$L$10,$A$1:$Z$1,0)),DATE(VALUE(LEFT(IFERROR(TRIM(INDEX($A148:$Z148,MATCH(Settings!$L$10,$A$1:$Z$1,0))&amp;""),""),4)),VALUE(MID(IFERROR(TRIM(INDEX($A148:$Z148,MATCH(Settings!$L$10,$A$1:$Z$1,0))&amp;""),""),6,2)),VALUE(MID(IFERROR(TRIM(INDEX($A148:$Z148,MATCH(Settings!$L$10,$A$1:$Z$1,0))&amp;""),""),9,2)))+TIME(VALUE(MID(IFERROR(TRIM(INDEX($A148:$Z148,MATCH(Settings!$L$10,$A$1:$Z$1,0))&amp;""),""),12,2)),VALUE(MID(IFERROR(TRIM(INDEX($A148:$Z148,MATCH(Settings!$L$10,$A$1:$Z$1,0))&amp;""),""),15,2)),VALUE(MID(IFERROR(TRIM(INDEX($A148:$Z148,MATCH(Settings!$L$10,$A$1:$Z$1,0))&amp;""),""),18,2)))),"")),"")</f>
        <v/>
      </c>
      <c r="AL148" s="32">
        <f>IF(AE148="","",IF(ISNUMBER(AK148),AK148,IFERROR(INT(IFERROR(IF(ISNUMBER(INDEX($A148:$Z148,MATCH(Settings!$L$11,$A$1:$Z$1,0))),INDEX($A148:$Z148,MATCH(Settings!$L$11,$A$1:$Z$1,0)),DATE(VALUE(LEFT(IFERROR(TRIM(INDEX($A148:$Z148,MATCH(Settings!$L$11,$A$1:$Z$1,0))&amp;""),""),4)),VALUE(MID(IFERROR(TRIM(INDEX($A148:$Z148,MATCH(Settings!$L$11,$A$1:$Z$1,0))&amp;""),""),6,2)),VALUE(MID(IFERROR(TRIM(INDEX($A148:$Z148,MATCH(Settings!$L$11,$A$1:$Z$1,0))&amp;""),""),9,2)))+TIME(VALUE(MID(IFERROR(TRIM(INDEX($A148:$Z148,MATCH(Settings!$L$11,$A$1:$Z$1,0))&amp;""),""),12,2)),VALUE(MID(IFERROR(TRIM(INDEX($A148:$Z148,MATCH(Settings!$L$11,$A$1:$Z$1,0))&amp;""),""),15,2)),VALUE(MID(IFERROR(TRIM(INDEX($A148:$Z148,MATCH(Settings!$L$11,$A$1:$Z$1,0))&amp;""),""),18,2)))),"")),"")))</f>
        <v/>
      </c>
      <c r="AM148" s="31">
        <f>IF(AE148="","",IF(ISNUMBER(IFERROR(INDEX(Settings!$G$4:$G$11,MATCH(AH148,Settings!$F$4:$F$11,0)),"")),INDEX(Settings!$G$4:$G$11,MATCH(AH148,Settings!$F$4:$F$11,0)),Settings!$D$5))</f>
        <v/>
      </c>
      <c r="AN148" s="32">
        <f>IF(OR(AE148="",NOT(ISNUMBER(AL148)),NOT(ISNUMBER(AM148))),"",IF(AM148&lt;=0,"",IF(ISNUMBER(Settings!$D$8),DATE(YEAR(AL148)+IF(DATE(YEAR(AL148),MONTH(Settings!$D$8),DAY(Settings!$D$8))&gt;AL148,0,1),MONTH(Settings!$D$8),DAY(Settings!$D$8)),MIN(DATE(YEAR(AL148),MONTH(AL148)+AM148,DAY(AL148)),DATE(YEAR(AL148),MONTH(AL148)+AM148+1,0)))))</f>
        <v/>
      </c>
      <c r="AO148" s="31">
        <f>IF(ISNUMBER(AN148),AN148-Settings!$D$4,"")</f>
        <v/>
      </c>
      <c r="AP148" s="31">
        <f>IF(ISNUMBER(AL148),AL148+0+ROW()/100000,"")</f>
        <v/>
      </c>
      <c r="AQ148" s="31">
        <f>IF(OR(AG148="",NOT(ISNUMBER(AP148))),0,IF(SUMPRODUCT(('Responses'!$AG$2:$AG$501=AG148)*('Responses'!$AJ$2:$AJ$501=1)*ISNUMBER('Responses'!$AP$2:$AP$501)*('Responses'!$AP$2:$AP$501&gt;AP148)) + SUMPRODUCT(('Paper sign-ups'!$K$2:$K$101=AG148)*('Paper sign-ups'!$N$2:$N$101=1)*ISNUMBER('Paper sign-ups'!$T$2:$T$101)*('Paper sign-ups'!$T$2:$T$101&gt;AP148))&gt;0,1,0))</f>
        <v/>
      </c>
      <c r="AR148" s="31">
        <f>IF(AE148="","",IF(AQ148=1,"Joined again",IF(AJ148=0,"Unpaid",IF(NOT(ISNUMBER(AL148)),"Add a join date",IF(AN148="","No reminder",IF(AO148&lt;0,"Lapsed",IF(AO148&lt;=Settings!$D$6,"Remind soon","Current")))))))</f>
        <v/>
      </c>
      <c r="AS148" s="33">
        <f>IF(AJ148=1,IFERROR(VALUE(IFERROR(TRIM(INDEX($A148:$Z148,MATCH(Settings!$L$8,$A$1:$Z$1,0))&amp;""),"")),0)-IFERROR(VALUE(IFERROR(TRIM(INDEX($A148:$Z148,MATCH(Settings!$L$9,$A$1:$Z$1,0))&amp;""),"")),0),0)</f>
        <v/>
      </c>
      <c r="AT148" s="31">
        <f>IF(AND(AE148&lt;&gt;"",AQ148=0),1,0)</f>
        <v/>
      </c>
      <c r="AU148" s="31">
        <f>IF(AT148=0,"",IF(ISNUMBER(AN148),AN148,100000)+0+ROW()/1000000)</f>
        <v/>
      </c>
      <c r="AV148" s="31">
        <f>IF(ISNUMBER(AU148),SUMPRODUCT(ISNUMBER('Responses'!$AU$2:$AU$501)*('Responses'!$AU$2:$AU$501&lt;AU148)) + SUMPRODUCT(ISNUMBER('Paper sign-ups'!$Y$2:$Y$101)*('Paper sign-ups'!$Y$2:$Y$101&lt;AU148))+1,"")</f>
        <v/>
      </c>
    </row>
    <row r="149">
      <c r="AA149" s="29" t="n"/>
      <c r="AB149" s="30" t="n"/>
      <c r="AC149" s="30" t="n"/>
      <c r="AD149" s="29" t="n"/>
      <c r="AE149" s="31">
        <f>IFERROR(TRIM(INDEX($A149:$Z149,MATCH(Settings!$L$4,$A$1:$Z$1,0))&amp;""),"")</f>
        <v/>
      </c>
      <c r="AF149" s="31">
        <f>IFERROR(TRIM(INDEX($A149:$Z149,MATCH(Settings!$L$5,$A$1:$Z$1,0))&amp;""),"")</f>
        <v/>
      </c>
      <c r="AG149" s="31">
        <f>IF(AE149="","",LOWER(IF(AF149&lt;&gt;"",AF149,AE149)))</f>
        <v/>
      </c>
      <c r="AH149" s="31">
        <f>IFERROR(TRIM(INDEX($A149:$Z149,MATCH(Settings!$L$6,$A$1:$Z$1,0))&amp;""),"")</f>
        <v/>
      </c>
      <c r="AI149" s="31">
        <f>IF(AE149="","",IF(UPPER(TRIM(AB149&amp;""))="Y","Paid another way",IF(IFERROR(TRIM(INDEX($A149:$Z149,MATCH(Settings!$L$7,$A$1:$Z$1,0))&amp;""),"")="","No payment status",IFERROR(TRIM(INDEX($A149:$Z149,MATCH(Settings!$L$7,$A$1:$Z$1,0))&amp;""),""))))</f>
        <v/>
      </c>
      <c r="AJ149" s="31">
        <f>IF(AE149="",0,IF(IFERROR(INDEX(Settings!$J$4:$J$14,MATCH(AI149,Settings!$I$4:$I$14,0)),"N")="Y",1,0))</f>
        <v/>
      </c>
      <c r="AK149" s="32">
        <f>IFERROR(INT(IFERROR(IF(ISNUMBER(INDEX($A149:$Z149,MATCH(Settings!$L$10,$A$1:$Z$1,0))),INDEX($A149:$Z149,MATCH(Settings!$L$10,$A$1:$Z$1,0)),DATE(VALUE(LEFT(IFERROR(TRIM(INDEX($A149:$Z149,MATCH(Settings!$L$10,$A$1:$Z$1,0))&amp;""),""),4)),VALUE(MID(IFERROR(TRIM(INDEX($A149:$Z149,MATCH(Settings!$L$10,$A$1:$Z$1,0))&amp;""),""),6,2)),VALUE(MID(IFERROR(TRIM(INDEX($A149:$Z149,MATCH(Settings!$L$10,$A$1:$Z$1,0))&amp;""),""),9,2)))+TIME(VALUE(MID(IFERROR(TRIM(INDEX($A149:$Z149,MATCH(Settings!$L$10,$A$1:$Z$1,0))&amp;""),""),12,2)),VALUE(MID(IFERROR(TRIM(INDEX($A149:$Z149,MATCH(Settings!$L$10,$A$1:$Z$1,0))&amp;""),""),15,2)),VALUE(MID(IFERROR(TRIM(INDEX($A149:$Z149,MATCH(Settings!$L$10,$A$1:$Z$1,0))&amp;""),""),18,2)))),"")),"")</f>
        <v/>
      </c>
      <c r="AL149" s="32">
        <f>IF(AE149="","",IF(ISNUMBER(AK149),AK149,IFERROR(INT(IFERROR(IF(ISNUMBER(INDEX($A149:$Z149,MATCH(Settings!$L$11,$A$1:$Z$1,0))),INDEX($A149:$Z149,MATCH(Settings!$L$11,$A$1:$Z$1,0)),DATE(VALUE(LEFT(IFERROR(TRIM(INDEX($A149:$Z149,MATCH(Settings!$L$11,$A$1:$Z$1,0))&amp;""),""),4)),VALUE(MID(IFERROR(TRIM(INDEX($A149:$Z149,MATCH(Settings!$L$11,$A$1:$Z$1,0))&amp;""),""),6,2)),VALUE(MID(IFERROR(TRIM(INDEX($A149:$Z149,MATCH(Settings!$L$11,$A$1:$Z$1,0))&amp;""),""),9,2)))+TIME(VALUE(MID(IFERROR(TRIM(INDEX($A149:$Z149,MATCH(Settings!$L$11,$A$1:$Z$1,0))&amp;""),""),12,2)),VALUE(MID(IFERROR(TRIM(INDEX($A149:$Z149,MATCH(Settings!$L$11,$A$1:$Z$1,0))&amp;""),""),15,2)),VALUE(MID(IFERROR(TRIM(INDEX($A149:$Z149,MATCH(Settings!$L$11,$A$1:$Z$1,0))&amp;""),""),18,2)))),"")),"")))</f>
        <v/>
      </c>
      <c r="AM149" s="31">
        <f>IF(AE149="","",IF(ISNUMBER(IFERROR(INDEX(Settings!$G$4:$G$11,MATCH(AH149,Settings!$F$4:$F$11,0)),"")),INDEX(Settings!$G$4:$G$11,MATCH(AH149,Settings!$F$4:$F$11,0)),Settings!$D$5))</f>
        <v/>
      </c>
      <c r="AN149" s="32">
        <f>IF(OR(AE149="",NOT(ISNUMBER(AL149)),NOT(ISNUMBER(AM149))),"",IF(AM149&lt;=0,"",IF(ISNUMBER(Settings!$D$8),DATE(YEAR(AL149)+IF(DATE(YEAR(AL149),MONTH(Settings!$D$8),DAY(Settings!$D$8))&gt;AL149,0,1),MONTH(Settings!$D$8),DAY(Settings!$D$8)),MIN(DATE(YEAR(AL149),MONTH(AL149)+AM149,DAY(AL149)),DATE(YEAR(AL149),MONTH(AL149)+AM149+1,0)))))</f>
        <v/>
      </c>
      <c r="AO149" s="31">
        <f>IF(ISNUMBER(AN149),AN149-Settings!$D$4,"")</f>
        <v/>
      </c>
      <c r="AP149" s="31">
        <f>IF(ISNUMBER(AL149),AL149+0+ROW()/100000,"")</f>
        <v/>
      </c>
      <c r="AQ149" s="31">
        <f>IF(OR(AG149="",NOT(ISNUMBER(AP149))),0,IF(SUMPRODUCT(('Responses'!$AG$2:$AG$501=AG149)*('Responses'!$AJ$2:$AJ$501=1)*ISNUMBER('Responses'!$AP$2:$AP$501)*('Responses'!$AP$2:$AP$501&gt;AP149)) + SUMPRODUCT(('Paper sign-ups'!$K$2:$K$101=AG149)*('Paper sign-ups'!$N$2:$N$101=1)*ISNUMBER('Paper sign-ups'!$T$2:$T$101)*('Paper sign-ups'!$T$2:$T$101&gt;AP149))&gt;0,1,0))</f>
        <v/>
      </c>
      <c r="AR149" s="31">
        <f>IF(AE149="","",IF(AQ149=1,"Joined again",IF(AJ149=0,"Unpaid",IF(NOT(ISNUMBER(AL149)),"Add a join date",IF(AN149="","No reminder",IF(AO149&lt;0,"Lapsed",IF(AO149&lt;=Settings!$D$6,"Remind soon","Current")))))))</f>
        <v/>
      </c>
      <c r="AS149" s="33">
        <f>IF(AJ149=1,IFERROR(VALUE(IFERROR(TRIM(INDEX($A149:$Z149,MATCH(Settings!$L$8,$A$1:$Z$1,0))&amp;""),"")),0)-IFERROR(VALUE(IFERROR(TRIM(INDEX($A149:$Z149,MATCH(Settings!$L$9,$A$1:$Z$1,0))&amp;""),"")),0),0)</f>
        <v/>
      </c>
      <c r="AT149" s="31">
        <f>IF(AND(AE149&lt;&gt;"",AQ149=0),1,0)</f>
        <v/>
      </c>
      <c r="AU149" s="31">
        <f>IF(AT149=0,"",IF(ISNUMBER(AN149),AN149,100000)+0+ROW()/1000000)</f>
        <v/>
      </c>
      <c r="AV149" s="31">
        <f>IF(ISNUMBER(AU149),SUMPRODUCT(ISNUMBER('Responses'!$AU$2:$AU$501)*('Responses'!$AU$2:$AU$501&lt;AU149)) + SUMPRODUCT(ISNUMBER('Paper sign-ups'!$Y$2:$Y$101)*('Paper sign-ups'!$Y$2:$Y$101&lt;AU149))+1,"")</f>
        <v/>
      </c>
    </row>
    <row r="150">
      <c r="AA150" s="29" t="n"/>
      <c r="AB150" s="30" t="n"/>
      <c r="AC150" s="30" t="n"/>
      <c r="AD150" s="29" t="n"/>
      <c r="AE150" s="31">
        <f>IFERROR(TRIM(INDEX($A150:$Z150,MATCH(Settings!$L$4,$A$1:$Z$1,0))&amp;""),"")</f>
        <v/>
      </c>
      <c r="AF150" s="31">
        <f>IFERROR(TRIM(INDEX($A150:$Z150,MATCH(Settings!$L$5,$A$1:$Z$1,0))&amp;""),"")</f>
        <v/>
      </c>
      <c r="AG150" s="31">
        <f>IF(AE150="","",LOWER(IF(AF150&lt;&gt;"",AF150,AE150)))</f>
        <v/>
      </c>
      <c r="AH150" s="31">
        <f>IFERROR(TRIM(INDEX($A150:$Z150,MATCH(Settings!$L$6,$A$1:$Z$1,0))&amp;""),"")</f>
        <v/>
      </c>
      <c r="AI150" s="31">
        <f>IF(AE150="","",IF(UPPER(TRIM(AB150&amp;""))="Y","Paid another way",IF(IFERROR(TRIM(INDEX($A150:$Z150,MATCH(Settings!$L$7,$A$1:$Z$1,0))&amp;""),"")="","No payment status",IFERROR(TRIM(INDEX($A150:$Z150,MATCH(Settings!$L$7,$A$1:$Z$1,0))&amp;""),""))))</f>
        <v/>
      </c>
      <c r="AJ150" s="31">
        <f>IF(AE150="",0,IF(IFERROR(INDEX(Settings!$J$4:$J$14,MATCH(AI150,Settings!$I$4:$I$14,0)),"N")="Y",1,0))</f>
        <v/>
      </c>
      <c r="AK150" s="32">
        <f>IFERROR(INT(IFERROR(IF(ISNUMBER(INDEX($A150:$Z150,MATCH(Settings!$L$10,$A$1:$Z$1,0))),INDEX($A150:$Z150,MATCH(Settings!$L$10,$A$1:$Z$1,0)),DATE(VALUE(LEFT(IFERROR(TRIM(INDEX($A150:$Z150,MATCH(Settings!$L$10,$A$1:$Z$1,0))&amp;""),""),4)),VALUE(MID(IFERROR(TRIM(INDEX($A150:$Z150,MATCH(Settings!$L$10,$A$1:$Z$1,0))&amp;""),""),6,2)),VALUE(MID(IFERROR(TRIM(INDEX($A150:$Z150,MATCH(Settings!$L$10,$A$1:$Z$1,0))&amp;""),""),9,2)))+TIME(VALUE(MID(IFERROR(TRIM(INDEX($A150:$Z150,MATCH(Settings!$L$10,$A$1:$Z$1,0))&amp;""),""),12,2)),VALUE(MID(IFERROR(TRIM(INDEX($A150:$Z150,MATCH(Settings!$L$10,$A$1:$Z$1,0))&amp;""),""),15,2)),VALUE(MID(IFERROR(TRIM(INDEX($A150:$Z150,MATCH(Settings!$L$10,$A$1:$Z$1,0))&amp;""),""),18,2)))),"")),"")</f>
        <v/>
      </c>
      <c r="AL150" s="32">
        <f>IF(AE150="","",IF(ISNUMBER(AK150),AK150,IFERROR(INT(IFERROR(IF(ISNUMBER(INDEX($A150:$Z150,MATCH(Settings!$L$11,$A$1:$Z$1,0))),INDEX($A150:$Z150,MATCH(Settings!$L$11,$A$1:$Z$1,0)),DATE(VALUE(LEFT(IFERROR(TRIM(INDEX($A150:$Z150,MATCH(Settings!$L$11,$A$1:$Z$1,0))&amp;""),""),4)),VALUE(MID(IFERROR(TRIM(INDEX($A150:$Z150,MATCH(Settings!$L$11,$A$1:$Z$1,0))&amp;""),""),6,2)),VALUE(MID(IFERROR(TRIM(INDEX($A150:$Z150,MATCH(Settings!$L$11,$A$1:$Z$1,0))&amp;""),""),9,2)))+TIME(VALUE(MID(IFERROR(TRIM(INDEX($A150:$Z150,MATCH(Settings!$L$11,$A$1:$Z$1,0))&amp;""),""),12,2)),VALUE(MID(IFERROR(TRIM(INDEX($A150:$Z150,MATCH(Settings!$L$11,$A$1:$Z$1,0))&amp;""),""),15,2)),VALUE(MID(IFERROR(TRIM(INDEX($A150:$Z150,MATCH(Settings!$L$11,$A$1:$Z$1,0))&amp;""),""),18,2)))),"")),"")))</f>
        <v/>
      </c>
      <c r="AM150" s="31">
        <f>IF(AE150="","",IF(ISNUMBER(IFERROR(INDEX(Settings!$G$4:$G$11,MATCH(AH150,Settings!$F$4:$F$11,0)),"")),INDEX(Settings!$G$4:$G$11,MATCH(AH150,Settings!$F$4:$F$11,0)),Settings!$D$5))</f>
        <v/>
      </c>
      <c r="AN150" s="32">
        <f>IF(OR(AE150="",NOT(ISNUMBER(AL150)),NOT(ISNUMBER(AM150))),"",IF(AM150&lt;=0,"",IF(ISNUMBER(Settings!$D$8),DATE(YEAR(AL150)+IF(DATE(YEAR(AL150),MONTH(Settings!$D$8),DAY(Settings!$D$8))&gt;AL150,0,1),MONTH(Settings!$D$8),DAY(Settings!$D$8)),MIN(DATE(YEAR(AL150),MONTH(AL150)+AM150,DAY(AL150)),DATE(YEAR(AL150),MONTH(AL150)+AM150+1,0)))))</f>
        <v/>
      </c>
      <c r="AO150" s="31">
        <f>IF(ISNUMBER(AN150),AN150-Settings!$D$4,"")</f>
        <v/>
      </c>
      <c r="AP150" s="31">
        <f>IF(ISNUMBER(AL150),AL150+0+ROW()/100000,"")</f>
        <v/>
      </c>
      <c r="AQ150" s="31">
        <f>IF(OR(AG150="",NOT(ISNUMBER(AP150))),0,IF(SUMPRODUCT(('Responses'!$AG$2:$AG$501=AG150)*('Responses'!$AJ$2:$AJ$501=1)*ISNUMBER('Responses'!$AP$2:$AP$501)*('Responses'!$AP$2:$AP$501&gt;AP150)) + SUMPRODUCT(('Paper sign-ups'!$K$2:$K$101=AG150)*('Paper sign-ups'!$N$2:$N$101=1)*ISNUMBER('Paper sign-ups'!$T$2:$T$101)*('Paper sign-ups'!$T$2:$T$101&gt;AP150))&gt;0,1,0))</f>
        <v/>
      </c>
      <c r="AR150" s="31">
        <f>IF(AE150="","",IF(AQ150=1,"Joined again",IF(AJ150=0,"Unpaid",IF(NOT(ISNUMBER(AL150)),"Add a join date",IF(AN150="","No reminder",IF(AO150&lt;0,"Lapsed",IF(AO150&lt;=Settings!$D$6,"Remind soon","Current")))))))</f>
        <v/>
      </c>
      <c r="AS150" s="33">
        <f>IF(AJ150=1,IFERROR(VALUE(IFERROR(TRIM(INDEX($A150:$Z150,MATCH(Settings!$L$8,$A$1:$Z$1,0))&amp;""),"")),0)-IFERROR(VALUE(IFERROR(TRIM(INDEX($A150:$Z150,MATCH(Settings!$L$9,$A$1:$Z$1,0))&amp;""),"")),0),0)</f>
        <v/>
      </c>
      <c r="AT150" s="31">
        <f>IF(AND(AE150&lt;&gt;"",AQ150=0),1,0)</f>
        <v/>
      </c>
      <c r="AU150" s="31">
        <f>IF(AT150=0,"",IF(ISNUMBER(AN150),AN150,100000)+0+ROW()/1000000)</f>
        <v/>
      </c>
      <c r="AV150" s="31">
        <f>IF(ISNUMBER(AU150),SUMPRODUCT(ISNUMBER('Responses'!$AU$2:$AU$501)*('Responses'!$AU$2:$AU$501&lt;AU150)) + SUMPRODUCT(ISNUMBER('Paper sign-ups'!$Y$2:$Y$101)*('Paper sign-ups'!$Y$2:$Y$101&lt;AU150))+1,"")</f>
        <v/>
      </c>
    </row>
    <row r="151">
      <c r="AA151" s="29" t="n"/>
      <c r="AB151" s="30" t="n"/>
      <c r="AC151" s="30" t="n"/>
      <c r="AD151" s="29" t="n"/>
      <c r="AE151" s="31">
        <f>IFERROR(TRIM(INDEX($A151:$Z151,MATCH(Settings!$L$4,$A$1:$Z$1,0))&amp;""),"")</f>
        <v/>
      </c>
      <c r="AF151" s="31">
        <f>IFERROR(TRIM(INDEX($A151:$Z151,MATCH(Settings!$L$5,$A$1:$Z$1,0))&amp;""),"")</f>
        <v/>
      </c>
      <c r="AG151" s="31">
        <f>IF(AE151="","",LOWER(IF(AF151&lt;&gt;"",AF151,AE151)))</f>
        <v/>
      </c>
      <c r="AH151" s="31">
        <f>IFERROR(TRIM(INDEX($A151:$Z151,MATCH(Settings!$L$6,$A$1:$Z$1,0))&amp;""),"")</f>
        <v/>
      </c>
      <c r="AI151" s="31">
        <f>IF(AE151="","",IF(UPPER(TRIM(AB151&amp;""))="Y","Paid another way",IF(IFERROR(TRIM(INDEX($A151:$Z151,MATCH(Settings!$L$7,$A$1:$Z$1,0))&amp;""),"")="","No payment status",IFERROR(TRIM(INDEX($A151:$Z151,MATCH(Settings!$L$7,$A$1:$Z$1,0))&amp;""),""))))</f>
        <v/>
      </c>
      <c r="AJ151" s="31">
        <f>IF(AE151="",0,IF(IFERROR(INDEX(Settings!$J$4:$J$14,MATCH(AI151,Settings!$I$4:$I$14,0)),"N")="Y",1,0))</f>
        <v/>
      </c>
      <c r="AK151" s="32">
        <f>IFERROR(INT(IFERROR(IF(ISNUMBER(INDEX($A151:$Z151,MATCH(Settings!$L$10,$A$1:$Z$1,0))),INDEX($A151:$Z151,MATCH(Settings!$L$10,$A$1:$Z$1,0)),DATE(VALUE(LEFT(IFERROR(TRIM(INDEX($A151:$Z151,MATCH(Settings!$L$10,$A$1:$Z$1,0))&amp;""),""),4)),VALUE(MID(IFERROR(TRIM(INDEX($A151:$Z151,MATCH(Settings!$L$10,$A$1:$Z$1,0))&amp;""),""),6,2)),VALUE(MID(IFERROR(TRIM(INDEX($A151:$Z151,MATCH(Settings!$L$10,$A$1:$Z$1,0))&amp;""),""),9,2)))+TIME(VALUE(MID(IFERROR(TRIM(INDEX($A151:$Z151,MATCH(Settings!$L$10,$A$1:$Z$1,0))&amp;""),""),12,2)),VALUE(MID(IFERROR(TRIM(INDEX($A151:$Z151,MATCH(Settings!$L$10,$A$1:$Z$1,0))&amp;""),""),15,2)),VALUE(MID(IFERROR(TRIM(INDEX($A151:$Z151,MATCH(Settings!$L$10,$A$1:$Z$1,0))&amp;""),""),18,2)))),"")),"")</f>
        <v/>
      </c>
      <c r="AL151" s="32">
        <f>IF(AE151="","",IF(ISNUMBER(AK151),AK151,IFERROR(INT(IFERROR(IF(ISNUMBER(INDEX($A151:$Z151,MATCH(Settings!$L$11,$A$1:$Z$1,0))),INDEX($A151:$Z151,MATCH(Settings!$L$11,$A$1:$Z$1,0)),DATE(VALUE(LEFT(IFERROR(TRIM(INDEX($A151:$Z151,MATCH(Settings!$L$11,$A$1:$Z$1,0))&amp;""),""),4)),VALUE(MID(IFERROR(TRIM(INDEX($A151:$Z151,MATCH(Settings!$L$11,$A$1:$Z$1,0))&amp;""),""),6,2)),VALUE(MID(IFERROR(TRIM(INDEX($A151:$Z151,MATCH(Settings!$L$11,$A$1:$Z$1,0))&amp;""),""),9,2)))+TIME(VALUE(MID(IFERROR(TRIM(INDEX($A151:$Z151,MATCH(Settings!$L$11,$A$1:$Z$1,0))&amp;""),""),12,2)),VALUE(MID(IFERROR(TRIM(INDEX($A151:$Z151,MATCH(Settings!$L$11,$A$1:$Z$1,0))&amp;""),""),15,2)),VALUE(MID(IFERROR(TRIM(INDEX($A151:$Z151,MATCH(Settings!$L$11,$A$1:$Z$1,0))&amp;""),""),18,2)))),"")),"")))</f>
        <v/>
      </c>
      <c r="AM151" s="31">
        <f>IF(AE151="","",IF(ISNUMBER(IFERROR(INDEX(Settings!$G$4:$G$11,MATCH(AH151,Settings!$F$4:$F$11,0)),"")),INDEX(Settings!$G$4:$G$11,MATCH(AH151,Settings!$F$4:$F$11,0)),Settings!$D$5))</f>
        <v/>
      </c>
      <c r="AN151" s="32">
        <f>IF(OR(AE151="",NOT(ISNUMBER(AL151)),NOT(ISNUMBER(AM151))),"",IF(AM151&lt;=0,"",IF(ISNUMBER(Settings!$D$8),DATE(YEAR(AL151)+IF(DATE(YEAR(AL151),MONTH(Settings!$D$8),DAY(Settings!$D$8))&gt;AL151,0,1),MONTH(Settings!$D$8),DAY(Settings!$D$8)),MIN(DATE(YEAR(AL151),MONTH(AL151)+AM151,DAY(AL151)),DATE(YEAR(AL151),MONTH(AL151)+AM151+1,0)))))</f>
        <v/>
      </c>
      <c r="AO151" s="31">
        <f>IF(ISNUMBER(AN151),AN151-Settings!$D$4,"")</f>
        <v/>
      </c>
      <c r="AP151" s="31">
        <f>IF(ISNUMBER(AL151),AL151+0+ROW()/100000,"")</f>
        <v/>
      </c>
      <c r="AQ151" s="31">
        <f>IF(OR(AG151="",NOT(ISNUMBER(AP151))),0,IF(SUMPRODUCT(('Responses'!$AG$2:$AG$501=AG151)*('Responses'!$AJ$2:$AJ$501=1)*ISNUMBER('Responses'!$AP$2:$AP$501)*('Responses'!$AP$2:$AP$501&gt;AP151)) + SUMPRODUCT(('Paper sign-ups'!$K$2:$K$101=AG151)*('Paper sign-ups'!$N$2:$N$101=1)*ISNUMBER('Paper sign-ups'!$T$2:$T$101)*('Paper sign-ups'!$T$2:$T$101&gt;AP151))&gt;0,1,0))</f>
        <v/>
      </c>
      <c r="AR151" s="31">
        <f>IF(AE151="","",IF(AQ151=1,"Joined again",IF(AJ151=0,"Unpaid",IF(NOT(ISNUMBER(AL151)),"Add a join date",IF(AN151="","No reminder",IF(AO151&lt;0,"Lapsed",IF(AO151&lt;=Settings!$D$6,"Remind soon","Current")))))))</f>
        <v/>
      </c>
      <c r="AS151" s="33">
        <f>IF(AJ151=1,IFERROR(VALUE(IFERROR(TRIM(INDEX($A151:$Z151,MATCH(Settings!$L$8,$A$1:$Z$1,0))&amp;""),"")),0)-IFERROR(VALUE(IFERROR(TRIM(INDEX($A151:$Z151,MATCH(Settings!$L$9,$A$1:$Z$1,0))&amp;""),"")),0),0)</f>
        <v/>
      </c>
      <c r="AT151" s="31">
        <f>IF(AND(AE151&lt;&gt;"",AQ151=0),1,0)</f>
        <v/>
      </c>
      <c r="AU151" s="31">
        <f>IF(AT151=0,"",IF(ISNUMBER(AN151),AN151,100000)+0+ROW()/1000000)</f>
        <v/>
      </c>
      <c r="AV151" s="31">
        <f>IF(ISNUMBER(AU151),SUMPRODUCT(ISNUMBER('Responses'!$AU$2:$AU$501)*('Responses'!$AU$2:$AU$501&lt;AU151)) + SUMPRODUCT(ISNUMBER('Paper sign-ups'!$Y$2:$Y$101)*('Paper sign-ups'!$Y$2:$Y$101&lt;AU151))+1,"")</f>
        <v/>
      </c>
    </row>
    <row r="152">
      <c r="AA152" s="29" t="n"/>
      <c r="AB152" s="30" t="n"/>
      <c r="AC152" s="30" t="n"/>
      <c r="AD152" s="29" t="n"/>
      <c r="AE152" s="31">
        <f>IFERROR(TRIM(INDEX($A152:$Z152,MATCH(Settings!$L$4,$A$1:$Z$1,0))&amp;""),"")</f>
        <v/>
      </c>
      <c r="AF152" s="31">
        <f>IFERROR(TRIM(INDEX($A152:$Z152,MATCH(Settings!$L$5,$A$1:$Z$1,0))&amp;""),"")</f>
        <v/>
      </c>
      <c r="AG152" s="31">
        <f>IF(AE152="","",LOWER(IF(AF152&lt;&gt;"",AF152,AE152)))</f>
        <v/>
      </c>
      <c r="AH152" s="31">
        <f>IFERROR(TRIM(INDEX($A152:$Z152,MATCH(Settings!$L$6,$A$1:$Z$1,0))&amp;""),"")</f>
        <v/>
      </c>
      <c r="AI152" s="31">
        <f>IF(AE152="","",IF(UPPER(TRIM(AB152&amp;""))="Y","Paid another way",IF(IFERROR(TRIM(INDEX($A152:$Z152,MATCH(Settings!$L$7,$A$1:$Z$1,0))&amp;""),"")="","No payment status",IFERROR(TRIM(INDEX($A152:$Z152,MATCH(Settings!$L$7,$A$1:$Z$1,0))&amp;""),""))))</f>
        <v/>
      </c>
      <c r="AJ152" s="31">
        <f>IF(AE152="",0,IF(IFERROR(INDEX(Settings!$J$4:$J$14,MATCH(AI152,Settings!$I$4:$I$14,0)),"N")="Y",1,0))</f>
        <v/>
      </c>
      <c r="AK152" s="32">
        <f>IFERROR(INT(IFERROR(IF(ISNUMBER(INDEX($A152:$Z152,MATCH(Settings!$L$10,$A$1:$Z$1,0))),INDEX($A152:$Z152,MATCH(Settings!$L$10,$A$1:$Z$1,0)),DATE(VALUE(LEFT(IFERROR(TRIM(INDEX($A152:$Z152,MATCH(Settings!$L$10,$A$1:$Z$1,0))&amp;""),""),4)),VALUE(MID(IFERROR(TRIM(INDEX($A152:$Z152,MATCH(Settings!$L$10,$A$1:$Z$1,0))&amp;""),""),6,2)),VALUE(MID(IFERROR(TRIM(INDEX($A152:$Z152,MATCH(Settings!$L$10,$A$1:$Z$1,0))&amp;""),""),9,2)))+TIME(VALUE(MID(IFERROR(TRIM(INDEX($A152:$Z152,MATCH(Settings!$L$10,$A$1:$Z$1,0))&amp;""),""),12,2)),VALUE(MID(IFERROR(TRIM(INDEX($A152:$Z152,MATCH(Settings!$L$10,$A$1:$Z$1,0))&amp;""),""),15,2)),VALUE(MID(IFERROR(TRIM(INDEX($A152:$Z152,MATCH(Settings!$L$10,$A$1:$Z$1,0))&amp;""),""),18,2)))),"")),"")</f>
        <v/>
      </c>
      <c r="AL152" s="32">
        <f>IF(AE152="","",IF(ISNUMBER(AK152),AK152,IFERROR(INT(IFERROR(IF(ISNUMBER(INDEX($A152:$Z152,MATCH(Settings!$L$11,$A$1:$Z$1,0))),INDEX($A152:$Z152,MATCH(Settings!$L$11,$A$1:$Z$1,0)),DATE(VALUE(LEFT(IFERROR(TRIM(INDEX($A152:$Z152,MATCH(Settings!$L$11,$A$1:$Z$1,0))&amp;""),""),4)),VALUE(MID(IFERROR(TRIM(INDEX($A152:$Z152,MATCH(Settings!$L$11,$A$1:$Z$1,0))&amp;""),""),6,2)),VALUE(MID(IFERROR(TRIM(INDEX($A152:$Z152,MATCH(Settings!$L$11,$A$1:$Z$1,0))&amp;""),""),9,2)))+TIME(VALUE(MID(IFERROR(TRIM(INDEX($A152:$Z152,MATCH(Settings!$L$11,$A$1:$Z$1,0))&amp;""),""),12,2)),VALUE(MID(IFERROR(TRIM(INDEX($A152:$Z152,MATCH(Settings!$L$11,$A$1:$Z$1,0))&amp;""),""),15,2)),VALUE(MID(IFERROR(TRIM(INDEX($A152:$Z152,MATCH(Settings!$L$11,$A$1:$Z$1,0))&amp;""),""),18,2)))),"")),"")))</f>
        <v/>
      </c>
      <c r="AM152" s="31">
        <f>IF(AE152="","",IF(ISNUMBER(IFERROR(INDEX(Settings!$G$4:$G$11,MATCH(AH152,Settings!$F$4:$F$11,0)),"")),INDEX(Settings!$G$4:$G$11,MATCH(AH152,Settings!$F$4:$F$11,0)),Settings!$D$5))</f>
        <v/>
      </c>
      <c r="AN152" s="32">
        <f>IF(OR(AE152="",NOT(ISNUMBER(AL152)),NOT(ISNUMBER(AM152))),"",IF(AM152&lt;=0,"",IF(ISNUMBER(Settings!$D$8),DATE(YEAR(AL152)+IF(DATE(YEAR(AL152),MONTH(Settings!$D$8),DAY(Settings!$D$8))&gt;AL152,0,1),MONTH(Settings!$D$8),DAY(Settings!$D$8)),MIN(DATE(YEAR(AL152),MONTH(AL152)+AM152,DAY(AL152)),DATE(YEAR(AL152),MONTH(AL152)+AM152+1,0)))))</f>
        <v/>
      </c>
      <c r="AO152" s="31">
        <f>IF(ISNUMBER(AN152),AN152-Settings!$D$4,"")</f>
        <v/>
      </c>
      <c r="AP152" s="31">
        <f>IF(ISNUMBER(AL152),AL152+0+ROW()/100000,"")</f>
        <v/>
      </c>
      <c r="AQ152" s="31">
        <f>IF(OR(AG152="",NOT(ISNUMBER(AP152))),0,IF(SUMPRODUCT(('Responses'!$AG$2:$AG$501=AG152)*('Responses'!$AJ$2:$AJ$501=1)*ISNUMBER('Responses'!$AP$2:$AP$501)*('Responses'!$AP$2:$AP$501&gt;AP152)) + SUMPRODUCT(('Paper sign-ups'!$K$2:$K$101=AG152)*('Paper sign-ups'!$N$2:$N$101=1)*ISNUMBER('Paper sign-ups'!$T$2:$T$101)*('Paper sign-ups'!$T$2:$T$101&gt;AP152))&gt;0,1,0))</f>
        <v/>
      </c>
      <c r="AR152" s="31">
        <f>IF(AE152="","",IF(AQ152=1,"Joined again",IF(AJ152=0,"Unpaid",IF(NOT(ISNUMBER(AL152)),"Add a join date",IF(AN152="","No reminder",IF(AO152&lt;0,"Lapsed",IF(AO152&lt;=Settings!$D$6,"Remind soon","Current")))))))</f>
        <v/>
      </c>
      <c r="AS152" s="33">
        <f>IF(AJ152=1,IFERROR(VALUE(IFERROR(TRIM(INDEX($A152:$Z152,MATCH(Settings!$L$8,$A$1:$Z$1,0))&amp;""),"")),0)-IFERROR(VALUE(IFERROR(TRIM(INDEX($A152:$Z152,MATCH(Settings!$L$9,$A$1:$Z$1,0))&amp;""),"")),0),0)</f>
        <v/>
      </c>
      <c r="AT152" s="31">
        <f>IF(AND(AE152&lt;&gt;"",AQ152=0),1,0)</f>
        <v/>
      </c>
      <c r="AU152" s="31">
        <f>IF(AT152=0,"",IF(ISNUMBER(AN152),AN152,100000)+0+ROW()/1000000)</f>
        <v/>
      </c>
      <c r="AV152" s="31">
        <f>IF(ISNUMBER(AU152),SUMPRODUCT(ISNUMBER('Responses'!$AU$2:$AU$501)*('Responses'!$AU$2:$AU$501&lt;AU152)) + SUMPRODUCT(ISNUMBER('Paper sign-ups'!$Y$2:$Y$101)*('Paper sign-ups'!$Y$2:$Y$101&lt;AU152))+1,"")</f>
        <v/>
      </c>
    </row>
    <row r="153">
      <c r="AA153" s="29" t="n"/>
      <c r="AB153" s="30" t="n"/>
      <c r="AC153" s="30" t="n"/>
      <c r="AD153" s="29" t="n"/>
      <c r="AE153" s="31">
        <f>IFERROR(TRIM(INDEX($A153:$Z153,MATCH(Settings!$L$4,$A$1:$Z$1,0))&amp;""),"")</f>
        <v/>
      </c>
      <c r="AF153" s="31">
        <f>IFERROR(TRIM(INDEX($A153:$Z153,MATCH(Settings!$L$5,$A$1:$Z$1,0))&amp;""),"")</f>
        <v/>
      </c>
      <c r="AG153" s="31">
        <f>IF(AE153="","",LOWER(IF(AF153&lt;&gt;"",AF153,AE153)))</f>
        <v/>
      </c>
      <c r="AH153" s="31">
        <f>IFERROR(TRIM(INDEX($A153:$Z153,MATCH(Settings!$L$6,$A$1:$Z$1,0))&amp;""),"")</f>
        <v/>
      </c>
      <c r="AI153" s="31">
        <f>IF(AE153="","",IF(UPPER(TRIM(AB153&amp;""))="Y","Paid another way",IF(IFERROR(TRIM(INDEX($A153:$Z153,MATCH(Settings!$L$7,$A$1:$Z$1,0))&amp;""),"")="","No payment status",IFERROR(TRIM(INDEX($A153:$Z153,MATCH(Settings!$L$7,$A$1:$Z$1,0))&amp;""),""))))</f>
        <v/>
      </c>
      <c r="AJ153" s="31">
        <f>IF(AE153="",0,IF(IFERROR(INDEX(Settings!$J$4:$J$14,MATCH(AI153,Settings!$I$4:$I$14,0)),"N")="Y",1,0))</f>
        <v/>
      </c>
      <c r="AK153" s="32">
        <f>IFERROR(INT(IFERROR(IF(ISNUMBER(INDEX($A153:$Z153,MATCH(Settings!$L$10,$A$1:$Z$1,0))),INDEX($A153:$Z153,MATCH(Settings!$L$10,$A$1:$Z$1,0)),DATE(VALUE(LEFT(IFERROR(TRIM(INDEX($A153:$Z153,MATCH(Settings!$L$10,$A$1:$Z$1,0))&amp;""),""),4)),VALUE(MID(IFERROR(TRIM(INDEX($A153:$Z153,MATCH(Settings!$L$10,$A$1:$Z$1,0))&amp;""),""),6,2)),VALUE(MID(IFERROR(TRIM(INDEX($A153:$Z153,MATCH(Settings!$L$10,$A$1:$Z$1,0))&amp;""),""),9,2)))+TIME(VALUE(MID(IFERROR(TRIM(INDEX($A153:$Z153,MATCH(Settings!$L$10,$A$1:$Z$1,0))&amp;""),""),12,2)),VALUE(MID(IFERROR(TRIM(INDEX($A153:$Z153,MATCH(Settings!$L$10,$A$1:$Z$1,0))&amp;""),""),15,2)),VALUE(MID(IFERROR(TRIM(INDEX($A153:$Z153,MATCH(Settings!$L$10,$A$1:$Z$1,0))&amp;""),""),18,2)))),"")),"")</f>
        <v/>
      </c>
      <c r="AL153" s="32">
        <f>IF(AE153="","",IF(ISNUMBER(AK153),AK153,IFERROR(INT(IFERROR(IF(ISNUMBER(INDEX($A153:$Z153,MATCH(Settings!$L$11,$A$1:$Z$1,0))),INDEX($A153:$Z153,MATCH(Settings!$L$11,$A$1:$Z$1,0)),DATE(VALUE(LEFT(IFERROR(TRIM(INDEX($A153:$Z153,MATCH(Settings!$L$11,$A$1:$Z$1,0))&amp;""),""),4)),VALUE(MID(IFERROR(TRIM(INDEX($A153:$Z153,MATCH(Settings!$L$11,$A$1:$Z$1,0))&amp;""),""),6,2)),VALUE(MID(IFERROR(TRIM(INDEX($A153:$Z153,MATCH(Settings!$L$11,$A$1:$Z$1,0))&amp;""),""),9,2)))+TIME(VALUE(MID(IFERROR(TRIM(INDEX($A153:$Z153,MATCH(Settings!$L$11,$A$1:$Z$1,0))&amp;""),""),12,2)),VALUE(MID(IFERROR(TRIM(INDEX($A153:$Z153,MATCH(Settings!$L$11,$A$1:$Z$1,0))&amp;""),""),15,2)),VALUE(MID(IFERROR(TRIM(INDEX($A153:$Z153,MATCH(Settings!$L$11,$A$1:$Z$1,0))&amp;""),""),18,2)))),"")),"")))</f>
        <v/>
      </c>
      <c r="AM153" s="31">
        <f>IF(AE153="","",IF(ISNUMBER(IFERROR(INDEX(Settings!$G$4:$G$11,MATCH(AH153,Settings!$F$4:$F$11,0)),"")),INDEX(Settings!$G$4:$G$11,MATCH(AH153,Settings!$F$4:$F$11,0)),Settings!$D$5))</f>
        <v/>
      </c>
      <c r="AN153" s="32">
        <f>IF(OR(AE153="",NOT(ISNUMBER(AL153)),NOT(ISNUMBER(AM153))),"",IF(AM153&lt;=0,"",IF(ISNUMBER(Settings!$D$8),DATE(YEAR(AL153)+IF(DATE(YEAR(AL153),MONTH(Settings!$D$8),DAY(Settings!$D$8))&gt;AL153,0,1),MONTH(Settings!$D$8),DAY(Settings!$D$8)),MIN(DATE(YEAR(AL153),MONTH(AL153)+AM153,DAY(AL153)),DATE(YEAR(AL153),MONTH(AL153)+AM153+1,0)))))</f>
        <v/>
      </c>
      <c r="AO153" s="31">
        <f>IF(ISNUMBER(AN153),AN153-Settings!$D$4,"")</f>
        <v/>
      </c>
      <c r="AP153" s="31">
        <f>IF(ISNUMBER(AL153),AL153+0+ROW()/100000,"")</f>
        <v/>
      </c>
      <c r="AQ153" s="31">
        <f>IF(OR(AG153="",NOT(ISNUMBER(AP153))),0,IF(SUMPRODUCT(('Responses'!$AG$2:$AG$501=AG153)*('Responses'!$AJ$2:$AJ$501=1)*ISNUMBER('Responses'!$AP$2:$AP$501)*('Responses'!$AP$2:$AP$501&gt;AP153)) + SUMPRODUCT(('Paper sign-ups'!$K$2:$K$101=AG153)*('Paper sign-ups'!$N$2:$N$101=1)*ISNUMBER('Paper sign-ups'!$T$2:$T$101)*('Paper sign-ups'!$T$2:$T$101&gt;AP153))&gt;0,1,0))</f>
        <v/>
      </c>
      <c r="AR153" s="31">
        <f>IF(AE153="","",IF(AQ153=1,"Joined again",IF(AJ153=0,"Unpaid",IF(NOT(ISNUMBER(AL153)),"Add a join date",IF(AN153="","No reminder",IF(AO153&lt;0,"Lapsed",IF(AO153&lt;=Settings!$D$6,"Remind soon","Current")))))))</f>
        <v/>
      </c>
      <c r="AS153" s="33">
        <f>IF(AJ153=1,IFERROR(VALUE(IFERROR(TRIM(INDEX($A153:$Z153,MATCH(Settings!$L$8,$A$1:$Z$1,0))&amp;""),"")),0)-IFERROR(VALUE(IFERROR(TRIM(INDEX($A153:$Z153,MATCH(Settings!$L$9,$A$1:$Z$1,0))&amp;""),"")),0),0)</f>
        <v/>
      </c>
      <c r="AT153" s="31">
        <f>IF(AND(AE153&lt;&gt;"",AQ153=0),1,0)</f>
        <v/>
      </c>
      <c r="AU153" s="31">
        <f>IF(AT153=0,"",IF(ISNUMBER(AN153),AN153,100000)+0+ROW()/1000000)</f>
        <v/>
      </c>
      <c r="AV153" s="31">
        <f>IF(ISNUMBER(AU153),SUMPRODUCT(ISNUMBER('Responses'!$AU$2:$AU$501)*('Responses'!$AU$2:$AU$501&lt;AU153)) + SUMPRODUCT(ISNUMBER('Paper sign-ups'!$Y$2:$Y$101)*('Paper sign-ups'!$Y$2:$Y$101&lt;AU153))+1,"")</f>
        <v/>
      </c>
    </row>
    <row r="154">
      <c r="AA154" s="29" t="n"/>
      <c r="AB154" s="30" t="n"/>
      <c r="AC154" s="30" t="n"/>
      <c r="AD154" s="29" t="n"/>
      <c r="AE154" s="31">
        <f>IFERROR(TRIM(INDEX($A154:$Z154,MATCH(Settings!$L$4,$A$1:$Z$1,0))&amp;""),"")</f>
        <v/>
      </c>
      <c r="AF154" s="31">
        <f>IFERROR(TRIM(INDEX($A154:$Z154,MATCH(Settings!$L$5,$A$1:$Z$1,0))&amp;""),"")</f>
        <v/>
      </c>
      <c r="AG154" s="31">
        <f>IF(AE154="","",LOWER(IF(AF154&lt;&gt;"",AF154,AE154)))</f>
        <v/>
      </c>
      <c r="AH154" s="31">
        <f>IFERROR(TRIM(INDEX($A154:$Z154,MATCH(Settings!$L$6,$A$1:$Z$1,0))&amp;""),"")</f>
        <v/>
      </c>
      <c r="AI154" s="31">
        <f>IF(AE154="","",IF(UPPER(TRIM(AB154&amp;""))="Y","Paid another way",IF(IFERROR(TRIM(INDEX($A154:$Z154,MATCH(Settings!$L$7,$A$1:$Z$1,0))&amp;""),"")="","No payment status",IFERROR(TRIM(INDEX($A154:$Z154,MATCH(Settings!$L$7,$A$1:$Z$1,0))&amp;""),""))))</f>
        <v/>
      </c>
      <c r="AJ154" s="31">
        <f>IF(AE154="",0,IF(IFERROR(INDEX(Settings!$J$4:$J$14,MATCH(AI154,Settings!$I$4:$I$14,0)),"N")="Y",1,0))</f>
        <v/>
      </c>
      <c r="AK154" s="32">
        <f>IFERROR(INT(IFERROR(IF(ISNUMBER(INDEX($A154:$Z154,MATCH(Settings!$L$10,$A$1:$Z$1,0))),INDEX($A154:$Z154,MATCH(Settings!$L$10,$A$1:$Z$1,0)),DATE(VALUE(LEFT(IFERROR(TRIM(INDEX($A154:$Z154,MATCH(Settings!$L$10,$A$1:$Z$1,0))&amp;""),""),4)),VALUE(MID(IFERROR(TRIM(INDEX($A154:$Z154,MATCH(Settings!$L$10,$A$1:$Z$1,0))&amp;""),""),6,2)),VALUE(MID(IFERROR(TRIM(INDEX($A154:$Z154,MATCH(Settings!$L$10,$A$1:$Z$1,0))&amp;""),""),9,2)))+TIME(VALUE(MID(IFERROR(TRIM(INDEX($A154:$Z154,MATCH(Settings!$L$10,$A$1:$Z$1,0))&amp;""),""),12,2)),VALUE(MID(IFERROR(TRIM(INDEX($A154:$Z154,MATCH(Settings!$L$10,$A$1:$Z$1,0))&amp;""),""),15,2)),VALUE(MID(IFERROR(TRIM(INDEX($A154:$Z154,MATCH(Settings!$L$10,$A$1:$Z$1,0))&amp;""),""),18,2)))),"")),"")</f>
        <v/>
      </c>
      <c r="AL154" s="32">
        <f>IF(AE154="","",IF(ISNUMBER(AK154),AK154,IFERROR(INT(IFERROR(IF(ISNUMBER(INDEX($A154:$Z154,MATCH(Settings!$L$11,$A$1:$Z$1,0))),INDEX($A154:$Z154,MATCH(Settings!$L$11,$A$1:$Z$1,0)),DATE(VALUE(LEFT(IFERROR(TRIM(INDEX($A154:$Z154,MATCH(Settings!$L$11,$A$1:$Z$1,0))&amp;""),""),4)),VALUE(MID(IFERROR(TRIM(INDEX($A154:$Z154,MATCH(Settings!$L$11,$A$1:$Z$1,0))&amp;""),""),6,2)),VALUE(MID(IFERROR(TRIM(INDEX($A154:$Z154,MATCH(Settings!$L$11,$A$1:$Z$1,0))&amp;""),""),9,2)))+TIME(VALUE(MID(IFERROR(TRIM(INDEX($A154:$Z154,MATCH(Settings!$L$11,$A$1:$Z$1,0))&amp;""),""),12,2)),VALUE(MID(IFERROR(TRIM(INDEX($A154:$Z154,MATCH(Settings!$L$11,$A$1:$Z$1,0))&amp;""),""),15,2)),VALUE(MID(IFERROR(TRIM(INDEX($A154:$Z154,MATCH(Settings!$L$11,$A$1:$Z$1,0))&amp;""),""),18,2)))),"")),"")))</f>
        <v/>
      </c>
      <c r="AM154" s="31">
        <f>IF(AE154="","",IF(ISNUMBER(IFERROR(INDEX(Settings!$G$4:$G$11,MATCH(AH154,Settings!$F$4:$F$11,0)),"")),INDEX(Settings!$G$4:$G$11,MATCH(AH154,Settings!$F$4:$F$11,0)),Settings!$D$5))</f>
        <v/>
      </c>
      <c r="AN154" s="32">
        <f>IF(OR(AE154="",NOT(ISNUMBER(AL154)),NOT(ISNUMBER(AM154))),"",IF(AM154&lt;=0,"",IF(ISNUMBER(Settings!$D$8),DATE(YEAR(AL154)+IF(DATE(YEAR(AL154),MONTH(Settings!$D$8),DAY(Settings!$D$8))&gt;AL154,0,1),MONTH(Settings!$D$8),DAY(Settings!$D$8)),MIN(DATE(YEAR(AL154),MONTH(AL154)+AM154,DAY(AL154)),DATE(YEAR(AL154),MONTH(AL154)+AM154+1,0)))))</f>
        <v/>
      </c>
      <c r="AO154" s="31">
        <f>IF(ISNUMBER(AN154),AN154-Settings!$D$4,"")</f>
        <v/>
      </c>
      <c r="AP154" s="31">
        <f>IF(ISNUMBER(AL154),AL154+0+ROW()/100000,"")</f>
        <v/>
      </c>
      <c r="AQ154" s="31">
        <f>IF(OR(AG154="",NOT(ISNUMBER(AP154))),0,IF(SUMPRODUCT(('Responses'!$AG$2:$AG$501=AG154)*('Responses'!$AJ$2:$AJ$501=1)*ISNUMBER('Responses'!$AP$2:$AP$501)*('Responses'!$AP$2:$AP$501&gt;AP154)) + SUMPRODUCT(('Paper sign-ups'!$K$2:$K$101=AG154)*('Paper sign-ups'!$N$2:$N$101=1)*ISNUMBER('Paper sign-ups'!$T$2:$T$101)*('Paper sign-ups'!$T$2:$T$101&gt;AP154))&gt;0,1,0))</f>
        <v/>
      </c>
      <c r="AR154" s="31">
        <f>IF(AE154="","",IF(AQ154=1,"Joined again",IF(AJ154=0,"Unpaid",IF(NOT(ISNUMBER(AL154)),"Add a join date",IF(AN154="","No reminder",IF(AO154&lt;0,"Lapsed",IF(AO154&lt;=Settings!$D$6,"Remind soon","Current")))))))</f>
        <v/>
      </c>
      <c r="AS154" s="33">
        <f>IF(AJ154=1,IFERROR(VALUE(IFERROR(TRIM(INDEX($A154:$Z154,MATCH(Settings!$L$8,$A$1:$Z$1,0))&amp;""),"")),0)-IFERROR(VALUE(IFERROR(TRIM(INDEX($A154:$Z154,MATCH(Settings!$L$9,$A$1:$Z$1,0))&amp;""),"")),0),0)</f>
        <v/>
      </c>
      <c r="AT154" s="31">
        <f>IF(AND(AE154&lt;&gt;"",AQ154=0),1,0)</f>
        <v/>
      </c>
      <c r="AU154" s="31">
        <f>IF(AT154=0,"",IF(ISNUMBER(AN154),AN154,100000)+0+ROW()/1000000)</f>
        <v/>
      </c>
      <c r="AV154" s="31">
        <f>IF(ISNUMBER(AU154),SUMPRODUCT(ISNUMBER('Responses'!$AU$2:$AU$501)*('Responses'!$AU$2:$AU$501&lt;AU154)) + SUMPRODUCT(ISNUMBER('Paper sign-ups'!$Y$2:$Y$101)*('Paper sign-ups'!$Y$2:$Y$101&lt;AU154))+1,"")</f>
        <v/>
      </c>
    </row>
    <row r="155">
      <c r="AA155" s="29" t="n"/>
      <c r="AB155" s="30" t="n"/>
      <c r="AC155" s="30" t="n"/>
      <c r="AD155" s="29" t="n"/>
      <c r="AE155" s="31">
        <f>IFERROR(TRIM(INDEX($A155:$Z155,MATCH(Settings!$L$4,$A$1:$Z$1,0))&amp;""),"")</f>
        <v/>
      </c>
      <c r="AF155" s="31">
        <f>IFERROR(TRIM(INDEX($A155:$Z155,MATCH(Settings!$L$5,$A$1:$Z$1,0))&amp;""),"")</f>
        <v/>
      </c>
      <c r="AG155" s="31">
        <f>IF(AE155="","",LOWER(IF(AF155&lt;&gt;"",AF155,AE155)))</f>
        <v/>
      </c>
      <c r="AH155" s="31">
        <f>IFERROR(TRIM(INDEX($A155:$Z155,MATCH(Settings!$L$6,$A$1:$Z$1,0))&amp;""),"")</f>
        <v/>
      </c>
      <c r="AI155" s="31">
        <f>IF(AE155="","",IF(UPPER(TRIM(AB155&amp;""))="Y","Paid another way",IF(IFERROR(TRIM(INDEX($A155:$Z155,MATCH(Settings!$L$7,$A$1:$Z$1,0))&amp;""),"")="","No payment status",IFERROR(TRIM(INDEX($A155:$Z155,MATCH(Settings!$L$7,$A$1:$Z$1,0))&amp;""),""))))</f>
        <v/>
      </c>
      <c r="AJ155" s="31">
        <f>IF(AE155="",0,IF(IFERROR(INDEX(Settings!$J$4:$J$14,MATCH(AI155,Settings!$I$4:$I$14,0)),"N")="Y",1,0))</f>
        <v/>
      </c>
      <c r="AK155" s="32">
        <f>IFERROR(INT(IFERROR(IF(ISNUMBER(INDEX($A155:$Z155,MATCH(Settings!$L$10,$A$1:$Z$1,0))),INDEX($A155:$Z155,MATCH(Settings!$L$10,$A$1:$Z$1,0)),DATE(VALUE(LEFT(IFERROR(TRIM(INDEX($A155:$Z155,MATCH(Settings!$L$10,$A$1:$Z$1,0))&amp;""),""),4)),VALUE(MID(IFERROR(TRIM(INDEX($A155:$Z155,MATCH(Settings!$L$10,$A$1:$Z$1,0))&amp;""),""),6,2)),VALUE(MID(IFERROR(TRIM(INDEX($A155:$Z155,MATCH(Settings!$L$10,$A$1:$Z$1,0))&amp;""),""),9,2)))+TIME(VALUE(MID(IFERROR(TRIM(INDEX($A155:$Z155,MATCH(Settings!$L$10,$A$1:$Z$1,0))&amp;""),""),12,2)),VALUE(MID(IFERROR(TRIM(INDEX($A155:$Z155,MATCH(Settings!$L$10,$A$1:$Z$1,0))&amp;""),""),15,2)),VALUE(MID(IFERROR(TRIM(INDEX($A155:$Z155,MATCH(Settings!$L$10,$A$1:$Z$1,0))&amp;""),""),18,2)))),"")),"")</f>
        <v/>
      </c>
      <c r="AL155" s="32">
        <f>IF(AE155="","",IF(ISNUMBER(AK155),AK155,IFERROR(INT(IFERROR(IF(ISNUMBER(INDEX($A155:$Z155,MATCH(Settings!$L$11,$A$1:$Z$1,0))),INDEX($A155:$Z155,MATCH(Settings!$L$11,$A$1:$Z$1,0)),DATE(VALUE(LEFT(IFERROR(TRIM(INDEX($A155:$Z155,MATCH(Settings!$L$11,$A$1:$Z$1,0))&amp;""),""),4)),VALUE(MID(IFERROR(TRIM(INDEX($A155:$Z155,MATCH(Settings!$L$11,$A$1:$Z$1,0))&amp;""),""),6,2)),VALUE(MID(IFERROR(TRIM(INDEX($A155:$Z155,MATCH(Settings!$L$11,$A$1:$Z$1,0))&amp;""),""),9,2)))+TIME(VALUE(MID(IFERROR(TRIM(INDEX($A155:$Z155,MATCH(Settings!$L$11,$A$1:$Z$1,0))&amp;""),""),12,2)),VALUE(MID(IFERROR(TRIM(INDEX($A155:$Z155,MATCH(Settings!$L$11,$A$1:$Z$1,0))&amp;""),""),15,2)),VALUE(MID(IFERROR(TRIM(INDEX($A155:$Z155,MATCH(Settings!$L$11,$A$1:$Z$1,0))&amp;""),""),18,2)))),"")),"")))</f>
        <v/>
      </c>
      <c r="AM155" s="31">
        <f>IF(AE155="","",IF(ISNUMBER(IFERROR(INDEX(Settings!$G$4:$G$11,MATCH(AH155,Settings!$F$4:$F$11,0)),"")),INDEX(Settings!$G$4:$G$11,MATCH(AH155,Settings!$F$4:$F$11,0)),Settings!$D$5))</f>
        <v/>
      </c>
      <c r="AN155" s="32">
        <f>IF(OR(AE155="",NOT(ISNUMBER(AL155)),NOT(ISNUMBER(AM155))),"",IF(AM155&lt;=0,"",IF(ISNUMBER(Settings!$D$8),DATE(YEAR(AL155)+IF(DATE(YEAR(AL155),MONTH(Settings!$D$8),DAY(Settings!$D$8))&gt;AL155,0,1),MONTH(Settings!$D$8),DAY(Settings!$D$8)),MIN(DATE(YEAR(AL155),MONTH(AL155)+AM155,DAY(AL155)),DATE(YEAR(AL155),MONTH(AL155)+AM155+1,0)))))</f>
        <v/>
      </c>
      <c r="AO155" s="31">
        <f>IF(ISNUMBER(AN155),AN155-Settings!$D$4,"")</f>
        <v/>
      </c>
      <c r="AP155" s="31">
        <f>IF(ISNUMBER(AL155),AL155+0+ROW()/100000,"")</f>
        <v/>
      </c>
      <c r="AQ155" s="31">
        <f>IF(OR(AG155="",NOT(ISNUMBER(AP155))),0,IF(SUMPRODUCT(('Responses'!$AG$2:$AG$501=AG155)*('Responses'!$AJ$2:$AJ$501=1)*ISNUMBER('Responses'!$AP$2:$AP$501)*('Responses'!$AP$2:$AP$501&gt;AP155)) + SUMPRODUCT(('Paper sign-ups'!$K$2:$K$101=AG155)*('Paper sign-ups'!$N$2:$N$101=1)*ISNUMBER('Paper sign-ups'!$T$2:$T$101)*('Paper sign-ups'!$T$2:$T$101&gt;AP155))&gt;0,1,0))</f>
        <v/>
      </c>
      <c r="AR155" s="31">
        <f>IF(AE155="","",IF(AQ155=1,"Joined again",IF(AJ155=0,"Unpaid",IF(NOT(ISNUMBER(AL155)),"Add a join date",IF(AN155="","No reminder",IF(AO155&lt;0,"Lapsed",IF(AO155&lt;=Settings!$D$6,"Remind soon","Current")))))))</f>
        <v/>
      </c>
      <c r="AS155" s="33">
        <f>IF(AJ155=1,IFERROR(VALUE(IFERROR(TRIM(INDEX($A155:$Z155,MATCH(Settings!$L$8,$A$1:$Z$1,0))&amp;""),"")),0)-IFERROR(VALUE(IFERROR(TRIM(INDEX($A155:$Z155,MATCH(Settings!$L$9,$A$1:$Z$1,0))&amp;""),"")),0),0)</f>
        <v/>
      </c>
      <c r="AT155" s="31">
        <f>IF(AND(AE155&lt;&gt;"",AQ155=0),1,0)</f>
        <v/>
      </c>
      <c r="AU155" s="31">
        <f>IF(AT155=0,"",IF(ISNUMBER(AN155),AN155,100000)+0+ROW()/1000000)</f>
        <v/>
      </c>
      <c r="AV155" s="31">
        <f>IF(ISNUMBER(AU155),SUMPRODUCT(ISNUMBER('Responses'!$AU$2:$AU$501)*('Responses'!$AU$2:$AU$501&lt;AU155)) + SUMPRODUCT(ISNUMBER('Paper sign-ups'!$Y$2:$Y$101)*('Paper sign-ups'!$Y$2:$Y$101&lt;AU155))+1,"")</f>
        <v/>
      </c>
    </row>
    <row r="156">
      <c r="AA156" s="29" t="n"/>
      <c r="AB156" s="30" t="n"/>
      <c r="AC156" s="30" t="n"/>
      <c r="AD156" s="29" t="n"/>
      <c r="AE156" s="31">
        <f>IFERROR(TRIM(INDEX($A156:$Z156,MATCH(Settings!$L$4,$A$1:$Z$1,0))&amp;""),"")</f>
        <v/>
      </c>
      <c r="AF156" s="31">
        <f>IFERROR(TRIM(INDEX($A156:$Z156,MATCH(Settings!$L$5,$A$1:$Z$1,0))&amp;""),"")</f>
        <v/>
      </c>
      <c r="AG156" s="31">
        <f>IF(AE156="","",LOWER(IF(AF156&lt;&gt;"",AF156,AE156)))</f>
        <v/>
      </c>
      <c r="AH156" s="31">
        <f>IFERROR(TRIM(INDEX($A156:$Z156,MATCH(Settings!$L$6,$A$1:$Z$1,0))&amp;""),"")</f>
        <v/>
      </c>
      <c r="AI156" s="31">
        <f>IF(AE156="","",IF(UPPER(TRIM(AB156&amp;""))="Y","Paid another way",IF(IFERROR(TRIM(INDEX($A156:$Z156,MATCH(Settings!$L$7,$A$1:$Z$1,0))&amp;""),"")="","No payment status",IFERROR(TRIM(INDEX($A156:$Z156,MATCH(Settings!$L$7,$A$1:$Z$1,0))&amp;""),""))))</f>
        <v/>
      </c>
      <c r="AJ156" s="31">
        <f>IF(AE156="",0,IF(IFERROR(INDEX(Settings!$J$4:$J$14,MATCH(AI156,Settings!$I$4:$I$14,0)),"N")="Y",1,0))</f>
        <v/>
      </c>
      <c r="AK156" s="32">
        <f>IFERROR(INT(IFERROR(IF(ISNUMBER(INDEX($A156:$Z156,MATCH(Settings!$L$10,$A$1:$Z$1,0))),INDEX($A156:$Z156,MATCH(Settings!$L$10,$A$1:$Z$1,0)),DATE(VALUE(LEFT(IFERROR(TRIM(INDEX($A156:$Z156,MATCH(Settings!$L$10,$A$1:$Z$1,0))&amp;""),""),4)),VALUE(MID(IFERROR(TRIM(INDEX($A156:$Z156,MATCH(Settings!$L$10,$A$1:$Z$1,0))&amp;""),""),6,2)),VALUE(MID(IFERROR(TRIM(INDEX($A156:$Z156,MATCH(Settings!$L$10,$A$1:$Z$1,0))&amp;""),""),9,2)))+TIME(VALUE(MID(IFERROR(TRIM(INDEX($A156:$Z156,MATCH(Settings!$L$10,$A$1:$Z$1,0))&amp;""),""),12,2)),VALUE(MID(IFERROR(TRIM(INDEX($A156:$Z156,MATCH(Settings!$L$10,$A$1:$Z$1,0))&amp;""),""),15,2)),VALUE(MID(IFERROR(TRIM(INDEX($A156:$Z156,MATCH(Settings!$L$10,$A$1:$Z$1,0))&amp;""),""),18,2)))),"")),"")</f>
        <v/>
      </c>
      <c r="AL156" s="32">
        <f>IF(AE156="","",IF(ISNUMBER(AK156),AK156,IFERROR(INT(IFERROR(IF(ISNUMBER(INDEX($A156:$Z156,MATCH(Settings!$L$11,$A$1:$Z$1,0))),INDEX($A156:$Z156,MATCH(Settings!$L$11,$A$1:$Z$1,0)),DATE(VALUE(LEFT(IFERROR(TRIM(INDEX($A156:$Z156,MATCH(Settings!$L$11,$A$1:$Z$1,0))&amp;""),""),4)),VALUE(MID(IFERROR(TRIM(INDEX($A156:$Z156,MATCH(Settings!$L$11,$A$1:$Z$1,0))&amp;""),""),6,2)),VALUE(MID(IFERROR(TRIM(INDEX($A156:$Z156,MATCH(Settings!$L$11,$A$1:$Z$1,0))&amp;""),""),9,2)))+TIME(VALUE(MID(IFERROR(TRIM(INDEX($A156:$Z156,MATCH(Settings!$L$11,$A$1:$Z$1,0))&amp;""),""),12,2)),VALUE(MID(IFERROR(TRIM(INDEX($A156:$Z156,MATCH(Settings!$L$11,$A$1:$Z$1,0))&amp;""),""),15,2)),VALUE(MID(IFERROR(TRIM(INDEX($A156:$Z156,MATCH(Settings!$L$11,$A$1:$Z$1,0))&amp;""),""),18,2)))),"")),"")))</f>
        <v/>
      </c>
      <c r="AM156" s="31">
        <f>IF(AE156="","",IF(ISNUMBER(IFERROR(INDEX(Settings!$G$4:$G$11,MATCH(AH156,Settings!$F$4:$F$11,0)),"")),INDEX(Settings!$G$4:$G$11,MATCH(AH156,Settings!$F$4:$F$11,0)),Settings!$D$5))</f>
        <v/>
      </c>
      <c r="AN156" s="32">
        <f>IF(OR(AE156="",NOT(ISNUMBER(AL156)),NOT(ISNUMBER(AM156))),"",IF(AM156&lt;=0,"",IF(ISNUMBER(Settings!$D$8),DATE(YEAR(AL156)+IF(DATE(YEAR(AL156),MONTH(Settings!$D$8),DAY(Settings!$D$8))&gt;AL156,0,1),MONTH(Settings!$D$8),DAY(Settings!$D$8)),MIN(DATE(YEAR(AL156),MONTH(AL156)+AM156,DAY(AL156)),DATE(YEAR(AL156),MONTH(AL156)+AM156+1,0)))))</f>
        <v/>
      </c>
      <c r="AO156" s="31">
        <f>IF(ISNUMBER(AN156),AN156-Settings!$D$4,"")</f>
        <v/>
      </c>
      <c r="AP156" s="31">
        <f>IF(ISNUMBER(AL156),AL156+0+ROW()/100000,"")</f>
        <v/>
      </c>
      <c r="AQ156" s="31">
        <f>IF(OR(AG156="",NOT(ISNUMBER(AP156))),0,IF(SUMPRODUCT(('Responses'!$AG$2:$AG$501=AG156)*('Responses'!$AJ$2:$AJ$501=1)*ISNUMBER('Responses'!$AP$2:$AP$501)*('Responses'!$AP$2:$AP$501&gt;AP156)) + SUMPRODUCT(('Paper sign-ups'!$K$2:$K$101=AG156)*('Paper sign-ups'!$N$2:$N$101=1)*ISNUMBER('Paper sign-ups'!$T$2:$T$101)*('Paper sign-ups'!$T$2:$T$101&gt;AP156))&gt;0,1,0))</f>
        <v/>
      </c>
      <c r="AR156" s="31">
        <f>IF(AE156="","",IF(AQ156=1,"Joined again",IF(AJ156=0,"Unpaid",IF(NOT(ISNUMBER(AL156)),"Add a join date",IF(AN156="","No reminder",IF(AO156&lt;0,"Lapsed",IF(AO156&lt;=Settings!$D$6,"Remind soon","Current")))))))</f>
        <v/>
      </c>
      <c r="AS156" s="33">
        <f>IF(AJ156=1,IFERROR(VALUE(IFERROR(TRIM(INDEX($A156:$Z156,MATCH(Settings!$L$8,$A$1:$Z$1,0))&amp;""),"")),0)-IFERROR(VALUE(IFERROR(TRIM(INDEX($A156:$Z156,MATCH(Settings!$L$9,$A$1:$Z$1,0))&amp;""),"")),0),0)</f>
        <v/>
      </c>
      <c r="AT156" s="31">
        <f>IF(AND(AE156&lt;&gt;"",AQ156=0),1,0)</f>
        <v/>
      </c>
      <c r="AU156" s="31">
        <f>IF(AT156=0,"",IF(ISNUMBER(AN156),AN156,100000)+0+ROW()/1000000)</f>
        <v/>
      </c>
      <c r="AV156" s="31">
        <f>IF(ISNUMBER(AU156),SUMPRODUCT(ISNUMBER('Responses'!$AU$2:$AU$501)*('Responses'!$AU$2:$AU$501&lt;AU156)) + SUMPRODUCT(ISNUMBER('Paper sign-ups'!$Y$2:$Y$101)*('Paper sign-ups'!$Y$2:$Y$101&lt;AU156))+1,"")</f>
        <v/>
      </c>
    </row>
    <row r="157">
      <c r="AA157" s="29" t="n"/>
      <c r="AB157" s="30" t="n"/>
      <c r="AC157" s="30" t="n"/>
      <c r="AD157" s="29" t="n"/>
      <c r="AE157" s="31">
        <f>IFERROR(TRIM(INDEX($A157:$Z157,MATCH(Settings!$L$4,$A$1:$Z$1,0))&amp;""),"")</f>
        <v/>
      </c>
      <c r="AF157" s="31">
        <f>IFERROR(TRIM(INDEX($A157:$Z157,MATCH(Settings!$L$5,$A$1:$Z$1,0))&amp;""),"")</f>
        <v/>
      </c>
      <c r="AG157" s="31">
        <f>IF(AE157="","",LOWER(IF(AF157&lt;&gt;"",AF157,AE157)))</f>
        <v/>
      </c>
      <c r="AH157" s="31">
        <f>IFERROR(TRIM(INDEX($A157:$Z157,MATCH(Settings!$L$6,$A$1:$Z$1,0))&amp;""),"")</f>
        <v/>
      </c>
      <c r="AI157" s="31">
        <f>IF(AE157="","",IF(UPPER(TRIM(AB157&amp;""))="Y","Paid another way",IF(IFERROR(TRIM(INDEX($A157:$Z157,MATCH(Settings!$L$7,$A$1:$Z$1,0))&amp;""),"")="","No payment status",IFERROR(TRIM(INDEX($A157:$Z157,MATCH(Settings!$L$7,$A$1:$Z$1,0))&amp;""),""))))</f>
        <v/>
      </c>
      <c r="AJ157" s="31">
        <f>IF(AE157="",0,IF(IFERROR(INDEX(Settings!$J$4:$J$14,MATCH(AI157,Settings!$I$4:$I$14,0)),"N")="Y",1,0))</f>
        <v/>
      </c>
      <c r="AK157" s="32">
        <f>IFERROR(INT(IFERROR(IF(ISNUMBER(INDEX($A157:$Z157,MATCH(Settings!$L$10,$A$1:$Z$1,0))),INDEX($A157:$Z157,MATCH(Settings!$L$10,$A$1:$Z$1,0)),DATE(VALUE(LEFT(IFERROR(TRIM(INDEX($A157:$Z157,MATCH(Settings!$L$10,$A$1:$Z$1,0))&amp;""),""),4)),VALUE(MID(IFERROR(TRIM(INDEX($A157:$Z157,MATCH(Settings!$L$10,$A$1:$Z$1,0))&amp;""),""),6,2)),VALUE(MID(IFERROR(TRIM(INDEX($A157:$Z157,MATCH(Settings!$L$10,$A$1:$Z$1,0))&amp;""),""),9,2)))+TIME(VALUE(MID(IFERROR(TRIM(INDEX($A157:$Z157,MATCH(Settings!$L$10,$A$1:$Z$1,0))&amp;""),""),12,2)),VALUE(MID(IFERROR(TRIM(INDEX($A157:$Z157,MATCH(Settings!$L$10,$A$1:$Z$1,0))&amp;""),""),15,2)),VALUE(MID(IFERROR(TRIM(INDEX($A157:$Z157,MATCH(Settings!$L$10,$A$1:$Z$1,0))&amp;""),""),18,2)))),"")),"")</f>
        <v/>
      </c>
      <c r="AL157" s="32">
        <f>IF(AE157="","",IF(ISNUMBER(AK157),AK157,IFERROR(INT(IFERROR(IF(ISNUMBER(INDEX($A157:$Z157,MATCH(Settings!$L$11,$A$1:$Z$1,0))),INDEX($A157:$Z157,MATCH(Settings!$L$11,$A$1:$Z$1,0)),DATE(VALUE(LEFT(IFERROR(TRIM(INDEX($A157:$Z157,MATCH(Settings!$L$11,$A$1:$Z$1,0))&amp;""),""),4)),VALUE(MID(IFERROR(TRIM(INDEX($A157:$Z157,MATCH(Settings!$L$11,$A$1:$Z$1,0))&amp;""),""),6,2)),VALUE(MID(IFERROR(TRIM(INDEX($A157:$Z157,MATCH(Settings!$L$11,$A$1:$Z$1,0))&amp;""),""),9,2)))+TIME(VALUE(MID(IFERROR(TRIM(INDEX($A157:$Z157,MATCH(Settings!$L$11,$A$1:$Z$1,0))&amp;""),""),12,2)),VALUE(MID(IFERROR(TRIM(INDEX($A157:$Z157,MATCH(Settings!$L$11,$A$1:$Z$1,0))&amp;""),""),15,2)),VALUE(MID(IFERROR(TRIM(INDEX($A157:$Z157,MATCH(Settings!$L$11,$A$1:$Z$1,0))&amp;""),""),18,2)))),"")),"")))</f>
        <v/>
      </c>
      <c r="AM157" s="31">
        <f>IF(AE157="","",IF(ISNUMBER(IFERROR(INDEX(Settings!$G$4:$G$11,MATCH(AH157,Settings!$F$4:$F$11,0)),"")),INDEX(Settings!$G$4:$G$11,MATCH(AH157,Settings!$F$4:$F$11,0)),Settings!$D$5))</f>
        <v/>
      </c>
      <c r="AN157" s="32">
        <f>IF(OR(AE157="",NOT(ISNUMBER(AL157)),NOT(ISNUMBER(AM157))),"",IF(AM157&lt;=0,"",IF(ISNUMBER(Settings!$D$8),DATE(YEAR(AL157)+IF(DATE(YEAR(AL157),MONTH(Settings!$D$8),DAY(Settings!$D$8))&gt;AL157,0,1),MONTH(Settings!$D$8),DAY(Settings!$D$8)),MIN(DATE(YEAR(AL157),MONTH(AL157)+AM157,DAY(AL157)),DATE(YEAR(AL157),MONTH(AL157)+AM157+1,0)))))</f>
        <v/>
      </c>
      <c r="AO157" s="31">
        <f>IF(ISNUMBER(AN157),AN157-Settings!$D$4,"")</f>
        <v/>
      </c>
      <c r="AP157" s="31">
        <f>IF(ISNUMBER(AL157),AL157+0+ROW()/100000,"")</f>
        <v/>
      </c>
      <c r="AQ157" s="31">
        <f>IF(OR(AG157="",NOT(ISNUMBER(AP157))),0,IF(SUMPRODUCT(('Responses'!$AG$2:$AG$501=AG157)*('Responses'!$AJ$2:$AJ$501=1)*ISNUMBER('Responses'!$AP$2:$AP$501)*('Responses'!$AP$2:$AP$501&gt;AP157)) + SUMPRODUCT(('Paper sign-ups'!$K$2:$K$101=AG157)*('Paper sign-ups'!$N$2:$N$101=1)*ISNUMBER('Paper sign-ups'!$T$2:$T$101)*('Paper sign-ups'!$T$2:$T$101&gt;AP157))&gt;0,1,0))</f>
        <v/>
      </c>
      <c r="AR157" s="31">
        <f>IF(AE157="","",IF(AQ157=1,"Joined again",IF(AJ157=0,"Unpaid",IF(NOT(ISNUMBER(AL157)),"Add a join date",IF(AN157="","No reminder",IF(AO157&lt;0,"Lapsed",IF(AO157&lt;=Settings!$D$6,"Remind soon","Current")))))))</f>
        <v/>
      </c>
      <c r="AS157" s="33">
        <f>IF(AJ157=1,IFERROR(VALUE(IFERROR(TRIM(INDEX($A157:$Z157,MATCH(Settings!$L$8,$A$1:$Z$1,0))&amp;""),"")),0)-IFERROR(VALUE(IFERROR(TRIM(INDEX($A157:$Z157,MATCH(Settings!$L$9,$A$1:$Z$1,0))&amp;""),"")),0),0)</f>
        <v/>
      </c>
      <c r="AT157" s="31">
        <f>IF(AND(AE157&lt;&gt;"",AQ157=0),1,0)</f>
        <v/>
      </c>
      <c r="AU157" s="31">
        <f>IF(AT157=0,"",IF(ISNUMBER(AN157),AN157,100000)+0+ROW()/1000000)</f>
        <v/>
      </c>
      <c r="AV157" s="31">
        <f>IF(ISNUMBER(AU157),SUMPRODUCT(ISNUMBER('Responses'!$AU$2:$AU$501)*('Responses'!$AU$2:$AU$501&lt;AU157)) + SUMPRODUCT(ISNUMBER('Paper sign-ups'!$Y$2:$Y$101)*('Paper sign-ups'!$Y$2:$Y$101&lt;AU157))+1,"")</f>
        <v/>
      </c>
    </row>
    <row r="158">
      <c r="AA158" s="29" t="n"/>
      <c r="AB158" s="30" t="n"/>
      <c r="AC158" s="30" t="n"/>
      <c r="AD158" s="29" t="n"/>
      <c r="AE158" s="31">
        <f>IFERROR(TRIM(INDEX($A158:$Z158,MATCH(Settings!$L$4,$A$1:$Z$1,0))&amp;""),"")</f>
        <v/>
      </c>
      <c r="AF158" s="31">
        <f>IFERROR(TRIM(INDEX($A158:$Z158,MATCH(Settings!$L$5,$A$1:$Z$1,0))&amp;""),"")</f>
        <v/>
      </c>
      <c r="AG158" s="31">
        <f>IF(AE158="","",LOWER(IF(AF158&lt;&gt;"",AF158,AE158)))</f>
        <v/>
      </c>
      <c r="AH158" s="31">
        <f>IFERROR(TRIM(INDEX($A158:$Z158,MATCH(Settings!$L$6,$A$1:$Z$1,0))&amp;""),"")</f>
        <v/>
      </c>
      <c r="AI158" s="31">
        <f>IF(AE158="","",IF(UPPER(TRIM(AB158&amp;""))="Y","Paid another way",IF(IFERROR(TRIM(INDEX($A158:$Z158,MATCH(Settings!$L$7,$A$1:$Z$1,0))&amp;""),"")="","No payment status",IFERROR(TRIM(INDEX($A158:$Z158,MATCH(Settings!$L$7,$A$1:$Z$1,0))&amp;""),""))))</f>
        <v/>
      </c>
      <c r="AJ158" s="31">
        <f>IF(AE158="",0,IF(IFERROR(INDEX(Settings!$J$4:$J$14,MATCH(AI158,Settings!$I$4:$I$14,0)),"N")="Y",1,0))</f>
        <v/>
      </c>
      <c r="AK158" s="32">
        <f>IFERROR(INT(IFERROR(IF(ISNUMBER(INDEX($A158:$Z158,MATCH(Settings!$L$10,$A$1:$Z$1,0))),INDEX($A158:$Z158,MATCH(Settings!$L$10,$A$1:$Z$1,0)),DATE(VALUE(LEFT(IFERROR(TRIM(INDEX($A158:$Z158,MATCH(Settings!$L$10,$A$1:$Z$1,0))&amp;""),""),4)),VALUE(MID(IFERROR(TRIM(INDEX($A158:$Z158,MATCH(Settings!$L$10,$A$1:$Z$1,0))&amp;""),""),6,2)),VALUE(MID(IFERROR(TRIM(INDEX($A158:$Z158,MATCH(Settings!$L$10,$A$1:$Z$1,0))&amp;""),""),9,2)))+TIME(VALUE(MID(IFERROR(TRIM(INDEX($A158:$Z158,MATCH(Settings!$L$10,$A$1:$Z$1,0))&amp;""),""),12,2)),VALUE(MID(IFERROR(TRIM(INDEX($A158:$Z158,MATCH(Settings!$L$10,$A$1:$Z$1,0))&amp;""),""),15,2)),VALUE(MID(IFERROR(TRIM(INDEX($A158:$Z158,MATCH(Settings!$L$10,$A$1:$Z$1,0))&amp;""),""),18,2)))),"")),"")</f>
        <v/>
      </c>
      <c r="AL158" s="32">
        <f>IF(AE158="","",IF(ISNUMBER(AK158),AK158,IFERROR(INT(IFERROR(IF(ISNUMBER(INDEX($A158:$Z158,MATCH(Settings!$L$11,$A$1:$Z$1,0))),INDEX($A158:$Z158,MATCH(Settings!$L$11,$A$1:$Z$1,0)),DATE(VALUE(LEFT(IFERROR(TRIM(INDEX($A158:$Z158,MATCH(Settings!$L$11,$A$1:$Z$1,0))&amp;""),""),4)),VALUE(MID(IFERROR(TRIM(INDEX($A158:$Z158,MATCH(Settings!$L$11,$A$1:$Z$1,0))&amp;""),""),6,2)),VALUE(MID(IFERROR(TRIM(INDEX($A158:$Z158,MATCH(Settings!$L$11,$A$1:$Z$1,0))&amp;""),""),9,2)))+TIME(VALUE(MID(IFERROR(TRIM(INDEX($A158:$Z158,MATCH(Settings!$L$11,$A$1:$Z$1,0))&amp;""),""),12,2)),VALUE(MID(IFERROR(TRIM(INDEX($A158:$Z158,MATCH(Settings!$L$11,$A$1:$Z$1,0))&amp;""),""),15,2)),VALUE(MID(IFERROR(TRIM(INDEX($A158:$Z158,MATCH(Settings!$L$11,$A$1:$Z$1,0))&amp;""),""),18,2)))),"")),"")))</f>
        <v/>
      </c>
      <c r="AM158" s="31">
        <f>IF(AE158="","",IF(ISNUMBER(IFERROR(INDEX(Settings!$G$4:$G$11,MATCH(AH158,Settings!$F$4:$F$11,0)),"")),INDEX(Settings!$G$4:$G$11,MATCH(AH158,Settings!$F$4:$F$11,0)),Settings!$D$5))</f>
        <v/>
      </c>
      <c r="AN158" s="32">
        <f>IF(OR(AE158="",NOT(ISNUMBER(AL158)),NOT(ISNUMBER(AM158))),"",IF(AM158&lt;=0,"",IF(ISNUMBER(Settings!$D$8),DATE(YEAR(AL158)+IF(DATE(YEAR(AL158),MONTH(Settings!$D$8),DAY(Settings!$D$8))&gt;AL158,0,1),MONTH(Settings!$D$8),DAY(Settings!$D$8)),MIN(DATE(YEAR(AL158),MONTH(AL158)+AM158,DAY(AL158)),DATE(YEAR(AL158),MONTH(AL158)+AM158+1,0)))))</f>
        <v/>
      </c>
      <c r="AO158" s="31">
        <f>IF(ISNUMBER(AN158),AN158-Settings!$D$4,"")</f>
        <v/>
      </c>
      <c r="AP158" s="31">
        <f>IF(ISNUMBER(AL158),AL158+0+ROW()/100000,"")</f>
        <v/>
      </c>
      <c r="AQ158" s="31">
        <f>IF(OR(AG158="",NOT(ISNUMBER(AP158))),0,IF(SUMPRODUCT(('Responses'!$AG$2:$AG$501=AG158)*('Responses'!$AJ$2:$AJ$501=1)*ISNUMBER('Responses'!$AP$2:$AP$501)*('Responses'!$AP$2:$AP$501&gt;AP158)) + SUMPRODUCT(('Paper sign-ups'!$K$2:$K$101=AG158)*('Paper sign-ups'!$N$2:$N$101=1)*ISNUMBER('Paper sign-ups'!$T$2:$T$101)*('Paper sign-ups'!$T$2:$T$101&gt;AP158))&gt;0,1,0))</f>
        <v/>
      </c>
      <c r="AR158" s="31">
        <f>IF(AE158="","",IF(AQ158=1,"Joined again",IF(AJ158=0,"Unpaid",IF(NOT(ISNUMBER(AL158)),"Add a join date",IF(AN158="","No reminder",IF(AO158&lt;0,"Lapsed",IF(AO158&lt;=Settings!$D$6,"Remind soon","Current")))))))</f>
        <v/>
      </c>
      <c r="AS158" s="33">
        <f>IF(AJ158=1,IFERROR(VALUE(IFERROR(TRIM(INDEX($A158:$Z158,MATCH(Settings!$L$8,$A$1:$Z$1,0))&amp;""),"")),0)-IFERROR(VALUE(IFERROR(TRIM(INDEX($A158:$Z158,MATCH(Settings!$L$9,$A$1:$Z$1,0))&amp;""),"")),0),0)</f>
        <v/>
      </c>
      <c r="AT158" s="31">
        <f>IF(AND(AE158&lt;&gt;"",AQ158=0),1,0)</f>
        <v/>
      </c>
      <c r="AU158" s="31">
        <f>IF(AT158=0,"",IF(ISNUMBER(AN158),AN158,100000)+0+ROW()/1000000)</f>
        <v/>
      </c>
      <c r="AV158" s="31">
        <f>IF(ISNUMBER(AU158),SUMPRODUCT(ISNUMBER('Responses'!$AU$2:$AU$501)*('Responses'!$AU$2:$AU$501&lt;AU158)) + SUMPRODUCT(ISNUMBER('Paper sign-ups'!$Y$2:$Y$101)*('Paper sign-ups'!$Y$2:$Y$101&lt;AU158))+1,"")</f>
        <v/>
      </c>
    </row>
    <row r="159">
      <c r="AA159" s="29" t="n"/>
      <c r="AB159" s="30" t="n"/>
      <c r="AC159" s="30" t="n"/>
      <c r="AD159" s="29" t="n"/>
      <c r="AE159" s="31">
        <f>IFERROR(TRIM(INDEX($A159:$Z159,MATCH(Settings!$L$4,$A$1:$Z$1,0))&amp;""),"")</f>
        <v/>
      </c>
      <c r="AF159" s="31">
        <f>IFERROR(TRIM(INDEX($A159:$Z159,MATCH(Settings!$L$5,$A$1:$Z$1,0))&amp;""),"")</f>
        <v/>
      </c>
      <c r="AG159" s="31">
        <f>IF(AE159="","",LOWER(IF(AF159&lt;&gt;"",AF159,AE159)))</f>
        <v/>
      </c>
      <c r="AH159" s="31">
        <f>IFERROR(TRIM(INDEX($A159:$Z159,MATCH(Settings!$L$6,$A$1:$Z$1,0))&amp;""),"")</f>
        <v/>
      </c>
      <c r="AI159" s="31">
        <f>IF(AE159="","",IF(UPPER(TRIM(AB159&amp;""))="Y","Paid another way",IF(IFERROR(TRIM(INDEX($A159:$Z159,MATCH(Settings!$L$7,$A$1:$Z$1,0))&amp;""),"")="","No payment status",IFERROR(TRIM(INDEX($A159:$Z159,MATCH(Settings!$L$7,$A$1:$Z$1,0))&amp;""),""))))</f>
        <v/>
      </c>
      <c r="AJ159" s="31">
        <f>IF(AE159="",0,IF(IFERROR(INDEX(Settings!$J$4:$J$14,MATCH(AI159,Settings!$I$4:$I$14,0)),"N")="Y",1,0))</f>
        <v/>
      </c>
      <c r="AK159" s="32">
        <f>IFERROR(INT(IFERROR(IF(ISNUMBER(INDEX($A159:$Z159,MATCH(Settings!$L$10,$A$1:$Z$1,0))),INDEX($A159:$Z159,MATCH(Settings!$L$10,$A$1:$Z$1,0)),DATE(VALUE(LEFT(IFERROR(TRIM(INDEX($A159:$Z159,MATCH(Settings!$L$10,$A$1:$Z$1,0))&amp;""),""),4)),VALUE(MID(IFERROR(TRIM(INDEX($A159:$Z159,MATCH(Settings!$L$10,$A$1:$Z$1,0))&amp;""),""),6,2)),VALUE(MID(IFERROR(TRIM(INDEX($A159:$Z159,MATCH(Settings!$L$10,$A$1:$Z$1,0))&amp;""),""),9,2)))+TIME(VALUE(MID(IFERROR(TRIM(INDEX($A159:$Z159,MATCH(Settings!$L$10,$A$1:$Z$1,0))&amp;""),""),12,2)),VALUE(MID(IFERROR(TRIM(INDEX($A159:$Z159,MATCH(Settings!$L$10,$A$1:$Z$1,0))&amp;""),""),15,2)),VALUE(MID(IFERROR(TRIM(INDEX($A159:$Z159,MATCH(Settings!$L$10,$A$1:$Z$1,0))&amp;""),""),18,2)))),"")),"")</f>
        <v/>
      </c>
      <c r="AL159" s="32">
        <f>IF(AE159="","",IF(ISNUMBER(AK159),AK159,IFERROR(INT(IFERROR(IF(ISNUMBER(INDEX($A159:$Z159,MATCH(Settings!$L$11,$A$1:$Z$1,0))),INDEX($A159:$Z159,MATCH(Settings!$L$11,$A$1:$Z$1,0)),DATE(VALUE(LEFT(IFERROR(TRIM(INDEX($A159:$Z159,MATCH(Settings!$L$11,$A$1:$Z$1,0))&amp;""),""),4)),VALUE(MID(IFERROR(TRIM(INDEX($A159:$Z159,MATCH(Settings!$L$11,$A$1:$Z$1,0))&amp;""),""),6,2)),VALUE(MID(IFERROR(TRIM(INDEX($A159:$Z159,MATCH(Settings!$L$11,$A$1:$Z$1,0))&amp;""),""),9,2)))+TIME(VALUE(MID(IFERROR(TRIM(INDEX($A159:$Z159,MATCH(Settings!$L$11,$A$1:$Z$1,0))&amp;""),""),12,2)),VALUE(MID(IFERROR(TRIM(INDEX($A159:$Z159,MATCH(Settings!$L$11,$A$1:$Z$1,0))&amp;""),""),15,2)),VALUE(MID(IFERROR(TRIM(INDEX($A159:$Z159,MATCH(Settings!$L$11,$A$1:$Z$1,0))&amp;""),""),18,2)))),"")),"")))</f>
        <v/>
      </c>
      <c r="AM159" s="31">
        <f>IF(AE159="","",IF(ISNUMBER(IFERROR(INDEX(Settings!$G$4:$G$11,MATCH(AH159,Settings!$F$4:$F$11,0)),"")),INDEX(Settings!$G$4:$G$11,MATCH(AH159,Settings!$F$4:$F$11,0)),Settings!$D$5))</f>
        <v/>
      </c>
      <c r="AN159" s="32">
        <f>IF(OR(AE159="",NOT(ISNUMBER(AL159)),NOT(ISNUMBER(AM159))),"",IF(AM159&lt;=0,"",IF(ISNUMBER(Settings!$D$8),DATE(YEAR(AL159)+IF(DATE(YEAR(AL159),MONTH(Settings!$D$8),DAY(Settings!$D$8))&gt;AL159,0,1),MONTH(Settings!$D$8),DAY(Settings!$D$8)),MIN(DATE(YEAR(AL159),MONTH(AL159)+AM159,DAY(AL159)),DATE(YEAR(AL159),MONTH(AL159)+AM159+1,0)))))</f>
        <v/>
      </c>
      <c r="AO159" s="31">
        <f>IF(ISNUMBER(AN159),AN159-Settings!$D$4,"")</f>
        <v/>
      </c>
      <c r="AP159" s="31">
        <f>IF(ISNUMBER(AL159),AL159+0+ROW()/100000,"")</f>
        <v/>
      </c>
      <c r="AQ159" s="31">
        <f>IF(OR(AG159="",NOT(ISNUMBER(AP159))),0,IF(SUMPRODUCT(('Responses'!$AG$2:$AG$501=AG159)*('Responses'!$AJ$2:$AJ$501=1)*ISNUMBER('Responses'!$AP$2:$AP$501)*('Responses'!$AP$2:$AP$501&gt;AP159)) + SUMPRODUCT(('Paper sign-ups'!$K$2:$K$101=AG159)*('Paper sign-ups'!$N$2:$N$101=1)*ISNUMBER('Paper sign-ups'!$T$2:$T$101)*('Paper sign-ups'!$T$2:$T$101&gt;AP159))&gt;0,1,0))</f>
        <v/>
      </c>
      <c r="AR159" s="31">
        <f>IF(AE159="","",IF(AQ159=1,"Joined again",IF(AJ159=0,"Unpaid",IF(NOT(ISNUMBER(AL159)),"Add a join date",IF(AN159="","No reminder",IF(AO159&lt;0,"Lapsed",IF(AO159&lt;=Settings!$D$6,"Remind soon","Current")))))))</f>
        <v/>
      </c>
      <c r="AS159" s="33">
        <f>IF(AJ159=1,IFERROR(VALUE(IFERROR(TRIM(INDEX($A159:$Z159,MATCH(Settings!$L$8,$A$1:$Z$1,0))&amp;""),"")),0)-IFERROR(VALUE(IFERROR(TRIM(INDEX($A159:$Z159,MATCH(Settings!$L$9,$A$1:$Z$1,0))&amp;""),"")),0),0)</f>
        <v/>
      </c>
      <c r="AT159" s="31">
        <f>IF(AND(AE159&lt;&gt;"",AQ159=0),1,0)</f>
        <v/>
      </c>
      <c r="AU159" s="31">
        <f>IF(AT159=0,"",IF(ISNUMBER(AN159),AN159,100000)+0+ROW()/1000000)</f>
        <v/>
      </c>
      <c r="AV159" s="31">
        <f>IF(ISNUMBER(AU159),SUMPRODUCT(ISNUMBER('Responses'!$AU$2:$AU$501)*('Responses'!$AU$2:$AU$501&lt;AU159)) + SUMPRODUCT(ISNUMBER('Paper sign-ups'!$Y$2:$Y$101)*('Paper sign-ups'!$Y$2:$Y$101&lt;AU159))+1,"")</f>
        <v/>
      </c>
    </row>
    <row r="160">
      <c r="AA160" s="29" t="n"/>
      <c r="AB160" s="30" t="n"/>
      <c r="AC160" s="30" t="n"/>
      <c r="AD160" s="29" t="n"/>
      <c r="AE160" s="31">
        <f>IFERROR(TRIM(INDEX($A160:$Z160,MATCH(Settings!$L$4,$A$1:$Z$1,0))&amp;""),"")</f>
        <v/>
      </c>
      <c r="AF160" s="31">
        <f>IFERROR(TRIM(INDEX($A160:$Z160,MATCH(Settings!$L$5,$A$1:$Z$1,0))&amp;""),"")</f>
        <v/>
      </c>
      <c r="AG160" s="31">
        <f>IF(AE160="","",LOWER(IF(AF160&lt;&gt;"",AF160,AE160)))</f>
        <v/>
      </c>
      <c r="AH160" s="31">
        <f>IFERROR(TRIM(INDEX($A160:$Z160,MATCH(Settings!$L$6,$A$1:$Z$1,0))&amp;""),"")</f>
        <v/>
      </c>
      <c r="AI160" s="31">
        <f>IF(AE160="","",IF(UPPER(TRIM(AB160&amp;""))="Y","Paid another way",IF(IFERROR(TRIM(INDEX($A160:$Z160,MATCH(Settings!$L$7,$A$1:$Z$1,0))&amp;""),"")="","No payment status",IFERROR(TRIM(INDEX($A160:$Z160,MATCH(Settings!$L$7,$A$1:$Z$1,0))&amp;""),""))))</f>
        <v/>
      </c>
      <c r="AJ160" s="31">
        <f>IF(AE160="",0,IF(IFERROR(INDEX(Settings!$J$4:$J$14,MATCH(AI160,Settings!$I$4:$I$14,0)),"N")="Y",1,0))</f>
        <v/>
      </c>
      <c r="AK160" s="32">
        <f>IFERROR(INT(IFERROR(IF(ISNUMBER(INDEX($A160:$Z160,MATCH(Settings!$L$10,$A$1:$Z$1,0))),INDEX($A160:$Z160,MATCH(Settings!$L$10,$A$1:$Z$1,0)),DATE(VALUE(LEFT(IFERROR(TRIM(INDEX($A160:$Z160,MATCH(Settings!$L$10,$A$1:$Z$1,0))&amp;""),""),4)),VALUE(MID(IFERROR(TRIM(INDEX($A160:$Z160,MATCH(Settings!$L$10,$A$1:$Z$1,0))&amp;""),""),6,2)),VALUE(MID(IFERROR(TRIM(INDEX($A160:$Z160,MATCH(Settings!$L$10,$A$1:$Z$1,0))&amp;""),""),9,2)))+TIME(VALUE(MID(IFERROR(TRIM(INDEX($A160:$Z160,MATCH(Settings!$L$10,$A$1:$Z$1,0))&amp;""),""),12,2)),VALUE(MID(IFERROR(TRIM(INDEX($A160:$Z160,MATCH(Settings!$L$10,$A$1:$Z$1,0))&amp;""),""),15,2)),VALUE(MID(IFERROR(TRIM(INDEX($A160:$Z160,MATCH(Settings!$L$10,$A$1:$Z$1,0))&amp;""),""),18,2)))),"")),"")</f>
        <v/>
      </c>
      <c r="AL160" s="32">
        <f>IF(AE160="","",IF(ISNUMBER(AK160),AK160,IFERROR(INT(IFERROR(IF(ISNUMBER(INDEX($A160:$Z160,MATCH(Settings!$L$11,$A$1:$Z$1,0))),INDEX($A160:$Z160,MATCH(Settings!$L$11,$A$1:$Z$1,0)),DATE(VALUE(LEFT(IFERROR(TRIM(INDEX($A160:$Z160,MATCH(Settings!$L$11,$A$1:$Z$1,0))&amp;""),""),4)),VALUE(MID(IFERROR(TRIM(INDEX($A160:$Z160,MATCH(Settings!$L$11,$A$1:$Z$1,0))&amp;""),""),6,2)),VALUE(MID(IFERROR(TRIM(INDEX($A160:$Z160,MATCH(Settings!$L$11,$A$1:$Z$1,0))&amp;""),""),9,2)))+TIME(VALUE(MID(IFERROR(TRIM(INDEX($A160:$Z160,MATCH(Settings!$L$11,$A$1:$Z$1,0))&amp;""),""),12,2)),VALUE(MID(IFERROR(TRIM(INDEX($A160:$Z160,MATCH(Settings!$L$11,$A$1:$Z$1,0))&amp;""),""),15,2)),VALUE(MID(IFERROR(TRIM(INDEX($A160:$Z160,MATCH(Settings!$L$11,$A$1:$Z$1,0))&amp;""),""),18,2)))),"")),"")))</f>
        <v/>
      </c>
      <c r="AM160" s="31">
        <f>IF(AE160="","",IF(ISNUMBER(IFERROR(INDEX(Settings!$G$4:$G$11,MATCH(AH160,Settings!$F$4:$F$11,0)),"")),INDEX(Settings!$G$4:$G$11,MATCH(AH160,Settings!$F$4:$F$11,0)),Settings!$D$5))</f>
        <v/>
      </c>
      <c r="AN160" s="32">
        <f>IF(OR(AE160="",NOT(ISNUMBER(AL160)),NOT(ISNUMBER(AM160))),"",IF(AM160&lt;=0,"",IF(ISNUMBER(Settings!$D$8),DATE(YEAR(AL160)+IF(DATE(YEAR(AL160),MONTH(Settings!$D$8),DAY(Settings!$D$8))&gt;AL160,0,1),MONTH(Settings!$D$8),DAY(Settings!$D$8)),MIN(DATE(YEAR(AL160),MONTH(AL160)+AM160,DAY(AL160)),DATE(YEAR(AL160),MONTH(AL160)+AM160+1,0)))))</f>
        <v/>
      </c>
      <c r="AO160" s="31">
        <f>IF(ISNUMBER(AN160),AN160-Settings!$D$4,"")</f>
        <v/>
      </c>
      <c r="AP160" s="31">
        <f>IF(ISNUMBER(AL160),AL160+0+ROW()/100000,"")</f>
        <v/>
      </c>
      <c r="AQ160" s="31">
        <f>IF(OR(AG160="",NOT(ISNUMBER(AP160))),0,IF(SUMPRODUCT(('Responses'!$AG$2:$AG$501=AG160)*('Responses'!$AJ$2:$AJ$501=1)*ISNUMBER('Responses'!$AP$2:$AP$501)*('Responses'!$AP$2:$AP$501&gt;AP160)) + SUMPRODUCT(('Paper sign-ups'!$K$2:$K$101=AG160)*('Paper sign-ups'!$N$2:$N$101=1)*ISNUMBER('Paper sign-ups'!$T$2:$T$101)*('Paper sign-ups'!$T$2:$T$101&gt;AP160))&gt;0,1,0))</f>
        <v/>
      </c>
      <c r="AR160" s="31">
        <f>IF(AE160="","",IF(AQ160=1,"Joined again",IF(AJ160=0,"Unpaid",IF(NOT(ISNUMBER(AL160)),"Add a join date",IF(AN160="","No reminder",IF(AO160&lt;0,"Lapsed",IF(AO160&lt;=Settings!$D$6,"Remind soon","Current")))))))</f>
        <v/>
      </c>
      <c r="AS160" s="33">
        <f>IF(AJ160=1,IFERROR(VALUE(IFERROR(TRIM(INDEX($A160:$Z160,MATCH(Settings!$L$8,$A$1:$Z$1,0))&amp;""),"")),0)-IFERROR(VALUE(IFERROR(TRIM(INDEX($A160:$Z160,MATCH(Settings!$L$9,$A$1:$Z$1,0))&amp;""),"")),0),0)</f>
        <v/>
      </c>
      <c r="AT160" s="31">
        <f>IF(AND(AE160&lt;&gt;"",AQ160=0),1,0)</f>
        <v/>
      </c>
      <c r="AU160" s="31">
        <f>IF(AT160=0,"",IF(ISNUMBER(AN160),AN160,100000)+0+ROW()/1000000)</f>
        <v/>
      </c>
      <c r="AV160" s="31">
        <f>IF(ISNUMBER(AU160),SUMPRODUCT(ISNUMBER('Responses'!$AU$2:$AU$501)*('Responses'!$AU$2:$AU$501&lt;AU160)) + SUMPRODUCT(ISNUMBER('Paper sign-ups'!$Y$2:$Y$101)*('Paper sign-ups'!$Y$2:$Y$101&lt;AU160))+1,"")</f>
        <v/>
      </c>
    </row>
    <row r="161">
      <c r="AA161" s="29" t="n"/>
      <c r="AB161" s="30" t="n"/>
      <c r="AC161" s="30" t="n"/>
      <c r="AD161" s="29" t="n"/>
      <c r="AE161" s="31">
        <f>IFERROR(TRIM(INDEX($A161:$Z161,MATCH(Settings!$L$4,$A$1:$Z$1,0))&amp;""),"")</f>
        <v/>
      </c>
      <c r="AF161" s="31">
        <f>IFERROR(TRIM(INDEX($A161:$Z161,MATCH(Settings!$L$5,$A$1:$Z$1,0))&amp;""),"")</f>
        <v/>
      </c>
      <c r="AG161" s="31">
        <f>IF(AE161="","",LOWER(IF(AF161&lt;&gt;"",AF161,AE161)))</f>
        <v/>
      </c>
      <c r="AH161" s="31">
        <f>IFERROR(TRIM(INDEX($A161:$Z161,MATCH(Settings!$L$6,$A$1:$Z$1,0))&amp;""),"")</f>
        <v/>
      </c>
      <c r="AI161" s="31">
        <f>IF(AE161="","",IF(UPPER(TRIM(AB161&amp;""))="Y","Paid another way",IF(IFERROR(TRIM(INDEX($A161:$Z161,MATCH(Settings!$L$7,$A$1:$Z$1,0))&amp;""),"")="","No payment status",IFERROR(TRIM(INDEX($A161:$Z161,MATCH(Settings!$L$7,$A$1:$Z$1,0))&amp;""),""))))</f>
        <v/>
      </c>
      <c r="AJ161" s="31">
        <f>IF(AE161="",0,IF(IFERROR(INDEX(Settings!$J$4:$J$14,MATCH(AI161,Settings!$I$4:$I$14,0)),"N")="Y",1,0))</f>
        <v/>
      </c>
      <c r="AK161" s="32">
        <f>IFERROR(INT(IFERROR(IF(ISNUMBER(INDEX($A161:$Z161,MATCH(Settings!$L$10,$A$1:$Z$1,0))),INDEX($A161:$Z161,MATCH(Settings!$L$10,$A$1:$Z$1,0)),DATE(VALUE(LEFT(IFERROR(TRIM(INDEX($A161:$Z161,MATCH(Settings!$L$10,$A$1:$Z$1,0))&amp;""),""),4)),VALUE(MID(IFERROR(TRIM(INDEX($A161:$Z161,MATCH(Settings!$L$10,$A$1:$Z$1,0))&amp;""),""),6,2)),VALUE(MID(IFERROR(TRIM(INDEX($A161:$Z161,MATCH(Settings!$L$10,$A$1:$Z$1,0))&amp;""),""),9,2)))+TIME(VALUE(MID(IFERROR(TRIM(INDEX($A161:$Z161,MATCH(Settings!$L$10,$A$1:$Z$1,0))&amp;""),""),12,2)),VALUE(MID(IFERROR(TRIM(INDEX($A161:$Z161,MATCH(Settings!$L$10,$A$1:$Z$1,0))&amp;""),""),15,2)),VALUE(MID(IFERROR(TRIM(INDEX($A161:$Z161,MATCH(Settings!$L$10,$A$1:$Z$1,0))&amp;""),""),18,2)))),"")),"")</f>
        <v/>
      </c>
      <c r="AL161" s="32">
        <f>IF(AE161="","",IF(ISNUMBER(AK161),AK161,IFERROR(INT(IFERROR(IF(ISNUMBER(INDEX($A161:$Z161,MATCH(Settings!$L$11,$A$1:$Z$1,0))),INDEX($A161:$Z161,MATCH(Settings!$L$11,$A$1:$Z$1,0)),DATE(VALUE(LEFT(IFERROR(TRIM(INDEX($A161:$Z161,MATCH(Settings!$L$11,$A$1:$Z$1,0))&amp;""),""),4)),VALUE(MID(IFERROR(TRIM(INDEX($A161:$Z161,MATCH(Settings!$L$11,$A$1:$Z$1,0))&amp;""),""),6,2)),VALUE(MID(IFERROR(TRIM(INDEX($A161:$Z161,MATCH(Settings!$L$11,$A$1:$Z$1,0))&amp;""),""),9,2)))+TIME(VALUE(MID(IFERROR(TRIM(INDEX($A161:$Z161,MATCH(Settings!$L$11,$A$1:$Z$1,0))&amp;""),""),12,2)),VALUE(MID(IFERROR(TRIM(INDEX($A161:$Z161,MATCH(Settings!$L$11,$A$1:$Z$1,0))&amp;""),""),15,2)),VALUE(MID(IFERROR(TRIM(INDEX($A161:$Z161,MATCH(Settings!$L$11,$A$1:$Z$1,0))&amp;""),""),18,2)))),"")),"")))</f>
        <v/>
      </c>
      <c r="AM161" s="31">
        <f>IF(AE161="","",IF(ISNUMBER(IFERROR(INDEX(Settings!$G$4:$G$11,MATCH(AH161,Settings!$F$4:$F$11,0)),"")),INDEX(Settings!$G$4:$G$11,MATCH(AH161,Settings!$F$4:$F$11,0)),Settings!$D$5))</f>
        <v/>
      </c>
      <c r="AN161" s="32">
        <f>IF(OR(AE161="",NOT(ISNUMBER(AL161)),NOT(ISNUMBER(AM161))),"",IF(AM161&lt;=0,"",IF(ISNUMBER(Settings!$D$8),DATE(YEAR(AL161)+IF(DATE(YEAR(AL161),MONTH(Settings!$D$8),DAY(Settings!$D$8))&gt;AL161,0,1),MONTH(Settings!$D$8),DAY(Settings!$D$8)),MIN(DATE(YEAR(AL161),MONTH(AL161)+AM161,DAY(AL161)),DATE(YEAR(AL161),MONTH(AL161)+AM161+1,0)))))</f>
        <v/>
      </c>
      <c r="AO161" s="31">
        <f>IF(ISNUMBER(AN161),AN161-Settings!$D$4,"")</f>
        <v/>
      </c>
      <c r="AP161" s="31">
        <f>IF(ISNUMBER(AL161),AL161+0+ROW()/100000,"")</f>
        <v/>
      </c>
      <c r="AQ161" s="31">
        <f>IF(OR(AG161="",NOT(ISNUMBER(AP161))),0,IF(SUMPRODUCT(('Responses'!$AG$2:$AG$501=AG161)*('Responses'!$AJ$2:$AJ$501=1)*ISNUMBER('Responses'!$AP$2:$AP$501)*('Responses'!$AP$2:$AP$501&gt;AP161)) + SUMPRODUCT(('Paper sign-ups'!$K$2:$K$101=AG161)*('Paper sign-ups'!$N$2:$N$101=1)*ISNUMBER('Paper sign-ups'!$T$2:$T$101)*('Paper sign-ups'!$T$2:$T$101&gt;AP161))&gt;0,1,0))</f>
        <v/>
      </c>
      <c r="AR161" s="31">
        <f>IF(AE161="","",IF(AQ161=1,"Joined again",IF(AJ161=0,"Unpaid",IF(NOT(ISNUMBER(AL161)),"Add a join date",IF(AN161="","No reminder",IF(AO161&lt;0,"Lapsed",IF(AO161&lt;=Settings!$D$6,"Remind soon","Current")))))))</f>
        <v/>
      </c>
      <c r="AS161" s="33">
        <f>IF(AJ161=1,IFERROR(VALUE(IFERROR(TRIM(INDEX($A161:$Z161,MATCH(Settings!$L$8,$A$1:$Z$1,0))&amp;""),"")),0)-IFERROR(VALUE(IFERROR(TRIM(INDEX($A161:$Z161,MATCH(Settings!$L$9,$A$1:$Z$1,0))&amp;""),"")),0),0)</f>
        <v/>
      </c>
      <c r="AT161" s="31">
        <f>IF(AND(AE161&lt;&gt;"",AQ161=0),1,0)</f>
        <v/>
      </c>
      <c r="AU161" s="31">
        <f>IF(AT161=0,"",IF(ISNUMBER(AN161),AN161,100000)+0+ROW()/1000000)</f>
        <v/>
      </c>
      <c r="AV161" s="31">
        <f>IF(ISNUMBER(AU161),SUMPRODUCT(ISNUMBER('Responses'!$AU$2:$AU$501)*('Responses'!$AU$2:$AU$501&lt;AU161)) + SUMPRODUCT(ISNUMBER('Paper sign-ups'!$Y$2:$Y$101)*('Paper sign-ups'!$Y$2:$Y$101&lt;AU161))+1,"")</f>
        <v/>
      </c>
    </row>
    <row r="162">
      <c r="AA162" s="29" t="n"/>
      <c r="AB162" s="30" t="n"/>
      <c r="AC162" s="30" t="n"/>
      <c r="AD162" s="29" t="n"/>
      <c r="AE162" s="31">
        <f>IFERROR(TRIM(INDEX($A162:$Z162,MATCH(Settings!$L$4,$A$1:$Z$1,0))&amp;""),"")</f>
        <v/>
      </c>
      <c r="AF162" s="31">
        <f>IFERROR(TRIM(INDEX($A162:$Z162,MATCH(Settings!$L$5,$A$1:$Z$1,0))&amp;""),"")</f>
        <v/>
      </c>
      <c r="AG162" s="31">
        <f>IF(AE162="","",LOWER(IF(AF162&lt;&gt;"",AF162,AE162)))</f>
        <v/>
      </c>
      <c r="AH162" s="31">
        <f>IFERROR(TRIM(INDEX($A162:$Z162,MATCH(Settings!$L$6,$A$1:$Z$1,0))&amp;""),"")</f>
        <v/>
      </c>
      <c r="AI162" s="31">
        <f>IF(AE162="","",IF(UPPER(TRIM(AB162&amp;""))="Y","Paid another way",IF(IFERROR(TRIM(INDEX($A162:$Z162,MATCH(Settings!$L$7,$A$1:$Z$1,0))&amp;""),"")="","No payment status",IFERROR(TRIM(INDEX($A162:$Z162,MATCH(Settings!$L$7,$A$1:$Z$1,0))&amp;""),""))))</f>
        <v/>
      </c>
      <c r="AJ162" s="31">
        <f>IF(AE162="",0,IF(IFERROR(INDEX(Settings!$J$4:$J$14,MATCH(AI162,Settings!$I$4:$I$14,0)),"N")="Y",1,0))</f>
        <v/>
      </c>
      <c r="AK162" s="32">
        <f>IFERROR(INT(IFERROR(IF(ISNUMBER(INDEX($A162:$Z162,MATCH(Settings!$L$10,$A$1:$Z$1,0))),INDEX($A162:$Z162,MATCH(Settings!$L$10,$A$1:$Z$1,0)),DATE(VALUE(LEFT(IFERROR(TRIM(INDEX($A162:$Z162,MATCH(Settings!$L$10,$A$1:$Z$1,0))&amp;""),""),4)),VALUE(MID(IFERROR(TRIM(INDEX($A162:$Z162,MATCH(Settings!$L$10,$A$1:$Z$1,0))&amp;""),""),6,2)),VALUE(MID(IFERROR(TRIM(INDEX($A162:$Z162,MATCH(Settings!$L$10,$A$1:$Z$1,0))&amp;""),""),9,2)))+TIME(VALUE(MID(IFERROR(TRIM(INDEX($A162:$Z162,MATCH(Settings!$L$10,$A$1:$Z$1,0))&amp;""),""),12,2)),VALUE(MID(IFERROR(TRIM(INDEX($A162:$Z162,MATCH(Settings!$L$10,$A$1:$Z$1,0))&amp;""),""),15,2)),VALUE(MID(IFERROR(TRIM(INDEX($A162:$Z162,MATCH(Settings!$L$10,$A$1:$Z$1,0))&amp;""),""),18,2)))),"")),"")</f>
        <v/>
      </c>
      <c r="AL162" s="32">
        <f>IF(AE162="","",IF(ISNUMBER(AK162),AK162,IFERROR(INT(IFERROR(IF(ISNUMBER(INDEX($A162:$Z162,MATCH(Settings!$L$11,$A$1:$Z$1,0))),INDEX($A162:$Z162,MATCH(Settings!$L$11,$A$1:$Z$1,0)),DATE(VALUE(LEFT(IFERROR(TRIM(INDEX($A162:$Z162,MATCH(Settings!$L$11,$A$1:$Z$1,0))&amp;""),""),4)),VALUE(MID(IFERROR(TRIM(INDEX($A162:$Z162,MATCH(Settings!$L$11,$A$1:$Z$1,0))&amp;""),""),6,2)),VALUE(MID(IFERROR(TRIM(INDEX($A162:$Z162,MATCH(Settings!$L$11,$A$1:$Z$1,0))&amp;""),""),9,2)))+TIME(VALUE(MID(IFERROR(TRIM(INDEX($A162:$Z162,MATCH(Settings!$L$11,$A$1:$Z$1,0))&amp;""),""),12,2)),VALUE(MID(IFERROR(TRIM(INDEX($A162:$Z162,MATCH(Settings!$L$11,$A$1:$Z$1,0))&amp;""),""),15,2)),VALUE(MID(IFERROR(TRIM(INDEX($A162:$Z162,MATCH(Settings!$L$11,$A$1:$Z$1,0))&amp;""),""),18,2)))),"")),"")))</f>
        <v/>
      </c>
      <c r="AM162" s="31">
        <f>IF(AE162="","",IF(ISNUMBER(IFERROR(INDEX(Settings!$G$4:$G$11,MATCH(AH162,Settings!$F$4:$F$11,0)),"")),INDEX(Settings!$G$4:$G$11,MATCH(AH162,Settings!$F$4:$F$11,0)),Settings!$D$5))</f>
        <v/>
      </c>
      <c r="AN162" s="32">
        <f>IF(OR(AE162="",NOT(ISNUMBER(AL162)),NOT(ISNUMBER(AM162))),"",IF(AM162&lt;=0,"",IF(ISNUMBER(Settings!$D$8),DATE(YEAR(AL162)+IF(DATE(YEAR(AL162),MONTH(Settings!$D$8),DAY(Settings!$D$8))&gt;AL162,0,1),MONTH(Settings!$D$8),DAY(Settings!$D$8)),MIN(DATE(YEAR(AL162),MONTH(AL162)+AM162,DAY(AL162)),DATE(YEAR(AL162),MONTH(AL162)+AM162+1,0)))))</f>
        <v/>
      </c>
      <c r="AO162" s="31">
        <f>IF(ISNUMBER(AN162),AN162-Settings!$D$4,"")</f>
        <v/>
      </c>
      <c r="AP162" s="31">
        <f>IF(ISNUMBER(AL162),AL162+0+ROW()/100000,"")</f>
        <v/>
      </c>
      <c r="AQ162" s="31">
        <f>IF(OR(AG162="",NOT(ISNUMBER(AP162))),0,IF(SUMPRODUCT(('Responses'!$AG$2:$AG$501=AG162)*('Responses'!$AJ$2:$AJ$501=1)*ISNUMBER('Responses'!$AP$2:$AP$501)*('Responses'!$AP$2:$AP$501&gt;AP162)) + SUMPRODUCT(('Paper sign-ups'!$K$2:$K$101=AG162)*('Paper sign-ups'!$N$2:$N$101=1)*ISNUMBER('Paper sign-ups'!$T$2:$T$101)*('Paper sign-ups'!$T$2:$T$101&gt;AP162))&gt;0,1,0))</f>
        <v/>
      </c>
      <c r="AR162" s="31">
        <f>IF(AE162="","",IF(AQ162=1,"Joined again",IF(AJ162=0,"Unpaid",IF(NOT(ISNUMBER(AL162)),"Add a join date",IF(AN162="","No reminder",IF(AO162&lt;0,"Lapsed",IF(AO162&lt;=Settings!$D$6,"Remind soon","Current")))))))</f>
        <v/>
      </c>
      <c r="AS162" s="33">
        <f>IF(AJ162=1,IFERROR(VALUE(IFERROR(TRIM(INDEX($A162:$Z162,MATCH(Settings!$L$8,$A$1:$Z$1,0))&amp;""),"")),0)-IFERROR(VALUE(IFERROR(TRIM(INDEX($A162:$Z162,MATCH(Settings!$L$9,$A$1:$Z$1,0))&amp;""),"")),0),0)</f>
        <v/>
      </c>
      <c r="AT162" s="31">
        <f>IF(AND(AE162&lt;&gt;"",AQ162=0),1,0)</f>
        <v/>
      </c>
      <c r="AU162" s="31">
        <f>IF(AT162=0,"",IF(ISNUMBER(AN162),AN162,100000)+0+ROW()/1000000)</f>
        <v/>
      </c>
      <c r="AV162" s="31">
        <f>IF(ISNUMBER(AU162),SUMPRODUCT(ISNUMBER('Responses'!$AU$2:$AU$501)*('Responses'!$AU$2:$AU$501&lt;AU162)) + SUMPRODUCT(ISNUMBER('Paper sign-ups'!$Y$2:$Y$101)*('Paper sign-ups'!$Y$2:$Y$101&lt;AU162))+1,"")</f>
        <v/>
      </c>
    </row>
    <row r="163">
      <c r="AA163" s="29" t="n"/>
      <c r="AB163" s="30" t="n"/>
      <c r="AC163" s="30" t="n"/>
      <c r="AD163" s="29" t="n"/>
      <c r="AE163" s="31">
        <f>IFERROR(TRIM(INDEX($A163:$Z163,MATCH(Settings!$L$4,$A$1:$Z$1,0))&amp;""),"")</f>
        <v/>
      </c>
      <c r="AF163" s="31">
        <f>IFERROR(TRIM(INDEX($A163:$Z163,MATCH(Settings!$L$5,$A$1:$Z$1,0))&amp;""),"")</f>
        <v/>
      </c>
      <c r="AG163" s="31">
        <f>IF(AE163="","",LOWER(IF(AF163&lt;&gt;"",AF163,AE163)))</f>
        <v/>
      </c>
      <c r="AH163" s="31">
        <f>IFERROR(TRIM(INDEX($A163:$Z163,MATCH(Settings!$L$6,$A$1:$Z$1,0))&amp;""),"")</f>
        <v/>
      </c>
      <c r="AI163" s="31">
        <f>IF(AE163="","",IF(UPPER(TRIM(AB163&amp;""))="Y","Paid another way",IF(IFERROR(TRIM(INDEX($A163:$Z163,MATCH(Settings!$L$7,$A$1:$Z$1,0))&amp;""),"")="","No payment status",IFERROR(TRIM(INDEX($A163:$Z163,MATCH(Settings!$L$7,$A$1:$Z$1,0))&amp;""),""))))</f>
        <v/>
      </c>
      <c r="AJ163" s="31">
        <f>IF(AE163="",0,IF(IFERROR(INDEX(Settings!$J$4:$J$14,MATCH(AI163,Settings!$I$4:$I$14,0)),"N")="Y",1,0))</f>
        <v/>
      </c>
      <c r="AK163" s="32">
        <f>IFERROR(INT(IFERROR(IF(ISNUMBER(INDEX($A163:$Z163,MATCH(Settings!$L$10,$A$1:$Z$1,0))),INDEX($A163:$Z163,MATCH(Settings!$L$10,$A$1:$Z$1,0)),DATE(VALUE(LEFT(IFERROR(TRIM(INDEX($A163:$Z163,MATCH(Settings!$L$10,$A$1:$Z$1,0))&amp;""),""),4)),VALUE(MID(IFERROR(TRIM(INDEX($A163:$Z163,MATCH(Settings!$L$10,$A$1:$Z$1,0))&amp;""),""),6,2)),VALUE(MID(IFERROR(TRIM(INDEX($A163:$Z163,MATCH(Settings!$L$10,$A$1:$Z$1,0))&amp;""),""),9,2)))+TIME(VALUE(MID(IFERROR(TRIM(INDEX($A163:$Z163,MATCH(Settings!$L$10,$A$1:$Z$1,0))&amp;""),""),12,2)),VALUE(MID(IFERROR(TRIM(INDEX($A163:$Z163,MATCH(Settings!$L$10,$A$1:$Z$1,0))&amp;""),""),15,2)),VALUE(MID(IFERROR(TRIM(INDEX($A163:$Z163,MATCH(Settings!$L$10,$A$1:$Z$1,0))&amp;""),""),18,2)))),"")),"")</f>
        <v/>
      </c>
      <c r="AL163" s="32">
        <f>IF(AE163="","",IF(ISNUMBER(AK163),AK163,IFERROR(INT(IFERROR(IF(ISNUMBER(INDEX($A163:$Z163,MATCH(Settings!$L$11,$A$1:$Z$1,0))),INDEX($A163:$Z163,MATCH(Settings!$L$11,$A$1:$Z$1,0)),DATE(VALUE(LEFT(IFERROR(TRIM(INDEX($A163:$Z163,MATCH(Settings!$L$11,$A$1:$Z$1,0))&amp;""),""),4)),VALUE(MID(IFERROR(TRIM(INDEX($A163:$Z163,MATCH(Settings!$L$11,$A$1:$Z$1,0))&amp;""),""),6,2)),VALUE(MID(IFERROR(TRIM(INDEX($A163:$Z163,MATCH(Settings!$L$11,$A$1:$Z$1,0))&amp;""),""),9,2)))+TIME(VALUE(MID(IFERROR(TRIM(INDEX($A163:$Z163,MATCH(Settings!$L$11,$A$1:$Z$1,0))&amp;""),""),12,2)),VALUE(MID(IFERROR(TRIM(INDEX($A163:$Z163,MATCH(Settings!$L$11,$A$1:$Z$1,0))&amp;""),""),15,2)),VALUE(MID(IFERROR(TRIM(INDEX($A163:$Z163,MATCH(Settings!$L$11,$A$1:$Z$1,0))&amp;""),""),18,2)))),"")),"")))</f>
        <v/>
      </c>
      <c r="AM163" s="31">
        <f>IF(AE163="","",IF(ISNUMBER(IFERROR(INDEX(Settings!$G$4:$G$11,MATCH(AH163,Settings!$F$4:$F$11,0)),"")),INDEX(Settings!$G$4:$G$11,MATCH(AH163,Settings!$F$4:$F$11,0)),Settings!$D$5))</f>
        <v/>
      </c>
      <c r="AN163" s="32">
        <f>IF(OR(AE163="",NOT(ISNUMBER(AL163)),NOT(ISNUMBER(AM163))),"",IF(AM163&lt;=0,"",IF(ISNUMBER(Settings!$D$8),DATE(YEAR(AL163)+IF(DATE(YEAR(AL163),MONTH(Settings!$D$8),DAY(Settings!$D$8))&gt;AL163,0,1),MONTH(Settings!$D$8),DAY(Settings!$D$8)),MIN(DATE(YEAR(AL163),MONTH(AL163)+AM163,DAY(AL163)),DATE(YEAR(AL163),MONTH(AL163)+AM163+1,0)))))</f>
        <v/>
      </c>
      <c r="AO163" s="31">
        <f>IF(ISNUMBER(AN163),AN163-Settings!$D$4,"")</f>
        <v/>
      </c>
      <c r="AP163" s="31">
        <f>IF(ISNUMBER(AL163),AL163+0+ROW()/100000,"")</f>
        <v/>
      </c>
      <c r="AQ163" s="31">
        <f>IF(OR(AG163="",NOT(ISNUMBER(AP163))),0,IF(SUMPRODUCT(('Responses'!$AG$2:$AG$501=AG163)*('Responses'!$AJ$2:$AJ$501=1)*ISNUMBER('Responses'!$AP$2:$AP$501)*('Responses'!$AP$2:$AP$501&gt;AP163)) + SUMPRODUCT(('Paper sign-ups'!$K$2:$K$101=AG163)*('Paper sign-ups'!$N$2:$N$101=1)*ISNUMBER('Paper sign-ups'!$T$2:$T$101)*('Paper sign-ups'!$T$2:$T$101&gt;AP163))&gt;0,1,0))</f>
        <v/>
      </c>
      <c r="AR163" s="31">
        <f>IF(AE163="","",IF(AQ163=1,"Joined again",IF(AJ163=0,"Unpaid",IF(NOT(ISNUMBER(AL163)),"Add a join date",IF(AN163="","No reminder",IF(AO163&lt;0,"Lapsed",IF(AO163&lt;=Settings!$D$6,"Remind soon","Current")))))))</f>
        <v/>
      </c>
      <c r="AS163" s="33">
        <f>IF(AJ163=1,IFERROR(VALUE(IFERROR(TRIM(INDEX($A163:$Z163,MATCH(Settings!$L$8,$A$1:$Z$1,0))&amp;""),"")),0)-IFERROR(VALUE(IFERROR(TRIM(INDEX($A163:$Z163,MATCH(Settings!$L$9,$A$1:$Z$1,0))&amp;""),"")),0),0)</f>
        <v/>
      </c>
      <c r="AT163" s="31">
        <f>IF(AND(AE163&lt;&gt;"",AQ163=0),1,0)</f>
        <v/>
      </c>
      <c r="AU163" s="31">
        <f>IF(AT163=0,"",IF(ISNUMBER(AN163),AN163,100000)+0+ROW()/1000000)</f>
        <v/>
      </c>
      <c r="AV163" s="31">
        <f>IF(ISNUMBER(AU163),SUMPRODUCT(ISNUMBER('Responses'!$AU$2:$AU$501)*('Responses'!$AU$2:$AU$501&lt;AU163)) + SUMPRODUCT(ISNUMBER('Paper sign-ups'!$Y$2:$Y$101)*('Paper sign-ups'!$Y$2:$Y$101&lt;AU163))+1,"")</f>
        <v/>
      </c>
    </row>
    <row r="164">
      <c r="AA164" s="29" t="n"/>
      <c r="AB164" s="30" t="n"/>
      <c r="AC164" s="30" t="n"/>
      <c r="AD164" s="29" t="n"/>
      <c r="AE164" s="31">
        <f>IFERROR(TRIM(INDEX($A164:$Z164,MATCH(Settings!$L$4,$A$1:$Z$1,0))&amp;""),"")</f>
        <v/>
      </c>
      <c r="AF164" s="31">
        <f>IFERROR(TRIM(INDEX($A164:$Z164,MATCH(Settings!$L$5,$A$1:$Z$1,0))&amp;""),"")</f>
        <v/>
      </c>
      <c r="AG164" s="31">
        <f>IF(AE164="","",LOWER(IF(AF164&lt;&gt;"",AF164,AE164)))</f>
        <v/>
      </c>
      <c r="AH164" s="31">
        <f>IFERROR(TRIM(INDEX($A164:$Z164,MATCH(Settings!$L$6,$A$1:$Z$1,0))&amp;""),"")</f>
        <v/>
      </c>
      <c r="AI164" s="31">
        <f>IF(AE164="","",IF(UPPER(TRIM(AB164&amp;""))="Y","Paid another way",IF(IFERROR(TRIM(INDEX($A164:$Z164,MATCH(Settings!$L$7,$A$1:$Z$1,0))&amp;""),"")="","No payment status",IFERROR(TRIM(INDEX($A164:$Z164,MATCH(Settings!$L$7,$A$1:$Z$1,0))&amp;""),""))))</f>
        <v/>
      </c>
      <c r="AJ164" s="31">
        <f>IF(AE164="",0,IF(IFERROR(INDEX(Settings!$J$4:$J$14,MATCH(AI164,Settings!$I$4:$I$14,0)),"N")="Y",1,0))</f>
        <v/>
      </c>
      <c r="AK164" s="32">
        <f>IFERROR(INT(IFERROR(IF(ISNUMBER(INDEX($A164:$Z164,MATCH(Settings!$L$10,$A$1:$Z$1,0))),INDEX($A164:$Z164,MATCH(Settings!$L$10,$A$1:$Z$1,0)),DATE(VALUE(LEFT(IFERROR(TRIM(INDEX($A164:$Z164,MATCH(Settings!$L$10,$A$1:$Z$1,0))&amp;""),""),4)),VALUE(MID(IFERROR(TRIM(INDEX($A164:$Z164,MATCH(Settings!$L$10,$A$1:$Z$1,0))&amp;""),""),6,2)),VALUE(MID(IFERROR(TRIM(INDEX($A164:$Z164,MATCH(Settings!$L$10,$A$1:$Z$1,0))&amp;""),""),9,2)))+TIME(VALUE(MID(IFERROR(TRIM(INDEX($A164:$Z164,MATCH(Settings!$L$10,$A$1:$Z$1,0))&amp;""),""),12,2)),VALUE(MID(IFERROR(TRIM(INDEX($A164:$Z164,MATCH(Settings!$L$10,$A$1:$Z$1,0))&amp;""),""),15,2)),VALUE(MID(IFERROR(TRIM(INDEX($A164:$Z164,MATCH(Settings!$L$10,$A$1:$Z$1,0))&amp;""),""),18,2)))),"")),"")</f>
        <v/>
      </c>
      <c r="AL164" s="32">
        <f>IF(AE164="","",IF(ISNUMBER(AK164),AK164,IFERROR(INT(IFERROR(IF(ISNUMBER(INDEX($A164:$Z164,MATCH(Settings!$L$11,$A$1:$Z$1,0))),INDEX($A164:$Z164,MATCH(Settings!$L$11,$A$1:$Z$1,0)),DATE(VALUE(LEFT(IFERROR(TRIM(INDEX($A164:$Z164,MATCH(Settings!$L$11,$A$1:$Z$1,0))&amp;""),""),4)),VALUE(MID(IFERROR(TRIM(INDEX($A164:$Z164,MATCH(Settings!$L$11,$A$1:$Z$1,0))&amp;""),""),6,2)),VALUE(MID(IFERROR(TRIM(INDEX($A164:$Z164,MATCH(Settings!$L$11,$A$1:$Z$1,0))&amp;""),""),9,2)))+TIME(VALUE(MID(IFERROR(TRIM(INDEX($A164:$Z164,MATCH(Settings!$L$11,$A$1:$Z$1,0))&amp;""),""),12,2)),VALUE(MID(IFERROR(TRIM(INDEX($A164:$Z164,MATCH(Settings!$L$11,$A$1:$Z$1,0))&amp;""),""),15,2)),VALUE(MID(IFERROR(TRIM(INDEX($A164:$Z164,MATCH(Settings!$L$11,$A$1:$Z$1,0))&amp;""),""),18,2)))),"")),"")))</f>
        <v/>
      </c>
      <c r="AM164" s="31">
        <f>IF(AE164="","",IF(ISNUMBER(IFERROR(INDEX(Settings!$G$4:$G$11,MATCH(AH164,Settings!$F$4:$F$11,0)),"")),INDEX(Settings!$G$4:$G$11,MATCH(AH164,Settings!$F$4:$F$11,0)),Settings!$D$5))</f>
        <v/>
      </c>
      <c r="AN164" s="32">
        <f>IF(OR(AE164="",NOT(ISNUMBER(AL164)),NOT(ISNUMBER(AM164))),"",IF(AM164&lt;=0,"",IF(ISNUMBER(Settings!$D$8),DATE(YEAR(AL164)+IF(DATE(YEAR(AL164),MONTH(Settings!$D$8),DAY(Settings!$D$8))&gt;AL164,0,1),MONTH(Settings!$D$8),DAY(Settings!$D$8)),MIN(DATE(YEAR(AL164),MONTH(AL164)+AM164,DAY(AL164)),DATE(YEAR(AL164),MONTH(AL164)+AM164+1,0)))))</f>
        <v/>
      </c>
      <c r="AO164" s="31">
        <f>IF(ISNUMBER(AN164),AN164-Settings!$D$4,"")</f>
        <v/>
      </c>
      <c r="AP164" s="31">
        <f>IF(ISNUMBER(AL164),AL164+0+ROW()/100000,"")</f>
        <v/>
      </c>
      <c r="AQ164" s="31">
        <f>IF(OR(AG164="",NOT(ISNUMBER(AP164))),0,IF(SUMPRODUCT(('Responses'!$AG$2:$AG$501=AG164)*('Responses'!$AJ$2:$AJ$501=1)*ISNUMBER('Responses'!$AP$2:$AP$501)*('Responses'!$AP$2:$AP$501&gt;AP164)) + SUMPRODUCT(('Paper sign-ups'!$K$2:$K$101=AG164)*('Paper sign-ups'!$N$2:$N$101=1)*ISNUMBER('Paper sign-ups'!$T$2:$T$101)*('Paper sign-ups'!$T$2:$T$101&gt;AP164))&gt;0,1,0))</f>
        <v/>
      </c>
      <c r="AR164" s="31">
        <f>IF(AE164="","",IF(AQ164=1,"Joined again",IF(AJ164=0,"Unpaid",IF(NOT(ISNUMBER(AL164)),"Add a join date",IF(AN164="","No reminder",IF(AO164&lt;0,"Lapsed",IF(AO164&lt;=Settings!$D$6,"Remind soon","Current")))))))</f>
        <v/>
      </c>
      <c r="AS164" s="33">
        <f>IF(AJ164=1,IFERROR(VALUE(IFERROR(TRIM(INDEX($A164:$Z164,MATCH(Settings!$L$8,$A$1:$Z$1,0))&amp;""),"")),0)-IFERROR(VALUE(IFERROR(TRIM(INDEX($A164:$Z164,MATCH(Settings!$L$9,$A$1:$Z$1,0))&amp;""),"")),0),0)</f>
        <v/>
      </c>
      <c r="AT164" s="31">
        <f>IF(AND(AE164&lt;&gt;"",AQ164=0),1,0)</f>
        <v/>
      </c>
      <c r="AU164" s="31">
        <f>IF(AT164=0,"",IF(ISNUMBER(AN164),AN164,100000)+0+ROW()/1000000)</f>
        <v/>
      </c>
      <c r="AV164" s="31">
        <f>IF(ISNUMBER(AU164),SUMPRODUCT(ISNUMBER('Responses'!$AU$2:$AU$501)*('Responses'!$AU$2:$AU$501&lt;AU164)) + SUMPRODUCT(ISNUMBER('Paper sign-ups'!$Y$2:$Y$101)*('Paper sign-ups'!$Y$2:$Y$101&lt;AU164))+1,"")</f>
        <v/>
      </c>
    </row>
    <row r="165">
      <c r="AA165" s="29" t="n"/>
      <c r="AB165" s="30" t="n"/>
      <c r="AC165" s="30" t="n"/>
      <c r="AD165" s="29" t="n"/>
      <c r="AE165" s="31">
        <f>IFERROR(TRIM(INDEX($A165:$Z165,MATCH(Settings!$L$4,$A$1:$Z$1,0))&amp;""),"")</f>
        <v/>
      </c>
      <c r="AF165" s="31">
        <f>IFERROR(TRIM(INDEX($A165:$Z165,MATCH(Settings!$L$5,$A$1:$Z$1,0))&amp;""),"")</f>
        <v/>
      </c>
      <c r="AG165" s="31">
        <f>IF(AE165="","",LOWER(IF(AF165&lt;&gt;"",AF165,AE165)))</f>
        <v/>
      </c>
      <c r="AH165" s="31">
        <f>IFERROR(TRIM(INDEX($A165:$Z165,MATCH(Settings!$L$6,$A$1:$Z$1,0))&amp;""),"")</f>
        <v/>
      </c>
      <c r="AI165" s="31">
        <f>IF(AE165="","",IF(UPPER(TRIM(AB165&amp;""))="Y","Paid another way",IF(IFERROR(TRIM(INDEX($A165:$Z165,MATCH(Settings!$L$7,$A$1:$Z$1,0))&amp;""),"")="","No payment status",IFERROR(TRIM(INDEX($A165:$Z165,MATCH(Settings!$L$7,$A$1:$Z$1,0))&amp;""),""))))</f>
        <v/>
      </c>
      <c r="AJ165" s="31">
        <f>IF(AE165="",0,IF(IFERROR(INDEX(Settings!$J$4:$J$14,MATCH(AI165,Settings!$I$4:$I$14,0)),"N")="Y",1,0))</f>
        <v/>
      </c>
      <c r="AK165" s="32">
        <f>IFERROR(INT(IFERROR(IF(ISNUMBER(INDEX($A165:$Z165,MATCH(Settings!$L$10,$A$1:$Z$1,0))),INDEX($A165:$Z165,MATCH(Settings!$L$10,$A$1:$Z$1,0)),DATE(VALUE(LEFT(IFERROR(TRIM(INDEX($A165:$Z165,MATCH(Settings!$L$10,$A$1:$Z$1,0))&amp;""),""),4)),VALUE(MID(IFERROR(TRIM(INDEX($A165:$Z165,MATCH(Settings!$L$10,$A$1:$Z$1,0))&amp;""),""),6,2)),VALUE(MID(IFERROR(TRIM(INDEX($A165:$Z165,MATCH(Settings!$L$10,$A$1:$Z$1,0))&amp;""),""),9,2)))+TIME(VALUE(MID(IFERROR(TRIM(INDEX($A165:$Z165,MATCH(Settings!$L$10,$A$1:$Z$1,0))&amp;""),""),12,2)),VALUE(MID(IFERROR(TRIM(INDEX($A165:$Z165,MATCH(Settings!$L$10,$A$1:$Z$1,0))&amp;""),""),15,2)),VALUE(MID(IFERROR(TRIM(INDEX($A165:$Z165,MATCH(Settings!$L$10,$A$1:$Z$1,0))&amp;""),""),18,2)))),"")),"")</f>
        <v/>
      </c>
      <c r="AL165" s="32">
        <f>IF(AE165="","",IF(ISNUMBER(AK165),AK165,IFERROR(INT(IFERROR(IF(ISNUMBER(INDEX($A165:$Z165,MATCH(Settings!$L$11,$A$1:$Z$1,0))),INDEX($A165:$Z165,MATCH(Settings!$L$11,$A$1:$Z$1,0)),DATE(VALUE(LEFT(IFERROR(TRIM(INDEX($A165:$Z165,MATCH(Settings!$L$11,$A$1:$Z$1,0))&amp;""),""),4)),VALUE(MID(IFERROR(TRIM(INDEX($A165:$Z165,MATCH(Settings!$L$11,$A$1:$Z$1,0))&amp;""),""),6,2)),VALUE(MID(IFERROR(TRIM(INDEX($A165:$Z165,MATCH(Settings!$L$11,$A$1:$Z$1,0))&amp;""),""),9,2)))+TIME(VALUE(MID(IFERROR(TRIM(INDEX($A165:$Z165,MATCH(Settings!$L$11,$A$1:$Z$1,0))&amp;""),""),12,2)),VALUE(MID(IFERROR(TRIM(INDEX($A165:$Z165,MATCH(Settings!$L$11,$A$1:$Z$1,0))&amp;""),""),15,2)),VALUE(MID(IFERROR(TRIM(INDEX($A165:$Z165,MATCH(Settings!$L$11,$A$1:$Z$1,0))&amp;""),""),18,2)))),"")),"")))</f>
        <v/>
      </c>
      <c r="AM165" s="31">
        <f>IF(AE165="","",IF(ISNUMBER(IFERROR(INDEX(Settings!$G$4:$G$11,MATCH(AH165,Settings!$F$4:$F$11,0)),"")),INDEX(Settings!$G$4:$G$11,MATCH(AH165,Settings!$F$4:$F$11,0)),Settings!$D$5))</f>
        <v/>
      </c>
      <c r="AN165" s="32">
        <f>IF(OR(AE165="",NOT(ISNUMBER(AL165)),NOT(ISNUMBER(AM165))),"",IF(AM165&lt;=0,"",IF(ISNUMBER(Settings!$D$8),DATE(YEAR(AL165)+IF(DATE(YEAR(AL165),MONTH(Settings!$D$8),DAY(Settings!$D$8))&gt;AL165,0,1),MONTH(Settings!$D$8),DAY(Settings!$D$8)),MIN(DATE(YEAR(AL165),MONTH(AL165)+AM165,DAY(AL165)),DATE(YEAR(AL165),MONTH(AL165)+AM165+1,0)))))</f>
        <v/>
      </c>
      <c r="AO165" s="31">
        <f>IF(ISNUMBER(AN165),AN165-Settings!$D$4,"")</f>
        <v/>
      </c>
      <c r="AP165" s="31">
        <f>IF(ISNUMBER(AL165),AL165+0+ROW()/100000,"")</f>
        <v/>
      </c>
      <c r="AQ165" s="31">
        <f>IF(OR(AG165="",NOT(ISNUMBER(AP165))),0,IF(SUMPRODUCT(('Responses'!$AG$2:$AG$501=AG165)*('Responses'!$AJ$2:$AJ$501=1)*ISNUMBER('Responses'!$AP$2:$AP$501)*('Responses'!$AP$2:$AP$501&gt;AP165)) + SUMPRODUCT(('Paper sign-ups'!$K$2:$K$101=AG165)*('Paper sign-ups'!$N$2:$N$101=1)*ISNUMBER('Paper sign-ups'!$T$2:$T$101)*('Paper sign-ups'!$T$2:$T$101&gt;AP165))&gt;0,1,0))</f>
        <v/>
      </c>
      <c r="AR165" s="31">
        <f>IF(AE165="","",IF(AQ165=1,"Joined again",IF(AJ165=0,"Unpaid",IF(NOT(ISNUMBER(AL165)),"Add a join date",IF(AN165="","No reminder",IF(AO165&lt;0,"Lapsed",IF(AO165&lt;=Settings!$D$6,"Remind soon","Current")))))))</f>
        <v/>
      </c>
      <c r="AS165" s="33">
        <f>IF(AJ165=1,IFERROR(VALUE(IFERROR(TRIM(INDEX($A165:$Z165,MATCH(Settings!$L$8,$A$1:$Z$1,0))&amp;""),"")),0)-IFERROR(VALUE(IFERROR(TRIM(INDEX($A165:$Z165,MATCH(Settings!$L$9,$A$1:$Z$1,0))&amp;""),"")),0),0)</f>
        <v/>
      </c>
      <c r="AT165" s="31">
        <f>IF(AND(AE165&lt;&gt;"",AQ165=0),1,0)</f>
        <v/>
      </c>
      <c r="AU165" s="31">
        <f>IF(AT165=0,"",IF(ISNUMBER(AN165),AN165,100000)+0+ROW()/1000000)</f>
        <v/>
      </c>
      <c r="AV165" s="31">
        <f>IF(ISNUMBER(AU165),SUMPRODUCT(ISNUMBER('Responses'!$AU$2:$AU$501)*('Responses'!$AU$2:$AU$501&lt;AU165)) + SUMPRODUCT(ISNUMBER('Paper sign-ups'!$Y$2:$Y$101)*('Paper sign-ups'!$Y$2:$Y$101&lt;AU165))+1,"")</f>
        <v/>
      </c>
    </row>
    <row r="166">
      <c r="AA166" s="29" t="n"/>
      <c r="AB166" s="30" t="n"/>
      <c r="AC166" s="30" t="n"/>
      <c r="AD166" s="29" t="n"/>
      <c r="AE166" s="31">
        <f>IFERROR(TRIM(INDEX($A166:$Z166,MATCH(Settings!$L$4,$A$1:$Z$1,0))&amp;""),"")</f>
        <v/>
      </c>
      <c r="AF166" s="31">
        <f>IFERROR(TRIM(INDEX($A166:$Z166,MATCH(Settings!$L$5,$A$1:$Z$1,0))&amp;""),"")</f>
        <v/>
      </c>
      <c r="AG166" s="31">
        <f>IF(AE166="","",LOWER(IF(AF166&lt;&gt;"",AF166,AE166)))</f>
        <v/>
      </c>
      <c r="AH166" s="31">
        <f>IFERROR(TRIM(INDEX($A166:$Z166,MATCH(Settings!$L$6,$A$1:$Z$1,0))&amp;""),"")</f>
        <v/>
      </c>
      <c r="AI166" s="31">
        <f>IF(AE166="","",IF(UPPER(TRIM(AB166&amp;""))="Y","Paid another way",IF(IFERROR(TRIM(INDEX($A166:$Z166,MATCH(Settings!$L$7,$A$1:$Z$1,0))&amp;""),"")="","No payment status",IFERROR(TRIM(INDEX($A166:$Z166,MATCH(Settings!$L$7,$A$1:$Z$1,0))&amp;""),""))))</f>
        <v/>
      </c>
      <c r="AJ166" s="31">
        <f>IF(AE166="",0,IF(IFERROR(INDEX(Settings!$J$4:$J$14,MATCH(AI166,Settings!$I$4:$I$14,0)),"N")="Y",1,0))</f>
        <v/>
      </c>
      <c r="AK166" s="32">
        <f>IFERROR(INT(IFERROR(IF(ISNUMBER(INDEX($A166:$Z166,MATCH(Settings!$L$10,$A$1:$Z$1,0))),INDEX($A166:$Z166,MATCH(Settings!$L$10,$A$1:$Z$1,0)),DATE(VALUE(LEFT(IFERROR(TRIM(INDEX($A166:$Z166,MATCH(Settings!$L$10,$A$1:$Z$1,0))&amp;""),""),4)),VALUE(MID(IFERROR(TRIM(INDEX($A166:$Z166,MATCH(Settings!$L$10,$A$1:$Z$1,0))&amp;""),""),6,2)),VALUE(MID(IFERROR(TRIM(INDEX($A166:$Z166,MATCH(Settings!$L$10,$A$1:$Z$1,0))&amp;""),""),9,2)))+TIME(VALUE(MID(IFERROR(TRIM(INDEX($A166:$Z166,MATCH(Settings!$L$10,$A$1:$Z$1,0))&amp;""),""),12,2)),VALUE(MID(IFERROR(TRIM(INDEX($A166:$Z166,MATCH(Settings!$L$10,$A$1:$Z$1,0))&amp;""),""),15,2)),VALUE(MID(IFERROR(TRIM(INDEX($A166:$Z166,MATCH(Settings!$L$10,$A$1:$Z$1,0))&amp;""),""),18,2)))),"")),"")</f>
        <v/>
      </c>
      <c r="AL166" s="32">
        <f>IF(AE166="","",IF(ISNUMBER(AK166),AK166,IFERROR(INT(IFERROR(IF(ISNUMBER(INDEX($A166:$Z166,MATCH(Settings!$L$11,$A$1:$Z$1,0))),INDEX($A166:$Z166,MATCH(Settings!$L$11,$A$1:$Z$1,0)),DATE(VALUE(LEFT(IFERROR(TRIM(INDEX($A166:$Z166,MATCH(Settings!$L$11,$A$1:$Z$1,0))&amp;""),""),4)),VALUE(MID(IFERROR(TRIM(INDEX($A166:$Z166,MATCH(Settings!$L$11,$A$1:$Z$1,0))&amp;""),""),6,2)),VALUE(MID(IFERROR(TRIM(INDEX($A166:$Z166,MATCH(Settings!$L$11,$A$1:$Z$1,0))&amp;""),""),9,2)))+TIME(VALUE(MID(IFERROR(TRIM(INDEX($A166:$Z166,MATCH(Settings!$L$11,$A$1:$Z$1,0))&amp;""),""),12,2)),VALUE(MID(IFERROR(TRIM(INDEX($A166:$Z166,MATCH(Settings!$L$11,$A$1:$Z$1,0))&amp;""),""),15,2)),VALUE(MID(IFERROR(TRIM(INDEX($A166:$Z166,MATCH(Settings!$L$11,$A$1:$Z$1,0))&amp;""),""),18,2)))),"")),"")))</f>
        <v/>
      </c>
      <c r="AM166" s="31">
        <f>IF(AE166="","",IF(ISNUMBER(IFERROR(INDEX(Settings!$G$4:$G$11,MATCH(AH166,Settings!$F$4:$F$11,0)),"")),INDEX(Settings!$G$4:$G$11,MATCH(AH166,Settings!$F$4:$F$11,0)),Settings!$D$5))</f>
        <v/>
      </c>
      <c r="AN166" s="32">
        <f>IF(OR(AE166="",NOT(ISNUMBER(AL166)),NOT(ISNUMBER(AM166))),"",IF(AM166&lt;=0,"",IF(ISNUMBER(Settings!$D$8),DATE(YEAR(AL166)+IF(DATE(YEAR(AL166),MONTH(Settings!$D$8),DAY(Settings!$D$8))&gt;AL166,0,1),MONTH(Settings!$D$8),DAY(Settings!$D$8)),MIN(DATE(YEAR(AL166),MONTH(AL166)+AM166,DAY(AL166)),DATE(YEAR(AL166),MONTH(AL166)+AM166+1,0)))))</f>
        <v/>
      </c>
      <c r="AO166" s="31">
        <f>IF(ISNUMBER(AN166),AN166-Settings!$D$4,"")</f>
        <v/>
      </c>
      <c r="AP166" s="31">
        <f>IF(ISNUMBER(AL166),AL166+0+ROW()/100000,"")</f>
        <v/>
      </c>
      <c r="AQ166" s="31">
        <f>IF(OR(AG166="",NOT(ISNUMBER(AP166))),0,IF(SUMPRODUCT(('Responses'!$AG$2:$AG$501=AG166)*('Responses'!$AJ$2:$AJ$501=1)*ISNUMBER('Responses'!$AP$2:$AP$501)*('Responses'!$AP$2:$AP$501&gt;AP166)) + SUMPRODUCT(('Paper sign-ups'!$K$2:$K$101=AG166)*('Paper sign-ups'!$N$2:$N$101=1)*ISNUMBER('Paper sign-ups'!$T$2:$T$101)*('Paper sign-ups'!$T$2:$T$101&gt;AP166))&gt;0,1,0))</f>
        <v/>
      </c>
      <c r="AR166" s="31">
        <f>IF(AE166="","",IF(AQ166=1,"Joined again",IF(AJ166=0,"Unpaid",IF(NOT(ISNUMBER(AL166)),"Add a join date",IF(AN166="","No reminder",IF(AO166&lt;0,"Lapsed",IF(AO166&lt;=Settings!$D$6,"Remind soon","Current")))))))</f>
        <v/>
      </c>
      <c r="AS166" s="33">
        <f>IF(AJ166=1,IFERROR(VALUE(IFERROR(TRIM(INDEX($A166:$Z166,MATCH(Settings!$L$8,$A$1:$Z$1,0))&amp;""),"")),0)-IFERROR(VALUE(IFERROR(TRIM(INDEX($A166:$Z166,MATCH(Settings!$L$9,$A$1:$Z$1,0))&amp;""),"")),0),0)</f>
        <v/>
      </c>
      <c r="AT166" s="31">
        <f>IF(AND(AE166&lt;&gt;"",AQ166=0),1,0)</f>
        <v/>
      </c>
      <c r="AU166" s="31">
        <f>IF(AT166=0,"",IF(ISNUMBER(AN166),AN166,100000)+0+ROW()/1000000)</f>
        <v/>
      </c>
      <c r="AV166" s="31">
        <f>IF(ISNUMBER(AU166),SUMPRODUCT(ISNUMBER('Responses'!$AU$2:$AU$501)*('Responses'!$AU$2:$AU$501&lt;AU166)) + SUMPRODUCT(ISNUMBER('Paper sign-ups'!$Y$2:$Y$101)*('Paper sign-ups'!$Y$2:$Y$101&lt;AU166))+1,"")</f>
        <v/>
      </c>
    </row>
    <row r="167">
      <c r="AA167" s="29" t="n"/>
      <c r="AB167" s="30" t="n"/>
      <c r="AC167" s="30" t="n"/>
      <c r="AD167" s="29" t="n"/>
      <c r="AE167" s="31">
        <f>IFERROR(TRIM(INDEX($A167:$Z167,MATCH(Settings!$L$4,$A$1:$Z$1,0))&amp;""),"")</f>
        <v/>
      </c>
      <c r="AF167" s="31">
        <f>IFERROR(TRIM(INDEX($A167:$Z167,MATCH(Settings!$L$5,$A$1:$Z$1,0))&amp;""),"")</f>
        <v/>
      </c>
      <c r="AG167" s="31">
        <f>IF(AE167="","",LOWER(IF(AF167&lt;&gt;"",AF167,AE167)))</f>
        <v/>
      </c>
      <c r="AH167" s="31">
        <f>IFERROR(TRIM(INDEX($A167:$Z167,MATCH(Settings!$L$6,$A$1:$Z$1,0))&amp;""),"")</f>
        <v/>
      </c>
      <c r="AI167" s="31">
        <f>IF(AE167="","",IF(UPPER(TRIM(AB167&amp;""))="Y","Paid another way",IF(IFERROR(TRIM(INDEX($A167:$Z167,MATCH(Settings!$L$7,$A$1:$Z$1,0))&amp;""),"")="","No payment status",IFERROR(TRIM(INDEX($A167:$Z167,MATCH(Settings!$L$7,$A$1:$Z$1,0))&amp;""),""))))</f>
        <v/>
      </c>
      <c r="AJ167" s="31">
        <f>IF(AE167="",0,IF(IFERROR(INDEX(Settings!$J$4:$J$14,MATCH(AI167,Settings!$I$4:$I$14,0)),"N")="Y",1,0))</f>
        <v/>
      </c>
      <c r="AK167" s="32">
        <f>IFERROR(INT(IFERROR(IF(ISNUMBER(INDEX($A167:$Z167,MATCH(Settings!$L$10,$A$1:$Z$1,0))),INDEX($A167:$Z167,MATCH(Settings!$L$10,$A$1:$Z$1,0)),DATE(VALUE(LEFT(IFERROR(TRIM(INDEX($A167:$Z167,MATCH(Settings!$L$10,$A$1:$Z$1,0))&amp;""),""),4)),VALUE(MID(IFERROR(TRIM(INDEX($A167:$Z167,MATCH(Settings!$L$10,$A$1:$Z$1,0))&amp;""),""),6,2)),VALUE(MID(IFERROR(TRIM(INDEX($A167:$Z167,MATCH(Settings!$L$10,$A$1:$Z$1,0))&amp;""),""),9,2)))+TIME(VALUE(MID(IFERROR(TRIM(INDEX($A167:$Z167,MATCH(Settings!$L$10,$A$1:$Z$1,0))&amp;""),""),12,2)),VALUE(MID(IFERROR(TRIM(INDEX($A167:$Z167,MATCH(Settings!$L$10,$A$1:$Z$1,0))&amp;""),""),15,2)),VALUE(MID(IFERROR(TRIM(INDEX($A167:$Z167,MATCH(Settings!$L$10,$A$1:$Z$1,0))&amp;""),""),18,2)))),"")),"")</f>
        <v/>
      </c>
      <c r="AL167" s="32">
        <f>IF(AE167="","",IF(ISNUMBER(AK167),AK167,IFERROR(INT(IFERROR(IF(ISNUMBER(INDEX($A167:$Z167,MATCH(Settings!$L$11,$A$1:$Z$1,0))),INDEX($A167:$Z167,MATCH(Settings!$L$11,$A$1:$Z$1,0)),DATE(VALUE(LEFT(IFERROR(TRIM(INDEX($A167:$Z167,MATCH(Settings!$L$11,$A$1:$Z$1,0))&amp;""),""),4)),VALUE(MID(IFERROR(TRIM(INDEX($A167:$Z167,MATCH(Settings!$L$11,$A$1:$Z$1,0))&amp;""),""),6,2)),VALUE(MID(IFERROR(TRIM(INDEX($A167:$Z167,MATCH(Settings!$L$11,$A$1:$Z$1,0))&amp;""),""),9,2)))+TIME(VALUE(MID(IFERROR(TRIM(INDEX($A167:$Z167,MATCH(Settings!$L$11,$A$1:$Z$1,0))&amp;""),""),12,2)),VALUE(MID(IFERROR(TRIM(INDEX($A167:$Z167,MATCH(Settings!$L$11,$A$1:$Z$1,0))&amp;""),""),15,2)),VALUE(MID(IFERROR(TRIM(INDEX($A167:$Z167,MATCH(Settings!$L$11,$A$1:$Z$1,0))&amp;""),""),18,2)))),"")),"")))</f>
        <v/>
      </c>
      <c r="AM167" s="31">
        <f>IF(AE167="","",IF(ISNUMBER(IFERROR(INDEX(Settings!$G$4:$G$11,MATCH(AH167,Settings!$F$4:$F$11,0)),"")),INDEX(Settings!$G$4:$G$11,MATCH(AH167,Settings!$F$4:$F$11,0)),Settings!$D$5))</f>
        <v/>
      </c>
      <c r="AN167" s="32">
        <f>IF(OR(AE167="",NOT(ISNUMBER(AL167)),NOT(ISNUMBER(AM167))),"",IF(AM167&lt;=0,"",IF(ISNUMBER(Settings!$D$8),DATE(YEAR(AL167)+IF(DATE(YEAR(AL167),MONTH(Settings!$D$8),DAY(Settings!$D$8))&gt;AL167,0,1),MONTH(Settings!$D$8),DAY(Settings!$D$8)),MIN(DATE(YEAR(AL167),MONTH(AL167)+AM167,DAY(AL167)),DATE(YEAR(AL167),MONTH(AL167)+AM167+1,0)))))</f>
        <v/>
      </c>
      <c r="AO167" s="31">
        <f>IF(ISNUMBER(AN167),AN167-Settings!$D$4,"")</f>
        <v/>
      </c>
      <c r="AP167" s="31">
        <f>IF(ISNUMBER(AL167),AL167+0+ROW()/100000,"")</f>
        <v/>
      </c>
      <c r="AQ167" s="31">
        <f>IF(OR(AG167="",NOT(ISNUMBER(AP167))),0,IF(SUMPRODUCT(('Responses'!$AG$2:$AG$501=AG167)*('Responses'!$AJ$2:$AJ$501=1)*ISNUMBER('Responses'!$AP$2:$AP$501)*('Responses'!$AP$2:$AP$501&gt;AP167)) + SUMPRODUCT(('Paper sign-ups'!$K$2:$K$101=AG167)*('Paper sign-ups'!$N$2:$N$101=1)*ISNUMBER('Paper sign-ups'!$T$2:$T$101)*('Paper sign-ups'!$T$2:$T$101&gt;AP167))&gt;0,1,0))</f>
        <v/>
      </c>
      <c r="AR167" s="31">
        <f>IF(AE167="","",IF(AQ167=1,"Joined again",IF(AJ167=0,"Unpaid",IF(NOT(ISNUMBER(AL167)),"Add a join date",IF(AN167="","No reminder",IF(AO167&lt;0,"Lapsed",IF(AO167&lt;=Settings!$D$6,"Remind soon","Current")))))))</f>
        <v/>
      </c>
      <c r="AS167" s="33">
        <f>IF(AJ167=1,IFERROR(VALUE(IFERROR(TRIM(INDEX($A167:$Z167,MATCH(Settings!$L$8,$A$1:$Z$1,0))&amp;""),"")),0)-IFERROR(VALUE(IFERROR(TRIM(INDEX($A167:$Z167,MATCH(Settings!$L$9,$A$1:$Z$1,0))&amp;""),"")),0),0)</f>
        <v/>
      </c>
      <c r="AT167" s="31">
        <f>IF(AND(AE167&lt;&gt;"",AQ167=0),1,0)</f>
        <v/>
      </c>
      <c r="AU167" s="31">
        <f>IF(AT167=0,"",IF(ISNUMBER(AN167),AN167,100000)+0+ROW()/1000000)</f>
        <v/>
      </c>
      <c r="AV167" s="31">
        <f>IF(ISNUMBER(AU167),SUMPRODUCT(ISNUMBER('Responses'!$AU$2:$AU$501)*('Responses'!$AU$2:$AU$501&lt;AU167)) + SUMPRODUCT(ISNUMBER('Paper sign-ups'!$Y$2:$Y$101)*('Paper sign-ups'!$Y$2:$Y$101&lt;AU167))+1,"")</f>
        <v/>
      </c>
    </row>
    <row r="168">
      <c r="AA168" s="29" t="n"/>
      <c r="AB168" s="30" t="n"/>
      <c r="AC168" s="30" t="n"/>
      <c r="AD168" s="29" t="n"/>
      <c r="AE168" s="31">
        <f>IFERROR(TRIM(INDEX($A168:$Z168,MATCH(Settings!$L$4,$A$1:$Z$1,0))&amp;""),"")</f>
        <v/>
      </c>
      <c r="AF168" s="31">
        <f>IFERROR(TRIM(INDEX($A168:$Z168,MATCH(Settings!$L$5,$A$1:$Z$1,0))&amp;""),"")</f>
        <v/>
      </c>
      <c r="AG168" s="31">
        <f>IF(AE168="","",LOWER(IF(AF168&lt;&gt;"",AF168,AE168)))</f>
        <v/>
      </c>
      <c r="AH168" s="31">
        <f>IFERROR(TRIM(INDEX($A168:$Z168,MATCH(Settings!$L$6,$A$1:$Z$1,0))&amp;""),"")</f>
        <v/>
      </c>
      <c r="AI168" s="31">
        <f>IF(AE168="","",IF(UPPER(TRIM(AB168&amp;""))="Y","Paid another way",IF(IFERROR(TRIM(INDEX($A168:$Z168,MATCH(Settings!$L$7,$A$1:$Z$1,0))&amp;""),"")="","No payment status",IFERROR(TRIM(INDEX($A168:$Z168,MATCH(Settings!$L$7,$A$1:$Z$1,0))&amp;""),""))))</f>
        <v/>
      </c>
      <c r="AJ168" s="31">
        <f>IF(AE168="",0,IF(IFERROR(INDEX(Settings!$J$4:$J$14,MATCH(AI168,Settings!$I$4:$I$14,0)),"N")="Y",1,0))</f>
        <v/>
      </c>
      <c r="AK168" s="32">
        <f>IFERROR(INT(IFERROR(IF(ISNUMBER(INDEX($A168:$Z168,MATCH(Settings!$L$10,$A$1:$Z$1,0))),INDEX($A168:$Z168,MATCH(Settings!$L$10,$A$1:$Z$1,0)),DATE(VALUE(LEFT(IFERROR(TRIM(INDEX($A168:$Z168,MATCH(Settings!$L$10,$A$1:$Z$1,0))&amp;""),""),4)),VALUE(MID(IFERROR(TRIM(INDEX($A168:$Z168,MATCH(Settings!$L$10,$A$1:$Z$1,0))&amp;""),""),6,2)),VALUE(MID(IFERROR(TRIM(INDEX($A168:$Z168,MATCH(Settings!$L$10,$A$1:$Z$1,0))&amp;""),""),9,2)))+TIME(VALUE(MID(IFERROR(TRIM(INDEX($A168:$Z168,MATCH(Settings!$L$10,$A$1:$Z$1,0))&amp;""),""),12,2)),VALUE(MID(IFERROR(TRIM(INDEX($A168:$Z168,MATCH(Settings!$L$10,$A$1:$Z$1,0))&amp;""),""),15,2)),VALUE(MID(IFERROR(TRIM(INDEX($A168:$Z168,MATCH(Settings!$L$10,$A$1:$Z$1,0))&amp;""),""),18,2)))),"")),"")</f>
        <v/>
      </c>
      <c r="AL168" s="32">
        <f>IF(AE168="","",IF(ISNUMBER(AK168),AK168,IFERROR(INT(IFERROR(IF(ISNUMBER(INDEX($A168:$Z168,MATCH(Settings!$L$11,$A$1:$Z$1,0))),INDEX($A168:$Z168,MATCH(Settings!$L$11,$A$1:$Z$1,0)),DATE(VALUE(LEFT(IFERROR(TRIM(INDEX($A168:$Z168,MATCH(Settings!$L$11,$A$1:$Z$1,0))&amp;""),""),4)),VALUE(MID(IFERROR(TRIM(INDEX($A168:$Z168,MATCH(Settings!$L$11,$A$1:$Z$1,0))&amp;""),""),6,2)),VALUE(MID(IFERROR(TRIM(INDEX($A168:$Z168,MATCH(Settings!$L$11,$A$1:$Z$1,0))&amp;""),""),9,2)))+TIME(VALUE(MID(IFERROR(TRIM(INDEX($A168:$Z168,MATCH(Settings!$L$11,$A$1:$Z$1,0))&amp;""),""),12,2)),VALUE(MID(IFERROR(TRIM(INDEX($A168:$Z168,MATCH(Settings!$L$11,$A$1:$Z$1,0))&amp;""),""),15,2)),VALUE(MID(IFERROR(TRIM(INDEX($A168:$Z168,MATCH(Settings!$L$11,$A$1:$Z$1,0))&amp;""),""),18,2)))),"")),"")))</f>
        <v/>
      </c>
      <c r="AM168" s="31">
        <f>IF(AE168="","",IF(ISNUMBER(IFERROR(INDEX(Settings!$G$4:$G$11,MATCH(AH168,Settings!$F$4:$F$11,0)),"")),INDEX(Settings!$G$4:$G$11,MATCH(AH168,Settings!$F$4:$F$11,0)),Settings!$D$5))</f>
        <v/>
      </c>
      <c r="AN168" s="32">
        <f>IF(OR(AE168="",NOT(ISNUMBER(AL168)),NOT(ISNUMBER(AM168))),"",IF(AM168&lt;=0,"",IF(ISNUMBER(Settings!$D$8),DATE(YEAR(AL168)+IF(DATE(YEAR(AL168),MONTH(Settings!$D$8),DAY(Settings!$D$8))&gt;AL168,0,1),MONTH(Settings!$D$8),DAY(Settings!$D$8)),MIN(DATE(YEAR(AL168),MONTH(AL168)+AM168,DAY(AL168)),DATE(YEAR(AL168),MONTH(AL168)+AM168+1,0)))))</f>
        <v/>
      </c>
      <c r="AO168" s="31">
        <f>IF(ISNUMBER(AN168),AN168-Settings!$D$4,"")</f>
        <v/>
      </c>
      <c r="AP168" s="31">
        <f>IF(ISNUMBER(AL168),AL168+0+ROW()/100000,"")</f>
        <v/>
      </c>
      <c r="AQ168" s="31">
        <f>IF(OR(AG168="",NOT(ISNUMBER(AP168))),0,IF(SUMPRODUCT(('Responses'!$AG$2:$AG$501=AG168)*('Responses'!$AJ$2:$AJ$501=1)*ISNUMBER('Responses'!$AP$2:$AP$501)*('Responses'!$AP$2:$AP$501&gt;AP168)) + SUMPRODUCT(('Paper sign-ups'!$K$2:$K$101=AG168)*('Paper sign-ups'!$N$2:$N$101=1)*ISNUMBER('Paper sign-ups'!$T$2:$T$101)*('Paper sign-ups'!$T$2:$T$101&gt;AP168))&gt;0,1,0))</f>
        <v/>
      </c>
      <c r="AR168" s="31">
        <f>IF(AE168="","",IF(AQ168=1,"Joined again",IF(AJ168=0,"Unpaid",IF(NOT(ISNUMBER(AL168)),"Add a join date",IF(AN168="","No reminder",IF(AO168&lt;0,"Lapsed",IF(AO168&lt;=Settings!$D$6,"Remind soon","Current")))))))</f>
        <v/>
      </c>
      <c r="AS168" s="33">
        <f>IF(AJ168=1,IFERROR(VALUE(IFERROR(TRIM(INDEX($A168:$Z168,MATCH(Settings!$L$8,$A$1:$Z$1,0))&amp;""),"")),0)-IFERROR(VALUE(IFERROR(TRIM(INDEX($A168:$Z168,MATCH(Settings!$L$9,$A$1:$Z$1,0))&amp;""),"")),0),0)</f>
        <v/>
      </c>
      <c r="AT168" s="31">
        <f>IF(AND(AE168&lt;&gt;"",AQ168=0),1,0)</f>
        <v/>
      </c>
      <c r="AU168" s="31">
        <f>IF(AT168=0,"",IF(ISNUMBER(AN168),AN168,100000)+0+ROW()/1000000)</f>
        <v/>
      </c>
      <c r="AV168" s="31">
        <f>IF(ISNUMBER(AU168),SUMPRODUCT(ISNUMBER('Responses'!$AU$2:$AU$501)*('Responses'!$AU$2:$AU$501&lt;AU168)) + SUMPRODUCT(ISNUMBER('Paper sign-ups'!$Y$2:$Y$101)*('Paper sign-ups'!$Y$2:$Y$101&lt;AU168))+1,"")</f>
        <v/>
      </c>
    </row>
    <row r="169">
      <c r="AA169" s="29" t="n"/>
      <c r="AB169" s="30" t="n"/>
      <c r="AC169" s="30" t="n"/>
      <c r="AD169" s="29" t="n"/>
      <c r="AE169" s="31">
        <f>IFERROR(TRIM(INDEX($A169:$Z169,MATCH(Settings!$L$4,$A$1:$Z$1,0))&amp;""),"")</f>
        <v/>
      </c>
      <c r="AF169" s="31">
        <f>IFERROR(TRIM(INDEX($A169:$Z169,MATCH(Settings!$L$5,$A$1:$Z$1,0))&amp;""),"")</f>
        <v/>
      </c>
      <c r="AG169" s="31">
        <f>IF(AE169="","",LOWER(IF(AF169&lt;&gt;"",AF169,AE169)))</f>
        <v/>
      </c>
      <c r="AH169" s="31">
        <f>IFERROR(TRIM(INDEX($A169:$Z169,MATCH(Settings!$L$6,$A$1:$Z$1,0))&amp;""),"")</f>
        <v/>
      </c>
      <c r="AI169" s="31">
        <f>IF(AE169="","",IF(UPPER(TRIM(AB169&amp;""))="Y","Paid another way",IF(IFERROR(TRIM(INDEX($A169:$Z169,MATCH(Settings!$L$7,$A$1:$Z$1,0))&amp;""),"")="","No payment status",IFERROR(TRIM(INDEX($A169:$Z169,MATCH(Settings!$L$7,$A$1:$Z$1,0))&amp;""),""))))</f>
        <v/>
      </c>
      <c r="AJ169" s="31">
        <f>IF(AE169="",0,IF(IFERROR(INDEX(Settings!$J$4:$J$14,MATCH(AI169,Settings!$I$4:$I$14,0)),"N")="Y",1,0))</f>
        <v/>
      </c>
      <c r="AK169" s="32">
        <f>IFERROR(INT(IFERROR(IF(ISNUMBER(INDEX($A169:$Z169,MATCH(Settings!$L$10,$A$1:$Z$1,0))),INDEX($A169:$Z169,MATCH(Settings!$L$10,$A$1:$Z$1,0)),DATE(VALUE(LEFT(IFERROR(TRIM(INDEX($A169:$Z169,MATCH(Settings!$L$10,$A$1:$Z$1,0))&amp;""),""),4)),VALUE(MID(IFERROR(TRIM(INDEX($A169:$Z169,MATCH(Settings!$L$10,$A$1:$Z$1,0))&amp;""),""),6,2)),VALUE(MID(IFERROR(TRIM(INDEX($A169:$Z169,MATCH(Settings!$L$10,$A$1:$Z$1,0))&amp;""),""),9,2)))+TIME(VALUE(MID(IFERROR(TRIM(INDEX($A169:$Z169,MATCH(Settings!$L$10,$A$1:$Z$1,0))&amp;""),""),12,2)),VALUE(MID(IFERROR(TRIM(INDEX($A169:$Z169,MATCH(Settings!$L$10,$A$1:$Z$1,0))&amp;""),""),15,2)),VALUE(MID(IFERROR(TRIM(INDEX($A169:$Z169,MATCH(Settings!$L$10,$A$1:$Z$1,0))&amp;""),""),18,2)))),"")),"")</f>
        <v/>
      </c>
      <c r="AL169" s="32">
        <f>IF(AE169="","",IF(ISNUMBER(AK169),AK169,IFERROR(INT(IFERROR(IF(ISNUMBER(INDEX($A169:$Z169,MATCH(Settings!$L$11,$A$1:$Z$1,0))),INDEX($A169:$Z169,MATCH(Settings!$L$11,$A$1:$Z$1,0)),DATE(VALUE(LEFT(IFERROR(TRIM(INDEX($A169:$Z169,MATCH(Settings!$L$11,$A$1:$Z$1,0))&amp;""),""),4)),VALUE(MID(IFERROR(TRIM(INDEX($A169:$Z169,MATCH(Settings!$L$11,$A$1:$Z$1,0))&amp;""),""),6,2)),VALUE(MID(IFERROR(TRIM(INDEX($A169:$Z169,MATCH(Settings!$L$11,$A$1:$Z$1,0))&amp;""),""),9,2)))+TIME(VALUE(MID(IFERROR(TRIM(INDEX($A169:$Z169,MATCH(Settings!$L$11,$A$1:$Z$1,0))&amp;""),""),12,2)),VALUE(MID(IFERROR(TRIM(INDEX($A169:$Z169,MATCH(Settings!$L$11,$A$1:$Z$1,0))&amp;""),""),15,2)),VALUE(MID(IFERROR(TRIM(INDEX($A169:$Z169,MATCH(Settings!$L$11,$A$1:$Z$1,0))&amp;""),""),18,2)))),"")),"")))</f>
        <v/>
      </c>
      <c r="AM169" s="31">
        <f>IF(AE169="","",IF(ISNUMBER(IFERROR(INDEX(Settings!$G$4:$G$11,MATCH(AH169,Settings!$F$4:$F$11,0)),"")),INDEX(Settings!$G$4:$G$11,MATCH(AH169,Settings!$F$4:$F$11,0)),Settings!$D$5))</f>
        <v/>
      </c>
      <c r="AN169" s="32">
        <f>IF(OR(AE169="",NOT(ISNUMBER(AL169)),NOT(ISNUMBER(AM169))),"",IF(AM169&lt;=0,"",IF(ISNUMBER(Settings!$D$8),DATE(YEAR(AL169)+IF(DATE(YEAR(AL169),MONTH(Settings!$D$8),DAY(Settings!$D$8))&gt;AL169,0,1),MONTH(Settings!$D$8),DAY(Settings!$D$8)),MIN(DATE(YEAR(AL169),MONTH(AL169)+AM169,DAY(AL169)),DATE(YEAR(AL169),MONTH(AL169)+AM169+1,0)))))</f>
        <v/>
      </c>
      <c r="AO169" s="31">
        <f>IF(ISNUMBER(AN169),AN169-Settings!$D$4,"")</f>
        <v/>
      </c>
      <c r="AP169" s="31">
        <f>IF(ISNUMBER(AL169),AL169+0+ROW()/100000,"")</f>
        <v/>
      </c>
      <c r="AQ169" s="31">
        <f>IF(OR(AG169="",NOT(ISNUMBER(AP169))),0,IF(SUMPRODUCT(('Responses'!$AG$2:$AG$501=AG169)*('Responses'!$AJ$2:$AJ$501=1)*ISNUMBER('Responses'!$AP$2:$AP$501)*('Responses'!$AP$2:$AP$501&gt;AP169)) + SUMPRODUCT(('Paper sign-ups'!$K$2:$K$101=AG169)*('Paper sign-ups'!$N$2:$N$101=1)*ISNUMBER('Paper sign-ups'!$T$2:$T$101)*('Paper sign-ups'!$T$2:$T$101&gt;AP169))&gt;0,1,0))</f>
        <v/>
      </c>
      <c r="AR169" s="31">
        <f>IF(AE169="","",IF(AQ169=1,"Joined again",IF(AJ169=0,"Unpaid",IF(NOT(ISNUMBER(AL169)),"Add a join date",IF(AN169="","No reminder",IF(AO169&lt;0,"Lapsed",IF(AO169&lt;=Settings!$D$6,"Remind soon","Current")))))))</f>
        <v/>
      </c>
      <c r="AS169" s="33">
        <f>IF(AJ169=1,IFERROR(VALUE(IFERROR(TRIM(INDEX($A169:$Z169,MATCH(Settings!$L$8,$A$1:$Z$1,0))&amp;""),"")),0)-IFERROR(VALUE(IFERROR(TRIM(INDEX($A169:$Z169,MATCH(Settings!$L$9,$A$1:$Z$1,0))&amp;""),"")),0),0)</f>
        <v/>
      </c>
      <c r="AT169" s="31">
        <f>IF(AND(AE169&lt;&gt;"",AQ169=0),1,0)</f>
        <v/>
      </c>
      <c r="AU169" s="31">
        <f>IF(AT169=0,"",IF(ISNUMBER(AN169),AN169,100000)+0+ROW()/1000000)</f>
        <v/>
      </c>
      <c r="AV169" s="31">
        <f>IF(ISNUMBER(AU169),SUMPRODUCT(ISNUMBER('Responses'!$AU$2:$AU$501)*('Responses'!$AU$2:$AU$501&lt;AU169)) + SUMPRODUCT(ISNUMBER('Paper sign-ups'!$Y$2:$Y$101)*('Paper sign-ups'!$Y$2:$Y$101&lt;AU169))+1,"")</f>
        <v/>
      </c>
    </row>
    <row r="170">
      <c r="AA170" s="29" t="n"/>
      <c r="AB170" s="30" t="n"/>
      <c r="AC170" s="30" t="n"/>
      <c r="AD170" s="29" t="n"/>
      <c r="AE170" s="31">
        <f>IFERROR(TRIM(INDEX($A170:$Z170,MATCH(Settings!$L$4,$A$1:$Z$1,0))&amp;""),"")</f>
        <v/>
      </c>
      <c r="AF170" s="31">
        <f>IFERROR(TRIM(INDEX($A170:$Z170,MATCH(Settings!$L$5,$A$1:$Z$1,0))&amp;""),"")</f>
        <v/>
      </c>
      <c r="AG170" s="31">
        <f>IF(AE170="","",LOWER(IF(AF170&lt;&gt;"",AF170,AE170)))</f>
        <v/>
      </c>
      <c r="AH170" s="31">
        <f>IFERROR(TRIM(INDEX($A170:$Z170,MATCH(Settings!$L$6,$A$1:$Z$1,0))&amp;""),"")</f>
        <v/>
      </c>
      <c r="AI170" s="31">
        <f>IF(AE170="","",IF(UPPER(TRIM(AB170&amp;""))="Y","Paid another way",IF(IFERROR(TRIM(INDEX($A170:$Z170,MATCH(Settings!$L$7,$A$1:$Z$1,0))&amp;""),"")="","No payment status",IFERROR(TRIM(INDEX($A170:$Z170,MATCH(Settings!$L$7,$A$1:$Z$1,0))&amp;""),""))))</f>
        <v/>
      </c>
      <c r="AJ170" s="31">
        <f>IF(AE170="",0,IF(IFERROR(INDEX(Settings!$J$4:$J$14,MATCH(AI170,Settings!$I$4:$I$14,0)),"N")="Y",1,0))</f>
        <v/>
      </c>
      <c r="AK170" s="32">
        <f>IFERROR(INT(IFERROR(IF(ISNUMBER(INDEX($A170:$Z170,MATCH(Settings!$L$10,$A$1:$Z$1,0))),INDEX($A170:$Z170,MATCH(Settings!$L$10,$A$1:$Z$1,0)),DATE(VALUE(LEFT(IFERROR(TRIM(INDEX($A170:$Z170,MATCH(Settings!$L$10,$A$1:$Z$1,0))&amp;""),""),4)),VALUE(MID(IFERROR(TRIM(INDEX($A170:$Z170,MATCH(Settings!$L$10,$A$1:$Z$1,0))&amp;""),""),6,2)),VALUE(MID(IFERROR(TRIM(INDEX($A170:$Z170,MATCH(Settings!$L$10,$A$1:$Z$1,0))&amp;""),""),9,2)))+TIME(VALUE(MID(IFERROR(TRIM(INDEX($A170:$Z170,MATCH(Settings!$L$10,$A$1:$Z$1,0))&amp;""),""),12,2)),VALUE(MID(IFERROR(TRIM(INDEX($A170:$Z170,MATCH(Settings!$L$10,$A$1:$Z$1,0))&amp;""),""),15,2)),VALUE(MID(IFERROR(TRIM(INDEX($A170:$Z170,MATCH(Settings!$L$10,$A$1:$Z$1,0))&amp;""),""),18,2)))),"")),"")</f>
        <v/>
      </c>
      <c r="AL170" s="32">
        <f>IF(AE170="","",IF(ISNUMBER(AK170),AK170,IFERROR(INT(IFERROR(IF(ISNUMBER(INDEX($A170:$Z170,MATCH(Settings!$L$11,$A$1:$Z$1,0))),INDEX($A170:$Z170,MATCH(Settings!$L$11,$A$1:$Z$1,0)),DATE(VALUE(LEFT(IFERROR(TRIM(INDEX($A170:$Z170,MATCH(Settings!$L$11,$A$1:$Z$1,0))&amp;""),""),4)),VALUE(MID(IFERROR(TRIM(INDEX($A170:$Z170,MATCH(Settings!$L$11,$A$1:$Z$1,0))&amp;""),""),6,2)),VALUE(MID(IFERROR(TRIM(INDEX($A170:$Z170,MATCH(Settings!$L$11,$A$1:$Z$1,0))&amp;""),""),9,2)))+TIME(VALUE(MID(IFERROR(TRIM(INDEX($A170:$Z170,MATCH(Settings!$L$11,$A$1:$Z$1,0))&amp;""),""),12,2)),VALUE(MID(IFERROR(TRIM(INDEX($A170:$Z170,MATCH(Settings!$L$11,$A$1:$Z$1,0))&amp;""),""),15,2)),VALUE(MID(IFERROR(TRIM(INDEX($A170:$Z170,MATCH(Settings!$L$11,$A$1:$Z$1,0))&amp;""),""),18,2)))),"")),"")))</f>
        <v/>
      </c>
      <c r="AM170" s="31">
        <f>IF(AE170="","",IF(ISNUMBER(IFERROR(INDEX(Settings!$G$4:$G$11,MATCH(AH170,Settings!$F$4:$F$11,0)),"")),INDEX(Settings!$G$4:$G$11,MATCH(AH170,Settings!$F$4:$F$11,0)),Settings!$D$5))</f>
        <v/>
      </c>
      <c r="AN170" s="32">
        <f>IF(OR(AE170="",NOT(ISNUMBER(AL170)),NOT(ISNUMBER(AM170))),"",IF(AM170&lt;=0,"",IF(ISNUMBER(Settings!$D$8),DATE(YEAR(AL170)+IF(DATE(YEAR(AL170),MONTH(Settings!$D$8),DAY(Settings!$D$8))&gt;AL170,0,1),MONTH(Settings!$D$8),DAY(Settings!$D$8)),MIN(DATE(YEAR(AL170),MONTH(AL170)+AM170,DAY(AL170)),DATE(YEAR(AL170),MONTH(AL170)+AM170+1,0)))))</f>
        <v/>
      </c>
      <c r="AO170" s="31">
        <f>IF(ISNUMBER(AN170),AN170-Settings!$D$4,"")</f>
        <v/>
      </c>
      <c r="AP170" s="31">
        <f>IF(ISNUMBER(AL170),AL170+0+ROW()/100000,"")</f>
        <v/>
      </c>
      <c r="AQ170" s="31">
        <f>IF(OR(AG170="",NOT(ISNUMBER(AP170))),0,IF(SUMPRODUCT(('Responses'!$AG$2:$AG$501=AG170)*('Responses'!$AJ$2:$AJ$501=1)*ISNUMBER('Responses'!$AP$2:$AP$501)*('Responses'!$AP$2:$AP$501&gt;AP170)) + SUMPRODUCT(('Paper sign-ups'!$K$2:$K$101=AG170)*('Paper sign-ups'!$N$2:$N$101=1)*ISNUMBER('Paper sign-ups'!$T$2:$T$101)*('Paper sign-ups'!$T$2:$T$101&gt;AP170))&gt;0,1,0))</f>
        <v/>
      </c>
      <c r="AR170" s="31">
        <f>IF(AE170="","",IF(AQ170=1,"Joined again",IF(AJ170=0,"Unpaid",IF(NOT(ISNUMBER(AL170)),"Add a join date",IF(AN170="","No reminder",IF(AO170&lt;0,"Lapsed",IF(AO170&lt;=Settings!$D$6,"Remind soon","Current")))))))</f>
        <v/>
      </c>
      <c r="AS170" s="33">
        <f>IF(AJ170=1,IFERROR(VALUE(IFERROR(TRIM(INDEX($A170:$Z170,MATCH(Settings!$L$8,$A$1:$Z$1,0))&amp;""),"")),0)-IFERROR(VALUE(IFERROR(TRIM(INDEX($A170:$Z170,MATCH(Settings!$L$9,$A$1:$Z$1,0))&amp;""),"")),0),0)</f>
        <v/>
      </c>
      <c r="AT170" s="31">
        <f>IF(AND(AE170&lt;&gt;"",AQ170=0),1,0)</f>
        <v/>
      </c>
      <c r="AU170" s="31">
        <f>IF(AT170=0,"",IF(ISNUMBER(AN170),AN170,100000)+0+ROW()/1000000)</f>
        <v/>
      </c>
      <c r="AV170" s="31">
        <f>IF(ISNUMBER(AU170),SUMPRODUCT(ISNUMBER('Responses'!$AU$2:$AU$501)*('Responses'!$AU$2:$AU$501&lt;AU170)) + SUMPRODUCT(ISNUMBER('Paper sign-ups'!$Y$2:$Y$101)*('Paper sign-ups'!$Y$2:$Y$101&lt;AU170))+1,"")</f>
        <v/>
      </c>
    </row>
    <row r="171">
      <c r="AA171" s="29" t="n"/>
      <c r="AB171" s="30" t="n"/>
      <c r="AC171" s="30" t="n"/>
      <c r="AD171" s="29" t="n"/>
      <c r="AE171" s="31">
        <f>IFERROR(TRIM(INDEX($A171:$Z171,MATCH(Settings!$L$4,$A$1:$Z$1,0))&amp;""),"")</f>
        <v/>
      </c>
      <c r="AF171" s="31">
        <f>IFERROR(TRIM(INDEX($A171:$Z171,MATCH(Settings!$L$5,$A$1:$Z$1,0))&amp;""),"")</f>
        <v/>
      </c>
      <c r="AG171" s="31">
        <f>IF(AE171="","",LOWER(IF(AF171&lt;&gt;"",AF171,AE171)))</f>
        <v/>
      </c>
      <c r="AH171" s="31">
        <f>IFERROR(TRIM(INDEX($A171:$Z171,MATCH(Settings!$L$6,$A$1:$Z$1,0))&amp;""),"")</f>
        <v/>
      </c>
      <c r="AI171" s="31">
        <f>IF(AE171="","",IF(UPPER(TRIM(AB171&amp;""))="Y","Paid another way",IF(IFERROR(TRIM(INDEX($A171:$Z171,MATCH(Settings!$L$7,$A$1:$Z$1,0))&amp;""),"")="","No payment status",IFERROR(TRIM(INDEX($A171:$Z171,MATCH(Settings!$L$7,$A$1:$Z$1,0))&amp;""),""))))</f>
        <v/>
      </c>
      <c r="AJ171" s="31">
        <f>IF(AE171="",0,IF(IFERROR(INDEX(Settings!$J$4:$J$14,MATCH(AI171,Settings!$I$4:$I$14,0)),"N")="Y",1,0))</f>
        <v/>
      </c>
      <c r="AK171" s="32">
        <f>IFERROR(INT(IFERROR(IF(ISNUMBER(INDEX($A171:$Z171,MATCH(Settings!$L$10,$A$1:$Z$1,0))),INDEX($A171:$Z171,MATCH(Settings!$L$10,$A$1:$Z$1,0)),DATE(VALUE(LEFT(IFERROR(TRIM(INDEX($A171:$Z171,MATCH(Settings!$L$10,$A$1:$Z$1,0))&amp;""),""),4)),VALUE(MID(IFERROR(TRIM(INDEX($A171:$Z171,MATCH(Settings!$L$10,$A$1:$Z$1,0))&amp;""),""),6,2)),VALUE(MID(IFERROR(TRIM(INDEX($A171:$Z171,MATCH(Settings!$L$10,$A$1:$Z$1,0))&amp;""),""),9,2)))+TIME(VALUE(MID(IFERROR(TRIM(INDEX($A171:$Z171,MATCH(Settings!$L$10,$A$1:$Z$1,0))&amp;""),""),12,2)),VALUE(MID(IFERROR(TRIM(INDEX($A171:$Z171,MATCH(Settings!$L$10,$A$1:$Z$1,0))&amp;""),""),15,2)),VALUE(MID(IFERROR(TRIM(INDEX($A171:$Z171,MATCH(Settings!$L$10,$A$1:$Z$1,0))&amp;""),""),18,2)))),"")),"")</f>
        <v/>
      </c>
      <c r="AL171" s="32">
        <f>IF(AE171="","",IF(ISNUMBER(AK171),AK171,IFERROR(INT(IFERROR(IF(ISNUMBER(INDEX($A171:$Z171,MATCH(Settings!$L$11,$A$1:$Z$1,0))),INDEX($A171:$Z171,MATCH(Settings!$L$11,$A$1:$Z$1,0)),DATE(VALUE(LEFT(IFERROR(TRIM(INDEX($A171:$Z171,MATCH(Settings!$L$11,$A$1:$Z$1,0))&amp;""),""),4)),VALUE(MID(IFERROR(TRIM(INDEX($A171:$Z171,MATCH(Settings!$L$11,$A$1:$Z$1,0))&amp;""),""),6,2)),VALUE(MID(IFERROR(TRIM(INDEX($A171:$Z171,MATCH(Settings!$L$11,$A$1:$Z$1,0))&amp;""),""),9,2)))+TIME(VALUE(MID(IFERROR(TRIM(INDEX($A171:$Z171,MATCH(Settings!$L$11,$A$1:$Z$1,0))&amp;""),""),12,2)),VALUE(MID(IFERROR(TRIM(INDEX($A171:$Z171,MATCH(Settings!$L$11,$A$1:$Z$1,0))&amp;""),""),15,2)),VALUE(MID(IFERROR(TRIM(INDEX($A171:$Z171,MATCH(Settings!$L$11,$A$1:$Z$1,0))&amp;""),""),18,2)))),"")),"")))</f>
        <v/>
      </c>
      <c r="AM171" s="31">
        <f>IF(AE171="","",IF(ISNUMBER(IFERROR(INDEX(Settings!$G$4:$G$11,MATCH(AH171,Settings!$F$4:$F$11,0)),"")),INDEX(Settings!$G$4:$G$11,MATCH(AH171,Settings!$F$4:$F$11,0)),Settings!$D$5))</f>
        <v/>
      </c>
      <c r="AN171" s="32">
        <f>IF(OR(AE171="",NOT(ISNUMBER(AL171)),NOT(ISNUMBER(AM171))),"",IF(AM171&lt;=0,"",IF(ISNUMBER(Settings!$D$8),DATE(YEAR(AL171)+IF(DATE(YEAR(AL171),MONTH(Settings!$D$8),DAY(Settings!$D$8))&gt;AL171,0,1),MONTH(Settings!$D$8),DAY(Settings!$D$8)),MIN(DATE(YEAR(AL171),MONTH(AL171)+AM171,DAY(AL171)),DATE(YEAR(AL171),MONTH(AL171)+AM171+1,0)))))</f>
        <v/>
      </c>
      <c r="AO171" s="31">
        <f>IF(ISNUMBER(AN171),AN171-Settings!$D$4,"")</f>
        <v/>
      </c>
      <c r="AP171" s="31">
        <f>IF(ISNUMBER(AL171),AL171+0+ROW()/100000,"")</f>
        <v/>
      </c>
      <c r="AQ171" s="31">
        <f>IF(OR(AG171="",NOT(ISNUMBER(AP171))),0,IF(SUMPRODUCT(('Responses'!$AG$2:$AG$501=AG171)*('Responses'!$AJ$2:$AJ$501=1)*ISNUMBER('Responses'!$AP$2:$AP$501)*('Responses'!$AP$2:$AP$501&gt;AP171)) + SUMPRODUCT(('Paper sign-ups'!$K$2:$K$101=AG171)*('Paper sign-ups'!$N$2:$N$101=1)*ISNUMBER('Paper sign-ups'!$T$2:$T$101)*('Paper sign-ups'!$T$2:$T$101&gt;AP171))&gt;0,1,0))</f>
        <v/>
      </c>
      <c r="AR171" s="31">
        <f>IF(AE171="","",IF(AQ171=1,"Joined again",IF(AJ171=0,"Unpaid",IF(NOT(ISNUMBER(AL171)),"Add a join date",IF(AN171="","No reminder",IF(AO171&lt;0,"Lapsed",IF(AO171&lt;=Settings!$D$6,"Remind soon","Current")))))))</f>
        <v/>
      </c>
      <c r="AS171" s="33">
        <f>IF(AJ171=1,IFERROR(VALUE(IFERROR(TRIM(INDEX($A171:$Z171,MATCH(Settings!$L$8,$A$1:$Z$1,0))&amp;""),"")),0)-IFERROR(VALUE(IFERROR(TRIM(INDEX($A171:$Z171,MATCH(Settings!$L$9,$A$1:$Z$1,0))&amp;""),"")),0),0)</f>
        <v/>
      </c>
      <c r="AT171" s="31">
        <f>IF(AND(AE171&lt;&gt;"",AQ171=0),1,0)</f>
        <v/>
      </c>
      <c r="AU171" s="31">
        <f>IF(AT171=0,"",IF(ISNUMBER(AN171),AN171,100000)+0+ROW()/1000000)</f>
        <v/>
      </c>
      <c r="AV171" s="31">
        <f>IF(ISNUMBER(AU171),SUMPRODUCT(ISNUMBER('Responses'!$AU$2:$AU$501)*('Responses'!$AU$2:$AU$501&lt;AU171)) + SUMPRODUCT(ISNUMBER('Paper sign-ups'!$Y$2:$Y$101)*('Paper sign-ups'!$Y$2:$Y$101&lt;AU171))+1,"")</f>
        <v/>
      </c>
    </row>
    <row r="172">
      <c r="AA172" s="29" t="n"/>
      <c r="AB172" s="30" t="n"/>
      <c r="AC172" s="30" t="n"/>
      <c r="AD172" s="29" t="n"/>
      <c r="AE172" s="31">
        <f>IFERROR(TRIM(INDEX($A172:$Z172,MATCH(Settings!$L$4,$A$1:$Z$1,0))&amp;""),"")</f>
        <v/>
      </c>
      <c r="AF172" s="31">
        <f>IFERROR(TRIM(INDEX($A172:$Z172,MATCH(Settings!$L$5,$A$1:$Z$1,0))&amp;""),"")</f>
        <v/>
      </c>
      <c r="AG172" s="31">
        <f>IF(AE172="","",LOWER(IF(AF172&lt;&gt;"",AF172,AE172)))</f>
        <v/>
      </c>
      <c r="AH172" s="31">
        <f>IFERROR(TRIM(INDEX($A172:$Z172,MATCH(Settings!$L$6,$A$1:$Z$1,0))&amp;""),"")</f>
        <v/>
      </c>
      <c r="AI172" s="31">
        <f>IF(AE172="","",IF(UPPER(TRIM(AB172&amp;""))="Y","Paid another way",IF(IFERROR(TRIM(INDEX($A172:$Z172,MATCH(Settings!$L$7,$A$1:$Z$1,0))&amp;""),"")="","No payment status",IFERROR(TRIM(INDEX($A172:$Z172,MATCH(Settings!$L$7,$A$1:$Z$1,0))&amp;""),""))))</f>
        <v/>
      </c>
      <c r="AJ172" s="31">
        <f>IF(AE172="",0,IF(IFERROR(INDEX(Settings!$J$4:$J$14,MATCH(AI172,Settings!$I$4:$I$14,0)),"N")="Y",1,0))</f>
        <v/>
      </c>
      <c r="AK172" s="32">
        <f>IFERROR(INT(IFERROR(IF(ISNUMBER(INDEX($A172:$Z172,MATCH(Settings!$L$10,$A$1:$Z$1,0))),INDEX($A172:$Z172,MATCH(Settings!$L$10,$A$1:$Z$1,0)),DATE(VALUE(LEFT(IFERROR(TRIM(INDEX($A172:$Z172,MATCH(Settings!$L$10,$A$1:$Z$1,0))&amp;""),""),4)),VALUE(MID(IFERROR(TRIM(INDEX($A172:$Z172,MATCH(Settings!$L$10,$A$1:$Z$1,0))&amp;""),""),6,2)),VALUE(MID(IFERROR(TRIM(INDEX($A172:$Z172,MATCH(Settings!$L$10,$A$1:$Z$1,0))&amp;""),""),9,2)))+TIME(VALUE(MID(IFERROR(TRIM(INDEX($A172:$Z172,MATCH(Settings!$L$10,$A$1:$Z$1,0))&amp;""),""),12,2)),VALUE(MID(IFERROR(TRIM(INDEX($A172:$Z172,MATCH(Settings!$L$10,$A$1:$Z$1,0))&amp;""),""),15,2)),VALUE(MID(IFERROR(TRIM(INDEX($A172:$Z172,MATCH(Settings!$L$10,$A$1:$Z$1,0))&amp;""),""),18,2)))),"")),"")</f>
        <v/>
      </c>
      <c r="AL172" s="32">
        <f>IF(AE172="","",IF(ISNUMBER(AK172),AK172,IFERROR(INT(IFERROR(IF(ISNUMBER(INDEX($A172:$Z172,MATCH(Settings!$L$11,$A$1:$Z$1,0))),INDEX($A172:$Z172,MATCH(Settings!$L$11,$A$1:$Z$1,0)),DATE(VALUE(LEFT(IFERROR(TRIM(INDEX($A172:$Z172,MATCH(Settings!$L$11,$A$1:$Z$1,0))&amp;""),""),4)),VALUE(MID(IFERROR(TRIM(INDEX($A172:$Z172,MATCH(Settings!$L$11,$A$1:$Z$1,0))&amp;""),""),6,2)),VALUE(MID(IFERROR(TRIM(INDEX($A172:$Z172,MATCH(Settings!$L$11,$A$1:$Z$1,0))&amp;""),""),9,2)))+TIME(VALUE(MID(IFERROR(TRIM(INDEX($A172:$Z172,MATCH(Settings!$L$11,$A$1:$Z$1,0))&amp;""),""),12,2)),VALUE(MID(IFERROR(TRIM(INDEX($A172:$Z172,MATCH(Settings!$L$11,$A$1:$Z$1,0))&amp;""),""),15,2)),VALUE(MID(IFERROR(TRIM(INDEX($A172:$Z172,MATCH(Settings!$L$11,$A$1:$Z$1,0))&amp;""),""),18,2)))),"")),"")))</f>
        <v/>
      </c>
      <c r="AM172" s="31">
        <f>IF(AE172="","",IF(ISNUMBER(IFERROR(INDEX(Settings!$G$4:$G$11,MATCH(AH172,Settings!$F$4:$F$11,0)),"")),INDEX(Settings!$G$4:$G$11,MATCH(AH172,Settings!$F$4:$F$11,0)),Settings!$D$5))</f>
        <v/>
      </c>
      <c r="AN172" s="32">
        <f>IF(OR(AE172="",NOT(ISNUMBER(AL172)),NOT(ISNUMBER(AM172))),"",IF(AM172&lt;=0,"",IF(ISNUMBER(Settings!$D$8),DATE(YEAR(AL172)+IF(DATE(YEAR(AL172),MONTH(Settings!$D$8),DAY(Settings!$D$8))&gt;AL172,0,1),MONTH(Settings!$D$8),DAY(Settings!$D$8)),MIN(DATE(YEAR(AL172),MONTH(AL172)+AM172,DAY(AL172)),DATE(YEAR(AL172),MONTH(AL172)+AM172+1,0)))))</f>
        <v/>
      </c>
      <c r="AO172" s="31">
        <f>IF(ISNUMBER(AN172),AN172-Settings!$D$4,"")</f>
        <v/>
      </c>
      <c r="AP172" s="31">
        <f>IF(ISNUMBER(AL172),AL172+0+ROW()/100000,"")</f>
        <v/>
      </c>
      <c r="AQ172" s="31">
        <f>IF(OR(AG172="",NOT(ISNUMBER(AP172))),0,IF(SUMPRODUCT(('Responses'!$AG$2:$AG$501=AG172)*('Responses'!$AJ$2:$AJ$501=1)*ISNUMBER('Responses'!$AP$2:$AP$501)*('Responses'!$AP$2:$AP$501&gt;AP172)) + SUMPRODUCT(('Paper sign-ups'!$K$2:$K$101=AG172)*('Paper sign-ups'!$N$2:$N$101=1)*ISNUMBER('Paper sign-ups'!$T$2:$T$101)*('Paper sign-ups'!$T$2:$T$101&gt;AP172))&gt;0,1,0))</f>
        <v/>
      </c>
      <c r="AR172" s="31">
        <f>IF(AE172="","",IF(AQ172=1,"Joined again",IF(AJ172=0,"Unpaid",IF(NOT(ISNUMBER(AL172)),"Add a join date",IF(AN172="","No reminder",IF(AO172&lt;0,"Lapsed",IF(AO172&lt;=Settings!$D$6,"Remind soon","Current")))))))</f>
        <v/>
      </c>
      <c r="AS172" s="33">
        <f>IF(AJ172=1,IFERROR(VALUE(IFERROR(TRIM(INDEX($A172:$Z172,MATCH(Settings!$L$8,$A$1:$Z$1,0))&amp;""),"")),0)-IFERROR(VALUE(IFERROR(TRIM(INDEX($A172:$Z172,MATCH(Settings!$L$9,$A$1:$Z$1,0))&amp;""),"")),0),0)</f>
        <v/>
      </c>
      <c r="AT172" s="31">
        <f>IF(AND(AE172&lt;&gt;"",AQ172=0),1,0)</f>
        <v/>
      </c>
      <c r="AU172" s="31">
        <f>IF(AT172=0,"",IF(ISNUMBER(AN172),AN172,100000)+0+ROW()/1000000)</f>
        <v/>
      </c>
      <c r="AV172" s="31">
        <f>IF(ISNUMBER(AU172),SUMPRODUCT(ISNUMBER('Responses'!$AU$2:$AU$501)*('Responses'!$AU$2:$AU$501&lt;AU172)) + SUMPRODUCT(ISNUMBER('Paper sign-ups'!$Y$2:$Y$101)*('Paper sign-ups'!$Y$2:$Y$101&lt;AU172))+1,"")</f>
        <v/>
      </c>
    </row>
    <row r="173">
      <c r="AA173" s="29" t="n"/>
      <c r="AB173" s="30" t="n"/>
      <c r="AC173" s="30" t="n"/>
      <c r="AD173" s="29" t="n"/>
      <c r="AE173" s="31">
        <f>IFERROR(TRIM(INDEX($A173:$Z173,MATCH(Settings!$L$4,$A$1:$Z$1,0))&amp;""),"")</f>
        <v/>
      </c>
      <c r="AF173" s="31">
        <f>IFERROR(TRIM(INDEX($A173:$Z173,MATCH(Settings!$L$5,$A$1:$Z$1,0))&amp;""),"")</f>
        <v/>
      </c>
      <c r="AG173" s="31">
        <f>IF(AE173="","",LOWER(IF(AF173&lt;&gt;"",AF173,AE173)))</f>
        <v/>
      </c>
      <c r="AH173" s="31">
        <f>IFERROR(TRIM(INDEX($A173:$Z173,MATCH(Settings!$L$6,$A$1:$Z$1,0))&amp;""),"")</f>
        <v/>
      </c>
      <c r="AI173" s="31">
        <f>IF(AE173="","",IF(UPPER(TRIM(AB173&amp;""))="Y","Paid another way",IF(IFERROR(TRIM(INDEX($A173:$Z173,MATCH(Settings!$L$7,$A$1:$Z$1,0))&amp;""),"")="","No payment status",IFERROR(TRIM(INDEX($A173:$Z173,MATCH(Settings!$L$7,$A$1:$Z$1,0))&amp;""),""))))</f>
        <v/>
      </c>
      <c r="AJ173" s="31">
        <f>IF(AE173="",0,IF(IFERROR(INDEX(Settings!$J$4:$J$14,MATCH(AI173,Settings!$I$4:$I$14,0)),"N")="Y",1,0))</f>
        <v/>
      </c>
      <c r="AK173" s="32">
        <f>IFERROR(INT(IFERROR(IF(ISNUMBER(INDEX($A173:$Z173,MATCH(Settings!$L$10,$A$1:$Z$1,0))),INDEX($A173:$Z173,MATCH(Settings!$L$10,$A$1:$Z$1,0)),DATE(VALUE(LEFT(IFERROR(TRIM(INDEX($A173:$Z173,MATCH(Settings!$L$10,$A$1:$Z$1,0))&amp;""),""),4)),VALUE(MID(IFERROR(TRIM(INDEX($A173:$Z173,MATCH(Settings!$L$10,$A$1:$Z$1,0))&amp;""),""),6,2)),VALUE(MID(IFERROR(TRIM(INDEX($A173:$Z173,MATCH(Settings!$L$10,$A$1:$Z$1,0))&amp;""),""),9,2)))+TIME(VALUE(MID(IFERROR(TRIM(INDEX($A173:$Z173,MATCH(Settings!$L$10,$A$1:$Z$1,0))&amp;""),""),12,2)),VALUE(MID(IFERROR(TRIM(INDEX($A173:$Z173,MATCH(Settings!$L$10,$A$1:$Z$1,0))&amp;""),""),15,2)),VALUE(MID(IFERROR(TRIM(INDEX($A173:$Z173,MATCH(Settings!$L$10,$A$1:$Z$1,0))&amp;""),""),18,2)))),"")),"")</f>
        <v/>
      </c>
      <c r="AL173" s="32">
        <f>IF(AE173="","",IF(ISNUMBER(AK173),AK173,IFERROR(INT(IFERROR(IF(ISNUMBER(INDEX($A173:$Z173,MATCH(Settings!$L$11,$A$1:$Z$1,0))),INDEX($A173:$Z173,MATCH(Settings!$L$11,$A$1:$Z$1,0)),DATE(VALUE(LEFT(IFERROR(TRIM(INDEX($A173:$Z173,MATCH(Settings!$L$11,$A$1:$Z$1,0))&amp;""),""),4)),VALUE(MID(IFERROR(TRIM(INDEX($A173:$Z173,MATCH(Settings!$L$11,$A$1:$Z$1,0))&amp;""),""),6,2)),VALUE(MID(IFERROR(TRIM(INDEX($A173:$Z173,MATCH(Settings!$L$11,$A$1:$Z$1,0))&amp;""),""),9,2)))+TIME(VALUE(MID(IFERROR(TRIM(INDEX($A173:$Z173,MATCH(Settings!$L$11,$A$1:$Z$1,0))&amp;""),""),12,2)),VALUE(MID(IFERROR(TRIM(INDEX($A173:$Z173,MATCH(Settings!$L$11,$A$1:$Z$1,0))&amp;""),""),15,2)),VALUE(MID(IFERROR(TRIM(INDEX($A173:$Z173,MATCH(Settings!$L$11,$A$1:$Z$1,0))&amp;""),""),18,2)))),"")),"")))</f>
        <v/>
      </c>
      <c r="AM173" s="31">
        <f>IF(AE173="","",IF(ISNUMBER(IFERROR(INDEX(Settings!$G$4:$G$11,MATCH(AH173,Settings!$F$4:$F$11,0)),"")),INDEX(Settings!$G$4:$G$11,MATCH(AH173,Settings!$F$4:$F$11,0)),Settings!$D$5))</f>
        <v/>
      </c>
      <c r="AN173" s="32">
        <f>IF(OR(AE173="",NOT(ISNUMBER(AL173)),NOT(ISNUMBER(AM173))),"",IF(AM173&lt;=0,"",IF(ISNUMBER(Settings!$D$8),DATE(YEAR(AL173)+IF(DATE(YEAR(AL173),MONTH(Settings!$D$8),DAY(Settings!$D$8))&gt;AL173,0,1),MONTH(Settings!$D$8),DAY(Settings!$D$8)),MIN(DATE(YEAR(AL173),MONTH(AL173)+AM173,DAY(AL173)),DATE(YEAR(AL173),MONTH(AL173)+AM173+1,0)))))</f>
        <v/>
      </c>
      <c r="AO173" s="31">
        <f>IF(ISNUMBER(AN173),AN173-Settings!$D$4,"")</f>
        <v/>
      </c>
      <c r="AP173" s="31">
        <f>IF(ISNUMBER(AL173),AL173+0+ROW()/100000,"")</f>
        <v/>
      </c>
      <c r="AQ173" s="31">
        <f>IF(OR(AG173="",NOT(ISNUMBER(AP173))),0,IF(SUMPRODUCT(('Responses'!$AG$2:$AG$501=AG173)*('Responses'!$AJ$2:$AJ$501=1)*ISNUMBER('Responses'!$AP$2:$AP$501)*('Responses'!$AP$2:$AP$501&gt;AP173)) + SUMPRODUCT(('Paper sign-ups'!$K$2:$K$101=AG173)*('Paper sign-ups'!$N$2:$N$101=1)*ISNUMBER('Paper sign-ups'!$T$2:$T$101)*('Paper sign-ups'!$T$2:$T$101&gt;AP173))&gt;0,1,0))</f>
        <v/>
      </c>
      <c r="AR173" s="31">
        <f>IF(AE173="","",IF(AQ173=1,"Joined again",IF(AJ173=0,"Unpaid",IF(NOT(ISNUMBER(AL173)),"Add a join date",IF(AN173="","No reminder",IF(AO173&lt;0,"Lapsed",IF(AO173&lt;=Settings!$D$6,"Remind soon","Current")))))))</f>
        <v/>
      </c>
      <c r="AS173" s="33">
        <f>IF(AJ173=1,IFERROR(VALUE(IFERROR(TRIM(INDEX($A173:$Z173,MATCH(Settings!$L$8,$A$1:$Z$1,0))&amp;""),"")),0)-IFERROR(VALUE(IFERROR(TRIM(INDEX($A173:$Z173,MATCH(Settings!$L$9,$A$1:$Z$1,0))&amp;""),"")),0),0)</f>
        <v/>
      </c>
      <c r="AT173" s="31">
        <f>IF(AND(AE173&lt;&gt;"",AQ173=0),1,0)</f>
        <v/>
      </c>
      <c r="AU173" s="31">
        <f>IF(AT173=0,"",IF(ISNUMBER(AN173),AN173,100000)+0+ROW()/1000000)</f>
        <v/>
      </c>
      <c r="AV173" s="31">
        <f>IF(ISNUMBER(AU173),SUMPRODUCT(ISNUMBER('Responses'!$AU$2:$AU$501)*('Responses'!$AU$2:$AU$501&lt;AU173)) + SUMPRODUCT(ISNUMBER('Paper sign-ups'!$Y$2:$Y$101)*('Paper sign-ups'!$Y$2:$Y$101&lt;AU173))+1,"")</f>
        <v/>
      </c>
    </row>
    <row r="174">
      <c r="AA174" s="29" t="n"/>
      <c r="AB174" s="30" t="n"/>
      <c r="AC174" s="30" t="n"/>
      <c r="AD174" s="29" t="n"/>
      <c r="AE174" s="31">
        <f>IFERROR(TRIM(INDEX($A174:$Z174,MATCH(Settings!$L$4,$A$1:$Z$1,0))&amp;""),"")</f>
        <v/>
      </c>
      <c r="AF174" s="31">
        <f>IFERROR(TRIM(INDEX($A174:$Z174,MATCH(Settings!$L$5,$A$1:$Z$1,0))&amp;""),"")</f>
        <v/>
      </c>
      <c r="AG174" s="31">
        <f>IF(AE174="","",LOWER(IF(AF174&lt;&gt;"",AF174,AE174)))</f>
        <v/>
      </c>
      <c r="AH174" s="31">
        <f>IFERROR(TRIM(INDEX($A174:$Z174,MATCH(Settings!$L$6,$A$1:$Z$1,0))&amp;""),"")</f>
        <v/>
      </c>
      <c r="AI174" s="31">
        <f>IF(AE174="","",IF(UPPER(TRIM(AB174&amp;""))="Y","Paid another way",IF(IFERROR(TRIM(INDEX($A174:$Z174,MATCH(Settings!$L$7,$A$1:$Z$1,0))&amp;""),"")="","No payment status",IFERROR(TRIM(INDEX($A174:$Z174,MATCH(Settings!$L$7,$A$1:$Z$1,0))&amp;""),""))))</f>
        <v/>
      </c>
      <c r="AJ174" s="31">
        <f>IF(AE174="",0,IF(IFERROR(INDEX(Settings!$J$4:$J$14,MATCH(AI174,Settings!$I$4:$I$14,0)),"N")="Y",1,0))</f>
        <v/>
      </c>
      <c r="AK174" s="32">
        <f>IFERROR(INT(IFERROR(IF(ISNUMBER(INDEX($A174:$Z174,MATCH(Settings!$L$10,$A$1:$Z$1,0))),INDEX($A174:$Z174,MATCH(Settings!$L$10,$A$1:$Z$1,0)),DATE(VALUE(LEFT(IFERROR(TRIM(INDEX($A174:$Z174,MATCH(Settings!$L$10,$A$1:$Z$1,0))&amp;""),""),4)),VALUE(MID(IFERROR(TRIM(INDEX($A174:$Z174,MATCH(Settings!$L$10,$A$1:$Z$1,0))&amp;""),""),6,2)),VALUE(MID(IFERROR(TRIM(INDEX($A174:$Z174,MATCH(Settings!$L$10,$A$1:$Z$1,0))&amp;""),""),9,2)))+TIME(VALUE(MID(IFERROR(TRIM(INDEX($A174:$Z174,MATCH(Settings!$L$10,$A$1:$Z$1,0))&amp;""),""),12,2)),VALUE(MID(IFERROR(TRIM(INDEX($A174:$Z174,MATCH(Settings!$L$10,$A$1:$Z$1,0))&amp;""),""),15,2)),VALUE(MID(IFERROR(TRIM(INDEX($A174:$Z174,MATCH(Settings!$L$10,$A$1:$Z$1,0))&amp;""),""),18,2)))),"")),"")</f>
        <v/>
      </c>
      <c r="AL174" s="32">
        <f>IF(AE174="","",IF(ISNUMBER(AK174),AK174,IFERROR(INT(IFERROR(IF(ISNUMBER(INDEX($A174:$Z174,MATCH(Settings!$L$11,$A$1:$Z$1,0))),INDEX($A174:$Z174,MATCH(Settings!$L$11,$A$1:$Z$1,0)),DATE(VALUE(LEFT(IFERROR(TRIM(INDEX($A174:$Z174,MATCH(Settings!$L$11,$A$1:$Z$1,0))&amp;""),""),4)),VALUE(MID(IFERROR(TRIM(INDEX($A174:$Z174,MATCH(Settings!$L$11,$A$1:$Z$1,0))&amp;""),""),6,2)),VALUE(MID(IFERROR(TRIM(INDEX($A174:$Z174,MATCH(Settings!$L$11,$A$1:$Z$1,0))&amp;""),""),9,2)))+TIME(VALUE(MID(IFERROR(TRIM(INDEX($A174:$Z174,MATCH(Settings!$L$11,$A$1:$Z$1,0))&amp;""),""),12,2)),VALUE(MID(IFERROR(TRIM(INDEX($A174:$Z174,MATCH(Settings!$L$11,$A$1:$Z$1,0))&amp;""),""),15,2)),VALUE(MID(IFERROR(TRIM(INDEX($A174:$Z174,MATCH(Settings!$L$11,$A$1:$Z$1,0))&amp;""),""),18,2)))),"")),"")))</f>
        <v/>
      </c>
      <c r="AM174" s="31">
        <f>IF(AE174="","",IF(ISNUMBER(IFERROR(INDEX(Settings!$G$4:$G$11,MATCH(AH174,Settings!$F$4:$F$11,0)),"")),INDEX(Settings!$G$4:$G$11,MATCH(AH174,Settings!$F$4:$F$11,0)),Settings!$D$5))</f>
        <v/>
      </c>
      <c r="AN174" s="32">
        <f>IF(OR(AE174="",NOT(ISNUMBER(AL174)),NOT(ISNUMBER(AM174))),"",IF(AM174&lt;=0,"",IF(ISNUMBER(Settings!$D$8),DATE(YEAR(AL174)+IF(DATE(YEAR(AL174),MONTH(Settings!$D$8),DAY(Settings!$D$8))&gt;AL174,0,1),MONTH(Settings!$D$8),DAY(Settings!$D$8)),MIN(DATE(YEAR(AL174),MONTH(AL174)+AM174,DAY(AL174)),DATE(YEAR(AL174),MONTH(AL174)+AM174+1,0)))))</f>
        <v/>
      </c>
      <c r="AO174" s="31">
        <f>IF(ISNUMBER(AN174),AN174-Settings!$D$4,"")</f>
        <v/>
      </c>
      <c r="AP174" s="31">
        <f>IF(ISNUMBER(AL174),AL174+0+ROW()/100000,"")</f>
        <v/>
      </c>
      <c r="AQ174" s="31">
        <f>IF(OR(AG174="",NOT(ISNUMBER(AP174))),0,IF(SUMPRODUCT(('Responses'!$AG$2:$AG$501=AG174)*('Responses'!$AJ$2:$AJ$501=1)*ISNUMBER('Responses'!$AP$2:$AP$501)*('Responses'!$AP$2:$AP$501&gt;AP174)) + SUMPRODUCT(('Paper sign-ups'!$K$2:$K$101=AG174)*('Paper sign-ups'!$N$2:$N$101=1)*ISNUMBER('Paper sign-ups'!$T$2:$T$101)*('Paper sign-ups'!$T$2:$T$101&gt;AP174))&gt;0,1,0))</f>
        <v/>
      </c>
      <c r="AR174" s="31">
        <f>IF(AE174="","",IF(AQ174=1,"Joined again",IF(AJ174=0,"Unpaid",IF(NOT(ISNUMBER(AL174)),"Add a join date",IF(AN174="","No reminder",IF(AO174&lt;0,"Lapsed",IF(AO174&lt;=Settings!$D$6,"Remind soon","Current")))))))</f>
        <v/>
      </c>
      <c r="AS174" s="33">
        <f>IF(AJ174=1,IFERROR(VALUE(IFERROR(TRIM(INDEX($A174:$Z174,MATCH(Settings!$L$8,$A$1:$Z$1,0))&amp;""),"")),0)-IFERROR(VALUE(IFERROR(TRIM(INDEX($A174:$Z174,MATCH(Settings!$L$9,$A$1:$Z$1,0))&amp;""),"")),0),0)</f>
        <v/>
      </c>
      <c r="AT174" s="31">
        <f>IF(AND(AE174&lt;&gt;"",AQ174=0),1,0)</f>
        <v/>
      </c>
      <c r="AU174" s="31">
        <f>IF(AT174=0,"",IF(ISNUMBER(AN174),AN174,100000)+0+ROW()/1000000)</f>
        <v/>
      </c>
      <c r="AV174" s="31">
        <f>IF(ISNUMBER(AU174),SUMPRODUCT(ISNUMBER('Responses'!$AU$2:$AU$501)*('Responses'!$AU$2:$AU$501&lt;AU174)) + SUMPRODUCT(ISNUMBER('Paper sign-ups'!$Y$2:$Y$101)*('Paper sign-ups'!$Y$2:$Y$101&lt;AU174))+1,"")</f>
        <v/>
      </c>
    </row>
    <row r="175">
      <c r="AA175" s="29" t="n"/>
      <c r="AB175" s="30" t="n"/>
      <c r="AC175" s="30" t="n"/>
      <c r="AD175" s="29" t="n"/>
      <c r="AE175" s="31">
        <f>IFERROR(TRIM(INDEX($A175:$Z175,MATCH(Settings!$L$4,$A$1:$Z$1,0))&amp;""),"")</f>
        <v/>
      </c>
      <c r="AF175" s="31">
        <f>IFERROR(TRIM(INDEX($A175:$Z175,MATCH(Settings!$L$5,$A$1:$Z$1,0))&amp;""),"")</f>
        <v/>
      </c>
      <c r="AG175" s="31">
        <f>IF(AE175="","",LOWER(IF(AF175&lt;&gt;"",AF175,AE175)))</f>
        <v/>
      </c>
      <c r="AH175" s="31">
        <f>IFERROR(TRIM(INDEX($A175:$Z175,MATCH(Settings!$L$6,$A$1:$Z$1,0))&amp;""),"")</f>
        <v/>
      </c>
      <c r="AI175" s="31">
        <f>IF(AE175="","",IF(UPPER(TRIM(AB175&amp;""))="Y","Paid another way",IF(IFERROR(TRIM(INDEX($A175:$Z175,MATCH(Settings!$L$7,$A$1:$Z$1,0))&amp;""),"")="","No payment status",IFERROR(TRIM(INDEX($A175:$Z175,MATCH(Settings!$L$7,$A$1:$Z$1,0))&amp;""),""))))</f>
        <v/>
      </c>
      <c r="AJ175" s="31">
        <f>IF(AE175="",0,IF(IFERROR(INDEX(Settings!$J$4:$J$14,MATCH(AI175,Settings!$I$4:$I$14,0)),"N")="Y",1,0))</f>
        <v/>
      </c>
      <c r="AK175" s="32">
        <f>IFERROR(INT(IFERROR(IF(ISNUMBER(INDEX($A175:$Z175,MATCH(Settings!$L$10,$A$1:$Z$1,0))),INDEX($A175:$Z175,MATCH(Settings!$L$10,$A$1:$Z$1,0)),DATE(VALUE(LEFT(IFERROR(TRIM(INDEX($A175:$Z175,MATCH(Settings!$L$10,$A$1:$Z$1,0))&amp;""),""),4)),VALUE(MID(IFERROR(TRIM(INDEX($A175:$Z175,MATCH(Settings!$L$10,$A$1:$Z$1,0))&amp;""),""),6,2)),VALUE(MID(IFERROR(TRIM(INDEX($A175:$Z175,MATCH(Settings!$L$10,$A$1:$Z$1,0))&amp;""),""),9,2)))+TIME(VALUE(MID(IFERROR(TRIM(INDEX($A175:$Z175,MATCH(Settings!$L$10,$A$1:$Z$1,0))&amp;""),""),12,2)),VALUE(MID(IFERROR(TRIM(INDEX($A175:$Z175,MATCH(Settings!$L$10,$A$1:$Z$1,0))&amp;""),""),15,2)),VALUE(MID(IFERROR(TRIM(INDEX($A175:$Z175,MATCH(Settings!$L$10,$A$1:$Z$1,0))&amp;""),""),18,2)))),"")),"")</f>
        <v/>
      </c>
      <c r="AL175" s="32">
        <f>IF(AE175="","",IF(ISNUMBER(AK175),AK175,IFERROR(INT(IFERROR(IF(ISNUMBER(INDEX($A175:$Z175,MATCH(Settings!$L$11,$A$1:$Z$1,0))),INDEX($A175:$Z175,MATCH(Settings!$L$11,$A$1:$Z$1,0)),DATE(VALUE(LEFT(IFERROR(TRIM(INDEX($A175:$Z175,MATCH(Settings!$L$11,$A$1:$Z$1,0))&amp;""),""),4)),VALUE(MID(IFERROR(TRIM(INDEX($A175:$Z175,MATCH(Settings!$L$11,$A$1:$Z$1,0))&amp;""),""),6,2)),VALUE(MID(IFERROR(TRIM(INDEX($A175:$Z175,MATCH(Settings!$L$11,$A$1:$Z$1,0))&amp;""),""),9,2)))+TIME(VALUE(MID(IFERROR(TRIM(INDEX($A175:$Z175,MATCH(Settings!$L$11,$A$1:$Z$1,0))&amp;""),""),12,2)),VALUE(MID(IFERROR(TRIM(INDEX($A175:$Z175,MATCH(Settings!$L$11,$A$1:$Z$1,0))&amp;""),""),15,2)),VALUE(MID(IFERROR(TRIM(INDEX($A175:$Z175,MATCH(Settings!$L$11,$A$1:$Z$1,0))&amp;""),""),18,2)))),"")),"")))</f>
        <v/>
      </c>
      <c r="AM175" s="31">
        <f>IF(AE175="","",IF(ISNUMBER(IFERROR(INDEX(Settings!$G$4:$G$11,MATCH(AH175,Settings!$F$4:$F$11,0)),"")),INDEX(Settings!$G$4:$G$11,MATCH(AH175,Settings!$F$4:$F$11,0)),Settings!$D$5))</f>
        <v/>
      </c>
      <c r="AN175" s="32">
        <f>IF(OR(AE175="",NOT(ISNUMBER(AL175)),NOT(ISNUMBER(AM175))),"",IF(AM175&lt;=0,"",IF(ISNUMBER(Settings!$D$8),DATE(YEAR(AL175)+IF(DATE(YEAR(AL175),MONTH(Settings!$D$8),DAY(Settings!$D$8))&gt;AL175,0,1),MONTH(Settings!$D$8),DAY(Settings!$D$8)),MIN(DATE(YEAR(AL175),MONTH(AL175)+AM175,DAY(AL175)),DATE(YEAR(AL175),MONTH(AL175)+AM175+1,0)))))</f>
        <v/>
      </c>
      <c r="AO175" s="31">
        <f>IF(ISNUMBER(AN175),AN175-Settings!$D$4,"")</f>
        <v/>
      </c>
      <c r="AP175" s="31">
        <f>IF(ISNUMBER(AL175),AL175+0+ROW()/100000,"")</f>
        <v/>
      </c>
      <c r="AQ175" s="31">
        <f>IF(OR(AG175="",NOT(ISNUMBER(AP175))),0,IF(SUMPRODUCT(('Responses'!$AG$2:$AG$501=AG175)*('Responses'!$AJ$2:$AJ$501=1)*ISNUMBER('Responses'!$AP$2:$AP$501)*('Responses'!$AP$2:$AP$501&gt;AP175)) + SUMPRODUCT(('Paper sign-ups'!$K$2:$K$101=AG175)*('Paper sign-ups'!$N$2:$N$101=1)*ISNUMBER('Paper sign-ups'!$T$2:$T$101)*('Paper sign-ups'!$T$2:$T$101&gt;AP175))&gt;0,1,0))</f>
        <v/>
      </c>
      <c r="AR175" s="31">
        <f>IF(AE175="","",IF(AQ175=1,"Joined again",IF(AJ175=0,"Unpaid",IF(NOT(ISNUMBER(AL175)),"Add a join date",IF(AN175="","No reminder",IF(AO175&lt;0,"Lapsed",IF(AO175&lt;=Settings!$D$6,"Remind soon","Current")))))))</f>
        <v/>
      </c>
      <c r="AS175" s="33">
        <f>IF(AJ175=1,IFERROR(VALUE(IFERROR(TRIM(INDEX($A175:$Z175,MATCH(Settings!$L$8,$A$1:$Z$1,0))&amp;""),"")),0)-IFERROR(VALUE(IFERROR(TRIM(INDEX($A175:$Z175,MATCH(Settings!$L$9,$A$1:$Z$1,0))&amp;""),"")),0),0)</f>
        <v/>
      </c>
      <c r="AT175" s="31">
        <f>IF(AND(AE175&lt;&gt;"",AQ175=0),1,0)</f>
        <v/>
      </c>
      <c r="AU175" s="31">
        <f>IF(AT175=0,"",IF(ISNUMBER(AN175),AN175,100000)+0+ROW()/1000000)</f>
        <v/>
      </c>
      <c r="AV175" s="31">
        <f>IF(ISNUMBER(AU175),SUMPRODUCT(ISNUMBER('Responses'!$AU$2:$AU$501)*('Responses'!$AU$2:$AU$501&lt;AU175)) + SUMPRODUCT(ISNUMBER('Paper sign-ups'!$Y$2:$Y$101)*('Paper sign-ups'!$Y$2:$Y$101&lt;AU175))+1,"")</f>
        <v/>
      </c>
    </row>
    <row r="176">
      <c r="AA176" s="29" t="n"/>
      <c r="AB176" s="30" t="n"/>
      <c r="AC176" s="30" t="n"/>
      <c r="AD176" s="29" t="n"/>
      <c r="AE176" s="31">
        <f>IFERROR(TRIM(INDEX($A176:$Z176,MATCH(Settings!$L$4,$A$1:$Z$1,0))&amp;""),"")</f>
        <v/>
      </c>
      <c r="AF176" s="31">
        <f>IFERROR(TRIM(INDEX($A176:$Z176,MATCH(Settings!$L$5,$A$1:$Z$1,0))&amp;""),"")</f>
        <v/>
      </c>
      <c r="AG176" s="31">
        <f>IF(AE176="","",LOWER(IF(AF176&lt;&gt;"",AF176,AE176)))</f>
        <v/>
      </c>
      <c r="AH176" s="31">
        <f>IFERROR(TRIM(INDEX($A176:$Z176,MATCH(Settings!$L$6,$A$1:$Z$1,0))&amp;""),"")</f>
        <v/>
      </c>
      <c r="AI176" s="31">
        <f>IF(AE176="","",IF(UPPER(TRIM(AB176&amp;""))="Y","Paid another way",IF(IFERROR(TRIM(INDEX($A176:$Z176,MATCH(Settings!$L$7,$A$1:$Z$1,0))&amp;""),"")="","No payment status",IFERROR(TRIM(INDEX($A176:$Z176,MATCH(Settings!$L$7,$A$1:$Z$1,0))&amp;""),""))))</f>
        <v/>
      </c>
      <c r="AJ176" s="31">
        <f>IF(AE176="",0,IF(IFERROR(INDEX(Settings!$J$4:$J$14,MATCH(AI176,Settings!$I$4:$I$14,0)),"N")="Y",1,0))</f>
        <v/>
      </c>
      <c r="AK176" s="32">
        <f>IFERROR(INT(IFERROR(IF(ISNUMBER(INDEX($A176:$Z176,MATCH(Settings!$L$10,$A$1:$Z$1,0))),INDEX($A176:$Z176,MATCH(Settings!$L$10,$A$1:$Z$1,0)),DATE(VALUE(LEFT(IFERROR(TRIM(INDEX($A176:$Z176,MATCH(Settings!$L$10,$A$1:$Z$1,0))&amp;""),""),4)),VALUE(MID(IFERROR(TRIM(INDEX($A176:$Z176,MATCH(Settings!$L$10,$A$1:$Z$1,0))&amp;""),""),6,2)),VALUE(MID(IFERROR(TRIM(INDEX($A176:$Z176,MATCH(Settings!$L$10,$A$1:$Z$1,0))&amp;""),""),9,2)))+TIME(VALUE(MID(IFERROR(TRIM(INDEX($A176:$Z176,MATCH(Settings!$L$10,$A$1:$Z$1,0))&amp;""),""),12,2)),VALUE(MID(IFERROR(TRIM(INDEX($A176:$Z176,MATCH(Settings!$L$10,$A$1:$Z$1,0))&amp;""),""),15,2)),VALUE(MID(IFERROR(TRIM(INDEX($A176:$Z176,MATCH(Settings!$L$10,$A$1:$Z$1,0))&amp;""),""),18,2)))),"")),"")</f>
        <v/>
      </c>
      <c r="AL176" s="32">
        <f>IF(AE176="","",IF(ISNUMBER(AK176),AK176,IFERROR(INT(IFERROR(IF(ISNUMBER(INDEX($A176:$Z176,MATCH(Settings!$L$11,$A$1:$Z$1,0))),INDEX($A176:$Z176,MATCH(Settings!$L$11,$A$1:$Z$1,0)),DATE(VALUE(LEFT(IFERROR(TRIM(INDEX($A176:$Z176,MATCH(Settings!$L$11,$A$1:$Z$1,0))&amp;""),""),4)),VALUE(MID(IFERROR(TRIM(INDEX($A176:$Z176,MATCH(Settings!$L$11,$A$1:$Z$1,0))&amp;""),""),6,2)),VALUE(MID(IFERROR(TRIM(INDEX($A176:$Z176,MATCH(Settings!$L$11,$A$1:$Z$1,0))&amp;""),""),9,2)))+TIME(VALUE(MID(IFERROR(TRIM(INDEX($A176:$Z176,MATCH(Settings!$L$11,$A$1:$Z$1,0))&amp;""),""),12,2)),VALUE(MID(IFERROR(TRIM(INDEX($A176:$Z176,MATCH(Settings!$L$11,$A$1:$Z$1,0))&amp;""),""),15,2)),VALUE(MID(IFERROR(TRIM(INDEX($A176:$Z176,MATCH(Settings!$L$11,$A$1:$Z$1,0))&amp;""),""),18,2)))),"")),"")))</f>
        <v/>
      </c>
      <c r="AM176" s="31">
        <f>IF(AE176="","",IF(ISNUMBER(IFERROR(INDEX(Settings!$G$4:$G$11,MATCH(AH176,Settings!$F$4:$F$11,0)),"")),INDEX(Settings!$G$4:$G$11,MATCH(AH176,Settings!$F$4:$F$11,0)),Settings!$D$5))</f>
        <v/>
      </c>
      <c r="AN176" s="32">
        <f>IF(OR(AE176="",NOT(ISNUMBER(AL176)),NOT(ISNUMBER(AM176))),"",IF(AM176&lt;=0,"",IF(ISNUMBER(Settings!$D$8),DATE(YEAR(AL176)+IF(DATE(YEAR(AL176),MONTH(Settings!$D$8),DAY(Settings!$D$8))&gt;AL176,0,1),MONTH(Settings!$D$8),DAY(Settings!$D$8)),MIN(DATE(YEAR(AL176),MONTH(AL176)+AM176,DAY(AL176)),DATE(YEAR(AL176),MONTH(AL176)+AM176+1,0)))))</f>
        <v/>
      </c>
      <c r="AO176" s="31">
        <f>IF(ISNUMBER(AN176),AN176-Settings!$D$4,"")</f>
        <v/>
      </c>
      <c r="AP176" s="31">
        <f>IF(ISNUMBER(AL176),AL176+0+ROW()/100000,"")</f>
        <v/>
      </c>
      <c r="AQ176" s="31">
        <f>IF(OR(AG176="",NOT(ISNUMBER(AP176))),0,IF(SUMPRODUCT(('Responses'!$AG$2:$AG$501=AG176)*('Responses'!$AJ$2:$AJ$501=1)*ISNUMBER('Responses'!$AP$2:$AP$501)*('Responses'!$AP$2:$AP$501&gt;AP176)) + SUMPRODUCT(('Paper sign-ups'!$K$2:$K$101=AG176)*('Paper sign-ups'!$N$2:$N$101=1)*ISNUMBER('Paper sign-ups'!$T$2:$T$101)*('Paper sign-ups'!$T$2:$T$101&gt;AP176))&gt;0,1,0))</f>
        <v/>
      </c>
      <c r="AR176" s="31">
        <f>IF(AE176="","",IF(AQ176=1,"Joined again",IF(AJ176=0,"Unpaid",IF(NOT(ISNUMBER(AL176)),"Add a join date",IF(AN176="","No reminder",IF(AO176&lt;0,"Lapsed",IF(AO176&lt;=Settings!$D$6,"Remind soon","Current")))))))</f>
        <v/>
      </c>
      <c r="AS176" s="33">
        <f>IF(AJ176=1,IFERROR(VALUE(IFERROR(TRIM(INDEX($A176:$Z176,MATCH(Settings!$L$8,$A$1:$Z$1,0))&amp;""),"")),0)-IFERROR(VALUE(IFERROR(TRIM(INDEX($A176:$Z176,MATCH(Settings!$L$9,$A$1:$Z$1,0))&amp;""),"")),0),0)</f>
        <v/>
      </c>
      <c r="AT176" s="31">
        <f>IF(AND(AE176&lt;&gt;"",AQ176=0),1,0)</f>
        <v/>
      </c>
      <c r="AU176" s="31">
        <f>IF(AT176=0,"",IF(ISNUMBER(AN176),AN176,100000)+0+ROW()/1000000)</f>
        <v/>
      </c>
      <c r="AV176" s="31">
        <f>IF(ISNUMBER(AU176),SUMPRODUCT(ISNUMBER('Responses'!$AU$2:$AU$501)*('Responses'!$AU$2:$AU$501&lt;AU176)) + SUMPRODUCT(ISNUMBER('Paper sign-ups'!$Y$2:$Y$101)*('Paper sign-ups'!$Y$2:$Y$101&lt;AU176))+1,"")</f>
        <v/>
      </c>
    </row>
    <row r="177">
      <c r="AA177" s="29" t="n"/>
      <c r="AB177" s="30" t="n"/>
      <c r="AC177" s="30" t="n"/>
      <c r="AD177" s="29" t="n"/>
      <c r="AE177" s="31">
        <f>IFERROR(TRIM(INDEX($A177:$Z177,MATCH(Settings!$L$4,$A$1:$Z$1,0))&amp;""),"")</f>
        <v/>
      </c>
      <c r="AF177" s="31">
        <f>IFERROR(TRIM(INDEX($A177:$Z177,MATCH(Settings!$L$5,$A$1:$Z$1,0))&amp;""),"")</f>
        <v/>
      </c>
      <c r="AG177" s="31">
        <f>IF(AE177="","",LOWER(IF(AF177&lt;&gt;"",AF177,AE177)))</f>
        <v/>
      </c>
      <c r="AH177" s="31">
        <f>IFERROR(TRIM(INDEX($A177:$Z177,MATCH(Settings!$L$6,$A$1:$Z$1,0))&amp;""),"")</f>
        <v/>
      </c>
      <c r="AI177" s="31">
        <f>IF(AE177="","",IF(UPPER(TRIM(AB177&amp;""))="Y","Paid another way",IF(IFERROR(TRIM(INDEX($A177:$Z177,MATCH(Settings!$L$7,$A$1:$Z$1,0))&amp;""),"")="","No payment status",IFERROR(TRIM(INDEX($A177:$Z177,MATCH(Settings!$L$7,$A$1:$Z$1,0))&amp;""),""))))</f>
        <v/>
      </c>
      <c r="AJ177" s="31">
        <f>IF(AE177="",0,IF(IFERROR(INDEX(Settings!$J$4:$J$14,MATCH(AI177,Settings!$I$4:$I$14,0)),"N")="Y",1,0))</f>
        <v/>
      </c>
      <c r="AK177" s="32">
        <f>IFERROR(INT(IFERROR(IF(ISNUMBER(INDEX($A177:$Z177,MATCH(Settings!$L$10,$A$1:$Z$1,0))),INDEX($A177:$Z177,MATCH(Settings!$L$10,$A$1:$Z$1,0)),DATE(VALUE(LEFT(IFERROR(TRIM(INDEX($A177:$Z177,MATCH(Settings!$L$10,$A$1:$Z$1,0))&amp;""),""),4)),VALUE(MID(IFERROR(TRIM(INDEX($A177:$Z177,MATCH(Settings!$L$10,$A$1:$Z$1,0))&amp;""),""),6,2)),VALUE(MID(IFERROR(TRIM(INDEX($A177:$Z177,MATCH(Settings!$L$10,$A$1:$Z$1,0))&amp;""),""),9,2)))+TIME(VALUE(MID(IFERROR(TRIM(INDEX($A177:$Z177,MATCH(Settings!$L$10,$A$1:$Z$1,0))&amp;""),""),12,2)),VALUE(MID(IFERROR(TRIM(INDEX($A177:$Z177,MATCH(Settings!$L$10,$A$1:$Z$1,0))&amp;""),""),15,2)),VALUE(MID(IFERROR(TRIM(INDEX($A177:$Z177,MATCH(Settings!$L$10,$A$1:$Z$1,0))&amp;""),""),18,2)))),"")),"")</f>
        <v/>
      </c>
      <c r="AL177" s="32">
        <f>IF(AE177="","",IF(ISNUMBER(AK177),AK177,IFERROR(INT(IFERROR(IF(ISNUMBER(INDEX($A177:$Z177,MATCH(Settings!$L$11,$A$1:$Z$1,0))),INDEX($A177:$Z177,MATCH(Settings!$L$11,$A$1:$Z$1,0)),DATE(VALUE(LEFT(IFERROR(TRIM(INDEX($A177:$Z177,MATCH(Settings!$L$11,$A$1:$Z$1,0))&amp;""),""),4)),VALUE(MID(IFERROR(TRIM(INDEX($A177:$Z177,MATCH(Settings!$L$11,$A$1:$Z$1,0))&amp;""),""),6,2)),VALUE(MID(IFERROR(TRIM(INDEX($A177:$Z177,MATCH(Settings!$L$11,$A$1:$Z$1,0))&amp;""),""),9,2)))+TIME(VALUE(MID(IFERROR(TRIM(INDEX($A177:$Z177,MATCH(Settings!$L$11,$A$1:$Z$1,0))&amp;""),""),12,2)),VALUE(MID(IFERROR(TRIM(INDEX($A177:$Z177,MATCH(Settings!$L$11,$A$1:$Z$1,0))&amp;""),""),15,2)),VALUE(MID(IFERROR(TRIM(INDEX($A177:$Z177,MATCH(Settings!$L$11,$A$1:$Z$1,0))&amp;""),""),18,2)))),"")),"")))</f>
        <v/>
      </c>
      <c r="AM177" s="31">
        <f>IF(AE177="","",IF(ISNUMBER(IFERROR(INDEX(Settings!$G$4:$G$11,MATCH(AH177,Settings!$F$4:$F$11,0)),"")),INDEX(Settings!$G$4:$G$11,MATCH(AH177,Settings!$F$4:$F$11,0)),Settings!$D$5))</f>
        <v/>
      </c>
      <c r="AN177" s="32">
        <f>IF(OR(AE177="",NOT(ISNUMBER(AL177)),NOT(ISNUMBER(AM177))),"",IF(AM177&lt;=0,"",IF(ISNUMBER(Settings!$D$8),DATE(YEAR(AL177)+IF(DATE(YEAR(AL177),MONTH(Settings!$D$8),DAY(Settings!$D$8))&gt;AL177,0,1),MONTH(Settings!$D$8),DAY(Settings!$D$8)),MIN(DATE(YEAR(AL177),MONTH(AL177)+AM177,DAY(AL177)),DATE(YEAR(AL177),MONTH(AL177)+AM177+1,0)))))</f>
        <v/>
      </c>
      <c r="AO177" s="31">
        <f>IF(ISNUMBER(AN177),AN177-Settings!$D$4,"")</f>
        <v/>
      </c>
      <c r="AP177" s="31">
        <f>IF(ISNUMBER(AL177),AL177+0+ROW()/100000,"")</f>
        <v/>
      </c>
      <c r="AQ177" s="31">
        <f>IF(OR(AG177="",NOT(ISNUMBER(AP177))),0,IF(SUMPRODUCT(('Responses'!$AG$2:$AG$501=AG177)*('Responses'!$AJ$2:$AJ$501=1)*ISNUMBER('Responses'!$AP$2:$AP$501)*('Responses'!$AP$2:$AP$501&gt;AP177)) + SUMPRODUCT(('Paper sign-ups'!$K$2:$K$101=AG177)*('Paper sign-ups'!$N$2:$N$101=1)*ISNUMBER('Paper sign-ups'!$T$2:$T$101)*('Paper sign-ups'!$T$2:$T$101&gt;AP177))&gt;0,1,0))</f>
        <v/>
      </c>
      <c r="AR177" s="31">
        <f>IF(AE177="","",IF(AQ177=1,"Joined again",IF(AJ177=0,"Unpaid",IF(NOT(ISNUMBER(AL177)),"Add a join date",IF(AN177="","No reminder",IF(AO177&lt;0,"Lapsed",IF(AO177&lt;=Settings!$D$6,"Remind soon","Current")))))))</f>
        <v/>
      </c>
      <c r="AS177" s="33">
        <f>IF(AJ177=1,IFERROR(VALUE(IFERROR(TRIM(INDEX($A177:$Z177,MATCH(Settings!$L$8,$A$1:$Z$1,0))&amp;""),"")),0)-IFERROR(VALUE(IFERROR(TRIM(INDEX($A177:$Z177,MATCH(Settings!$L$9,$A$1:$Z$1,0))&amp;""),"")),0),0)</f>
        <v/>
      </c>
      <c r="AT177" s="31">
        <f>IF(AND(AE177&lt;&gt;"",AQ177=0),1,0)</f>
        <v/>
      </c>
      <c r="AU177" s="31">
        <f>IF(AT177=0,"",IF(ISNUMBER(AN177),AN177,100000)+0+ROW()/1000000)</f>
        <v/>
      </c>
      <c r="AV177" s="31">
        <f>IF(ISNUMBER(AU177),SUMPRODUCT(ISNUMBER('Responses'!$AU$2:$AU$501)*('Responses'!$AU$2:$AU$501&lt;AU177)) + SUMPRODUCT(ISNUMBER('Paper sign-ups'!$Y$2:$Y$101)*('Paper sign-ups'!$Y$2:$Y$101&lt;AU177))+1,"")</f>
        <v/>
      </c>
    </row>
    <row r="178">
      <c r="AA178" s="29" t="n"/>
      <c r="AB178" s="30" t="n"/>
      <c r="AC178" s="30" t="n"/>
      <c r="AD178" s="29" t="n"/>
      <c r="AE178" s="31">
        <f>IFERROR(TRIM(INDEX($A178:$Z178,MATCH(Settings!$L$4,$A$1:$Z$1,0))&amp;""),"")</f>
        <v/>
      </c>
      <c r="AF178" s="31">
        <f>IFERROR(TRIM(INDEX($A178:$Z178,MATCH(Settings!$L$5,$A$1:$Z$1,0))&amp;""),"")</f>
        <v/>
      </c>
      <c r="AG178" s="31">
        <f>IF(AE178="","",LOWER(IF(AF178&lt;&gt;"",AF178,AE178)))</f>
        <v/>
      </c>
      <c r="AH178" s="31">
        <f>IFERROR(TRIM(INDEX($A178:$Z178,MATCH(Settings!$L$6,$A$1:$Z$1,0))&amp;""),"")</f>
        <v/>
      </c>
      <c r="AI178" s="31">
        <f>IF(AE178="","",IF(UPPER(TRIM(AB178&amp;""))="Y","Paid another way",IF(IFERROR(TRIM(INDEX($A178:$Z178,MATCH(Settings!$L$7,$A$1:$Z$1,0))&amp;""),"")="","No payment status",IFERROR(TRIM(INDEX($A178:$Z178,MATCH(Settings!$L$7,$A$1:$Z$1,0))&amp;""),""))))</f>
        <v/>
      </c>
      <c r="AJ178" s="31">
        <f>IF(AE178="",0,IF(IFERROR(INDEX(Settings!$J$4:$J$14,MATCH(AI178,Settings!$I$4:$I$14,0)),"N")="Y",1,0))</f>
        <v/>
      </c>
      <c r="AK178" s="32">
        <f>IFERROR(INT(IFERROR(IF(ISNUMBER(INDEX($A178:$Z178,MATCH(Settings!$L$10,$A$1:$Z$1,0))),INDEX($A178:$Z178,MATCH(Settings!$L$10,$A$1:$Z$1,0)),DATE(VALUE(LEFT(IFERROR(TRIM(INDEX($A178:$Z178,MATCH(Settings!$L$10,$A$1:$Z$1,0))&amp;""),""),4)),VALUE(MID(IFERROR(TRIM(INDEX($A178:$Z178,MATCH(Settings!$L$10,$A$1:$Z$1,0))&amp;""),""),6,2)),VALUE(MID(IFERROR(TRIM(INDEX($A178:$Z178,MATCH(Settings!$L$10,$A$1:$Z$1,0))&amp;""),""),9,2)))+TIME(VALUE(MID(IFERROR(TRIM(INDEX($A178:$Z178,MATCH(Settings!$L$10,$A$1:$Z$1,0))&amp;""),""),12,2)),VALUE(MID(IFERROR(TRIM(INDEX($A178:$Z178,MATCH(Settings!$L$10,$A$1:$Z$1,0))&amp;""),""),15,2)),VALUE(MID(IFERROR(TRIM(INDEX($A178:$Z178,MATCH(Settings!$L$10,$A$1:$Z$1,0))&amp;""),""),18,2)))),"")),"")</f>
        <v/>
      </c>
      <c r="AL178" s="32">
        <f>IF(AE178="","",IF(ISNUMBER(AK178),AK178,IFERROR(INT(IFERROR(IF(ISNUMBER(INDEX($A178:$Z178,MATCH(Settings!$L$11,$A$1:$Z$1,0))),INDEX($A178:$Z178,MATCH(Settings!$L$11,$A$1:$Z$1,0)),DATE(VALUE(LEFT(IFERROR(TRIM(INDEX($A178:$Z178,MATCH(Settings!$L$11,$A$1:$Z$1,0))&amp;""),""),4)),VALUE(MID(IFERROR(TRIM(INDEX($A178:$Z178,MATCH(Settings!$L$11,$A$1:$Z$1,0))&amp;""),""),6,2)),VALUE(MID(IFERROR(TRIM(INDEX($A178:$Z178,MATCH(Settings!$L$11,$A$1:$Z$1,0))&amp;""),""),9,2)))+TIME(VALUE(MID(IFERROR(TRIM(INDEX($A178:$Z178,MATCH(Settings!$L$11,$A$1:$Z$1,0))&amp;""),""),12,2)),VALUE(MID(IFERROR(TRIM(INDEX($A178:$Z178,MATCH(Settings!$L$11,$A$1:$Z$1,0))&amp;""),""),15,2)),VALUE(MID(IFERROR(TRIM(INDEX($A178:$Z178,MATCH(Settings!$L$11,$A$1:$Z$1,0))&amp;""),""),18,2)))),"")),"")))</f>
        <v/>
      </c>
      <c r="AM178" s="31">
        <f>IF(AE178="","",IF(ISNUMBER(IFERROR(INDEX(Settings!$G$4:$G$11,MATCH(AH178,Settings!$F$4:$F$11,0)),"")),INDEX(Settings!$G$4:$G$11,MATCH(AH178,Settings!$F$4:$F$11,0)),Settings!$D$5))</f>
        <v/>
      </c>
      <c r="AN178" s="32">
        <f>IF(OR(AE178="",NOT(ISNUMBER(AL178)),NOT(ISNUMBER(AM178))),"",IF(AM178&lt;=0,"",IF(ISNUMBER(Settings!$D$8),DATE(YEAR(AL178)+IF(DATE(YEAR(AL178),MONTH(Settings!$D$8),DAY(Settings!$D$8))&gt;AL178,0,1),MONTH(Settings!$D$8),DAY(Settings!$D$8)),MIN(DATE(YEAR(AL178),MONTH(AL178)+AM178,DAY(AL178)),DATE(YEAR(AL178),MONTH(AL178)+AM178+1,0)))))</f>
        <v/>
      </c>
      <c r="AO178" s="31">
        <f>IF(ISNUMBER(AN178),AN178-Settings!$D$4,"")</f>
        <v/>
      </c>
      <c r="AP178" s="31">
        <f>IF(ISNUMBER(AL178),AL178+0+ROW()/100000,"")</f>
        <v/>
      </c>
      <c r="AQ178" s="31">
        <f>IF(OR(AG178="",NOT(ISNUMBER(AP178))),0,IF(SUMPRODUCT(('Responses'!$AG$2:$AG$501=AG178)*('Responses'!$AJ$2:$AJ$501=1)*ISNUMBER('Responses'!$AP$2:$AP$501)*('Responses'!$AP$2:$AP$501&gt;AP178)) + SUMPRODUCT(('Paper sign-ups'!$K$2:$K$101=AG178)*('Paper sign-ups'!$N$2:$N$101=1)*ISNUMBER('Paper sign-ups'!$T$2:$T$101)*('Paper sign-ups'!$T$2:$T$101&gt;AP178))&gt;0,1,0))</f>
        <v/>
      </c>
      <c r="AR178" s="31">
        <f>IF(AE178="","",IF(AQ178=1,"Joined again",IF(AJ178=0,"Unpaid",IF(NOT(ISNUMBER(AL178)),"Add a join date",IF(AN178="","No reminder",IF(AO178&lt;0,"Lapsed",IF(AO178&lt;=Settings!$D$6,"Remind soon","Current")))))))</f>
        <v/>
      </c>
      <c r="AS178" s="33">
        <f>IF(AJ178=1,IFERROR(VALUE(IFERROR(TRIM(INDEX($A178:$Z178,MATCH(Settings!$L$8,$A$1:$Z$1,0))&amp;""),"")),0)-IFERROR(VALUE(IFERROR(TRIM(INDEX($A178:$Z178,MATCH(Settings!$L$9,$A$1:$Z$1,0))&amp;""),"")),0),0)</f>
        <v/>
      </c>
      <c r="AT178" s="31">
        <f>IF(AND(AE178&lt;&gt;"",AQ178=0),1,0)</f>
        <v/>
      </c>
      <c r="AU178" s="31">
        <f>IF(AT178=0,"",IF(ISNUMBER(AN178),AN178,100000)+0+ROW()/1000000)</f>
        <v/>
      </c>
      <c r="AV178" s="31">
        <f>IF(ISNUMBER(AU178),SUMPRODUCT(ISNUMBER('Responses'!$AU$2:$AU$501)*('Responses'!$AU$2:$AU$501&lt;AU178)) + SUMPRODUCT(ISNUMBER('Paper sign-ups'!$Y$2:$Y$101)*('Paper sign-ups'!$Y$2:$Y$101&lt;AU178))+1,"")</f>
        <v/>
      </c>
    </row>
    <row r="179">
      <c r="AA179" s="29" t="n"/>
      <c r="AB179" s="30" t="n"/>
      <c r="AC179" s="30" t="n"/>
      <c r="AD179" s="29" t="n"/>
      <c r="AE179" s="31">
        <f>IFERROR(TRIM(INDEX($A179:$Z179,MATCH(Settings!$L$4,$A$1:$Z$1,0))&amp;""),"")</f>
        <v/>
      </c>
      <c r="AF179" s="31">
        <f>IFERROR(TRIM(INDEX($A179:$Z179,MATCH(Settings!$L$5,$A$1:$Z$1,0))&amp;""),"")</f>
        <v/>
      </c>
      <c r="AG179" s="31">
        <f>IF(AE179="","",LOWER(IF(AF179&lt;&gt;"",AF179,AE179)))</f>
        <v/>
      </c>
      <c r="AH179" s="31">
        <f>IFERROR(TRIM(INDEX($A179:$Z179,MATCH(Settings!$L$6,$A$1:$Z$1,0))&amp;""),"")</f>
        <v/>
      </c>
      <c r="AI179" s="31">
        <f>IF(AE179="","",IF(UPPER(TRIM(AB179&amp;""))="Y","Paid another way",IF(IFERROR(TRIM(INDEX($A179:$Z179,MATCH(Settings!$L$7,$A$1:$Z$1,0))&amp;""),"")="","No payment status",IFERROR(TRIM(INDEX($A179:$Z179,MATCH(Settings!$L$7,$A$1:$Z$1,0))&amp;""),""))))</f>
        <v/>
      </c>
      <c r="AJ179" s="31">
        <f>IF(AE179="",0,IF(IFERROR(INDEX(Settings!$J$4:$J$14,MATCH(AI179,Settings!$I$4:$I$14,0)),"N")="Y",1,0))</f>
        <v/>
      </c>
      <c r="AK179" s="32">
        <f>IFERROR(INT(IFERROR(IF(ISNUMBER(INDEX($A179:$Z179,MATCH(Settings!$L$10,$A$1:$Z$1,0))),INDEX($A179:$Z179,MATCH(Settings!$L$10,$A$1:$Z$1,0)),DATE(VALUE(LEFT(IFERROR(TRIM(INDEX($A179:$Z179,MATCH(Settings!$L$10,$A$1:$Z$1,0))&amp;""),""),4)),VALUE(MID(IFERROR(TRIM(INDEX($A179:$Z179,MATCH(Settings!$L$10,$A$1:$Z$1,0))&amp;""),""),6,2)),VALUE(MID(IFERROR(TRIM(INDEX($A179:$Z179,MATCH(Settings!$L$10,$A$1:$Z$1,0))&amp;""),""),9,2)))+TIME(VALUE(MID(IFERROR(TRIM(INDEX($A179:$Z179,MATCH(Settings!$L$10,$A$1:$Z$1,0))&amp;""),""),12,2)),VALUE(MID(IFERROR(TRIM(INDEX($A179:$Z179,MATCH(Settings!$L$10,$A$1:$Z$1,0))&amp;""),""),15,2)),VALUE(MID(IFERROR(TRIM(INDEX($A179:$Z179,MATCH(Settings!$L$10,$A$1:$Z$1,0))&amp;""),""),18,2)))),"")),"")</f>
        <v/>
      </c>
      <c r="AL179" s="32">
        <f>IF(AE179="","",IF(ISNUMBER(AK179),AK179,IFERROR(INT(IFERROR(IF(ISNUMBER(INDEX($A179:$Z179,MATCH(Settings!$L$11,$A$1:$Z$1,0))),INDEX($A179:$Z179,MATCH(Settings!$L$11,$A$1:$Z$1,0)),DATE(VALUE(LEFT(IFERROR(TRIM(INDEX($A179:$Z179,MATCH(Settings!$L$11,$A$1:$Z$1,0))&amp;""),""),4)),VALUE(MID(IFERROR(TRIM(INDEX($A179:$Z179,MATCH(Settings!$L$11,$A$1:$Z$1,0))&amp;""),""),6,2)),VALUE(MID(IFERROR(TRIM(INDEX($A179:$Z179,MATCH(Settings!$L$11,$A$1:$Z$1,0))&amp;""),""),9,2)))+TIME(VALUE(MID(IFERROR(TRIM(INDEX($A179:$Z179,MATCH(Settings!$L$11,$A$1:$Z$1,0))&amp;""),""),12,2)),VALUE(MID(IFERROR(TRIM(INDEX($A179:$Z179,MATCH(Settings!$L$11,$A$1:$Z$1,0))&amp;""),""),15,2)),VALUE(MID(IFERROR(TRIM(INDEX($A179:$Z179,MATCH(Settings!$L$11,$A$1:$Z$1,0))&amp;""),""),18,2)))),"")),"")))</f>
        <v/>
      </c>
      <c r="AM179" s="31">
        <f>IF(AE179="","",IF(ISNUMBER(IFERROR(INDEX(Settings!$G$4:$G$11,MATCH(AH179,Settings!$F$4:$F$11,0)),"")),INDEX(Settings!$G$4:$G$11,MATCH(AH179,Settings!$F$4:$F$11,0)),Settings!$D$5))</f>
        <v/>
      </c>
      <c r="AN179" s="32">
        <f>IF(OR(AE179="",NOT(ISNUMBER(AL179)),NOT(ISNUMBER(AM179))),"",IF(AM179&lt;=0,"",IF(ISNUMBER(Settings!$D$8),DATE(YEAR(AL179)+IF(DATE(YEAR(AL179),MONTH(Settings!$D$8),DAY(Settings!$D$8))&gt;AL179,0,1),MONTH(Settings!$D$8),DAY(Settings!$D$8)),MIN(DATE(YEAR(AL179),MONTH(AL179)+AM179,DAY(AL179)),DATE(YEAR(AL179),MONTH(AL179)+AM179+1,0)))))</f>
        <v/>
      </c>
      <c r="AO179" s="31">
        <f>IF(ISNUMBER(AN179),AN179-Settings!$D$4,"")</f>
        <v/>
      </c>
      <c r="AP179" s="31">
        <f>IF(ISNUMBER(AL179),AL179+0+ROW()/100000,"")</f>
        <v/>
      </c>
      <c r="AQ179" s="31">
        <f>IF(OR(AG179="",NOT(ISNUMBER(AP179))),0,IF(SUMPRODUCT(('Responses'!$AG$2:$AG$501=AG179)*('Responses'!$AJ$2:$AJ$501=1)*ISNUMBER('Responses'!$AP$2:$AP$501)*('Responses'!$AP$2:$AP$501&gt;AP179)) + SUMPRODUCT(('Paper sign-ups'!$K$2:$K$101=AG179)*('Paper sign-ups'!$N$2:$N$101=1)*ISNUMBER('Paper sign-ups'!$T$2:$T$101)*('Paper sign-ups'!$T$2:$T$101&gt;AP179))&gt;0,1,0))</f>
        <v/>
      </c>
      <c r="AR179" s="31">
        <f>IF(AE179="","",IF(AQ179=1,"Joined again",IF(AJ179=0,"Unpaid",IF(NOT(ISNUMBER(AL179)),"Add a join date",IF(AN179="","No reminder",IF(AO179&lt;0,"Lapsed",IF(AO179&lt;=Settings!$D$6,"Remind soon","Current")))))))</f>
        <v/>
      </c>
      <c r="AS179" s="33">
        <f>IF(AJ179=1,IFERROR(VALUE(IFERROR(TRIM(INDEX($A179:$Z179,MATCH(Settings!$L$8,$A$1:$Z$1,0))&amp;""),"")),0)-IFERROR(VALUE(IFERROR(TRIM(INDEX($A179:$Z179,MATCH(Settings!$L$9,$A$1:$Z$1,0))&amp;""),"")),0),0)</f>
        <v/>
      </c>
      <c r="AT179" s="31">
        <f>IF(AND(AE179&lt;&gt;"",AQ179=0),1,0)</f>
        <v/>
      </c>
      <c r="AU179" s="31">
        <f>IF(AT179=0,"",IF(ISNUMBER(AN179),AN179,100000)+0+ROW()/1000000)</f>
        <v/>
      </c>
      <c r="AV179" s="31">
        <f>IF(ISNUMBER(AU179),SUMPRODUCT(ISNUMBER('Responses'!$AU$2:$AU$501)*('Responses'!$AU$2:$AU$501&lt;AU179)) + SUMPRODUCT(ISNUMBER('Paper sign-ups'!$Y$2:$Y$101)*('Paper sign-ups'!$Y$2:$Y$101&lt;AU179))+1,"")</f>
        <v/>
      </c>
    </row>
    <row r="180">
      <c r="AA180" s="29" t="n"/>
      <c r="AB180" s="30" t="n"/>
      <c r="AC180" s="30" t="n"/>
      <c r="AD180" s="29" t="n"/>
      <c r="AE180" s="31">
        <f>IFERROR(TRIM(INDEX($A180:$Z180,MATCH(Settings!$L$4,$A$1:$Z$1,0))&amp;""),"")</f>
        <v/>
      </c>
      <c r="AF180" s="31">
        <f>IFERROR(TRIM(INDEX($A180:$Z180,MATCH(Settings!$L$5,$A$1:$Z$1,0))&amp;""),"")</f>
        <v/>
      </c>
      <c r="AG180" s="31">
        <f>IF(AE180="","",LOWER(IF(AF180&lt;&gt;"",AF180,AE180)))</f>
        <v/>
      </c>
      <c r="AH180" s="31">
        <f>IFERROR(TRIM(INDEX($A180:$Z180,MATCH(Settings!$L$6,$A$1:$Z$1,0))&amp;""),"")</f>
        <v/>
      </c>
      <c r="AI180" s="31">
        <f>IF(AE180="","",IF(UPPER(TRIM(AB180&amp;""))="Y","Paid another way",IF(IFERROR(TRIM(INDEX($A180:$Z180,MATCH(Settings!$L$7,$A$1:$Z$1,0))&amp;""),"")="","No payment status",IFERROR(TRIM(INDEX($A180:$Z180,MATCH(Settings!$L$7,$A$1:$Z$1,0))&amp;""),""))))</f>
        <v/>
      </c>
      <c r="AJ180" s="31">
        <f>IF(AE180="",0,IF(IFERROR(INDEX(Settings!$J$4:$J$14,MATCH(AI180,Settings!$I$4:$I$14,0)),"N")="Y",1,0))</f>
        <v/>
      </c>
      <c r="AK180" s="32">
        <f>IFERROR(INT(IFERROR(IF(ISNUMBER(INDEX($A180:$Z180,MATCH(Settings!$L$10,$A$1:$Z$1,0))),INDEX($A180:$Z180,MATCH(Settings!$L$10,$A$1:$Z$1,0)),DATE(VALUE(LEFT(IFERROR(TRIM(INDEX($A180:$Z180,MATCH(Settings!$L$10,$A$1:$Z$1,0))&amp;""),""),4)),VALUE(MID(IFERROR(TRIM(INDEX($A180:$Z180,MATCH(Settings!$L$10,$A$1:$Z$1,0))&amp;""),""),6,2)),VALUE(MID(IFERROR(TRIM(INDEX($A180:$Z180,MATCH(Settings!$L$10,$A$1:$Z$1,0))&amp;""),""),9,2)))+TIME(VALUE(MID(IFERROR(TRIM(INDEX($A180:$Z180,MATCH(Settings!$L$10,$A$1:$Z$1,0))&amp;""),""),12,2)),VALUE(MID(IFERROR(TRIM(INDEX($A180:$Z180,MATCH(Settings!$L$10,$A$1:$Z$1,0))&amp;""),""),15,2)),VALUE(MID(IFERROR(TRIM(INDEX($A180:$Z180,MATCH(Settings!$L$10,$A$1:$Z$1,0))&amp;""),""),18,2)))),"")),"")</f>
        <v/>
      </c>
      <c r="AL180" s="32">
        <f>IF(AE180="","",IF(ISNUMBER(AK180),AK180,IFERROR(INT(IFERROR(IF(ISNUMBER(INDEX($A180:$Z180,MATCH(Settings!$L$11,$A$1:$Z$1,0))),INDEX($A180:$Z180,MATCH(Settings!$L$11,$A$1:$Z$1,0)),DATE(VALUE(LEFT(IFERROR(TRIM(INDEX($A180:$Z180,MATCH(Settings!$L$11,$A$1:$Z$1,0))&amp;""),""),4)),VALUE(MID(IFERROR(TRIM(INDEX($A180:$Z180,MATCH(Settings!$L$11,$A$1:$Z$1,0))&amp;""),""),6,2)),VALUE(MID(IFERROR(TRIM(INDEX($A180:$Z180,MATCH(Settings!$L$11,$A$1:$Z$1,0))&amp;""),""),9,2)))+TIME(VALUE(MID(IFERROR(TRIM(INDEX($A180:$Z180,MATCH(Settings!$L$11,$A$1:$Z$1,0))&amp;""),""),12,2)),VALUE(MID(IFERROR(TRIM(INDEX($A180:$Z180,MATCH(Settings!$L$11,$A$1:$Z$1,0))&amp;""),""),15,2)),VALUE(MID(IFERROR(TRIM(INDEX($A180:$Z180,MATCH(Settings!$L$11,$A$1:$Z$1,0))&amp;""),""),18,2)))),"")),"")))</f>
        <v/>
      </c>
      <c r="AM180" s="31">
        <f>IF(AE180="","",IF(ISNUMBER(IFERROR(INDEX(Settings!$G$4:$G$11,MATCH(AH180,Settings!$F$4:$F$11,0)),"")),INDEX(Settings!$G$4:$G$11,MATCH(AH180,Settings!$F$4:$F$11,0)),Settings!$D$5))</f>
        <v/>
      </c>
      <c r="AN180" s="32">
        <f>IF(OR(AE180="",NOT(ISNUMBER(AL180)),NOT(ISNUMBER(AM180))),"",IF(AM180&lt;=0,"",IF(ISNUMBER(Settings!$D$8),DATE(YEAR(AL180)+IF(DATE(YEAR(AL180),MONTH(Settings!$D$8),DAY(Settings!$D$8))&gt;AL180,0,1),MONTH(Settings!$D$8),DAY(Settings!$D$8)),MIN(DATE(YEAR(AL180),MONTH(AL180)+AM180,DAY(AL180)),DATE(YEAR(AL180),MONTH(AL180)+AM180+1,0)))))</f>
        <v/>
      </c>
      <c r="AO180" s="31">
        <f>IF(ISNUMBER(AN180),AN180-Settings!$D$4,"")</f>
        <v/>
      </c>
      <c r="AP180" s="31">
        <f>IF(ISNUMBER(AL180),AL180+0+ROW()/100000,"")</f>
        <v/>
      </c>
      <c r="AQ180" s="31">
        <f>IF(OR(AG180="",NOT(ISNUMBER(AP180))),0,IF(SUMPRODUCT(('Responses'!$AG$2:$AG$501=AG180)*('Responses'!$AJ$2:$AJ$501=1)*ISNUMBER('Responses'!$AP$2:$AP$501)*('Responses'!$AP$2:$AP$501&gt;AP180)) + SUMPRODUCT(('Paper sign-ups'!$K$2:$K$101=AG180)*('Paper sign-ups'!$N$2:$N$101=1)*ISNUMBER('Paper sign-ups'!$T$2:$T$101)*('Paper sign-ups'!$T$2:$T$101&gt;AP180))&gt;0,1,0))</f>
        <v/>
      </c>
      <c r="AR180" s="31">
        <f>IF(AE180="","",IF(AQ180=1,"Joined again",IF(AJ180=0,"Unpaid",IF(NOT(ISNUMBER(AL180)),"Add a join date",IF(AN180="","No reminder",IF(AO180&lt;0,"Lapsed",IF(AO180&lt;=Settings!$D$6,"Remind soon","Current")))))))</f>
        <v/>
      </c>
      <c r="AS180" s="33">
        <f>IF(AJ180=1,IFERROR(VALUE(IFERROR(TRIM(INDEX($A180:$Z180,MATCH(Settings!$L$8,$A$1:$Z$1,0))&amp;""),"")),0)-IFERROR(VALUE(IFERROR(TRIM(INDEX($A180:$Z180,MATCH(Settings!$L$9,$A$1:$Z$1,0))&amp;""),"")),0),0)</f>
        <v/>
      </c>
      <c r="AT180" s="31">
        <f>IF(AND(AE180&lt;&gt;"",AQ180=0),1,0)</f>
        <v/>
      </c>
      <c r="AU180" s="31">
        <f>IF(AT180=0,"",IF(ISNUMBER(AN180),AN180,100000)+0+ROW()/1000000)</f>
        <v/>
      </c>
      <c r="AV180" s="31">
        <f>IF(ISNUMBER(AU180),SUMPRODUCT(ISNUMBER('Responses'!$AU$2:$AU$501)*('Responses'!$AU$2:$AU$501&lt;AU180)) + SUMPRODUCT(ISNUMBER('Paper sign-ups'!$Y$2:$Y$101)*('Paper sign-ups'!$Y$2:$Y$101&lt;AU180))+1,"")</f>
        <v/>
      </c>
    </row>
    <row r="181">
      <c r="AA181" s="29" t="n"/>
      <c r="AB181" s="30" t="n"/>
      <c r="AC181" s="30" t="n"/>
      <c r="AD181" s="29" t="n"/>
      <c r="AE181" s="31">
        <f>IFERROR(TRIM(INDEX($A181:$Z181,MATCH(Settings!$L$4,$A$1:$Z$1,0))&amp;""),"")</f>
        <v/>
      </c>
      <c r="AF181" s="31">
        <f>IFERROR(TRIM(INDEX($A181:$Z181,MATCH(Settings!$L$5,$A$1:$Z$1,0))&amp;""),"")</f>
        <v/>
      </c>
      <c r="AG181" s="31">
        <f>IF(AE181="","",LOWER(IF(AF181&lt;&gt;"",AF181,AE181)))</f>
        <v/>
      </c>
      <c r="AH181" s="31">
        <f>IFERROR(TRIM(INDEX($A181:$Z181,MATCH(Settings!$L$6,$A$1:$Z$1,0))&amp;""),"")</f>
        <v/>
      </c>
      <c r="AI181" s="31">
        <f>IF(AE181="","",IF(UPPER(TRIM(AB181&amp;""))="Y","Paid another way",IF(IFERROR(TRIM(INDEX($A181:$Z181,MATCH(Settings!$L$7,$A$1:$Z$1,0))&amp;""),"")="","No payment status",IFERROR(TRIM(INDEX($A181:$Z181,MATCH(Settings!$L$7,$A$1:$Z$1,0))&amp;""),""))))</f>
        <v/>
      </c>
      <c r="AJ181" s="31">
        <f>IF(AE181="",0,IF(IFERROR(INDEX(Settings!$J$4:$J$14,MATCH(AI181,Settings!$I$4:$I$14,0)),"N")="Y",1,0))</f>
        <v/>
      </c>
      <c r="AK181" s="32">
        <f>IFERROR(INT(IFERROR(IF(ISNUMBER(INDEX($A181:$Z181,MATCH(Settings!$L$10,$A$1:$Z$1,0))),INDEX($A181:$Z181,MATCH(Settings!$L$10,$A$1:$Z$1,0)),DATE(VALUE(LEFT(IFERROR(TRIM(INDEX($A181:$Z181,MATCH(Settings!$L$10,$A$1:$Z$1,0))&amp;""),""),4)),VALUE(MID(IFERROR(TRIM(INDEX($A181:$Z181,MATCH(Settings!$L$10,$A$1:$Z$1,0))&amp;""),""),6,2)),VALUE(MID(IFERROR(TRIM(INDEX($A181:$Z181,MATCH(Settings!$L$10,$A$1:$Z$1,0))&amp;""),""),9,2)))+TIME(VALUE(MID(IFERROR(TRIM(INDEX($A181:$Z181,MATCH(Settings!$L$10,$A$1:$Z$1,0))&amp;""),""),12,2)),VALUE(MID(IFERROR(TRIM(INDEX($A181:$Z181,MATCH(Settings!$L$10,$A$1:$Z$1,0))&amp;""),""),15,2)),VALUE(MID(IFERROR(TRIM(INDEX($A181:$Z181,MATCH(Settings!$L$10,$A$1:$Z$1,0))&amp;""),""),18,2)))),"")),"")</f>
        <v/>
      </c>
      <c r="AL181" s="32">
        <f>IF(AE181="","",IF(ISNUMBER(AK181),AK181,IFERROR(INT(IFERROR(IF(ISNUMBER(INDEX($A181:$Z181,MATCH(Settings!$L$11,$A$1:$Z$1,0))),INDEX($A181:$Z181,MATCH(Settings!$L$11,$A$1:$Z$1,0)),DATE(VALUE(LEFT(IFERROR(TRIM(INDEX($A181:$Z181,MATCH(Settings!$L$11,$A$1:$Z$1,0))&amp;""),""),4)),VALUE(MID(IFERROR(TRIM(INDEX($A181:$Z181,MATCH(Settings!$L$11,$A$1:$Z$1,0))&amp;""),""),6,2)),VALUE(MID(IFERROR(TRIM(INDEX($A181:$Z181,MATCH(Settings!$L$11,$A$1:$Z$1,0))&amp;""),""),9,2)))+TIME(VALUE(MID(IFERROR(TRIM(INDEX($A181:$Z181,MATCH(Settings!$L$11,$A$1:$Z$1,0))&amp;""),""),12,2)),VALUE(MID(IFERROR(TRIM(INDEX($A181:$Z181,MATCH(Settings!$L$11,$A$1:$Z$1,0))&amp;""),""),15,2)),VALUE(MID(IFERROR(TRIM(INDEX($A181:$Z181,MATCH(Settings!$L$11,$A$1:$Z$1,0))&amp;""),""),18,2)))),"")),"")))</f>
        <v/>
      </c>
      <c r="AM181" s="31">
        <f>IF(AE181="","",IF(ISNUMBER(IFERROR(INDEX(Settings!$G$4:$G$11,MATCH(AH181,Settings!$F$4:$F$11,0)),"")),INDEX(Settings!$G$4:$G$11,MATCH(AH181,Settings!$F$4:$F$11,0)),Settings!$D$5))</f>
        <v/>
      </c>
      <c r="AN181" s="32">
        <f>IF(OR(AE181="",NOT(ISNUMBER(AL181)),NOT(ISNUMBER(AM181))),"",IF(AM181&lt;=0,"",IF(ISNUMBER(Settings!$D$8),DATE(YEAR(AL181)+IF(DATE(YEAR(AL181),MONTH(Settings!$D$8),DAY(Settings!$D$8))&gt;AL181,0,1),MONTH(Settings!$D$8),DAY(Settings!$D$8)),MIN(DATE(YEAR(AL181),MONTH(AL181)+AM181,DAY(AL181)),DATE(YEAR(AL181),MONTH(AL181)+AM181+1,0)))))</f>
        <v/>
      </c>
      <c r="AO181" s="31">
        <f>IF(ISNUMBER(AN181),AN181-Settings!$D$4,"")</f>
        <v/>
      </c>
      <c r="AP181" s="31">
        <f>IF(ISNUMBER(AL181),AL181+0+ROW()/100000,"")</f>
        <v/>
      </c>
      <c r="AQ181" s="31">
        <f>IF(OR(AG181="",NOT(ISNUMBER(AP181))),0,IF(SUMPRODUCT(('Responses'!$AG$2:$AG$501=AG181)*('Responses'!$AJ$2:$AJ$501=1)*ISNUMBER('Responses'!$AP$2:$AP$501)*('Responses'!$AP$2:$AP$501&gt;AP181)) + SUMPRODUCT(('Paper sign-ups'!$K$2:$K$101=AG181)*('Paper sign-ups'!$N$2:$N$101=1)*ISNUMBER('Paper sign-ups'!$T$2:$T$101)*('Paper sign-ups'!$T$2:$T$101&gt;AP181))&gt;0,1,0))</f>
        <v/>
      </c>
      <c r="AR181" s="31">
        <f>IF(AE181="","",IF(AQ181=1,"Joined again",IF(AJ181=0,"Unpaid",IF(NOT(ISNUMBER(AL181)),"Add a join date",IF(AN181="","No reminder",IF(AO181&lt;0,"Lapsed",IF(AO181&lt;=Settings!$D$6,"Remind soon","Current")))))))</f>
        <v/>
      </c>
      <c r="AS181" s="33">
        <f>IF(AJ181=1,IFERROR(VALUE(IFERROR(TRIM(INDEX($A181:$Z181,MATCH(Settings!$L$8,$A$1:$Z$1,0))&amp;""),"")),0)-IFERROR(VALUE(IFERROR(TRIM(INDEX($A181:$Z181,MATCH(Settings!$L$9,$A$1:$Z$1,0))&amp;""),"")),0),0)</f>
        <v/>
      </c>
      <c r="AT181" s="31">
        <f>IF(AND(AE181&lt;&gt;"",AQ181=0),1,0)</f>
        <v/>
      </c>
      <c r="AU181" s="31">
        <f>IF(AT181=0,"",IF(ISNUMBER(AN181),AN181,100000)+0+ROW()/1000000)</f>
        <v/>
      </c>
      <c r="AV181" s="31">
        <f>IF(ISNUMBER(AU181),SUMPRODUCT(ISNUMBER('Responses'!$AU$2:$AU$501)*('Responses'!$AU$2:$AU$501&lt;AU181)) + SUMPRODUCT(ISNUMBER('Paper sign-ups'!$Y$2:$Y$101)*('Paper sign-ups'!$Y$2:$Y$101&lt;AU181))+1,"")</f>
        <v/>
      </c>
    </row>
    <row r="182">
      <c r="AA182" s="29" t="n"/>
      <c r="AB182" s="30" t="n"/>
      <c r="AC182" s="30" t="n"/>
      <c r="AD182" s="29" t="n"/>
      <c r="AE182" s="31">
        <f>IFERROR(TRIM(INDEX($A182:$Z182,MATCH(Settings!$L$4,$A$1:$Z$1,0))&amp;""),"")</f>
        <v/>
      </c>
      <c r="AF182" s="31">
        <f>IFERROR(TRIM(INDEX($A182:$Z182,MATCH(Settings!$L$5,$A$1:$Z$1,0))&amp;""),"")</f>
        <v/>
      </c>
      <c r="AG182" s="31">
        <f>IF(AE182="","",LOWER(IF(AF182&lt;&gt;"",AF182,AE182)))</f>
        <v/>
      </c>
      <c r="AH182" s="31">
        <f>IFERROR(TRIM(INDEX($A182:$Z182,MATCH(Settings!$L$6,$A$1:$Z$1,0))&amp;""),"")</f>
        <v/>
      </c>
      <c r="AI182" s="31">
        <f>IF(AE182="","",IF(UPPER(TRIM(AB182&amp;""))="Y","Paid another way",IF(IFERROR(TRIM(INDEX($A182:$Z182,MATCH(Settings!$L$7,$A$1:$Z$1,0))&amp;""),"")="","No payment status",IFERROR(TRIM(INDEX($A182:$Z182,MATCH(Settings!$L$7,$A$1:$Z$1,0))&amp;""),""))))</f>
        <v/>
      </c>
      <c r="AJ182" s="31">
        <f>IF(AE182="",0,IF(IFERROR(INDEX(Settings!$J$4:$J$14,MATCH(AI182,Settings!$I$4:$I$14,0)),"N")="Y",1,0))</f>
        <v/>
      </c>
      <c r="AK182" s="32">
        <f>IFERROR(INT(IFERROR(IF(ISNUMBER(INDEX($A182:$Z182,MATCH(Settings!$L$10,$A$1:$Z$1,0))),INDEX($A182:$Z182,MATCH(Settings!$L$10,$A$1:$Z$1,0)),DATE(VALUE(LEFT(IFERROR(TRIM(INDEX($A182:$Z182,MATCH(Settings!$L$10,$A$1:$Z$1,0))&amp;""),""),4)),VALUE(MID(IFERROR(TRIM(INDEX($A182:$Z182,MATCH(Settings!$L$10,$A$1:$Z$1,0))&amp;""),""),6,2)),VALUE(MID(IFERROR(TRIM(INDEX($A182:$Z182,MATCH(Settings!$L$10,$A$1:$Z$1,0))&amp;""),""),9,2)))+TIME(VALUE(MID(IFERROR(TRIM(INDEX($A182:$Z182,MATCH(Settings!$L$10,$A$1:$Z$1,0))&amp;""),""),12,2)),VALUE(MID(IFERROR(TRIM(INDEX($A182:$Z182,MATCH(Settings!$L$10,$A$1:$Z$1,0))&amp;""),""),15,2)),VALUE(MID(IFERROR(TRIM(INDEX($A182:$Z182,MATCH(Settings!$L$10,$A$1:$Z$1,0))&amp;""),""),18,2)))),"")),"")</f>
        <v/>
      </c>
      <c r="AL182" s="32">
        <f>IF(AE182="","",IF(ISNUMBER(AK182),AK182,IFERROR(INT(IFERROR(IF(ISNUMBER(INDEX($A182:$Z182,MATCH(Settings!$L$11,$A$1:$Z$1,0))),INDEX($A182:$Z182,MATCH(Settings!$L$11,$A$1:$Z$1,0)),DATE(VALUE(LEFT(IFERROR(TRIM(INDEX($A182:$Z182,MATCH(Settings!$L$11,$A$1:$Z$1,0))&amp;""),""),4)),VALUE(MID(IFERROR(TRIM(INDEX($A182:$Z182,MATCH(Settings!$L$11,$A$1:$Z$1,0))&amp;""),""),6,2)),VALUE(MID(IFERROR(TRIM(INDEX($A182:$Z182,MATCH(Settings!$L$11,$A$1:$Z$1,0))&amp;""),""),9,2)))+TIME(VALUE(MID(IFERROR(TRIM(INDEX($A182:$Z182,MATCH(Settings!$L$11,$A$1:$Z$1,0))&amp;""),""),12,2)),VALUE(MID(IFERROR(TRIM(INDEX($A182:$Z182,MATCH(Settings!$L$11,$A$1:$Z$1,0))&amp;""),""),15,2)),VALUE(MID(IFERROR(TRIM(INDEX($A182:$Z182,MATCH(Settings!$L$11,$A$1:$Z$1,0))&amp;""),""),18,2)))),"")),"")))</f>
        <v/>
      </c>
      <c r="AM182" s="31">
        <f>IF(AE182="","",IF(ISNUMBER(IFERROR(INDEX(Settings!$G$4:$G$11,MATCH(AH182,Settings!$F$4:$F$11,0)),"")),INDEX(Settings!$G$4:$G$11,MATCH(AH182,Settings!$F$4:$F$11,0)),Settings!$D$5))</f>
        <v/>
      </c>
      <c r="AN182" s="32">
        <f>IF(OR(AE182="",NOT(ISNUMBER(AL182)),NOT(ISNUMBER(AM182))),"",IF(AM182&lt;=0,"",IF(ISNUMBER(Settings!$D$8),DATE(YEAR(AL182)+IF(DATE(YEAR(AL182),MONTH(Settings!$D$8),DAY(Settings!$D$8))&gt;AL182,0,1),MONTH(Settings!$D$8),DAY(Settings!$D$8)),MIN(DATE(YEAR(AL182),MONTH(AL182)+AM182,DAY(AL182)),DATE(YEAR(AL182),MONTH(AL182)+AM182+1,0)))))</f>
        <v/>
      </c>
      <c r="AO182" s="31">
        <f>IF(ISNUMBER(AN182),AN182-Settings!$D$4,"")</f>
        <v/>
      </c>
      <c r="AP182" s="31">
        <f>IF(ISNUMBER(AL182),AL182+0+ROW()/100000,"")</f>
        <v/>
      </c>
      <c r="AQ182" s="31">
        <f>IF(OR(AG182="",NOT(ISNUMBER(AP182))),0,IF(SUMPRODUCT(('Responses'!$AG$2:$AG$501=AG182)*('Responses'!$AJ$2:$AJ$501=1)*ISNUMBER('Responses'!$AP$2:$AP$501)*('Responses'!$AP$2:$AP$501&gt;AP182)) + SUMPRODUCT(('Paper sign-ups'!$K$2:$K$101=AG182)*('Paper sign-ups'!$N$2:$N$101=1)*ISNUMBER('Paper sign-ups'!$T$2:$T$101)*('Paper sign-ups'!$T$2:$T$101&gt;AP182))&gt;0,1,0))</f>
        <v/>
      </c>
      <c r="AR182" s="31">
        <f>IF(AE182="","",IF(AQ182=1,"Joined again",IF(AJ182=0,"Unpaid",IF(NOT(ISNUMBER(AL182)),"Add a join date",IF(AN182="","No reminder",IF(AO182&lt;0,"Lapsed",IF(AO182&lt;=Settings!$D$6,"Remind soon","Current")))))))</f>
        <v/>
      </c>
      <c r="AS182" s="33">
        <f>IF(AJ182=1,IFERROR(VALUE(IFERROR(TRIM(INDEX($A182:$Z182,MATCH(Settings!$L$8,$A$1:$Z$1,0))&amp;""),"")),0)-IFERROR(VALUE(IFERROR(TRIM(INDEX($A182:$Z182,MATCH(Settings!$L$9,$A$1:$Z$1,0))&amp;""),"")),0),0)</f>
        <v/>
      </c>
      <c r="AT182" s="31">
        <f>IF(AND(AE182&lt;&gt;"",AQ182=0),1,0)</f>
        <v/>
      </c>
      <c r="AU182" s="31">
        <f>IF(AT182=0,"",IF(ISNUMBER(AN182),AN182,100000)+0+ROW()/1000000)</f>
        <v/>
      </c>
      <c r="AV182" s="31">
        <f>IF(ISNUMBER(AU182),SUMPRODUCT(ISNUMBER('Responses'!$AU$2:$AU$501)*('Responses'!$AU$2:$AU$501&lt;AU182)) + SUMPRODUCT(ISNUMBER('Paper sign-ups'!$Y$2:$Y$101)*('Paper sign-ups'!$Y$2:$Y$101&lt;AU182))+1,"")</f>
        <v/>
      </c>
    </row>
    <row r="183">
      <c r="AA183" s="29" t="n"/>
      <c r="AB183" s="30" t="n"/>
      <c r="AC183" s="30" t="n"/>
      <c r="AD183" s="29" t="n"/>
      <c r="AE183" s="31">
        <f>IFERROR(TRIM(INDEX($A183:$Z183,MATCH(Settings!$L$4,$A$1:$Z$1,0))&amp;""),"")</f>
        <v/>
      </c>
      <c r="AF183" s="31">
        <f>IFERROR(TRIM(INDEX($A183:$Z183,MATCH(Settings!$L$5,$A$1:$Z$1,0))&amp;""),"")</f>
        <v/>
      </c>
      <c r="AG183" s="31">
        <f>IF(AE183="","",LOWER(IF(AF183&lt;&gt;"",AF183,AE183)))</f>
        <v/>
      </c>
      <c r="AH183" s="31">
        <f>IFERROR(TRIM(INDEX($A183:$Z183,MATCH(Settings!$L$6,$A$1:$Z$1,0))&amp;""),"")</f>
        <v/>
      </c>
      <c r="AI183" s="31">
        <f>IF(AE183="","",IF(UPPER(TRIM(AB183&amp;""))="Y","Paid another way",IF(IFERROR(TRIM(INDEX($A183:$Z183,MATCH(Settings!$L$7,$A$1:$Z$1,0))&amp;""),"")="","No payment status",IFERROR(TRIM(INDEX($A183:$Z183,MATCH(Settings!$L$7,$A$1:$Z$1,0))&amp;""),""))))</f>
        <v/>
      </c>
      <c r="AJ183" s="31">
        <f>IF(AE183="",0,IF(IFERROR(INDEX(Settings!$J$4:$J$14,MATCH(AI183,Settings!$I$4:$I$14,0)),"N")="Y",1,0))</f>
        <v/>
      </c>
      <c r="AK183" s="32">
        <f>IFERROR(INT(IFERROR(IF(ISNUMBER(INDEX($A183:$Z183,MATCH(Settings!$L$10,$A$1:$Z$1,0))),INDEX($A183:$Z183,MATCH(Settings!$L$10,$A$1:$Z$1,0)),DATE(VALUE(LEFT(IFERROR(TRIM(INDEX($A183:$Z183,MATCH(Settings!$L$10,$A$1:$Z$1,0))&amp;""),""),4)),VALUE(MID(IFERROR(TRIM(INDEX($A183:$Z183,MATCH(Settings!$L$10,$A$1:$Z$1,0))&amp;""),""),6,2)),VALUE(MID(IFERROR(TRIM(INDEX($A183:$Z183,MATCH(Settings!$L$10,$A$1:$Z$1,0))&amp;""),""),9,2)))+TIME(VALUE(MID(IFERROR(TRIM(INDEX($A183:$Z183,MATCH(Settings!$L$10,$A$1:$Z$1,0))&amp;""),""),12,2)),VALUE(MID(IFERROR(TRIM(INDEX($A183:$Z183,MATCH(Settings!$L$10,$A$1:$Z$1,0))&amp;""),""),15,2)),VALUE(MID(IFERROR(TRIM(INDEX($A183:$Z183,MATCH(Settings!$L$10,$A$1:$Z$1,0))&amp;""),""),18,2)))),"")),"")</f>
        <v/>
      </c>
      <c r="AL183" s="32">
        <f>IF(AE183="","",IF(ISNUMBER(AK183),AK183,IFERROR(INT(IFERROR(IF(ISNUMBER(INDEX($A183:$Z183,MATCH(Settings!$L$11,$A$1:$Z$1,0))),INDEX($A183:$Z183,MATCH(Settings!$L$11,$A$1:$Z$1,0)),DATE(VALUE(LEFT(IFERROR(TRIM(INDEX($A183:$Z183,MATCH(Settings!$L$11,$A$1:$Z$1,0))&amp;""),""),4)),VALUE(MID(IFERROR(TRIM(INDEX($A183:$Z183,MATCH(Settings!$L$11,$A$1:$Z$1,0))&amp;""),""),6,2)),VALUE(MID(IFERROR(TRIM(INDEX($A183:$Z183,MATCH(Settings!$L$11,$A$1:$Z$1,0))&amp;""),""),9,2)))+TIME(VALUE(MID(IFERROR(TRIM(INDEX($A183:$Z183,MATCH(Settings!$L$11,$A$1:$Z$1,0))&amp;""),""),12,2)),VALUE(MID(IFERROR(TRIM(INDEX($A183:$Z183,MATCH(Settings!$L$11,$A$1:$Z$1,0))&amp;""),""),15,2)),VALUE(MID(IFERROR(TRIM(INDEX($A183:$Z183,MATCH(Settings!$L$11,$A$1:$Z$1,0))&amp;""),""),18,2)))),"")),"")))</f>
        <v/>
      </c>
      <c r="AM183" s="31">
        <f>IF(AE183="","",IF(ISNUMBER(IFERROR(INDEX(Settings!$G$4:$G$11,MATCH(AH183,Settings!$F$4:$F$11,0)),"")),INDEX(Settings!$G$4:$G$11,MATCH(AH183,Settings!$F$4:$F$11,0)),Settings!$D$5))</f>
        <v/>
      </c>
      <c r="AN183" s="32">
        <f>IF(OR(AE183="",NOT(ISNUMBER(AL183)),NOT(ISNUMBER(AM183))),"",IF(AM183&lt;=0,"",IF(ISNUMBER(Settings!$D$8),DATE(YEAR(AL183)+IF(DATE(YEAR(AL183),MONTH(Settings!$D$8),DAY(Settings!$D$8))&gt;AL183,0,1),MONTH(Settings!$D$8),DAY(Settings!$D$8)),MIN(DATE(YEAR(AL183),MONTH(AL183)+AM183,DAY(AL183)),DATE(YEAR(AL183),MONTH(AL183)+AM183+1,0)))))</f>
        <v/>
      </c>
      <c r="AO183" s="31">
        <f>IF(ISNUMBER(AN183),AN183-Settings!$D$4,"")</f>
        <v/>
      </c>
      <c r="AP183" s="31">
        <f>IF(ISNUMBER(AL183),AL183+0+ROW()/100000,"")</f>
        <v/>
      </c>
      <c r="AQ183" s="31">
        <f>IF(OR(AG183="",NOT(ISNUMBER(AP183))),0,IF(SUMPRODUCT(('Responses'!$AG$2:$AG$501=AG183)*('Responses'!$AJ$2:$AJ$501=1)*ISNUMBER('Responses'!$AP$2:$AP$501)*('Responses'!$AP$2:$AP$501&gt;AP183)) + SUMPRODUCT(('Paper sign-ups'!$K$2:$K$101=AG183)*('Paper sign-ups'!$N$2:$N$101=1)*ISNUMBER('Paper sign-ups'!$T$2:$T$101)*('Paper sign-ups'!$T$2:$T$101&gt;AP183))&gt;0,1,0))</f>
        <v/>
      </c>
      <c r="AR183" s="31">
        <f>IF(AE183="","",IF(AQ183=1,"Joined again",IF(AJ183=0,"Unpaid",IF(NOT(ISNUMBER(AL183)),"Add a join date",IF(AN183="","No reminder",IF(AO183&lt;0,"Lapsed",IF(AO183&lt;=Settings!$D$6,"Remind soon","Current")))))))</f>
        <v/>
      </c>
      <c r="AS183" s="33">
        <f>IF(AJ183=1,IFERROR(VALUE(IFERROR(TRIM(INDEX($A183:$Z183,MATCH(Settings!$L$8,$A$1:$Z$1,0))&amp;""),"")),0)-IFERROR(VALUE(IFERROR(TRIM(INDEX($A183:$Z183,MATCH(Settings!$L$9,$A$1:$Z$1,0))&amp;""),"")),0),0)</f>
        <v/>
      </c>
      <c r="AT183" s="31">
        <f>IF(AND(AE183&lt;&gt;"",AQ183=0),1,0)</f>
        <v/>
      </c>
      <c r="AU183" s="31">
        <f>IF(AT183=0,"",IF(ISNUMBER(AN183),AN183,100000)+0+ROW()/1000000)</f>
        <v/>
      </c>
      <c r="AV183" s="31">
        <f>IF(ISNUMBER(AU183),SUMPRODUCT(ISNUMBER('Responses'!$AU$2:$AU$501)*('Responses'!$AU$2:$AU$501&lt;AU183)) + SUMPRODUCT(ISNUMBER('Paper sign-ups'!$Y$2:$Y$101)*('Paper sign-ups'!$Y$2:$Y$101&lt;AU183))+1,"")</f>
        <v/>
      </c>
    </row>
    <row r="184">
      <c r="AA184" s="29" t="n"/>
      <c r="AB184" s="30" t="n"/>
      <c r="AC184" s="30" t="n"/>
      <c r="AD184" s="29" t="n"/>
      <c r="AE184" s="31">
        <f>IFERROR(TRIM(INDEX($A184:$Z184,MATCH(Settings!$L$4,$A$1:$Z$1,0))&amp;""),"")</f>
        <v/>
      </c>
      <c r="AF184" s="31">
        <f>IFERROR(TRIM(INDEX($A184:$Z184,MATCH(Settings!$L$5,$A$1:$Z$1,0))&amp;""),"")</f>
        <v/>
      </c>
      <c r="AG184" s="31">
        <f>IF(AE184="","",LOWER(IF(AF184&lt;&gt;"",AF184,AE184)))</f>
        <v/>
      </c>
      <c r="AH184" s="31">
        <f>IFERROR(TRIM(INDEX($A184:$Z184,MATCH(Settings!$L$6,$A$1:$Z$1,0))&amp;""),"")</f>
        <v/>
      </c>
      <c r="AI184" s="31">
        <f>IF(AE184="","",IF(UPPER(TRIM(AB184&amp;""))="Y","Paid another way",IF(IFERROR(TRIM(INDEX($A184:$Z184,MATCH(Settings!$L$7,$A$1:$Z$1,0))&amp;""),"")="","No payment status",IFERROR(TRIM(INDEX($A184:$Z184,MATCH(Settings!$L$7,$A$1:$Z$1,0))&amp;""),""))))</f>
        <v/>
      </c>
      <c r="AJ184" s="31">
        <f>IF(AE184="",0,IF(IFERROR(INDEX(Settings!$J$4:$J$14,MATCH(AI184,Settings!$I$4:$I$14,0)),"N")="Y",1,0))</f>
        <v/>
      </c>
      <c r="AK184" s="32">
        <f>IFERROR(INT(IFERROR(IF(ISNUMBER(INDEX($A184:$Z184,MATCH(Settings!$L$10,$A$1:$Z$1,0))),INDEX($A184:$Z184,MATCH(Settings!$L$10,$A$1:$Z$1,0)),DATE(VALUE(LEFT(IFERROR(TRIM(INDEX($A184:$Z184,MATCH(Settings!$L$10,$A$1:$Z$1,0))&amp;""),""),4)),VALUE(MID(IFERROR(TRIM(INDEX($A184:$Z184,MATCH(Settings!$L$10,$A$1:$Z$1,0))&amp;""),""),6,2)),VALUE(MID(IFERROR(TRIM(INDEX($A184:$Z184,MATCH(Settings!$L$10,$A$1:$Z$1,0))&amp;""),""),9,2)))+TIME(VALUE(MID(IFERROR(TRIM(INDEX($A184:$Z184,MATCH(Settings!$L$10,$A$1:$Z$1,0))&amp;""),""),12,2)),VALUE(MID(IFERROR(TRIM(INDEX($A184:$Z184,MATCH(Settings!$L$10,$A$1:$Z$1,0))&amp;""),""),15,2)),VALUE(MID(IFERROR(TRIM(INDEX($A184:$Z184,MATCH(Settings!$L$10,$A$1:$Z$1,0))&amp;""),""),18,2)))),"")),"")</f>
        <v/>
      </c>
      <c r="AL184" s="32">
        <f>IF(AE184="","",IF(ISNUMBER(AK184),AK184,IFERROR(INT(IFERROR(IF(ISNUMBER(INDEX($A184:$Z184,MATCH(Settings!$L$11,$A$1:$Z$1,0))),INDEX($A184:$Z184,MATCH(Settings!$L$11,$A$1:$Z$1,0)),DATE(VALUE(LEFT(IFERROR(TRIM(INDEX($A184:$Z184,MATCH(Settings!$L$11,$A$1:$Z$1,0))&amp;""),""),4)),VALUE(MID(IFERROR(TRIM(INDEX($A184:$Z184,MATCH(Settings!$L$11,$A$1:$Z$1,0))&amp;""),""),6,2)),VALUE(MID(IFERROR(TRIM(INDEX($A184:$Z184,MATCH(Settings!$L$11,$A$1:$Z$1,0))&amp;""),""),9,2)))+TIME(VALUE(MID(IFERROR(TRIM(INDEX($A184:$Z184,MATCH(Settings!$L$11,$A$1:$Z$1,0))&amp;""),""),12,2)),VALUE(MID(IFERROR(TRIM(INDEX($A184:$Z184,MATCH(Settings!$L$11,$A$1:$Z$1,0))&amp;""),""),15,2)),VALUE(MID(IFERROR(TRIM(INDEX($A184:$Z184,MATCH(Settings!$L$11,$A$1:$Z$1,0))&amp;""),""),18,2)))),"")),"")))</f>
        <v/>
      </c>
      <c r="AM184" s="31">
        <f>IF(AE184="","",IF(ISNUMBER(IFERROR(INDEX(Settings!$G$4:$G$11,MATCH(AH184,Settings!$F$4:$F$11,0)),"")),INDEX(Settings!$G$4:$G$11,MATCH(AH184,Settings!$F$4:$F$11,0)),Settings!$D$5))</f>
        <v/>
      </c>
      <c r="AN184" s="32">
        <f>IF(OR(AE184="",NOT(ISNUMBER(AL184)),NOT(ISNUMBER(AM184))),"",IF(AM184&lt;=0,"",IF(ISNUMBER(Settings!$D$8),DATE(YEAR(AL184)+IF(DATE(YEAR(AL184),MONTH(Settings!$D$8),DAY(Settings!$D$8))&gt;AL184,0,1),MONTH(Settings!$D$8),DAY(Settings!$D$8)),MIN(DATE(YEAR(AL184),MONTH(AL184)+AM184,DAY(AL184)),DATE(YEAR(AL184),MONTH(AL184)+AM184+1,0)))))</f>
        <v/>
      </c>
      <c r="AO184" s="31">
        <f>IF(ISNUMBER(AN184),AN184-Settings!$D$4,"")</f>
        <v/>
      </c>
      <c r="AP184" s="31">
        <f>IF(ISNUMBER(AL184),AL184+0+ROW()/100000,"")</f>
        <v/>
      </c>
      <c r="AQ184" s="31">
        <f>IF(OR(AG184="",NOT(ISNUMBER(AP184))),0,IF(SUMPRODUCT(('Responses'!$AG$2:$AG$501=AG184)*('Responses'!$AJ$2:$AJ$501=1)*ISNUMBER('Responses'!$AP$2:$AP$501)*('Responses'!$AP$2:$AP$501&gt;AP184)) + SUMPRODUCT(('Paper sign-ups'!$K$2:$K$101=AG184)*('Paper sign-ups'!$N$2:$N$101=1)*ISNUMBER('Paper sign-ups'!$T$2:$T$101)*('Paper sign-ups'!$T$2:$T$101&gt;AP184))&gt;0,1,0))</f>
        <v/>
      </c>
      <c r="AR184" s="31">
        <f>IF(AE184="","",IF(AQ184=1,"Joined again",IF(AJ184=0,"Unpaid",IF(NOT(ISNUMBER(AL184)),"Add a join date",IF(AN184="","No reminder",IF(AO184&lt;0,"Lapsed",IF(AO184&lt;=Settings!$D$6,"Remind soon","Current")))))))</f>
        <v/>
      </c>
      <c r="AS184" s="33">
        <f>IF(AJ184=1,IFERROR(VALUE(IFERROR(TRIM(INDEX($A184:$Z184,MATCH(Settings!$L$8,$A$1:$Z$1,0))&amp;""),"")),0)-IFERROR(VALUE(IFERROR(TRIM(INDEX($A184:$Z184,MATCH(Settings!$L$9,$A$1:$Z$1,0))&amp;""),"")),0),0)</f>
        <v/>
      </c>
      <c r="AT184" s="31">
        <f>IF(AND(AE184&lt;&gt;"",AQ184=0),1,0)</f>
        <v/>
      </c>
      <c r="AU184" s="31">
        <f>IF(AT184=0,"",IF(ISNUMBER(AN184),AN184,100000)+0+ROW()/1000000)</f>
        <v/>
      </c>
      <c r="AV184" s="31">
        <f>IF(ISNUMBER(AU184),SUMPRODUCT(ISNUMBER('Responses'!$AU$2:$AU$501)*('Responses'!$AU$2:$AU$501&lt;AU184)) + SUMPRODUCT(ISNUMBER('Paper sign-ups'!$Y$2:$Y$101)*('Paper sign-ups'!$Y$2:$Y$101&lt;AU184))+1,"")</f>
        <v/>
      </c>
    </row>
    <row r="185">
      <c r="AA185" s="29" t="n"/>
      <c r="AB185" s="30" t="n"/>
      <c r="AC185" s="30" t="n"/>
      <c r="AD185" s="29" t="n"/>
      <c r="AE185" s="31">
        <f>IFERROR(TRIM(INDEX($A185:$Z185,MATCH(Settings!$L$4,$A$1:$Z$1,0))&amp;""),"")</f>
        <v/>
      </c>
      <c r="AF185" s="31">
        <f>IFERROR(TRIM(INDEX($A185:$Z185,MATCH(Settings!$L$5,$A$1:$Z$1,0))&amp;""),"")</f>
        <v/>
      </c>
      <c r="AG185" s="31">
        <f>IF(AE185="","",LOWER(IF(AF185&lt;&gt;"",AF185,AE185)))</f>
        <v/>
      </c>
      <c r="AH185" s="31">
        <f>IFERROR(TRIM(INDEX($A185:$Z185,MATCH(Settings!$L$6,$A$1:$Z$1,0))&amp;""),"")</f>
        <v/>
      </c>
      <c r="AI185" s="31">
        <f>IF(AE185="","",IF(UPPER(TRIM(AB185&amp;""))="Y","Paid another way",IF(IFERROR(TRIM(INDEX($A185:$Z185,MATCH(Settings!$L$7,$A$1:$Z$1,0))&amp;""),"")="","No payment status",IFERROR(TRIM(INDEX($A185:$Z185,MATCH(Settings!$L$7,$A$1:$Z$1,0))&amp;""),""))))</f>
        <v/>
      </c>
      <c r="AJ185" s="31">
        <f>IF(AE185="",0,IF(IFERROR(INDEX(Settings!$J$4:$J$14,MATCH(AI185,Settings!$I$4:$I$14,0)),"N")="Y",1,0))</f>
        <v/>
      </c>
      <c r="AK185" s="32">
        <f>IFERROR(INT(IFERROR(IF(ISNUMBER(INDEX($A185:$Z185,MATCH(Settings!$L$10,$A$1:$Z$1,0))),INDEX($A185:$Z185,MATCH(Settings!$L$10,$A$1:$Z$1,0)),DATE(VALUE(LEFT(IFERROR(TRIM(INDEX($A185:$Z185,MATCH(Settings!$L$10,$A$1:$Z$1,0))&amp;""),""),4)),VALUE(MID(IFERROR(TRIM(INDEX($A185:$Z185,MATCH(Settings!$L$10,$A$1:$Z$1,0))&amp;""),""),6,2)),VALUE(MID(IFERROR(TRIM(INDEX($A185:$Z185,MATCH(Settings!$L$10,$A$1:$Z$1,0))&amp;""),""),9,2)))+TIME(VALUE(MID(IFERROR(TRIM(INDEX($A185:$Z185,MATCH(Settings!$L$10,$A$1:$Z$1,0))&amp;""),""),12,2)),VALUE(MID(IFERROR(TRIM(INDEX($A185:$Z185,MATCH(Settings!$L$10,$A$1:$Z$1,0))&amp;""),""),15,2)),VALUE(MID(IFERROR(TRIM(INDEX($A185:$Z185,MATCH(Settings!$L$10,$A$1:$Z$1,0))&amp;""),""),18,2)))),"")),"")</f>
        <v/>
      </c>
      <c r="AL185" s="32">
        <f>IF(AE185="","",IF(ISNUMBER(AK185),AK185,IFERROR(INT(IFERROR(IF(ISNUMBER(INDEX($A185:$Z185,MATCH(Settings!$L$11,$A$1:$Z$1,0))),INDEX($A185:$Z185,MATCH(Settings!$L$11,$A$1:$Z$1,0)),DATE(VALUE(LEFT(IFERROR(TRIM(INDEX($A185:$Z185,MATCH(Settings!$L$11,$A$1:$Z$1,0))&amp;""),""),4)),VALUE(MID(IFERROR(TRIM(INDEX($A185:$Z185,MATCH(Settings!$L$11,$A$1:$Z$1,0))&amp;""),""),6,2)),VALUE(MID(IFERROR(TRIM(INDEX($A185:$Z185,MATCH(Settings!$L$11,$A$1:$Z$1,0))&amp;""),""),9,2)))+TIME(VALUE(MID(IFERROR(TRIM(INDEX($A185:$Z185,MATCH(Settings!$L$11,$A$1:$Z$1,0))&amp;""),""),12,2)),VALUE(MID(IFERROR(TRIM(INDEX($A185:$Z185,MATCH(Settings!$L$11,$A$1:$Z$1,0))&amp;""),""),15,2)),VALUE(MID(IFERROR(TRIM(INDEX($A185:$Z185,MATCH(Settings!$L$11,$A$1:$Z$1,0))&amp;""),""),18,2)))),"")),"")))</f>
        <v/>
      </c>
      <c r="AM185" s="31">
        <f>IF(AE185="","",IF(ISNUMBER(IFERROR(INDEX(Settings!$G$4:$G$11,MATCH(AH185,Settings!$F$4:$F$11,0)),"")),INDEX(Settings!$G$4:$G$11,MATCH(AH185,Settings!$F$4:$F$11,0)),Settings!$D$5))</f>
        <v/>
      </c>
      <c r="AN185" s="32">
        <f>IF(OR(AE185="",NOT(ISNUMBER(AL185)),NOT(ISNUMBER(AM185))),"",IF(AM185&lt;=0,"",IF(ISNUMBER(Settings!$D$8),DATE(YEAR(AL185)+IF(DATE(YEAR(AL185),MONTH(Settings!$D$8),DAY(Settings!$D$8))&gt;AL185,0,1),MONTH(Settings!$D$8),DAY(Settings!$D$8)),MIN(DATE(YEAR(AL185),MONTH(AL185)+AM185,DAY(AL185)),DATE(YEAR(AL185),MONTH(AL185)+AM185+1,0)))))</f>
        <v/>
      </c>
      <c r="AO185" s="31">
        <f>IF(ISNUMBER(AN185),AN185-Settings!$D$4,"")</f>
        <v/>
      </c>
      <c r="AP185" s="31">
        <f>IF(ISNUMBER(AL185),AL185+0+ROW()/100000,"")</f>
        <v/>
      </c>
      <c r="AQ185" s="31">
        <f>IF(OR(AG185="",NOT(ISNUMBER(AP185))),0,IF(SUMPRODUCT(('Responses'!$AG$2:$AG$501=AG185)*('Responses'!$AJ$2:$AJ$501=1)*ISNUMBER('Responses'!$AP$2:$AP$501)*('Responses'!$AP$2:$AP$501&gt;AP185)) + SUMPRODUCT(('Paper sign-ups'!$K$2:$K$101=AG185)*('Paper sign-ups'!$N$2:$N$101=1)*ISNUMBER('Paper sign-ups'!$T$2:$T$101)*('Paper sign-ups'!$T$2:$T$101&gt;AP185))&gt;0,1,0))</f>
        <v/>
      </c>
      <c r="AR185" s="31">
        <f>IF(AE185="","",IF(AQ185=1,"Joined again",IF(AJ185=0,"Unpaid",IF(NOT(ISNUMBER(AL185)),"Add a join date",IF(AN185="","No reminder",IF(AO185&lt;0,"Lapsed",IF(AO185&lt;=Settings!$D$6,"Remind soon","Current")))))))</f>
        <v/>
      </c>
      <c r="AS185" s="33">
        <f>IF(AJ185=1,IFERROR(VALUE(IFERROR(TRIM(INDEX($A185:$Z185,MATCH(Settings!$L$8,$A$1:$Z$1,0))&amp;""),"")),0)-IFERROR(VALUE(IFERROR(TRIM(INDEX($A185:$Z185,MATCH(Settings!$L$9,$A$1:$Z$1,0))&amp;""),"")),0),0)</f>
        <v/>
      </c>
      <c r="AT185" s="31">
        <f>IF(AND(AE185&lt;&gt;"",AQ185=0),1,0)</f>
        <v/>
      </c>
      <c r="AU185" s="31">
        <f>IF(AT185=0,"",IF(ISNUMBER(AN185),AN185,100000)+0+ROW()/1000000)</f>
        <v/>
      </c>
      <c r="AV185" s="31">
        <f>IF(ISNUMBER(AU185),SUMPRODUCT(ISNUMBER('Responses'!$AU$2:$AU$501)*('Responses'!$AU$2:$AU$501&lt;AU185)) + SUMPRODUCT(ISNUMBER('Paper sign-ups'!$Y$2:$Y$101)*('Paper sign-ups'!$Y$2:$Y$101&lt;AU185))+1,"")</f>
        <v/>
      </c>
    </row>
    <row r="186">
      <c r="AA186" s="29" t="n"/>
      <c r="AB186" s="30" t="n"/>
      <c r="AC186" s="30" t="n"/>
      <c r="AD186" s="29" t="n"/>
      <c r="AE186" s="31">
        <f>IFERROR(TRIM(INDEX($A186:$Z186,MATCH(Settings!$L$4,$A$1:$Z$1,0))&amp;""),"")</f>
        <v/>
      </c>
      <c r="AF186" s="31">
        <f>IFERROR(TRIM(INDEX($A186:$Z186,MATCH(Settings!$L$5,$A$1:$Z$1,0))&amp;""),"")</f>
        <v/>
      </c>
      <c r="AG186" s="31">
        <f>IF(AE186="","",LOWER(IF(AF186&lt;&gt;"",AF186,AE186)))</f>
        <v/>
      </c>
      <c r="AH186" s="31">
        <f>IFERROR(TRIM(INDEX($A186:$Z186,MATCH(Settings!$L$6,$A$1:$Z$1,0))&amp;""),"")</f>
        <v/>
      </c>
      <c r="AI186" s="31">
        <f>IF(AE186="","",IF(UPPER(TRIM(AB186&amp;""))="Y","Paid another way",IF(IFERROR(TRIM(INDEX($A186:$Z186,MATCH(Settings!$L$7,$A$1:$Z$1,0))&amp;""),"")="","No payment status",IFERROR(TRIM(INDEX($A186:$Z186,MATCH(Settings!$L$7,$A$1:$Z$1,0))&amp;""),""))))</f>
        <v/>
      </c>
      <c r="AJ186" s="31">
        <f>IF(AE186="",0,IF(IFERROR(INDEX(Settings!$J$4:$J$14,MATCH(AI186,Settings!$I$4:$I$14,0)),"N")="Y",1,0))</f>
        <v/>
      </c>
      <c r="AK186" s="32">
        <f>IFERROR(INT(IFERROR(IF(ISNUMBER(INDEX($A186:$Z186,MATCH(Settings!$L$10,$A$1:$Z$1,0))),INDEX($A186:$Z186,MATCH(Settings!$L$10,$A$1:$Z$1,0)),DATE(VALUE(LEFT(IFERROR(TRIM(INDEX($A186:$Z186,MATCH(Settings!$L$10,$A$1:$Z$1,0))&amp;""),""),4)),VALUE(MID(IFERROR(TRIM(INDEX($A186:$Z186,MATCH(Settings!$L$10,$A$1:$Z$1,0))&amp;""),""),6,2)),VALUE(MID(IFERROR(TRIM(INDEX($A186:$Z186,MATCH(Settings!$L$10,$A$1:$Z$1,0))&amp;""),""),9,2)))+TIME(VALUE(MID(IFERROR(TRIM(INDEX($A186:$Z186,MATCH(Settings!$L$10,$A$1:$Z$1,0))&amp;""),""),12,2)),VALUE(MID(IFERROR(TRIM(INDEX($A186:$Z186,MATCH(Settings!$L$10,$A$1:$Z$1,0))&amp;""),""),15,2)),VALUE(MID(IFERROR(TRIM(INDEX($A186:$Z186,MATCH(Settings!$L$10,$A$1:$Z$1,0))&amp;""),""),18,2)))),"")),"")</f>
        <v/>
      </c>
      <c r="AL186" s="32">
        <f>IF(AE186="","",IF(ISNUMBER(AK186),AK186,IFERROR(INT(IFERROR(IF(ISNUMBER(INDEX($A186:$Z186,MATCH(Settings!$L$11,$A$1:$Z$1,0))),INDEX($A186:$Z186,MATCH(Settings!$L$11,$A$1:$Z$1,0)),DATE(VALUE(LEFT(IFERROR(TRIM(INDEX($A186:$Z186,MATCH(Settings!$L$11,$A$1:$Z$1,0))&amp;""),""),4)),VALUE(MID(IFERROR(TRIM(INDEX($A186:$Z186,MATCH(Settings!$L$11,$A$1:$Z$1,0))&amp;""),""),6,2)),VALUE(MID(IFERROR(TRIM(INDEX($A186:$Z186,MATCH(Settings!$L$11,$A$1:$Z$1,0))&amp;""),""),9,2)))+TIME(VALUE(MID(IFERROR(TRIM(INDEX($A186:$Z186,MATCH(Settings!$L$11,$A$1:$Z$1,0))&amp;""),""),12,2)),VALUE(MID(IFERROR(TRIM(INDEX($A186:$Z186,MATCH(Settings!$L$11,$A$1:$Z$1,0))&amp;""),""),15,2)),VALUE(MID(IFERROR(TRIM(INDEX($A186:$Z186,MATCH(Settings!$L$11,$A$1:$Z$1,0))&amp;""),""),18,2)))),"")),"")))</f>
        <v/>
      </c>
      <c r="AM186" s="31">
        <f>IF(AE186="","",IF(ISNUMBER(IFERROR(INDEX(Settings!$G$4:$G$11,MATCH(AH186,Settings!$F$4:$F$11,0)),"")),INDEX(Settings!$G$4:$G$11,MATCH(AH186,Settings!$F$4:$F$11,0)),Settings!$D$5))</f>
        <v/>
      </c>
      <c r="AN186" s="32">
        <f>IF(OR(AE186="",NOT(ISNUMBER(AL186)),NOT(ISNUMBER(AM186))),"",IF(AM186&lt;=0,"",IF(ISNUMBER(Settings!$D$8),DATE(YEAR(AL186)+IF(DATE(YEAR(AL186),MONTH(Settings!$D$8),DAY(Settings!$D$8))&gt;AL186,0,1),MONTH(Settings!$D$8),DAY(Settings!$D$8)),MIN(DATE(YEAR(AL186),MONTH(AL186)+AM186,DAY(AL186)),DATE(YEAR(AL186),MONTH(AL186)+AM186+1,0)))))</f>
        <v/>
      </c>
      <c r="AO186" s="31">
        <f>IF(ISNUMBER(AN186),AN186-Settings!$D$4,"")</f>
        <v/>
      </c>
      <c r="AP186" s="31">
        <f>IF(ISNUMBER(AL186),AL186+0+ROW()/100000,"")</f>
        <v/>
      </c>
      <c r="AQ186" s="31">
        <f>IF(OR(AG186="",NOT(ISNUMBER(AP186))),0,IF(SUMPRODUCT(('Responses'!$AG$2:$AG$501=AG186)*('Responses'!$AJ$2:$AJ$501=1)*ISNUMBER('Responses'!$AP$2:$AP$501)*('Responses'!$AP$2:$AP$501&gt;AP186)) + SUMPRODUCT(('Paper sign-ups'!$K$2:$K$101=AG186)*('Paper sign-ups'!$N$2:$N$101=1)*ISNUMBER('Paper sign-ups'!$T$2:$T$101)*('Paper sign-ups'!$T$2:$T$101&gt;AP186))&gt;0,1,0))</f>
        <v/>
      </c>
      <c r="AR186" s="31">
        <f>IF(AE186="","",IF(AQ186=1,"Joined again",IF(AJ186=0,"Unpaid",IF(NOT(ISNUMBER(AL186)),"Add a join date",IF(AN186="","No reminder",IF(AO186&lt;0,"Lapsed",IF(AO186&lt;=Settings!$D$6,"Remind soon","Current")))))))</f>
        <v/>
      </c>
      <c r="AS186" s="33">
        <f>IF(AJ186=1,IFERROR(VALUE(IFERROR(TRIM(INDEX($A186:$Z186,MATCH(Settings!$L$8,$A$1:$Z$1,0))&amp;""),"")),0)-IFERROR(VALUE(IFERROR(TRIM(INDEX($A186:$Z186,MATCH(Settings!$L$9,$A$1:$Z$1,0))&amp;""),"")),0),0)</f>
        <v/>
      </c>
      <c r="AT186" s="31">
        <f>IF(AND(AE186&lt;&gt;"",AQ186=0),1,0)</f>
        <v/>
      </c>
      <c r="AU186" s="31">
        <f>IF(AT186=0,"",IF(ISNUMBER(AN186),AN186,100000)+0+ROW()/1000000)</f>
        <v/>
      </c>
      <c r="AV186" s="31">
        <f>IF(ISNUMBER(AU186),SUMPRODUCT(ISNUMBER('Responses'!$AU$2:$AU$501)*('Responses'!$AU$2:$AU$501&lt;AU186)) + SUMPRODUCT(ISNUMBER('Paper sign-ups'!$Y$2:$Y$101)*('Paper sign-ups'!$Y$2:$Y$101&lt;AU186))+1,"")</f>
        <v/>
      </c>
    </row>
    <row r="187">
      <c r="AA187" s="29" t="n"/>
      <c r="AB187" s="30" t="n"/>
      <c r="AC187" s="30" t="n"/>
      <c r="AD187" s="29" t="n"/>
      <c r="AE187" s="31">
        <f>IFERROR(TRIM(INDEX($A187:$Z187,MATCH(Settings!$L$4,$A$1:$Z$1,0))&amp;""),"")</f>
        <v/>
      </c>
      <c r="AF187" s="31">
        <f>IFERROR(TRIM(INDEX($A187:$Z187,MATCH(Settings!$L$5,$A$1:$Z$1,0))&amp;""),"")</f>
        <v/>
      </c>
      <c r="AG187" s="31">
        <f>IF(AE187="","",LOWER(IF(AF187&lt;&gt;"",AF187,AE187)))</f>
        <v/>
      </c>
      <c r="AH187" s="31">
        <f>IFERROR(TRIM(INDEX($A187:$Z187,MATCH(Settings!$L$6,$A$1:$Z$1,0))&amp;""),"")</f>
        <v/>
      </c>
      <c r="AI187" s="31">
        <f>IF(AE187="","",IF(UPPER(TRIM(AB187&amp;""))="Y","Paid another way",IF(IFERROR(TRIM(INDEX($A187:$Z187,MATCH(Settings!$L$7,$A$1:$Z$1,0))&amp;""),"")="","No payment status",IFERROR(TRIM(INDEX($A187:$Z187,MATCH(Settings!$L$7,$A$1:$Z$1,0))&amp;""),""))))</f>
        <v/>
      </c>
      <c r="AJ187" s="31">
        <f>IF(AE187="",0,IF(IFERROR(INDEX(Settings!$J$4:$J$14,MATCH(AI187,Settings!$I$4:$I$14,0)),"N")="Y",1,0))</f>
        <v/>
      </c>
      <c r="AK187" s="32">
        <f>IFERROR(INT(IFERROR(IF(ISNUMBER(INDEX($A187:$Z187,MATCH(Settings!$L$10,$A$1:$Z$1,0))),INDEX($A187:$Z187,MATCH(Settings!$L$10,$A$1:$Z$1,0)),DATE(VALUE(LEFT(IFERROR(TRIM(INDEX($A187:$Z187,MATCH(Settings!$L$10,$A$1:$Z$1,0))&amp;""),""),4)),VALUE(MID(IFERROR(TRIM(INDEX($A187:$Z187,MATCH(Settings!$L$10,$A$1:$Z$1,0))&amp;""),""),6,2)),VALUE(MID(IFERROR(TRIM(INDEX($A187:$Z187,MATCH(Settings!$L$10,$A$1:$Z$1,0))&amp;""),""),9,2)))+TIME(VALUE(MID(IFERROR(TRIM(INDEX($A187:$Z187,MATCH(Settings!$L$10,$A$1:$Z$1,0))&amp;""),""),12,2)),VALUE(MID(IFERROR(TRIM(INDEX($A187:$Z187,MATCH(Settings!$L$10,$A$1:$Z$1,0))&amp;""),""),15,2)),VALUE(MID(IFERROR(TRIM(INDEX($A187:$Z187,MATCH(Settings!$L$10,$A$1:$Z$1,0))&amp;""),""),18,2)))),"")),"")</f>
        <v/>
      </c>
      <c r="AL187" s="32">
        <f>IF(AE187="","",IF(ISNUMBER(AK187),AK187,IFERROR(INT(IFERROR(IF(ISNUMBER(INDEX($A187:$Z187,MATCH(Settings!$L$11,$A$1:$Z$1,0))),INDEX($A187:$Z187,MATCH(Settings!$L$11,$A$1:$Z$1,0)),DATE(VALUE(LEFT(IFERROR(TRIM(INDEX($A187:$Z187,MATCH(Settings!$L$11,$A$1:$Z$1,0))&amp;""),""),4)),VALUE(MID(IFERROR(TRIM(INDEX($A187:$Z187,MATCH(Settings!$L$11,$A$1:$Z$1,0))&amp;""),""),6,2)),VALUE(MID(IFERROR(TRIM(INDEX($A187:$Z187,MATCH(Settings!$L$11,$A$1:$Z$1,0))&amp;""),""),9,2)))+TIME(VALUE(MID(IFERROR(TRIM(INDEX($A187:$Z187,MATCH(Settings!$L$11,$A$1:$Z$1,0))&amp;""),""),12,2)),VALUE(MID(IFERROR(TRIM(INDEX($A187:$Z187,MATCH(Settings!$L$11,$A$1:$Z$1,0))&amp;""),""),15,2)),VALUE(MID(IFERROR(TRIM(INDEX($A187:$Z187,MATCH(Settings!$L$11,$A$1:$Z$1,0))&amp;""),""),18,2)))),"")),"")))</f>
        <v/>
      </c>
      <c r="AM187" s="31">
        <f>IF(AE187="","",IF(ISNUMBER(IFERROR(INDEX(Settings!$G$4:$G$11,MATCH(AH187,Settings!$F$4:$F$11,0)),"")),INDEX(Settings!$G$4:$G$11,MATCH(AH187,Settings!$F$4:$F$11,0)),Settings!$D$5))</f>
        <v/>
      </c>
      <c r="AN187" s="32">
        <f>IF(OR(AE187="",NOT(ISNUMBER(AL187)),NOT(ISNUMBER(AM187))),"",IF(AM187&lt;=0,"",IF(ISNUMBER(Settings!$D$8),DATE(YEAR(AL187)+IF(DATE(YEAR(AL187),MONTH(Settings!$D$8),DAY(Settings!$D$8))&gt;AL187,0,1),MONTH(Settings!$D$8),DAY(Settings!$D$8)),MIN(DATE(YEAR(AL187),MONTH(AL187)+AM187,DAY(AL187)),DATE(YEAR(AL187),MONTH(AL187)+AM187+1,0)))))</f>
        <v/>
      </c>
      <c r="AO187" s="31">
        <f>IF(ISNUMBER(AN187),AN187-Settings!$D$4,"")</f>
        <v/>
      </c>
      <c r="AP187" s="31">
        <f>IF(ISNUMBER(AL187),AL187+0+ROW()/100000,"")</f>
        <v/>
      </c>
      <c r="AQ187" s="31">
        <f>IF(OR(AG187="",NOT(ISNUMBER(AP187))),0,IF(SUMPRODUCT(('Responses'!$AG$2:$AG$501=AG187)*('Responses'!$AJ$2:$AJ$501=1)*ISNUMBER('Responses'!$AP$2:$AP$501)*('Responses'!$AP$2:$AP$501&gt;AP187)) + SUMPRODUCT(('Paper sign-ups'!$K$2:$K$101=AG187)*('Paper sign-ups'!$N$2:$N$101=1)*ISNUMBER('Paper sign-ups'!$T$2:$T$101)*('Paper sign-ups'!$T$2:$T$101&gt;AP187))&gt;0,1,0))</f>
        <v/>
      </c>
      <c r="AR187" s="31">
        <f>IF(AE187="","",IF(AQ187=1,"Joined again",IF(AJ187=0,"Unpaid",IF(NOT(ISNUMBER(AL187)),"Add a join date",IF(AN187="","No reminder",IF(AO187&lt;0,"Lapsed",IF(AO187&lt;=Settings!$D$6,"Remind soon","Current")))))))</f>
        <v/>
      </c>
      <c r="AS187" s="33">
        <f>IF(AJ187=1,IFERROR(VALUE(IFERROR(TRIM(INDEX($A187:$Z187,MATCH(Settings!$L$8,$A$1:$Z$1,0))&amp;""),"")),0)-IFERROR(VALUE(IFERROR(TRIM(INDEX($A187:$Z187,MATCH(Settings!$L$9,$A$1:$Z$1,0))&amp;""),"")),0),0)</f>
        <v/>
      </c>
      <c r="AT187" s="31">
        <f>IF(AND(AE187&lt;&gt;"",AQ187=0),1,0)</f>
        <v/>
      </c>
      <c r="AU187" s="31">
        <f>IF(AT187=0,"",IF(ISNUMBER(AN187),AN187,100000)+0+ROW()/1000000)</f>
        <v/>
      </c>
      <c r="AV187" s="31">
        <f>IF(ISNUMBER(AU187),SUMPRODUCT(ISNUMBER('Responses'!$AU$2:$AU$501)*('Responses'!$AU$2:$AU$501&lt;AU187)) + SUMPRODUCT(ISNUMBER('Paper sign-ups'!$Y$2:$Y$101)*('Paper sign-ups'!$Y$2:$Y$101&lt;AU187))+1,"")</f>
        <v/>
      </c>
    </row>
    <row r="188">
      <c r="AA188" s="29" t="n"/>
      <c r="AB188" s="30" t="n"/>
      <c r="AC188" s="30" t="n"/>
      <c r="AD188" s="29" t="n"/>
      <c r="AE188" s="31">
        <f>IFERROR(TRIM(INDEX($A188:$Z188,MATCH(Settings!$L$4,$A$1:$Z$1,0))&amp;""),"")</f>
        <v/>
      </c>
      <c r="AF188" s="31">
        <f>IFERROR(TRIM(INDEX($A188:$Z188,MATCH(Settings!$L$5,$A$1:$Z$1,0))&amp;""),"")</f>
        <v/>
      </c>
      <c r="AG188" s="31">
        <f>IF(AE188="","",LOWER(IF(AF188&lt;&gt;"",AF188,AE188)))</f>
        <v/>
      </c>
      <c r="AH188" s="31">
        <f>IFERROR(TRIM(INDEX($A188:$Z188,MATCH(Settings!$L$6,$A$1:$Z$1,0))&amp;""),"")</f>
        <v/>
      </c>
      <c r="AI188" s="31">
        <f>IF(AE188="","",IF(UPPER(TRIM(AB188&amp;""))="Y","Paid another way",IF(IFERROR(TRIM(INDEX($A188:$Z188,MATCH(Settings!$L$7,$A$1:$Z$1,0))&amp;""),"")="","No payment status",IFERROR(TRIM(INDEX($A188:$Z188,MATCH(Settings!$L$7,$A$1:$Z$1,0))&amp;""),""))))</f>
        <v/>
      </c>
      <c r="AJ188" s="31">
        <f>IF(AE188="",0,IF(IFERROR(INDEX(Settings!$J$4:$J$14,MATCH(AI188,Settings!$I$4:$I$14,0)),"N")="Y",1,0))</f>
        <v/>
      </c>
      <c r="AK188" s="32">
        <f>IFERROR(INT(IFERROR(IF(ISNUMBER(INDEX($A188:$Z188,MATCH(Settings!$L$10,$A$1:$Z$1,0))),INDEX($A188:$Z188,MATCH(Settings!$L$10,$A$1:$Z$1,0)),DATE(VALUE(LEFT(IFERROR(TRIM(INDEX($A188:$Z188,MATCH(Settings!$L$10,$A$1:$Z$1,0))&amp;""),""),4)),VALUE(MID(IFERROR(TRIM(INDEX($A188:$Z188,MATCH(Settings!$L$10,$A$1:$Z$1,0))&amp;""),""),6,2)),VALUE(MID(IFERROR(TRIM(INDEX($A188:$Z188,MATCH(Settings!$L$10,$A$1:$Z$1,0))&amp;""),""),9,2)))+TIME(VALUE(MID(IFERROR(TRIM(INDEX($A188:$Z188,MATCH(Settings!$L$10,$A$1:$Z$1,0))&amp;""),""),12,2)),VALUE(MID(IFERROR(TRIM(INDEX($A188:$Z188,MATCH(Settings!$L$10,$A$1:$Z$1,0))&amp;""),""),15,2)),VALUE(MID(IFERROR(TRIM(INDEX($A188:$Z188,MATCH(Settings!$L$10,$A$1:$Z$1,0))&amp;""),""),18,2)))),"")),"")</f>
        <v/>
      </c>
      <c r="AL188" s="32">
        <f>IF(AE188="","",IF(ISNUMBER(AK188),AK188,IFERROR(INT(IFERROR(IF(ISNUMBER(INDEX($A188:$Z188,MATCH(Settings!$L$11,$A$1:$Z$1,0))),INDEX($A188:$Z188,MATCH(Settings!$L$11,$A$1:$Z$1,0)),DATE(VALUE(LEFT(IFERROR(TRIM(INDEX($A188:$Z188,MATCH(Settings!$L$11,$A$1:$Z$1,0))&amp;""),""),4)),VALUE(MID(IFERROR(TRIM(INDEX($A188:$Z188,MATCH(Settings!$L$11,$A$1:$Z$1,0))&amp;""),""),6,2)),VALUE(MID(IFERROR(TRIM(INDEX($A188:$Z188,MATCH(Settings!$L$11,$A$1:$Z$1,0))&amp;""),""),9,2)))+TIME(VALUE(MID(IFERROR(TRIM(INDEX($A188:$Z188,MATCH(Settings!$L$11,$A$1:$Z$1,0))&amp;""),""),12,2)),VALUE(MID(IFERROR(TRIM(INDEX($A188:$Z188,MATCH(Settings!$L$11,$A$1:$Z$1,0))&amp;""),""),15,2)),VALUE(MID(IFERROR(TRIM(INDEX($A188:$Z188,MATCH(Settings!$L$11,$A$1:$Z$1,0))&amp;""),""),18,2)))),"")),"")))</f>
        <v/>
      </c>
      <c r="AM188" s="31">
        <f>IF(AE188="","",IF(ISNUMBER(IFERROR(INDEX(Settings!$G$4:$G$11,MATCH(AH188,Settings!$F$4:$F$11,0)),"")),INDEX(Settings!$G$4:$G$11,MATCH(AH188,Settings!$F$4:$F$11,0)),Settings!$D$5))</f>
        <v/>
      </c>
      <c r="AN188" s="32">
        <f>IF(OR(AE188="",NOT(ISNUMBER(AL188)),NOT(ISNUMBER(AM188))),"",IF(AM188&lt;=0,"",IF(ISNUMBER(Settings!$D$8),DATE(YEAR(AL188)+IF(DATE(YEAR(AL188),MONTH(Settings!$D$8),DAY(Settings!$D$8))&gt;AL188,0,1),MONTH(Settings!$D$8),DAY(Settings!$D$8)),MIN(DATE(YEAR(AL188),MONTH(AL188)+AM188,DAY(AL188)),DATE(YEAR(AL188),MONTH(AL188)+AM188+1,0)))))</f>
        <v/>
      </c>
      <c r="AO188" s="31">
        <f>IF(ISNUMBER(AN188),AN188-Settings!$D$4,"")</f>
        <v/>
      </c>
      <c r="AP188" s="31">
        <f>IF(ISNUMBER(AL188),AL188+0+ROW()/100000,"")</f>
        <v/>
      </c>
      <c r="AQ188" s="31">
        <f>IF(OR(AG188="",NOT(ISNUMBER(AP188))),0,IF(SUMPRODUCT(('Responses'!$AG$2:$AG$501=AG188)*('Responses'!$AJ$2:$AJ$501=1)*ISNUMBER('Responses'!$AP$2:$AP$501)*('Responses'!$AP$2:$AP$501&gt;AP188)) + SUMPRODUCT(('Paper sign-ups'!$K$2:$K$101=AG188)*('Paper sign-ups'!$N$2:$N$101=1)*ISNUMBER('Paper sign-ups'!$T$2:$T$101)*('Paper sign-ups'!$T$2:$T$101&gt;AP188))&gt;0,1,0))</f>
        <v/>
      </c>
      <c r="AR188" s="31">
        <f>IF(AE188="","",IF(AQ188=1,"Joined again",IF(AJ188=0,"Unpaid",IF(NOT(ISNUMBER(AL188)),"Add a join date",IF(AN188="","No reminder",IF(AO188&lt;0,"Lapsed",IF(AO188&lt;=Settings!$D$6,"Remind soon","Current")))))))</f>
        <v/>
      </c>
      <c r="AS188" s="33">
        <f>IF(AJ188=1,IFERROR(VALUE(IFERROR(TRIM(INDEX($A188:$Z188,MATCH(Settings!$L$8,$A$1:$Z$1,0))&amp;""),"")),0)-IFERROR(VALUE(IFERROR(TRIM(INDEX($A188:$Z188,MATCH(Settings!$L$9,$A$1:$Z$1,0))&amp;""),"")),0),0)</f>
        <v/>
      </c>
      <c r="AT188" s="31">
        <f>IF(AND(AE188&lt;&gt;"",AQ188=0),1,0)</f>
        <v/>
      </c>
      <c r="AU188" s="31">
        <f>IF(AT188=0,"",IF(ISNUMBER(AN188),AN188,100000)+0+ROW()/1000000)</f>
        <v/>
      </c>
      <c r="AV188" s="31">
        <f>IF(ISNUMBER(AU188),SUMPRODUCT(ISNUMBER('Responses'!$AU$2:$AU$501)*('Responses'!$AU$2:$AU$501&lt;AU188)) + SUMPRODUCT(ISNUMBER('Paper sign-ups'!$Y$2:$Y$101)*('Paper sign-ups'!$Y$2:$Y$101&lt;AU188))+1,"")</f>
        <v/>
      </c>
    </row>
    <row r="189">
      <c r="AA189" s="29" t="n"/>
      <c r="AB189" s="30" t="n"/>
      <c r="AC189" s="30" t="n"/>
      <c r="AD189" s="29" t="n"/>
      <c r="AE189" s="31">
        <f>IFERROR(TRIM(INDEX($A189:$Z189,MATCH(Settings!$L$4,$A$1:$Z$1,0))&amp;""),"")</f>
        <v/>
      </c>
      <c r="AF189" s="31">
        <f>IFERROR(TRIM(INDEX($A189:$Z189,MATCH(Settings!$L$5,$A$1:$Z$1,0))&amp;""),"")</f>
        <v/>
      </c>
      <c r="AG189" s="31">
        <f>IF(AE189="","",LOWER(IF(AF189&lt;&gt;"",AF189,AE189)))</f>
        <v/>
      </c>
      <c r="AH189" s="31">
        <f>IFERROR(TRIM(INDEX($A189:$Z189,MATCH(Settings!$L$6,$A$1:$Z$1,0))&amp;""),"")</f>
        <v/>
      </c>
      <c r="AI189" s="31">
        <f>IF(AE189="","",IF(UPPER(TRIM(AB189&amp;""))="Y","Paid another way",IF(IFERROR(TRIM(INDEX($A189:$Z189,MATCH(Settings!$L$7,$A$1:$Z$1,0))&amp;""),"")="","No payment status",IFERROR(TRIM(INDEX($A189:$Z189,MATCH(Settings!$L$7,$A$1:$Z$1,0))&amp;""),""))))</f>
        <v/>
      </c>
      <c r="AJ189" s="31">
        <f>IF(AE189="",0,IF(IFERROR(INDEX(Settings!$J$4:$J$14,MATCH(AI189,Settings!$I$4:$I$14,0)),"N")="Y",1,0))</f>
        <v/>
      </c>
      <c r="AK189" s="32">
        <f>IFERROR(INT(IFERROR(IF(ISNUMBER(INDEX($A189:$Z189,MATCH(Settings!$L$10,$A$1:$Z$1,0))),INDEX($A189:$Z189,MATCH(Settings!$L$10,$A$1:$Z$1,0)),DATE(VALUE(LEFT(IFERROR(TRIM(INDEX($A189:$Z189,MATCH(Settings!$L$10,$A$1:$Z$1,0))&amp;""),""),4)),VALUE(MID(IFERROR(TRIM(INDEX($A189:$Z189,MATCH(Settings!$L$10,$A$1:$Z$1,0))&amp;""),""),6,2)),VALUE(MID(IFERROR(TRIM(INDEX($A189:$Z189,MATCH(Settings!$L$10,$A$1:$Z$1,0))&amp;""),""),9,2)))+TIME(VALUE(MID(IFERROR(TRIM(INDEX($A189:$Z189,MATCH(Settings!$L$10,$A$1:$Z$1,0))&amp;""),""),12,2)),VALUE(MID(IFERROR(TRIM(INDEX($A189:$Z189,MATCH(Settings!$L$10,$A$1:$Z$1,0))&amp;""),""),15,2)),VALUE(MID(IFERROR(TRIM(INDEX($A189:$Z189,MATCH(Settings!$L$10,$A$1:$Z$1,0))&amp;""),""),18,2)))),"")),"")</f>
        <v/>
      </c>
      <c r="AL189" s="32">
        <f>IF(AE189="","",IF(ISNUMBER(AK189),AK189,IFERROR(INT(IFERROR(IF(ISNUMBER(INDEX($A189:$Z189,MATCH(Settings!$L$11,$A$1:$Z$1,0))),INDEX($A189:$Z189,MATCH(Settings!$L$11,$A$1:$Z$1,0)),DATE(VALUE(LEFT(IFERROR(TRIM(INDEX($A189:$Z189,MATCH(Settings!$L$11,$A$1:$Z$1,0))&amp;""),""),4)),VALUE(MID(IFERROR(TRIM(INDEX($A189:$Z189,MATCH(Settings!$L$11,$A$1:$Z$1,0))&amp;""),""),6,2)),VALUE(MID(IFERROR(TRIM(INDEX($A189:$Z189,MATCH(Settings!$L$11,$A$1:$Z$1,0))&amp;""),""),9,2)))+TIME(VALUE(MID(IFERROR(TRIM(INDEX($A189:$Z189,MATCH(Settings!$L$11,$A$1:$Z$1,0))&amp;""),""),12,2)),VALUE(MID(IFERROR(TRIM(INDEX($A189:$Z189,MATCH(Settings!$L$11,$A$1:$Z$1,0))&amp;""),""),15,2)),VALUE(MID(IFERROR(TRIM(INDEX($A189:$Z189,MATCH(Settings!$L$11,$A$1:$Z$1,0))&amp;""),""),18,2)))),"")),"")))</f>
        <v/>
      </c>
      <c r="AM189" s="31">
        <f>IF(AE189="","",IF(ISNUMBER(IFERROR(INDEX(Settings!$G$4:$G$11,MATCH(AH189,Settings!$F$4:$F$11,0)),"")),INDEX(Settings!$G$4:$G$11,MATCH(AH189,Settings!$F$4:$F$11,0)),Settings!$D$5))</f>
        <v/>
      </c>
      <c r="AN189" s="32">
        <f>IF(OR(AE189="",NOT(ISNUMBER(AL189)),NOT(ISNUMBER(AM189))),"",IF(AM189&lt;=0,"",IF(ISNUMBER(Settings!$D$8),DATE(YEAR(AL189)+IF(DATE(YEAR(AL189),MONTH(Settings!$D$8),DAY(Settings!$D$8))&gt;AL189,0,1),MONTH(Settings!$D$8),DAY(Settings!$D$8)),MIN(DATE(YEAR(AL189),MONTH(AL189)+AM189,DAY(AL189)),DATE(YEAR(AL189),MONTH(AL189)+AM189+1,0)))))</f>
        <v/>
      </c>
      <c r="AO189" s="31">
        <f>IF(ISNUMBER(AN189),AN189-Settings!$D$4,"")</f>
        <v/>
      </c>
      <c r="AP189" s="31">
        <f>IF(ISNUMBER(AL189),AL189+0+ROW()/100000,"")</f>
        <v/>
      </c>
      <c r="AQ189" s="31">
        <f>IF(OR(AG189="",NOT(ISNUMBER(AP189))),0,IF(SUMPRODUCT(('Responses'!$AG$2:$AG$501=AG189)*('Responses'!$AJ$2:$AJ$501=1)*ISNUMBER('Responses'!$AP$2:$AP$501)*('Responses'!$AP$2:$AP$501&gt;AP189)) + SUMPRODUCT(('Paper sign-ups'!$K$2:$K$101=AG189)*('Paper sign-ups'!$N$2:$N$101=1)*ISNUMBER('Paper sign-ups'!$T$2:$T$101)*('Paper sign-ups'!$T$2:$T$101&gt;AP189))&gt;0,1,0))</f>
        <v/>
      </c>
      <c r="AR189" s="31">
        <f>IF(AE189="","",IF(AQ189=1,"Joined again",IF(AJ189=0,"Unpaid",IF(NOT(ISNUMBER(AL189)),"Add a join date",IF(AN189="","No reminder",IF(AO189&lt;0,"Lapsed",IF(AO189&lt;=Settings!$D$6,"Remind soon","Current")))))))</f>
        <v/>
      </c>
      <c r="AS189" s="33">
        <f>IF(AJ189=1,IFERROR(VALUE(IFERROR(TRIM(INDEX($A189:$Z189,MATCH(Settings!$L$8,$A$1:$Z$1,0))&amp;""),"")),0)-IFERROR(VALUE(IFERROR(TRIM(INDEX($A189:$Z189,MATCH(Settings!$L$9,$A$1:$Z$1,0))&amp;""),"")),0),0)</f>
        <v/>
      </c>
      <c r="AT189" s="31">
        <f>IF(AND(AE189&lt;&gt;"",AQ189=0),1,0)</f>
        <v/>
      </c>
      <c r="AU189" s="31">
        <f>IF(AT189=0,"",IF(ISNUMBER(AN189),AN189,100000)+0+ROW()/1000000)</f>
        <v/>
      </c>
      <c r="AV189" s="31">
        <f>IF(ISNUMBER(AU189),SUMPRODUCT(ISNUMBER('Responses'!$AU$2:$AU$501)*('Responses'!$AU$2:$AU$501&lt;AU189)) + SUMPRODUCT(ISNUMBER('Paper sign-ups'!$Y$2:$Y$101)*('Paper sign-ups'!$Y$2:$Y$101&lt;AU189))+1,"")</f>
        <v/>
      </c>
    </row>
    <row r="190">
      <c r="AA190" s="29" t="n"/>
      <c r="AB190" s="30" t="n"/>
      <c r="AC190" s="30" t="n"/>
      <c r="AD190" s="29" t="n"/>
      <c r="AE190" s="31">
        <f>IFERROR(TRIM(INDEX($A190:$Z190,MATCH(Settings!$L$4,$A$1:$Z$1,0))&amp;""),"")</f>
        <v/>
      </c>
      <c r="AF190" s="31">
        <f>IFERROR(TRIM(INDEX($A190:$Z190,MATCH(Settings!$L$5,$A$1:$Z$1,0))&amp;""),"")</f>
        <v/>
      </c>
      <c r="AG190" s="31">
        <f>IF(AE190="","",LOWER(IF(AF190&lt;&gt;"",AF190,AE190)))</f>
        <v/>
      </c>
      <c r="AH190" s="31">
        <f>IFERROR(TRIM(INDEX($A190:$Z190,MATCH(Settings!$L$6,$A$1:$Z$1,0))&amp;""),"")</f>
        <v/>
      </c>
      <c r="AI190" s="31">
        <f>IF(AE190="","",IF(UPPER(TRIM(AB190&amp;""))="Y","Paid another way",IF(IFERROR(TRIM(INDEX($A190:$Z190,MATCH(Settings!$L$7,$A$1:$Z$1,0))&amp;""),"")="","No payment status",IFERROR(TRIM(INDEX($A190:$Z190,MATCH(Settings!$L$7,$A$1:$Z$1,0))&amp;""),""))))</f>
        <v/>
      </c>
      <c r="AJ190" s="31">
        <f>IF(AE190="",0,IF(IFERROR(INDEX(Settings!$J$4:$J$14,MATCH(AI190,Settings!$I$4:$I$14,0)),"N")="Y",1,0))</f>
        <v/>
      </c>
      <c r="AK190" s="32">
        <f>IFERROR(INT(IFERROR(IF(ISNUMBER(INDEX($A190:$Z190,MATCH(Settings!$L$10,$A$1:$Z$1,0))),INDEX($A190:$Z190,MATCH(Settings!$L$10,$A$1:$Z$1,0)),DATE(VALUE(LEFT(IFERROR(TRIM(INDEX($A190:$Z190,MATCH(Settings!$L$10,$A$1:$Z$1,0))&amp;""),""),4)),VALUE(MID(IFERROR(TRIM(INDEX($A190:$Z190,MATCH(Settings!$L$10,$A$1:$Z$1,0))&amp;""),""),6,2)),VALUE(MID(IFERROR(TRIM(INDEX($A190:$Z190,MATCH(Settings!$L$10,$A$1:$Z$1,0))&amp;""),""),9,2)))+TIME(VALUE(MID(IFERROR(TRIM(INDEX($A190:$Z190,MATCH(Settings!$L$10,$A$1:$Z$1,0))&amp;""),""),12,2)),VALUE(MID(IFERROR(TRIM(INDEX($A190:$Z190,MATCH(Settings!$L$10,$A$1:$Z$1,0))&amp;""),""),15,2)),VALUE(MID(IFERROR(TRIM(INDEX($A190:$Z190,MATCH(Settings!$L$10,$A$1:$Z$1,0))&amp;""),""),18,2)))),"")),"")</f>
        <v/>
      </c>
      <c r="AL190" s="32">
        <f>IF(AE190="","",IF(ISNUMBER(AK190),AK190,IFERROR(INT(IFERROR(IF(ISNUMBER(INDEX($A190:$Z190,MATCH(Settings!$L$11,$A$1:$Z$1,0))),INDEX($A190:$Z190,MATCH(Settings!$L$11,$A$1:$Z$1,0)),DATE(VALUE(LEFT(IFERROR(TRIM(INDEX($A190:$Z190,MATCH(Settings!$L$11,$A$1:$Z$1,0))&amp;""),""),4)),VALUE(MID(IFERROR(TRIM(INDEX($A190:$Z190,MATCH(Settings!$L$11,$A$1:$Z$1,0))&amp;""),""),6,2)),VALUE(MID(IFERROR(TRIM(INDEX($A190:$Z190,MATCH(Settings!$L$11,$A$1:$Z$1,0))&amp;""),""),9,2)))+TIME(VALUE(MID(IFERROR(TRIM(INDEX($A190:$Z190,MATCH(Settings!$L$11,$A$1:$Z$1,0))&amp;""),""),12,2)),VALUE(MID(IFERROR(TRIM(INDEX($A190:$Z190,MATCH(Settings!$L$11,$A$1:$Z$1,0))&amp;""),""),15,2)),VALUE(MID(IFERROR(TRIM(INDEX($A190:$Z190,MATCH(Settings!$L$11,$A$1:$Z$1,0))&amp;""),""),18,2)))),"")),"")))</f>
        <v/>
      </c>
      <c r="AM190" s="31">
        <f>IF(AE190="","",IF(ISNUMBER(IFERROR(INDEX(Settings!$G$4:$G$11,MATCH(AH190,Settings!$F$4:$F$11,0)),"")),INDEX(Settings!$G$4:$G$11,MATCH(AH190,Settings!$F$4:$F$11,0)),Settings!$D$5))</f>
        <v/>
      </c>
      <c r="AN190" s="32">
        <f>IF(OR(AE190="",NOT(ISNUMBER(AL190)),NOT(ISNUMBER(AM190))),"",IF(AM190&lt;=0,"",IF(ISNUMBER(Settings!$D$8),DATE(YEAR(AL190)+IF(DATE(YEAR(AL190),MONTH(Settings!$D$8),DAY(Settings!$D$8))&gt;AL190,0,1),MONTH(Settings!$D$8),DAY(Settings!$D$8)),MIN(DATE(YEAR(AL190),MONTH(AL190)+AM190,DAY(AL190)),DATE(YEAR(AL190),MONTH(AL190)+AM190+1,0)))))</f>
        <v/>
      </c>
      <c r="AO190" s="31">
        <f>IF(ISNUMBER(AN190),AN190-Settings!$D$4,"")</f>
        <v/>
      </c>
      <c r="AP190" s="31">
        <f>IF(ISNUMBER(AL190),AL190+0+ROW()/100000,"")</f>
        <v/>
      </c>
      <c r="AQ190" s="31">
        <f>IF(OR(AG190="",NOT(ISNUMBER(AP190))),0,IF(SUMPRODUCT(('Responses'!$AG$2:$AG$501=AG190)*('Responses'!$AJ$2:$AJ$501=1)*ISNUMBER('Responses'!$AP$2:$AP$501)*('Responses'!$AP$2:$AP$501&gt;AP190)) + SUMPRODUCT(('Paper sign-ups'!$K$2:$K$101=AG190)*('Paper sign-ups'!$N$2:$N$101=1)*ISNUMBER('Paper sign-ups'!$T$2:$T$101)*('Paper sign-ups'!$T$2:$T$101&gt;AP190))&gt;0,1,0))</f>
        <v/>
      </c>
      <c r="AR190" s="31">
        <f>IF(AE190="","",IF(AQ190=1,"Joined again",IF(AJ190=0,"Unpaid",IF(NOT(ISNUMBER(AL190)),"Add a join date",IF(AN190="","No reminder",IF(AO190&lt;0,"Lapsed",IF(AO190&lt;=Settings!$D$6,"Remind soon","Current")))))))</f>
        <v/>
      </c>
      <c r="AS190" s="33">
        <f>IF(AJ190=1,IFERROR(VALUE(IFERROR(TRIM(INDEX($A190:$Z190,MATCH(Settings!$L$8,$A$1:$Z$1,0))&amp;""),"")),0)-IFERROR(VALUE(IFERROR(TRIM(INDEX($A190:$Z190,MATCH(Settings!$L$9,$A$1:$Z$1,0))&amp;""),"")),0),0)</f>
        <v/>
      </c>
      <c r="AT190" s="31">
        <f>IF(AND(AE190&lt;&gt;"",AQ190=0),1,0)</f>
        <v/>
      </c>
      <c r="AU190" s="31">
        <f>IF(AT190=0,"",IF(ISNUMBER(AN190),AN190,100000)+0+ROW()/1000000)</f>
        <v/>
      </c>
      <c r="AV190" s="31">
        <f>IF(ISNUMBER(AU190),SUMPRODUCT(ISNUMBER('Responses'!$AU$2:$AU$501)*('Responses'!$AU$2:$AU$501&lt;AU190)) + SUMPRODUCT(ISNUMBER('Paper sign-ups'!$Y$2:$Y$101)*('Paper sign-ups'!$Y$2:$Y$101&lt;AU190))+1,"")</f>
        <v/>
      </c>
    </row>
    <row r="191">
      <c r="AA191" s="29" t="n"/>
      <c r="AB191" s="30" t="n"/>
      <c r="AC191" s="30" t="n"/>
      <c r="AD191" s="29" t="n"/>
      <c r="AE191" s="31">
        <f>IFERROR(TRIM(INDEX($A191:$Z191,MATCH(Settings!$L$4,$A$1:$Z$1,0))&amp;""),"")</f>
        <v/>
      </c>
      <c r="AF191" s="31">
        <f>IFERROR(TRIM(INDEX($A191:$Z191,MATCH(Settings!$L$5,$A$1:$Z$1,0))&amp;""),"")</f>
        <v/>
      </c>
      <c r="AG191" s="31">
        <f>IF(AE191="","",LOWER(IF(AF191&lt;&gt;"",AF191,AE191)))</f>
        <v/>
      </c>
      <c r="AH191" s="31">
        <f>IFERROR(TRIM(INDEX($A191:$Z191,MATCH(Settings!$L$6,$A$1:$Z$1,0))&amp;""),"")</f>
        <v/>
      </c>
      <c r="AI191" s="31">
        <f>IF(AE191="","",IF(UPPER(TRIM(AB191&amp;""))="Y","Paid another way",IF(IFERROR(TRIM(INDEX($A191:$Z191,MATCH(Settings!$L$7,$A$1:$Z$1,0))&amp;""),"")="","No payment status",IFERROR(TRIM(INDEX($A191:$Z191,MATCH(Settings!$L$7,$A$1:$Z$1,0))&amp;""),""))))</f>
        <v/>
      </c>
      <c r="AJ191" s="31">
        <f>IF(AE191="",0,IF(IFERROR(INDEX(Settings!$J$4:$J$14,MATCH(AI191,Settings!$I$4:$I$14,0)),"N")="Y",1,0))</f>
        <v/>
      </c>
      <c r="AK191" s="32">
        <f>IFERROR(INT(IFERROR(IF(ISNUMBER(INDEX($A191:$Z191,MATCH(Settings!$L$10,$A$1:$Z$1,0))),INDEX($A191:$Z191,MATCH(Settings!$L$10,$A$1:$Z$1,0)),DATE(VALUE(LEFT(IFERROR(TRIM(INDEX($A191:$Z191,MATCH(Settings!$L$10,$A$1:$Z$1,0))&amp;""),""),4)),VALUE(MID(IFERROR(TRIM(INDEX($A191:$Z191,MATCH(Settings!$L$10,$A$1:$Z$1,0))&amp;""),""),6,2)),VALUE(MID(IFERROR(TRIM(INDEX($A191:$Z191,MATCH(Settings!$L$10,$A$1:$Z$1,0))&amp;""),""),9,2)))+TIME(VALUE(MID(IFERROR(TRIM(INDEX($A191:$Z191,MATCH(Settings!$L$10,$A$1:$Z$1,0))&amp;""),""),12,2)),VALUE(MID(IFERROR(TRIM(INDEX($A191:$Z191,MATCH(Settings!$L$10,$A$1:$Z$1,0))&amp;""),""),15,2)),VALUE(MID(IFERROR(TRIM(INDEX($A191:$Z191,MATCH(Settings!$L$10,$A$1:$Z$1,0))&amp;""),""),18,2)))),"")),"")</f>
        <v/>
      </c>
      <c r="AL191" s="32">
        <f>IF(AE191="","",IF(ISNUMBER(AK191),AK191,IFERROR(INT(IFERROR(IF(ISNUMBER(INDEX($A191:$Z191,MATCH(Settings!$L$11,$A$1:$Z$1,0))),INDEX($A191:$Z191,MATCH(Settings!$L$11,$A$1:$Z$1,0)),DATE(VALUE(LEFT(IFERROR(TRIM(INDEX($A191:$Z191,MATCH(Settings!$L$11,$A$1:$Z$1,0))&amp;""),""),4)),VALUE(MID(IFERROR(TRIM(INDEX($A191:$Z191,MATCH(Settings!$L$11,$A$1:$Z$1,0))&amp;""),""),6,2)),VALUE(MID(IFERROR(TRIM(INDEX($A191:$Z191,MATCH(Settings!$L$11,$A$1:$Z$1,0))&amp;""),""),9,2)))+TIME(VALUE(MID(IFERROR(TRIM(INDEX($A191:$Z191,MATCH(Settings!$L$11,$A$1:$Z$1,0))&amp;""),""),12,2)),VALUE(MID(IFERROR(TRIM(INDEX($A191:$Z191,MATCH(Settings!$L$11,$A$1:$Z$1,0))&amp;""),""),15,2)),VALUE(MID(IFERROR(TRIM(INDEX($A191:$Z191,MATCH(Settings!$L$11,$A$1:$Z$1,0))&amp;""),""),18,2)))),"")),"")))</f>
        <v/>
      </c>
      <c r="AM191" s="31">
        <f>IF(AE191="","",IF(ISNUMBER(IFERROR(INDEX(Settings!$G$4:$G$11,MATCH(AH191,Settings!$F$4:$F$11,0)),"")),INDEX(Settings!$G$4:$G$11,MATCH(AH191,Settings!$F$4:$F$11,0)),Settings!$D$5))</f>
        <v/>
      </c>
      <c r="AN191" s="32">
        <f>IF(OR(AE191="",NOT(ISNUMBER(AL191)),NOT(ISNUMBER(AM191))),"",IF(AM191&lt;=0,"",IF(ISNUMBER(Settings!$D$8),DATE(YEAR(AL191)+IF(DATE(YEAR(AL191),MONTH(Settings!$D$8),DAY(Settings!$D$8))&gt;AL191,0,1),MONTH(Settings!$D$8),DAY(Settings!$D$8)),MIN(DATE(YEAR(AL191),MONTH(AL191)+AM191,DAY(AL191)),DATE(YEAR(AL191),MONTH(AL191)+AM191+1,0)))))</f>
        <v/>
      </c>
      <c r="AO191" s="31">
        <f>IF(ISNUMBER(AN191),AN191-Settings!$D$4,"")</f>
        <v/>
      </c>
      <c r="AP191" s="31">
        <f>IF(ISNUMBER(AL191),AL191+0+ROW()/100000,"")</f>
        <v/>
      </c>
      <c r="AQ191" s="31">
        <f>IF(OR(AG191="",NOT(ISNUMBER(AP191))),0,IF(SUMPRODUCT(('Responses'!$AG$2:$AG$501=AG191)*('Responses'!$AJ$2:$AJ$501=1)*ISNUMBER('Responses'!$AP$2:$AP$501)*('Responses'!$AP$2:$AP$501&gt;AP191)) + SUMPRODUCT(('Paper sign-ups'!$K$2:$K$101=AG191)*('Paper sign-ups'!$N$2:$N$101=1)*ISNUMBER('Paper sign-ups'!$T$2:$T$101)*('Paper sign-ups'!$T$2:$T$101&gt;AP191))&gt;0,1,0))</f>
        <v/>
      </c>
      <c r="AR191" s="31">
        <f>IF(AE191="","",IF(AQ191=1,"Joined again",IF(AJ191=0,"Unpaid",IF(NOT(ISNUMBER(AL191)),"Add a join date",IF(AN191="","No reminder",IF(AO191&lt;0,"Lapsed",IF(AO191&lt;=Settings!$D$6,"Remind soon","Current")))))))</f>
        <v/>
      </c>
      <c r="AS191" s="33">
        <f>IF(AJ191=1,IFERROR(VALUE(IFERROR(TRIM(INDEX($A191:$Z191,MATCH(Settings!$L$8,$A$1:$Z$1,0))&amp;""),"")),0)-IFERROR(VALUE(IFERROR(TRIM(INDEX($A191:$Z191,MATCH(Settings!$L$9,$A$1:$Z$1,0))&amp;""),"")),0),0)</f>
        <v/>
      </c>
      <c r="AT191" s="31">
        <f>IF(AND(AE191&lt;&gt;"",AQ191=0),1,0)</f>
        <v/>
      </c>
      <c r="AU191" s="31">
        <f>IF(AT191=0,"",IF(ISNUMBER(AN191),AN191,100000)+0+ROW()/1000000)</f>
        <v/>
      </c>
      <c r="AV191" s="31">
        <f>IF(ISNUMBER(AU191),SUMPRODUCT(ISNUMBER('Responses'!$AU$2:$AU$501)*('Responses'!$AU$2:$AU$501&lt;AU191)) + SUMPRODUCT(ISNUMBER('Paper sign-ups'!$Y$2:$Y$101)*('Paper sign-ups'!$Y$2:$Y$101&lt;AU191))+1,"")</f>
        <v/>
      </c>
    </row>
    <row r="192">
      <c r="AA192" s="29" t="n"/>
      <c r="AB192" s="30" t="n"/>
      <c r="AC192" s="30" t="n"/>
      <c r="AD192" s="29" t="n"/>
      <c r="AE192" s="31">
        <f>IFERROR(TRIM(INDEX($A192:$Z192,MATCH(Settings!$L$4,$A$1:$Z$1,0))&amp;""),"")</f>
        <v/>
      </c>
      <c r="AF192" s="31">
        <f>IFERROR(TRIM(INDEX($A192:$Z192,MATCH(Settings!$L$5,$A$1:$Z$1,0))&amp;""),"")</f>
        <v/>
      </c>
      <c r="AG192" s="31">
        <f>IF(AE192="","",LOWER(IF(AF192&lt;&gt;"",AF192,AE192)))</f>
        <v/>
      </c>
      <c r="AH192" s="31">
        <f>IFERROR(TRIM(INDEX($A192:$Z192,MATCH(Settings!$L$6,$A$1:$Z$1,0))&amp;""),"")</f>
        <v/>
      </c>
      <c r="AI192" s="31">
        <f>IF(AE192="","",IF(UPPER(TRIM(AB192&amp;""))="Y","Paid another way",IF(IFERROR(TRIM(INDEX($A192:$Z192,MATCH(Settings!$L$7,$A$1:$Z$1,0))&amp;""),"")="","No payment status",IFERROR(TRIM(INDEX($A192:$Z192,MATCH(Settings!$L$7,$A$1:$Z$1,0))&amp;""),""))))</f>
        <v/>
      </c>
      <c r="AJ192" s="31">
        <f>IF(AE192="",0,IF(IFERROR(INDEX(Settings!$J$4:$J$14,MATCH(AI192,Settings!$I$4:$I$14,0)),"N")="Y",1,0))</f>
        <v/>
      </c>
      <c r="AK192" s="32">
        <f>IFERROR(INT(IFERROR(IF(ISNUMBER(INDEX($A192:$Z192,MATCH(Settings!$L$10,$A$1:$Z$1,0))),INDEX($A192:$Z192,MATCH(Settings!$L$10,$A$1:$Z$1,0)),DATE(VALUE(LEFT(IFERROR(TRIM(INDEX($A192:$Z192,MATCH(Settings!$L$10,$A$1:$Z$1,0))&amp;""),""),4)),VALUE(MID(IFERROR(TRIM(INDEX($A192:$Z192,MATCH(Settings!$L$10,$A$1:$Z$1,0))&amp;""),""),6,2)),VALUE(MID(IFERROR(TRIM(INDEX($A192:$Z192,MATCH(Settings!$L$10,$A$1:$Z$1,0))&amp;""),""),9,2)))+TIME(VALUE(MID(IFERROR(TRIM(INDEX($A192:$Z192,MATCH(Settings!$L$10,$A$1:$Z$1,0))&amp;""),""),12,2)),VALUE(MID(IFERROR(TRIM(INDEX($A192:$Z192,MATCH(Settings!$L$10,$A$1:$Z$1,0))&amp;""),""),15,2)),VALUE(MID(IFERROR(TRIM(INDEX($A192:$Z192,MATCH(Settings!$L$10,$A$1:$Z$1,0))&amp;""),""),18,2)))),"")),"")</f>
        <v/>
      </c>
      <c r="AL192" s="32">
        <f>IF(AE192="","",IF(ISNUMBER(AK192),AK192,IFERROR(INT(IFERROR(IF(ISNUMBER(INDEX($A192:$Z192,MATCH(Settings!$L$11,$A$1:$Z$1,0))),INDEX($A192:$Z192,MATCH(Settings!$L$11,$A$1:$Z$1,0)),DATE(VALUE(LEFT(IFERROR(TRIM(INDEX($A192:$Z192,MATCH(Settings!$L$11,$A$1:$Z$1,0))&amp;""),""),4)),VALUE(MID(IFERROR(TRIM(INDEX($A192:$Z192,MATCH(Settings!$L$11,$A$1:$Z$1,0))&amp;""),""),6,2)),VALUE(MID(IFERROR(TRIM(INDEX($A192:$Z192,MATCH(Settings!$L$11,$A$1:$Z$1,0))&amp;""),""),9,2)))+TIME(VALUE(MID(IFERROR(TRIM(INDEX($A192:$Z192,MATCH(Settings!$L$11,$A$1:$Z$1,0))&amp;""),""),12,2)),VALUE(MID(IFERROR(TRIM(INDEX($A192:$Z192,MATCH(Settings!$L$11,$A$1:$Z$1,0))&amp;""),""),15,2)),VALUE(MID(IFERROR(TRIM(INDEX($A192:$Z192,MATCH(Settings!$L$11,$A$1:$Z$1,0))&amp;""),""),18,2)))),"")),"")))</f>
        <v/>
      </c>
      <c r="AM192" s="31">
        <f>IF(AE192="","",IF(ISNUMBER(IFERROR(INDEX(Settings!$G$4:$G$11,MATCH(AH192,Settings!$F$4:$F$11,0)),"")),INDEX(Settings!$G$4:$G$11,MATCH(AH192,Settings!$F$4:$F$11,0)),Settings!$D$5))</f>
        <v/>
      </c>
      <c r="AN192" s="32">
        <f>IF(OR(AE192="",NOT(ISNUMBER(AL192)),NOT(ISNUMBER(AM192))),"",IF(AM192&lt;=0,"",IF(ISNUMBER(Settings!$D$8),DATE(YEAR(AL192)+IF(DATE(YEAR(AL192),MONTH(Settings!$D$8),DAY(Settings!$D$8))&gt;AL192,0,1),MONTH(Settings!$D$8),DAY(Settings!$D$8)),MIN(DATE(YEAR(AL192),MONTH(AL192)+AM192,DAY(AL192)),DATE(YEAR(AL192),MONTH(AL192)+AM192+1,0)))))</f>
        <v/>
      </c>
      <c r="AO192" s="31">
        <f>IF(ISNUMBER(AN192),AN192-Settings!$D$4,"")</f>
        <v/>
      </c>
      <c r="AP192" s="31">
        <f>IF(ISNUMBER(AL192),AL192+0+ROW()/100000,"")</f>
        <v/>
      </c>
      <c r="AQ192" s="31">
        <f>IF(OR(AG192="",NOT(ISNUMBER(AP192))),0,IF(SUMPRODUCT(('Responses'!$AG$2:$AG$501=AG192)*('Responses'!$AJ$2:$AJ$501=1)*ISNUMBER('Responses'!$AP$2:$AP$501)*('Responses'!$AP$2:$AP$501&gt;AP192)) + SUMPRODUCT(('Paper sign-ups'!$K$2:$K$101=AG192)*('Paper sign-ups'!$N$2:$N$101=1)*ISNUMBER('Paper sign-ups'!$T$2:$T$101)*('Paper sign-ups'!$T$2:$T$101&gt;AP192))&gt;0,1,0))</f>
        <v/>
      </c>
      <c r="AR192" s="31">
        <f>IF(AE192="","",IF(AQ192=1,"Joined again",IF(AJ192=0,"Unpaid",IF(NOT(ISNUMBER(AL192)),"Add a join date",IF(AN192="","No reminder",IF(AO192&lt;0,"Lapsed",IF(AO192&lt;=Settings!$D$6,"Remind soon","Current")))))))</f>
        <v/>
      </c>
      <c r="AS192" s="33">
        <f>IF(AJ192=1,IFERROR(VALUE(IFERROR(TRIM(INDEX($A192:$Z192,MATCH(Settings!$L$8,$A$1:$Z$1,0))&amp;""),"")),0)-IFERROR(VALUE(IFERROR(TRIM(INDEX($A192:$Z192,MATCH(Settings!$L$9,$A$1:$Z$1,0))&amp;""),"")),0),0)</f>
        <v/>
      </c>
      <c r="AT192" s="31">
        <f>IF(AND(AE192&lt;&gt;"",AQ192=0),1,0)</f>
        <v/>
      </c>
      <c r="AU192" s="31">
        <f>IF(AT192=0,"",IF(ISNUMBER(AN192),AN192,100000)+0+ROW()/1000000)</f>
        <v/>
      </c>
      <c r="AV192" s="31">
        <f>IF(ISNUMBER(AU192),SUMPRODUCT(ISNUMBER('Responses'!$AU$2:$AU$501)*('Responses'!$AU$2:$AU$501&lt;AU192)) + SUMPRODUCT(ISNUMBER('Paper sign-ups'!$Y$2:$Y$101)*('Paper sign-ups'!$Y$2:$Y$101&lt;AU192))+1,"")</f>
        <v/>
      </c>
    </row>
    <row r="193">
      <c r="AA193" s="29" t="n"/>
      <c r="AB193" s="30" t="n"/>
      <c r="AC193" s="30" t="n"/>
      <c r="AD193" s="29" t="n"/>
      <c r="AE193" s="31">
        <f>IFERROR(TRIM(INDEX($A193:$Z193,MATCH(Settings!$L$4,$A$1:$Z$1,0))&amp;""),"")</f>
        <v/>
      </c>
      <c r="AF193" s="31">
        <f>IFERROR(TRIM(INDEX($A193:$Z193,MATCH(Settings!$L$5,$A$1:$Z$1,0))&amp;""),"")</f>
        <v/>
      </c>
      <c r="AG193" s="31">
        <f>IF(AE193="","",LOWER(IF(AF193&lt;&gt;"",AF193,AE193)))</f>
        <v/>
      </c>
      <c r="AH193" s="31">
        <f>IFERROR(TRIM(INDEX($A193:$Z193,MATCH(Settings!$L$6,$A$1:$Z$1,0))&amp;""),"")</f>
        <v/>
      </c>
      <c r="AI193" s="31">
        <f>IF(AE193="","",IF(UPPER(TRIM(AB193&amp;""))="Y","Paid another way",IF(IFERROR(TRIM(INDEX($A193:$Z193,MATCH(Settings!$L$7,$A$1:$Z$1,0))&amp;""),"")="","No payment status",IFERROR(TRIM(INDEX($A193:$Z193,MATCH(Settings!$L$7,$A$1:$Z$1,0))&amp;""),""))))</f>
        <v/>
      </c>
      <c r="AJ193" s="31">
        <f>IF(AE193="",0,IF(IFERROR(INDEX(Settings!$J$4:$J$14,MATCH(AI193,Settings!$I$4:$I$14,0)),"N")="Y",1,0))</f>
        <v/>
      </c>
      <c r="AK193" s="32">
        <f>IFERROR(INT(IFERROR(IF(ISNUMBER(INDEX($A193:$Z193,MATCH(Settings!$L$10,$A$1:$Z$1,0))),INDEX($A193:$Z193,MATCH(Settings!$L$10,$A$1:$Z$1,0)),DATE(VALUE(LEFT(IFERROR(TRIM(INDEX($A193:$Z193,MATCH(Settings!$L$10,$A$1:$Z$1,0))&amp;""),""),4)),VALUE(MID(IFERROR(TRIM(INDEX($A193:$Z193,MATCH(Settings!$L$10,$A$1:$Z$1,0))&amp;""),""),6,2)),VALUE(MID(IFERROR(TRIM(INDEX($A193:$Z193,MATCH(Settings!$L$10,$A$1:$Z$1,0))&amp;""),""),9,2)))+TIME(VALUE(MID(IFERROR(TRIM(INDEX($A193:$Z193,MATCH(Settings!$L$10,$A$1:$Z$1,0))&amp;""),""),12,2)),VALUE(MID(IFERROR(TRIM(INDEX($A193:$Z193,MATCH(Settings!$L$10,$A$1:$Z$1,0))&amp;""),""),15,2)),VALUE(MID(IFERROR(TRIM(INDEX($A193:$Z193,MATCH(Settings!$L$10,$A$1:$Z$1,0))&amp;""),""),18,2)))),"")),"")</f>
        <v/>
      </c>
      <c r="AL193" s="32">
        <f>IF(AE193="","",IF(ISNUMBER(AK193),AK193,IFERROR(INT(IFERROR(IF(ISNUMBER(INDEX($A193:$Z193,MATCH(Settings!$L$11,$A$1:$Z$1,0))),INDEX($A193:$Z193,MATCH(Settings!$L$11,$A$1:$Z$1,0)),DATE(VALUE(LEFT(IFERROR(TRIM(INDEX($A193:$Z193,MATCH(Settings!$L$11,$A$1:$Z$1,0))&amp;""),""),4)),VALUE(MID(IFERROR(TRIM(INDEX($A193:$Z193,MATCH(Settings!$L$11,$A$1:$Z$1,0))&amp;""),""),6,2)),VALUE(MID(IFERROR(TRIM(INDEX($A193:$Z193,MATCH(Settings!$L$11,$A$1:$Z$1,0))&amp;""),""),9,2)))+TIME(VALUE(MID(IFERROR(TRIM(INDEX($A193:$Z193,MATCH(Settings!$L$11,$A$1:$Z$1,0))&amp;""),""),12,2)),VALUE(MID(IFERROR(TRIM(INDEX($A193:$Z193,MATCH(Settings!$L$11,$A$1:$Z$1,0))&amp;""),""),15,2)),VALUE(MID(IFERROR(TRIM(INDEX($A193:$Z193,MATCH(Settings!$L$11,$A$1:$Z$1,0))&amp;""),""),18,2)))),"")),"")))</f>
        <v/>
      </c>
      <c r="AM193" s="31">
        <f>IF(AE193="","",IF(ISNUMBER(IFERROR(INDEX(Settings!$G$4:$G$11,MATCH(AH193,Settings!$F$4:$F$11,0)),"")),INDEX(Settings!$G$4:$G$11,MATCH(AH193,Settings!$F$4:$F$11,0)),Settings!$D$5))</f>
        <v/>
      </c>
      <c r="AN193" s="32">
        <f>IF(OR(AE193="",NOT(ISNUMBER(AL193)),NOT(ISNUMBER(AM193))),"",IF(AM193&lt;=0,"",IF(ISNUMBER(Settings!$D$8),DATE(YEAR(AL193)+IF(DATE(YEAR(AL193),MONTH(Settings!$D$8),DAY(Settings!$D$8))&gt;AL193,0,1),MONTH(Settings!$D$8),DAY(Settings!$D$8)),MIN(DATE(YEAR(AL193),MONTH(AL193)+AM193,DAY(AL193)),DATE(YEAR(AL193),MONTH(AL193)+AM193+1,0)))))</f>
        <v/>
      </c>
      <c r="AO193" s="31">
        <f>IF(ISNUMBER(AN193),AN193-Settings!$D$4,"")</f>
        <v/>
      </c>
      <c r="AP193" s="31">
        <f>IF(ISNUMBER(AL193),AL193+0+ROW()/100000,"")</f>
        <v/>
      </c>
      <c r="AQ193" s="31">
        <f>IF(OR(AG193="",NOT(ISNUMBER(AP193))),0,IF(SUMPRODUCT(('Responses'!$AG$2:$AG$501=AG193)*('Responses'!$AJ$2:$AJ$501=1)*ISNUMBER('Responses'!$AP$2:$AP$501)*('Responses'!$AP$2:$AP$501&gt;AP193)) + SUMPRODUCT(('Paper sign-ups'!$K$2:$K$101=AG193)*('Paper sign-ups'!$N$2:$N$101=1)*ISNUMBER('Paper sign-ups'!$T$2:$T$101)*('Paper sign-ups'!$T$2:$T$101&gt;AP193))&gt;0,1,0))</f>
        <v/>
      </c>
      <c r="AR193" s="31">
        <f>IF(AE193="","",IF(AQ193=1,"Joined again",IF(AJ193=0,"Unpaid",IF(NOT(ISNUMBER(AL193)),"Add a join date",IF(AN193="","No reminder",IF(AO193&lt;0,"Lapsed",IF(AO193&lt;=Settings!$D$6,"Remind soon","Current")))))))</f>
        <v/>
      </c>
      <c r="AS193" s="33">
        <f>IF(AJ193=1,IFERROR(VALUE(IFERROR(TRIM(INDEX($A193:$Z193,MATCH(Settings!$L$8,$A$1:$Z$1,0))&amp;""),"")),0)-IFERROR(VALUE(IFERROR(TRIM(INDEX($A193:$Z193,MATCH(Settings!$L$9,$A$1:$Z$1,0))&amp;""),"")),0),0)</f>
        <v/>
      </c>
      <c r="AT193" s="31">
        <f>IF(AND(AE193&lt;&gt;"",AQ193=0),1,0)</f>
        <v/>
      </c>
      <c r="AU193" s="31">
        <f>IF(AT193=0,"",IF(ISNUMBER(AN193),AN193,100000)+0+ROW()/1000000)</f>
        <v/>
      </c>
      <c r="AV193" s="31">
        <f>IF(ISNUMBER(AU193),SUMPRODUCT(ISNUMBER('Responses'!$AU$2:$AU$501)*('Responses'!$AU$2:$AU$501&lt;AU193)) + SUMPRODUCT(ISNUMBER('Paper sign-ups'!$Y$2:$Y$101)*('Paper sign-ups'!$Y$2:$Y$101&lt;AU193))+1,"")</f>
        <v/>
      </c>
    </row>
    <row r="194">
      <c r="AA194" s="29" t="n"/>
      <c r="AB194" s="30" t="n"/>
      <c r="AC194" s="30" t="n"/>
      <c r="AD194" s="29" t="n"/>
      <c r="AE194" s="31">
        <f>IFERROR(TRIM(INDEX($A194:$Z194,MATCH(Settings!$L$4,$A$1:$Z$1,0))&amp;""),"")</f>
        <v/>
      </c>
      <c r="AF194" s="31">
        <f>IFERROR(TRIM(INDEX($A194:$Z194,MATCH(Settings!$L$5,$A$1:$Z$1,0))&amp;""),"")</f>
        <v/>
      </c>
      <c r="AG194" s="31">
        <f>IF(AE194="","",LOWER(IF(AF194&lt;&gt;"",AF194,AE194)))</f>
        <v/>
      </c>
      <c r="AH194" s="31">
        <f>IFERROR(TRIM(INDEX($A194:$Z194,MATCH(Settings!$L$6,$A$1:$Z$1,0))&amp;""),"")</f>
        <v/>
      </c>
      <c r="AI194" s="31">
        <f>IF(AE194="","",IF(UPPER(TRIM(AB194&amp;""))="Y","Paid another way",IF(IFERROR(TRIM(INDEX($A194:$Z194,MATCH(Settings!$L$7,$A$1:$Z$1,0))&amp;""),"")="","No payment status",IFERROR(TRIM(INDEX($A194:$Z194,MATCH(Settings!$L$7,$A$1:$Z$1,0))&amp;""),""))))</f>
        <v/>
      </c>
      <c r="AJ194" s="31">
        <f>IF(AE194="",0,IF(IFERROR(INDEX(Settings!$J$4:$J$14,MATCH(AI194,Settings!$I$4:$I$14,0)),"N")="Y",1,0))</f>
        <v/>
      </c>
      <c r="AK194" s="32">
        <f>IFERROR(INT(IFERROR(IF(ISNUMBER(INDEX($A194:$Z194,MATCH(Settings!$L$10,$A$1:$Z$1,0))),INDEX($A194:$Z194,MATCH(Settings!$L$10,$A$1:$Z$1,0)),DATE(VALUE(LEFT(IFERROR(TRIM(INDEX($A194:$Z194,MATCH(Settings!$L$10,$A$1:$Z$1,0))&amp;""),""),4)),VALUE(MID(IFERROR(TRIM(INDEX($A194:$Z194,MATCH(Settings!$L$10,$A$1:$Z$1,0))&amp;""),""),6,2)),VALUE(MID(IFERROR(TRIM(INDEX($A194:$Z194,MATCH(Settings!$L$10,$A$1:$Z$1,0))&amp;""),""),9,2)))+TIME(VALUE(MID(IFERROR(TRIM(INDEX($A194:$Z194,MATCH(Settings!$L$10,$A$1:$Z$1,0))&amp;""),""),12,2)),VALUE(MID(IFERROR(TRIM(INDEX($A194:$Z194,MATCH(Settings!$L$10,$A$1:$Z$1,0))&amp;""),""),15,2)),VALUE(MID(IFERROR(TRIM(INDEX($A194:$Z194,MATCH(Settings!$L$10,$A$1:$Z$1,0))&amp;""),""),18,2)))),"")),"")</f>
        <v/>
      </c>
      <c r="AL194" s="32">
        <f>IF(AE194="","",IF(ISNUMBER(AK194),AK194,IFERROR(INT(IFERROR(IF(ISNUMBER(INDEX($A194:$Z194,MATCH(Settings!$L$11,$A$1:$Z$1,0))),INDEX($A194:$Z194,MATCH(Settings!$L$11,$A$1:$Z$1,0)),DATE(VALUE(LEFT(IFERROR(TRIM(INDEX($A194:$Z194,MATCH(Settings!$L$11,$A$1:$Z$1,0))&amp;""),""),4)),VALUE(MID(IFERROR(TRIM(INDEX($A194:$Z194,MATCH(Settings!$L$11,$A$1:$Z$1,0))&amp;""),""),6,2)),VALUE(MID(IFERROR(TRIM(INDEX($A194:$Z194,MATCH(Settings!$L$11,$A$1:$Z$1,0))&amp;""),""),9,2)))+TIME(VALUE(MID(IFERROR(TRIM(INDEX($A194:$Z194,MATCH(Settings!$L$11,$A$1:$Z$1,0))&amp;""),""),12,2)),VALUE(MID(IFERROR(TRIM(INDEX($A194:$Z194,MATCH(Settings!$L$11,$A$1:$Z$1,0))&amp;""),""),15,2)),VALUE(MID(IFERROR(TRIM(INDEX($A194:$Z194,MATCH(Settings!$L$11,$A$1:$Z$1,0))&amp;""),""),18,2)))),"")),"")))</f>
        <v/>
      </c>
      <c r="AM194" s="31">
        <f>IF(AE194="","",IF(ISNUMBER(IFERROR(INDEX(Settings!$G$4:$G$11,MATCH(AH194,Settings!$F$4:$F$11,0)),"")),INDEX(Settings!$G$4:$G$11,MATCH(AH194,Settings!$F$4:$F$11,0)),Settings!$D$5))</f>
        <v/>
      </c>
      <c r="AN194" s="32">
        <f>IF(OR(AE194="",NOT(ISNUMBER(AL194)),NOT(ISNUMBER(AM194))),"",IF(AM194&lt;=0,"",IF(ISNUMBER(Settings!$D$8),DATE(YEAR(AL194)+IF(DATE(YEAR(AL194),MONTH(Settings!$D$8),DAY(Settings!$D$8))&gt;AL194,0,1),MONTH(Settings!$D$8),DAY(Settings!$D$8)),MIN(DATE(YEAR(AL194),MONTH(AL194)+AM194,DAY(AL194)),DATE(YEAR(AL194),MONTH(AL194)+AM194+1,0)))))</f>
        <v/>
      </c>
      <c r="AO194" s="31">
        <f>IF(ISNUMBER(AN194),AN194-Settings!$D$4,"")</f>
        <v/>
      </c>
      <c r="AP194" s="31">
        <f>IF(ISNUMBER(AL194),AL194+0+ROW()/100000,"")</f>
        <v/>
      </c>
      <c r="AQ194" s="31">
        <f>IF(OR(AG194="",NOT(ISNUMBER(AP194))),0,IF(SUMPRODUCT(('Responses'!$AG$2:$AG$501=AG194)*('Responses'!$AJ$2:$AJ$501=1)*ISNUMBER('Responses'!$AP$2:$AP$501)*('Responses'!$AP$2:$AP$501&gt;AP194)) + SUMPRODUCT(('Paper sign-ups'!$K$2:$K$101=AG194)*('Paper sign-ups'!$N$2:$N$101=1)*ISNUMBER('Paper sign-ups'!$T$2:$T$101)*('Paper sign-ups'!$T$2:$T$101&gt;AP194))&gt;0,1,0))</f>
        <v/>
      </c>
      <c r="AR194" s="31">
        <f>IF(AE194="","",IF(AQ194=1,"Joined again",IF(AJ194=0,"Unpaid",IF(NOT(ISNUMBER(AL194)),"Add a join date",IF(AN194="","No reminder",IF(AO194&lt;0,"Lapsed",IF(AO194&lt;=Settings!$D$6,"Remind soon","Current")))))))</f>
        <v/>
      </c>
      <c r="AS194" s="33">
        <f>IF(AJ194=1,IFERROR(VALUE(IFERROR(TRIM(INDEX($A194:$Z194,MATCH(Settings!$L$8,$A$1:$Z$1,0))&amp;""),"")),0)-IFERROR(VALUE(IFERROR(TRIM(INDEX($A194:$Z194,MATCH(Settings!$L$9,$A$1:$Z$1,0))&amp;""),"")),0),0)</f>
        <v/>
      </c>
      <c r="AT194" s="31">
        <f>IF(AND(AE194&lt;&gt;"",AQ194=0),1,0)</f>
        <v/>
      </c>
      <c r="AU194" s="31">
        <f>IF(AT194=0,"",IF(ISNUMBER(AN194),AN194,100000)+0+ROW()/1000000)</f>
        <v/>
      </c>
      <c r="AV194" s="31">
        <f>IF(ISNUMBER(AU194),SUMPRODUCT(ISNUMBER('Responses'!$AU$2:$AU$501)*('Responses'!$AU$2:$AU$501&lt;AU194)) + SUMPRODUCT(ISNUMBER('Paper sign-ups'!$Y$2:$Y$101)*('Paper sign-ups'!$Y$2:$Y$101&lt;AU194))+1,"")</f>
        <v/>
      </c>
    </row>
    <row r="195">
      <c r="AA195" s="29" t="n"/>
      <c r="AB195" s="30" t="n"/>
      <c r="AC195" s="30" t="n"/>
      <c r="AD195" s="29" t="n"/>
      <c r="AE195" s="31">
        <f>IFERROR(TRIM(INDEX($A195:$Z195,MATCH(Settings!$L$4,$A$1:$Z$1,0))&amp;""),"")</f>
        <v/>
      </c>
      <c r="AF195" s="31">
        <f>IFERROR(TRIM(INDEX($A195:$Z195,MATCH(Settings!$L$5,$A$1:$Z$1,0))&amp;""),"")</f>
        <v/>
      </c>
      <c r="AG195" s="31">
        <f>IF(AE195="","",LOWER(IF(AF195&lt;&gt;"",AF195,AE195)))</f>
        <v/>
      </c>
      <c r="AH195" s="31">
        <f>IFERROR(TRIM(INDEX($A195:$Z195,MATCH(Settings!$L$6,$A$1:$Z$1,0))&amp;""),"")</f>
        <v/>
      </c>
      <c r="AI195" s="31">
        <f>IF(AE195="","",IF(UPPER(TRIM(AB195&amp;""))="Y","Paid another way",IF(IFERROR(TRIM(INDEX($A195:$Z195,MATCH(Settings!$L$7,$A$1:$Z$1,0))&amp;""),"")="","No payment status",IFERROR(TRIM(INDEX($A195:$Z195,MATCH(Settings!$L$7,$A$1:$Z$1,0))&amp;""),""))))</f>
        <v/>
      </c>
      <c r="AJ195" s="31">
        <f>IF(AE195="",0,IF(IFERROR(INDEX(Settings!$J$4:$J$14,MATCH(AI195,Settings!$I$4:$I$14,0)),"N")="Y",1,0))</f>
        <v/>
      </c>
      <c r="AK195" s="32">
        <f>IFERROR(INT(IFERROR(IF(ISNUMBER(INDEX($A195:$Z195,MATCH(Settings!$L$10,$A$1:$Z$1,0))),INDEX($A195:$Z195,MATCH(Settings!$L$10,$A$1:$Z$1,0)),DATE(VALUE(LEFT(IFERROR(TRIM(INDEX($A195:$Z195,MATCH(Settings!$L$10,$A$1:$Z$1,0))&amp;""),""),4)),VALUE(MID(IFERROR(TRIM(INDEX($A195:$Z195,MATCH(Settings!$L$10,$A$1:$Z$1,0))&amp;""),""),6,2)),VALUE(MID(IFERROR(TRIM(INDEX($A195:$Z195,MATCH(Settings!$L$10,$A$1:$Z$1,0))&amp;""),""),9,2)))+TIME(VALUE(MID(IFERROR(TRIM(INDEX($A195:$Z195,MATCH(Settings!$L$10,$A$1:$Z$1,0))&amp;""),""),12,2)),VALUE(MID(IFERROR(TRIM(INDEX($A195:$Z195,MATCH(Settings!$L$10,$A$1:$Z$1,0))&amp;""),""),15,2)),VALUE(MID(IFERROR(TRIM(INDEX($A195:$Z195,MATCH(Settings!$L$10,$A$1:$Z$1,0))&amp;""),""),18,2)))),"")),"")</f>
        <v/>
      </c>
      <c r="AL195" s="32">
        <f>IF(AE195="","",IF(ISNUMBER(AK195),AK195,IFERROR(INT(IFERROR(IF(ISNUMBER(INDEX($A195:$Z195,MATCH(Settings!$L$11,$A$1:$Z$1,0))),INDEX($A195:$Z195,MATCH(Settings!$L$11,$A$1:$Z$1,0)),DATE(VALUE(LEFT(IFERROR(TRIM(INDEX($A195:$Z195,MATCH(Settings!$L$11,$A$1:$Z$1,0))&amp;""),""),4)),VALUE(MID(IFERROR(TRIM(INDEX($A195:$Z195,MATCH(Settings!$L$11,$A$1:$Z$1,0))&amp;""),""),6,2)),VALUE(MID(IFERROR(TRIM(INDEX($A195:$Z195,MATCH(Settings!$L$11,$A$1:$Z$1,0))&amp;""),""),9,2)))+TIME(VALUE(MID(IFERROR(TRIM(INDEX($A195:$Z195,MATCH(Settings!$L$11,$A$1:$Z$1,0))&amp;""),""),12,2)),VALUE(MID(IFERROR(TRIM(INDEX($A195:$Z195,MATCH(Settings!$L$11,$A$1:$Z$1,0))&amp;""),""),15,2)),VALUE(MID(IFERROR(TRIM(INDEX($A195:$Z195,MATCH(Settings!$L$11,$A$1:$Z$1,0))&amp;""),""),18,2)))),"")),"")))</f>
        <v/>
      </c>
      <c r="AM195" s="31">
        <f>IF(AE195="","",IF(ISNUMBER(IFERROR(INDEX(Settings!$G$4:$G$11,MATCH(AH195,Settings!$F$4:$F$11,0)),"")),INDEX(Settings!$G$4:$G$11,MATCH(AH195,Settings!$F$4:$F$11,0)),Settings!$D$5))</f>
        <v/>
      </c>
      <c r="AN195" s="32">
        <f>IF(OR(AE195="",NOT(ISNUMBER(AL195)),NOT(ISNUMBER(AM195))),"",IF(AM195&lt;=0,"",IF(ISNUMBER(Settings!$D$8),DATE(YEAR(AL195)+IF(DATE(YEAR(AL195),MONTH(Settings!$D$8),DAY(Settings!$D$8))&gt;AL195,0,1),MONTH(Settings!$D$8),DAY(Settings!$D$8)),MIN(DATE(YEAR(AL195),MONTH(AL195)+AM195,DAY(AL195)),DATE(YEAR(AL195),MONTH(AL195)+AM195+1,0)))))</f>
        <v/>
      </c>
      <c r="AO195" s="31">
        <f>IF(ISNUMBER(AN195),AN195-Settings!$D$4,"")</f>
        <v/>
      </c>
      <c r="AP195" s="31">
        <f>IF(ISNUMBER(AL195),AL195+0+ROW()/100000,"")</f>
        <v/>
      </c>
      <c r="AQ195" s="31">
        <f>IF(OR(AG195="",NOT(ISNUMBER(AP195))),0,IF(SUMPRODUCT(('Responses'!$AG$2:$AG$501=AG195)*('Responses'!$AJ$2:$AJ$501=1)*ISNUMBER('Responses'!$AP$2:$AP$501)*('Responses'!$AP$2:$AP$501&gt;AP195)) + SUMPRODUCT(('Paper sign-ups'!$K$2:$K$101=AG195)*('Paper sign-ups'!$N$2:$N$101=1)*ISNUMBER('Paper sign-ups'!$T$2:$T$101)*('Paper sign-ups'!$T$2:$T$101&gt;AP195))&gt;0,1,0))</f>
        <v/>
      </c>
      <c r="AR195" s="31">
        <f>IF(AE195="","",IF(AQ195=1,"Joined again",IF(AJ195=0,"Unpaid",IF(NOT(ISNUMBER(AL195)),"Add a join date",IF(AN195="","No reminder",IF(AO195&lt;0,"Lapsed",IF(AO195&lt;=Settings!$D$6,"Remind soon","Current")))))))</f>
        <v/>
      </c>
      <c r="AS195" s="33">
        <f>IF(AJ195=1,IFERROR(VALUE(IFERROR(TRIM(INDEX($A195:$Z195,MATCH(Settings!$L$8,$A$1:$Z$1,0))&amp;""),"")),0)-IFERROR(VALUE(IFERROR(TRIM(INDEX($A195:$Z195,MATCH(Settings!$L$9,$A$1:$Z$1,0))&amp;""),"")),0),0)</f>
        <v/>
      </c>
      <c r="AT195" s="31">
        <f>IF(AND(AE195&lt;&gt;"",AQ195=0),1,0)</f>
        <v/>
      </c>
      <c r="AU195" s="31">
        <f>IF(AT195=0,"",IF(ISNUMBER(AN195),AN195,100000)+0+ROW()/1000000)</f>
        <v/>
      </c>
      <c r="AV195" s="31">
        <f>IF(ISNUMBER(AU195),SUMPRODUCT(ISNUMBER('Responses'!$AU$2:$AU$501)*('Responses'!$AU$2:$AU$501&lt;AU195)) + SUMPRODUCT(ISNUMBER('Paper sign-ups'!$Y$2:$Y$101)*('Paper sign-ups'!$Y$2:$Y$101&lt;AU195))+1,"")</f>
        <v/>
      </c>
    </row>
    <row r="196">
      <c r="AA196" s="29" t="n"/>
      <c r="AB196" s="30" t="n"/>
      <c r="AC196" s="30" t="n"/>
      <c r="AD196" s="29" t="n"/>
      <c r="AE196" s="31">
        <f>IFERROR(TRIM(INDEX($A196:$Z196,MATCH(Settings!$L$4,$A$1:$Z$1,0))&amp;""),"")</f>
        <v/>
      </c>
      <c r="AF196" s="31">
        <f>IFERROR(TRIM(INDEX($A196:$Z196,MATCH(Settings!$L$5,$A$1:$Z$1,0))&amp;""),"")</f>
        <v/>
      </c>
      <c r="AG196" s="31">
        <f>IF(AE196="","",LOWER(IF(AF196&lt;&gt;"",AF196,AE196)))</f>
        <v/>
      </c>
      <c r="AH196" s="31">
        <f>IFERROR(TRIM(INDEX($A196:$Z196,MATCH(Settings!$L$6,$A$1:$Z$1,0))&amp;""),"")</f>
        <v/>
      </c>
      <c r="AI196" s="31">
        <f>IF(AE196="","",IF(UPPER(TRIM(AB196&amp;""))="Y","Paid another way",IF(IFERROR(TRIM(INDEX($A196:$Z196,MATCH(Settings!$L$7,$A$1:$Z$1,0))&amp;""),"")="","No payment status",IFERROR(TRIM(INDEX($A196:$Z196,MATCH(Settings!$L$7,$A$1:$Z$1,0))&amp;""),""))))</f>
        <v/>
      </c>
      <c r="AJ196" s="31">
        <f>IF(AE196="",0,IF(IFERROR(INDEX(Settings!$J$4:$J$14,MATCH(AI196,Settings!$I$4:$I$14,0)),"N")="Y",1,0))</f>
        <v/>
      </c>
      <c r="AK196" s="32">
        <f>IFERROR(INT(IFERROR(IF(ISNUMBER(INDEX($A196:$Z196,MATCH(Settings!$L$10,$A$1:$Z$1,0))),INDEX($A196:$Z196,MATCH(Settings!$L$10,$A$1:$Z$1,0)),DATE(VALUE(LEFT(IFERROR(TRIM(INDEX($A196:$Z196,MATCH(Settings!$L$10,$A$1:$Z$1,0))&amp;""),""),4)),VALUE(MID(IFERROR(TRIM(INDEX($A196:$Z196,MATCH(Settings!$L$10,$A$1:$Z$1,0))&amp;""),""),6,2)),VALUE(MID(IFERROR(TRIM(INDEX($A196:$Z196,MATCH(Settings!$L$10,$A$1:$Z$1,0))&amp;""),""),9,2)))+TIME(VALUE(MID(IFERROR(TRIM(INDEX($A196:$Z196,MATCH(Settings!$L$10,$A$1:$Z$1,0))&amp;""),""),12,2)),VALUE(MID(IFERROR(TRIM(INDEX($A196:$Z196,MATCH(Settings!$L$10,$A$1:$Z$1,0))&amp;""),""),15,2)),VALUE(MID(IFERROR(TRIM(INDEX($A196:$Z196,MATCH(Settings!$L$10,$A$1:$Z$1,0))&amp;""),""),18,2)))),"")),"")</f>
        <v/>
      </c>
      <c r="AL196" s="32">
        <f>IF(AE196="","",IF(ISNUMBER(AK196),AK196,IFERROR(INT(IFERROR(IF(ISNUMBER(INDEX($A196:$Z196,MATCH(Settings!$L$11,$A$1:$Z$1,0))),INDEX($A196:$Z196,MATCH(Settings!$L$11,$A$1:$Z$1,0)),DATE(VALUE(LEFT(IFERROR(TRIM(INDEX($A196:$Z196,MATCH(Settings!$L$11,$A$1:$Z$1,0))&amp;""),""),4)),VALUE(MID(IFERROR(TRIM(INDEX($A196:$Z196,MATCH(Settings!$L$11,$A$1:$Z$1,0))&amp;""),""),6,2)),VALUE(MID(IFERROR(TRIM(INDEX($A196:$Z196,MATCH(Settings!$L$11,$A$1:$Z$1,0))&amp;""),""),9,2)))+TIME(VALUE(MID(IFERROR(TRIM(INDEX($A196:$Z196,MATCH(Settings!$L$11,$A$1:$Z$1,0))&amp;""),""),12,2)),VALUE(MID(IFERROR(TRIM(INDEX($A196:$Z196,MATCH(Settings!$L$11,$A$1:$Z$1,0))&amp;""),""),15,2)),VALUE(MID(IFERROR(TRIM(INDEX($A196:$Z196,MATCH(Settings!$L$11,$A$1:$Z$1,0))&amp;""),""),18,2)))),"")),"")))</f>
        <v/>
      </c>
      <c r="AM196" s="31">
        <f>IF(AE196="","",IF(ISNUMBER(IFERROR(INDEX(Settings!$G$4:$G$11,MATCH(AH196,Settings!$F$4:$F$11,0)),"")),INDEX(Settings!$G$4:$G$11,MATCH(AH196,Settings!$F$4:$F$11,0)),Settings!$D$5))</f>
        <v/>
      </c>
      <c r="AN196" s="32">
        <f>IF(OR(AE196="",NOT(ISNUMBER(AL196)),NOT(ISNUMBER(AM196))),"",IF(AM196&lt;=0,"",IF(ISNUMBER(Settings!$D$8),DATE(YEAR(AL196)+IF(DATE(YEAR(AL196),MONTH(Settings!$D$8),DAY(Settings!$D$8))&gt;AL196,0,1),MONTH(Settings!$D$8),DAY(Settings!$D$8)),MIN(DATE(YEAR(AL196),MONTH(AL196)+AM196,DAY(AL196)),DATE(YEAR(AL196),MONTH(AL196)+AM196+1,0)))))</f>
        <v/>
      </c>
      <c r="AO196" s="31">
        <f>IF(ISNUMBER(AN196),AN196-Settings!$D$4,"")</f>
        <v/>
      </c>
      <c r="AP196" s="31">
        <f>IF(ISNUMBER(AL196),AL196+0+ROW()/100000,"")</f>
        <v/>
      </c>
      <c r="AQ196" s="31">
        <f>IF(OR(AG196="",NOT(ISNUMBER(AP196))),0,IF(SUMPRODUCT(('Responses'!$AG$2:$AG$501=AG196)*('Responses'!$AJ$2:$AJ$501=1)*ISNUMBER('Responses'!$AP$2:$AP$501)*('Responses'!$AP$2:$AP$501&gt;AP196)) + SUMPRODUCT(('Paper sign-ups'!$K$2:$K$101=AG196)*('Paper sign-ups'!$N$2:$N$101=1)*ISNUMBER('Paper sign-ups'!$T$2:$T$101)*('Paper sign-ups'!$T$2:$T$101&gt;AP196))&gt;0,1,0))</f>
        <v/>
      </c>
      <c r="AR196" s="31">
        <f>IF(AE196="","",IF(AQ196=1,"Joined again",IF(AJ196=0,"Unpaid",IF(NOT(ISNUMBER(AL196)),"Add a join date",IF(AN196="","No reminder",IF(AO196&lt;0,"Lapsed",IF(AO196&lt;=Settings!$D$6,"Remind soon","Current")))))))</f>
        <v/>
      </c>
      <c r="AS196" s="33">
        <f>IF(AJ196=1,IFERROR(VALUE(IFERROR(TRIM(INDEX($A196:$Z196,MATCH(Settings!$L$8,$A$1:$Z$1,0))&amp;""),"")),0)-IFERROR(VALUE(IFERROR(TRIM(INDEX($A196:$Z196,MATCH(Settings!$L$9,$A$1:$Z$1,0))&amp;""),"")),0),0)</f>
        <v/>
      </c>
      <c r="AT196" s="31">
        <f>IF(AND(AE196&lt;&gt;"",AQ196=0),1,0)</f>
        <v/>
      </c>
      <c r="AU196" s="31">
        <f>IF(AT196=0,"",IF(ISNUMBER(AN196),AN196,100000)+0+ROW()/1000000)</f>
        <v/>
      </c>
      <c r="AV196" s="31">
        <f>IF(ISNUMBER(AU196),SUMPRODUCT(ISNUMBER('Responses'!$AU$2:$AU$501)*('Responses'!$AU$2:$AU$501&lt;AU196)) + SUMPRODUCT(ISNUMBER('Paper sign-ups'!$Y$2:$Y$101)*('Paper sign-ups'!$Y$2:$Y$101&lt;AU196))+1,"")</f>
        <v/>
      </c>
    </row>
    <row r="197">
      <c r="AA197" s="29" t="n"/>
      <c r="AB197" s="30" t="n"/>
      <c r="AC197" s="30" t="n"/>
      <c r="AD197" s="29" t="n"/>
      <c r="AE197" s="31">
        <f>IFERROR(TRIM(INDEX($A197:$Z197,MATCH(Settings!$L$4,$A$1:$Z$1,0))&amp;""),"")</f>
        <v/>
      </c>
      <c r="AF197" s="31">
        <f>IFERROR(TRIM(INDEX($A197:$Z197,MATCH(Settings!$L$5,$A$1:$Z$1,0))&amp;""),"")</f>
        <v/>
      </c>
      <c r="AG197" s="31">
        <f>IF(AE197="","",LOWER(IF(AF197&lt;&gt;"",AF197,AE197)))</f>
        <v/>
      </c>
      <c r="AH197" s="31">
        <f>IFERROR(TRIM(INDEX($A197:$Z197,MATCH(Settings!$L$6,$A$1:$Z$1,0))&amp;""),"")</f>
        <v/>
      </c>
      <c r="AI197" s="31">
        <f>IF(AE197="","",IF(UPPER(TRIM(AB197&amp;""))="Y","Paid another way",IF(IFERROR(TRIM(INDEX($A197:$Z197,MATCH(Settings!$L$7,$A$1:$Z$1,0))&amp;""),"")="","No payment status",IFERROR(TRIM(INDEX($A197:$Z197,MATCH(Settings!$L$7,$A$1:$Z$1,0))&amp;""),""))))</f>
        <v/>
      </c>
      <c r="AJ197" s="31">
        <f>IF(AE197="",0,IF(IFERROR(INDEX(Settings!$J$4:$J$14,MATCH(AI197,Settings!$I$4:$I$14,0)),"N")="Y",1,0))</f>
        <v/>
      </c>
      <c r="AK197" s="32">
        <f>IFERROR(INT(IFERROR(IF(ISNUMBER(INDEX($A197:$Z197,MATCH(Settings!$L$10,$A$1:$Z$1,0))),INDEX($A197:$Z197,MATCH(Settings!$L$10,$A$1:$Z$1,0)),DATE(VALUE(LEFT(IFERROR(TRIM(INDEX($A197:$Z197,MATCH(Settings!$L$10,$A$1:$Z$1,0))&amp;""),""),4)),VALUE(MID(IFERROR(TRIM(INDEX($A197:$Z197,MATCH(Settings!$L$10,$A$1:$Z$1,0))&amp;""),""),6,2)),VALUE(MID(IFERROR(TRIM(INDEX($A197:$Z197,MATCH(Settings!$L$10,$A$1:$Z$1,0))&amp;""),""),9,2)))+TIME(VALUE(MID(IFERROR(TRIM(INDEX($A197:$Z197,MATCH(Settings!$L$10,$A$1:$Z$1,0))&amp;""),""),12,2)),VALUE(MID(IFERROR(TRIM(INDEX($A197:$Z197,MATCH(Settings!$L$10,$A$1:$Z$1,0))&amp;""),""),15,2)),VALUE(MID(IFERROR(TRIM(INDEX($A197:$Z197,MATCH(Settings!$L$10,$A$1:$Z$1,0))&amp;""),""),18,2)))),"")),"")</f>
        <v/>
      </c>
      <c r="AL197" s="32">
        <f>IF(AE197="","",IF(ISNUMBER(AK197),AK197,IFERROR(INT(IFERROR(IF(ISNUMBER(INDEX($A197:$Z197,MATCH(Settings!$L$11,$A$1:$Z$1,0))),INDEX($A197:$Z197,MATCH(Settings!$L$11,$A$1:$Z$1,0)),DATE(VALUE(LEFT(IFERROR(TRIM(INDEX($A197:$Z197,MATCH(Settings!$L$11,$A$1:$Z$1,0))&amp;""),""),4)),VALUE(MID(IFERROR(TRIM(INDEX($A197:$Z197,MATCH(Settings!$L$11,$A$1:$Z$1,0))&amp;""),""),6,2)),VALUE(MID(IFERROR(TRIM(INDEX($A197:$Z197,MATCH(Settings!$L$11,$A$1:$Z$1,0))&amp;""),""),9,2)))+TIME(VALUE(MID(IFERROR(TRIM(INDEX($A197:$Z197,MATCH(Settings!$L$11,$A$1:$Z$1,0))&amp;""),""),12,2)),VALUE(MID(IFERROR(TRIM(INDEX($A197:$Z197,MATCH(Settings!$L$11,$A$1:$Z$1,0))&amp;""),""),15,2)),VALUE(MID(IFERROR(TRIM(INDEX($A197:$Z197,MATCH(Settings!$L$11,$A$1:$Z$1,0))&amp;""),""),18,2)))),"")),"")))</f>
        <v/>
      </c>
      <c r="AM197" s="31">
        <f>IF(AE197="","",IF(ISNUMBER(IFERROR(INDEX(Settings!$G$4:$G$11,MATCH(AH197,Settings!$F$4:$F$11,0)),"")),INDEX(Settings!$G$4:$G$11,MATCH(AH197,Settings!$F$4:$F$11,0)),Settings!$D$5))</f>
        <v/>
      </c>
      <c r="AN197" s="32">
        <f>IF(OR(AE197="",NOT(ISNUMBER(AL197)),NOT(ISNUMBER(AM197))),"",IF(AM197&lt;=0,"",IF(ISNUMBER(Settings!$D$8),DATE(YEAR(AL197)+IF(DATE(YEAR(AL197),MONTH(Settings!$D$8),DAY(Settings!$D$8))&gt;AL197,0,1),MONTH(Settings!$D$8),DAY(Settings!$D$8)),MIN(DATE(YEAR(AL197),MONTH(AL197)+AM197,DAY(AL197)),DATE(YEAR(AL197),MONTH(AL197)+AM197+1,0)))))</f>
        <v/>
      </c>
      <c r="AO197" s="31">
        <f>IF(ISNUMBER(AN197),AN197-Settings!$D$4,"")</f>
        <v/>
      </c>
      <c r="AP197" s="31">
        <f>IF(ISNUMBER(AL197),AL197+0+ROW()/100000,"")</f>
        <v/>
      </c>
      <c r="AQ197" s="31">
        <f>IF(OR(AG197="",NOT(ISNUMBER(AP197))),0,IF(SUMPRODUCT(('Responses'!$AG$2:$AG$501=AG197)*('Responses'!$AJ$2:$AJ$501=1)*ISNUMBER('Responses'!$AP$2:$AP$501)*('Responses'!$AP$2:$AP$501&gt;AP197)) + SUMPRODUCT(('Paper sign-ups'!$K$2:$K$101=AG197)*('Paper sign-ups'!$N$2:$N$101=1)*ISNUMBER('Paper sign-ups'!$T$2:$T$101)*('Paper sign-ups'!$T$2:$T$101&gt;AP197))&gt;0,1,0))</f>
        <v/>
      </c>
      <c r="AR197" s="31">
        <f>IF(AE197="","",IF(AQ197=1,"Joined again",IF(AJ197=0,"Unpaid",IF(NOT(ISNUMBER(AL197)),"Add a join date",IF(AN197="","No reminder",IF(AO197&lt;0,"Lapsed",IF(AO197&lt;=Settings!$D$6,"Remind soon","Current")))))))</f>
        <v/>
      </c>
      <c r="AS197" s="33">
        <f>IF(AJ197=1,IFERROR(VALUE(IFERROR(TRIM(INDEX($A197:$Z197,MATCH(Settings!$L$8,$A$1:$Z$1,0))&amp;""),"")),0)-IFERROR(VALUE(IFERROR(TRIM(INDEX($A197:$Z197,MATCH(Settings!$L$9,$A$1:$Z$1,0))&amp;""),"")),0),0)</f>
        <v/>
      </c>
      <c r="AT197" s="31">
        <f>IF(AND(AE197&lt;&gt;"",AQ197=0),1,0)</f>
        <v/>
      </c>
      <c r="AU197" s="31">
        <f>IF(AT197=0,"",IF(ISNUMBER(AN197),AN197,100000)+0+ROW()/1000000)</f>
        <v/>
      </c>
      <c r="AV197" s="31">
        <f>IF(ISNUMBER(AU197),SUMPRODUCT(ISNUMBER('Responses'!$AU$2:$AU$501)*('Responses'!$AU$2:$AU$501&lt;AU197)) + SUMPRODUCT(ISNUMBER('Paper sign-ups'!$Y$2:$Y$101)*('Paper sign-ups'!$Y$2:$Y$101&lt;AU197))+1,"")</f>
        <v/>
      </c>
    </row>
    <row r="198">
      <c r="AA198" s="29" t="n"/>
      <c r="AB198" s="30" t="n"/>
      <c r="AC198" s="30" t="n"/>
      <c r="AD198" s="29" t="n"/>
      <c r="AE198" s="31">
        <f>IFERROR(TRIM(INDEX($A198:$Z198,MATCH(Settings!$L$4,$A$1:$Z$1,0))&amp;""),"")</f>
        <v/>
      </c>
      <c r="AF198" s="31">
        <f>IFERROR(TRIM(INDEX($A198:$Z198,MATCH(Settings!$L$5,$A$1:$Z$1,0))&amp;""),"")</f>
        <v/>
      </c>
      <c r="AG198" s="31">
        <f>IF(AE198="","",LOWER(IF(AF198&lt;&gt;"",AF198,AE198)))</f>
        <v/>
      </c>
      <c r="AH198" s="31">
        <f>IFERROR(TRIM(INDEX($A198:$Z198,MATCH(Settings!$L$6,$A$1:$Z$1,0))&amp;""),"")</f>
        <v/>
      </c>
      <c r="AI198" s="31">
        <f>IF(AE198="","",IF(UPPER(TRIM(AB198&amp;""))="Y","Paid another way",IF(IFERROR(TRIM(INDEX($A198:$Z198,MATCH(Settings!$L$7,$A$1:$Z$1,0))&amp;""),"")="","No payment status",IFERROR(TRIM(INDEX($A198:$Z198,MATCH(Settings!$L$7,$A$1:$Z$1,0))&amp;""),""))))</f>
        <v/>
      </c>
      <c r="AJ198" s="31">
        <f>IF(AE198="",0,IF(IFERROR(INDEX(Settings!$J$4:$J$14,MATCH(AI198,Settings!$I$4:$I$14,0)),"N")="Y",1,0))</f>
        <v/>
      </c>
      <c r="AK198" s="32">
        <f>IFERROR(INT(IFERROR(IF(ISNUMBER(INDEX($A198:$Z198,MATCH(Settings!$L$10,$A$1:$Z$1,0))),INDEX($A198:$Z198,MATCH(Settings!$L$10,$A$1:$Z$1,0)),DATE(VALUE(LEFT(IFERROR(TRIM(INDEX($A198:$Z198,MATCH(Settings!$L$10,$A$1:$Z$1,0))&amp;""),""),4)),VALUE(MID(IFERROR(TRIM(INDEX($A198:$Z198,MATCH(Settings!$L$10,$A$1:$Z$1,0))&amp;""),""),6,2)),VALUE(MID(IFERROR(TRIM(INDEX($A198:$Z198,MATCH(Settings!$L$10,$A$1:$Z$1,0))&amp;""),""),9,2)))+TIME(VALUE(MID(IFERROR(TRIM(INDEX($A198:$Z198,MATCH(Settings!$L$10,$A$1:$Z$1,0))&amp;""),""),12,2)),VALUE(MID(IFERROR(TRIM(INDEX($A198:$Z198,MATCH(Settings!$L$10,$A$1:$Z$1,0))&amp;""),""),15,2)),VALUE(MID(IFERROR(TRIM(INDEX($A198:$Z198,MATCH(Settings!$L$10,$A$1:$Z$1,0))&amp;""),""),18,2)))),"")),"")</f>
        <v/>
      </c>
      <c r="AL198" s="32">
        <f>IF(AE198="","",IF(ISNUMBER(AK198),AK198,IFERROR(INT(IFERROR(IF(ISNUMBER(INDEX($A198:$Z198,MATCH(Settings!$L$11,$A$1:$Z$1,0))),INDEX($A198:$Z198,MATCH(Settings!$L$11,$A$1:$Z$1,0)),DATE(VALUE(LEFT(IFERROR(TRIM(INDEX($A198:$Z198,MATCH(Settings!$L$11,$A$1:$Z$1,0))&amp;""),""),4)),VALUE(MID(IFERROR(TRIM(INDEX($A198:$Z198,MATCH(Settings!$L$11,$A$1:$Z$1,0))&amp;""),""),6,2)),VALUE(MID(IFERROR(TRIM(INDEX($A198:$Z198,MATCH(Settings!$L$11,$A$1:$Z$1,0))&amp;""),""),9,2)))+TIME(VALUE(MID(IFERROR(TRIM(INDEX($A198:$Z198,MATCH(Settings!$L$11,$A$1:$Z$1,0))&amp;""),""),12,2)),VALUE(MID(IFERROR(TRIM(INDEX($A198:$Z198,MATCH(Settings!$L$11,$A$1:$Z$1,0))&amp;""),""),15,2)),VALUE(MID(IFERROR(TRIM(INDEX($A198:$Z198,MATCH(Settings!$L$11,$A$1:$Z$1,0))&amp;""),""),18,2)))),"")),"")))</f>
        <v/>
      </c>
      <c r="AM198" s="31">
        <f>IF(AE198="","",IF(ISNUMBER(IFERROR(INDEX(Settings!$G$4:$G$11,MATCH(AH198,Settings!$F$4:$F$11,0)),"")),INDEX(Settings!$G$4:$G$11,MATCH(AH198,Settings!$F$4:$F$11,0)),Settings!$D$5))</f>
        <v/>
      </c>
      <c r="AN198" s="32">
        <f>IF(OR(AE198="",NOT(ISNUMBER(AL198)),NOT(ISNUMBER(AM198))),"",IF(AM198&lt;=0,"",IF(ISNUMBER(Settings!$D$8),DATE(YEAR(AL198)+IF(DATE(YEAR(AL198),MONTH(Settings!$D$8),DAY(Settings!$D$8))&gt;AL198,0,1),MONTH(Settings!$D$8),DAY(Settings!$D$8)),MIN(DATE(YEAR(AL198),MONTH(AL198)+AM198,DAY(AL198)),DATE(YEAR(AL198),MONTH(AL198)+AM198+1,0)))))</f>
        <v/>
      </c>
      <c r="AO198" s="31">
        <f>IF(ISNUMBER(AN198),AN198-Settings!$D$4,"")</f>
        <v/>
      </c>
      <c r="AP198" s="31">
        <f>IF(ISNUMBER(AL198),AL198+0+ROW()/100000,"")</f>
        <v/>
      </c>
      <c r="AQ198" s="31">
        <f>IF(OR(AG198="",NOT(ISNUMBER(AP198))),0,IF(SUMPRODUCT(('Responses'!$AG$2:$AG$501=AG198)*('Responses'!$AJ$2:$AJ$501=1)*ISNUMBER('Responses'!$AP$2:$AP$501)*('Responses'!$AP$2:$AP$501&gt;AP198)) + SUMPRODUCT(('Paper sign-ups'!$K$2:$K$101=AG198)*('Paper sign-ups'!$N$2:$N$101=1)*ISNUMBER('Paper sign-ups'!$T$2:$T$101)*('Paper sign-ups'!$T$2:$T$101&gt;AP198))&gt;0,1,0))</f>
        <v/>
      </c>
      <c r="AR198" s="31">
        <f>IF(AE198="","",IF(AQ198=1,"Joined again",IF(AJ198=0,"Unpaid",IF(NOT(ISNUMBER(AL198)),"Add a join date",IF(AN198="","No reminder",IF(AO198&lt;0,"Lapsed",IF(AO198&lt;=Settings!$D$6,"Remind soon","Current")))))))</f>
        <v/>
      </c>
      <c r="AS198" s="33">
        <f>IF(AJ198=1,IFERROR(VALUE(IFERROR(TRIM(INDEX($A198:$Z198,MATCH(Settings!$L$8,$A$1:$Z$1,0))&amp;""),"")),0)-IFERROR(VALUE(IFERROR(TRIM(INDEX($A198:$Z198,MATCH(Settings!$L$9,$A$1:$Z$1,0))&amp;""),"")),0),0)</f>
        <v/>
      </c>
      <c r="AT198" s="31">
        <f>IF(AND(AE198&lt;&gt;"",AQ198=0),1,0)</f>
        <v/>
      </c>
      <c r="AU198" s="31">
        <f>IF(AT198=0,"",IF(ISNUMBER(AN198),AN198,100000)+0+ROW()/1000000)</f>
        <v/>
      </c>
      <c r="AV198" s="31">
        <f>IF(ISNUMBER(AU198),SUMPRODUCT(ISNUMBER('Responses'!$AU$2:$AU$501)*('Responses'!$AU$2:$AU$501&lt;AU198)) + SUMPRODUCT(ISNUMBER('Paper sign-ups'!$Y$2:$Y$101)*('Paper sign-ups'!$Y$2:$Y$101&lt;AU198))+1,"")</f>
        <v/>
      </c>
    </row>
    <row r="199">
      <c r="AA199" s="29" t="n"/>
      <c r="AB199" s="30" t="n"/>
      <c r="AC199" s="30" t="n"/>
      <c r="AD199" s="29" t="n"/>
      <c r="AE199" s="31">
        <f>IFERROR(TRIM(INDEX($A199:$Z199,MATCH(Settings!$L$4,$A$1:$Z$1,0))&amp;""),"")</f>
        <v/>
      </c>
      <c r="AF199" s="31">
        <f>IFERROR(TRIM(INDEX($A199:$Z199,MATCH(Settings!$L$5,$A$1:$Z$1,0))&amp;""),"")</f>
        <v/>
      </c>
      <c r="AG199" s="31">
        <f>IF(AE199="","",LOWER(IF(AF199&lt;&gt;"",AF199,AE199)))</f>
        <v/>
      </c>
      <c r="AH199" s="31">
        <f>IFERROR(TRIM(INDEX($A199:$Z199,MATCH(Settings!$L$6,$A$1:$Z$1,0))&amp;""),"")</f>
        <v/>
      </c>
      <c r="AI199" s="31">
        <f>IF(AE199="","",IF(UPPER(TRIM(AB199&amp;""))="Y","Paid another way",IF(IFERROR(TRIM(INDEX($A199:$Z199,MATCH(Settings!$L$7,$A$1:$Z$1,0))&amp;""),"")="","No payment status",IFERROR(TRIM(INDEX($A199:$Z199,MATCH(Settings!$L$7,$A$1:$Z$1,0))&amp;""),""))))</f>
        <v/>
      </c>
      <c r="AJ199" s="31">
        <f>IF(AE199="",0,IF(IFERROR(INDEX(Settings!$J$4:$J$14,MATCH(AI199,Settings!$I$4:$I$14,0)),"N")="Y",1,0))</f>
        <v/>
      </c>
      <c r="AK199" s="32">
        <f>IFERROR(INT(IFERROR(IF(ISNUMBER(INDEX($A199:$Z199,MATCH(Settings!$L$10,$A$1:$Z$1,0))),INDEX($A199:$Z199,MATCH(Settings!$L$10,$A$1:$Z$1,0)),DATE(VALUE(LEFT(IFERROR(TRIM(INDEX($A199:$Z199,MATCH(Settings!$L$10,$A$1:$Z$1,0))&amp;""),""),4)),VALUE(MID(IFERROR(TRIM(INDEX($A199:$Z199,MATCH(Settings!$L$10,$A$1:$Z$1,0))&amp;""),""),6,2)),VALUE(MID(IFERROR(TRIM(INDEX($A199:$Z199,MATCH(Settings!$L$10,$A$1:$Z$1,0))&amp;""),""),9,2)))+TIME(VALUE(MID(IFERROR(TRIM(INDEX($A199:$Z199,MATCH(Settings!$L$10,$A$1:$Z$1,0))&amp;""),""),12,2)),VALUE(MID(IFERROR(TRIM(INDEX($A199:$Z199,MATCH(Settings!$L$10,$A$1:$Z$1,0))&amp;""),""),15,2)),VALUE(MID(IFERROR(TRIM(INDEX($A199:$Z199,MATCH(Settings!$L$10,$A$1:$Z$1,0))&amp;""),""),18,2)))),"")),"")</f>
        <v/>
      </c>
      <c r="AL199" s="32">
        <f>IF(AE199="","",IF(ISNUMBER(AK199),AK199,IFERROR(INT(IFERROR(IF(ISNUMBER(INDEX($A199:$Z199,MATCH(Settings!$L$11,$A$1:$Z$1,0))),INDEX($A199:$Z199,MATCH(Settings!$L$11,$A$1:$Z$1,0)),DATE(VALUE(LEFT(IFERROR(TRIM(INDEX($A199:$Z199,MATCH(Settings!$L$11,$A$1:$Z$1,0))&amp;""),""),4)),VALUE(MID(IFERROR(TRIM(INDEX($A199:$Z199,MATCH(Settings!$L$11,$A$1:$Z$1,0))&amp;""),""),6,2)),VALUE(MID(IFERROR(TRIM(INDEX($A199:$Z199,MATCH(Settings!$L$11,$A$1:$Z$1,0))&amp;""),""),9,2)))+TIME(VALUE(MID(IFERROR(TRIM(INDEX($A199:$Z199,MATCH(Settings!$L$11,$A$1:$Z$1,0))&amp;""),""),12,2)),VALUE(MID(IFERROR(TRIM(INDEX($A199:$Z199,MATCH(Settings!$L$11,$A$1:$Z$1,0))&amp;""),""),15,2)),VALUE(MID(IFERROR(TRIM(INDEX($A199:$Z199,MATCH(Settings!$L$11,$A$1:$Z$1,0))&amp;""),""),18,2)))),"")),"")))</f>
        <v/>
      </c>
      <c r="AM199" s="31">
        <f>IF(AE199="","",IF(ISNUMBER(IFERROR(INDEX(Settings!$G$4:$G$11,MATCH(AH199,Settings!$F$4:$F$11,0)),"")),INDEX(Settings!$G$4:$G$11,MATCH(AH199,Settings!$F$4:$F$11,0)),Settings!$D$5))</f>
        <v/>
      </c>
      <c r="AN199" s="32">
        <f>IF(OR(AE199="",NOT(ISNUMBER(AL199)),NOT(ISNUMBER(AM199))),"",IF(AM199&lt;=0,"",IF(ISNUMBER(Settings!$D$8),DATE(YEAR(AL199)+IF(DATE(YEAR(AL199),MONTH(Settings!$D$8),DAY(Settings!$D$8))&gt;AL199,0,1),MONTH(Settings!$D$8),DAY(Settings!$D$8)),MIN(DATE(YEAR(AL199),MONTH(AL199)+AM199,DAY(AL199)),DATE(YEAR(AL199),MONTH(AL199)+AM199+1,0)))))</f>
        <v/>
      </c>
      <c r="AO199" s="31">
        <f>IF(ISNUMBER(AN199),AN199-Settings!$D$4,"")</f>
        <v/>
      </c>
      <c r="AP199" s="31">
        <f>IF(ISNUMBER(AL199),AL199+0+ROW()/100000,"")</f>
        <v/>
      </c>
      <c r="AQ199" s="31">
        <f>IF(OR(AG199="",NOT(ISNUMBER(AP199))),0,IF(SUMPRODUCT(('Responses'!$AG$2:$AG$501=AG199)*('Responses'!$AJ$2:$AJ$501=1)*ISNUMBER('Responses'!$AP$2:$AP$501)*('Responses'!$AP$2:$AP$501&gt;AP199)) + SUMPRODUCT(('Paper sign-ups'!$K$2:$K$101=AG199)*('Paper sign-ups'!$N$2:$N$101=1)*ISNUMBER('Paper sign-ups'!$T$2:$T$101)*('Paper sign-ups'!$T$2:$T$101&gt;AP199))&gt;0,1,0))</f>
        <v/>
      </c>
      <c r="AR199" s="31">
        <f>IF(AE199="","",IF(AQ199=1,"Joined again",IF(AJ199=0,"Unpaid",IF(NOT(ISNUMBER(AL199)),"Add a join date",IF(AN199="","No reminder",IF(AO199&lt;0,"Lapsed",IF(AO199&lt;=Settings!$D$6,"Remind soon","Current")))))))</f>
        <v/>
      </c>
      <c r="AS199" s="33">
        <f>IF(AJ199=1,IFERROR(VALUE(IFERROR(TRIM(INDEX($A199:$Z199,MATCH(Settings!$L$8,$A$1:$Z$1,0))&amp;""),"")),0)-IFERROR(VALUE(IFERROR(TRIM(INDEX($A199:$Z199,MATCH(Settings!$L$9,$A$1:$Z$1,0))&amp;""),"")),0),0)</f>
        <v/>
      </c>
      <c r="AT199" s="31">
        <f>IF(AND(AE199&lt;&gt;"",AQ199=0),1,0)</f>
        <v/>
      </c>
      <c r="AU199" s="31">
        <f>IF(AT199=0,"",IF(ISNUMBER(AN199),AN199,100000)+0+ROW()/1000000)</f>
        <v/>
      </c>
      <c r="AV199" s="31">
        <f>IF(ISNUMBER(AU199),SUMPRODUCT(ISNUMBER('Responses'!$AU$2:$AU$501)*('Responses'!$AU$2:$AU$501&lt;AU199)) + SUMPRODUCT(ISNUMBER('Paper sign-ups'!$Y$2:$Y$101)*('Paper sign-ups'!$Y$2:$Y$101&lt;AU199))+1,"")</f>
        <v/>
      </c>
    </row>
    <row r="200">
      <c r="AA200" s="29" t="n"/>
      <c r="AB200" s="30" t="n"/>
      <c r="AC200" s="30" t="n"/>
      <c r="AD200" s="29" t="n"/>
      <c r="AE200" s="31">
        <f>IFERROR(TRIM(INDEX($A200:$Z200,MATCH(Settings!$L$4,$A$1:$Z$1,0))&amp;""),"")</f>
        <v/>
      </c>
      <c r="AF200" s="31">
        <f>IFERROR(TRIM(INDEX($A200:$Z200,MATCH(Settings!$L$5,$A$1:$Z$1,0))&amp;""),"")</f>
        <v/>
      </c>
      <c r="AG200" s="31">
        <f>IF(AE200="","",LOWER(IF(AF200&lt;&gt;"",AF200,AE200)))</f>
        <v/>
      </c>
      <c r="AH200" s="31">
        <f>IFERROR(TRIM(INDEX($A200:$Z200,MATCH(Settings!$L$6,$A$1:$Z$1,0))&amp;""),"")</f>
        <v/>
      </c>
      <c r="AI200" s="31">
        <f>IF(AE200="","",IF(UPPER(TRIM(AB200&amp;""))="Y","Paid another way",IF(IFERROR(TRIM(INDEX($A200:$Z200,MATCH(Settings!$L$7,$A$1:$Z$1,0))&amp;""),"")="","No payment status",IFERROR(TRIM(INDEX($A200:$Z200,MATCH(Settings!$L$7,$A$1:$Z$1,0))&amp;""),""))))</f>
        <v/>
      </c>
      <c r="AJ200" s="31">
        <f>IF(AE200="",0,IF(IFERROR(INDEX(Settings!$J$4:$J$14,MATCH(AI200,Settings!$I$4:$I$14,0)),"N")="Y",1,0))</f>
        <v/>
      </c>
      <c r="AK200" s="32">
        <f>IFERROR(INT(IFERROR(IF(ISNUMBER(INDEX($A200:$Z200,MATCH(Settings!$L$10,$A$1:$Z$1,0))),INDEX($A200:$Z200,MATCH(Settings!$L$10,$A$1:$Z$1,0)),DATE(VALUE(LEFT(IFERROR(TRIM(INDEX($A200:$Z200,MATCH(Settings!$L$10,$A$1:$Z$1,0))&amp;""),""),4)),VALUE(MID(IFERROR(TRIM(INDEX($A200:$Z200,MATCH(Settings!$L$10,$A$1:$Z$1,0))&amp;""),""),6,2)),VALUE(MID(IFERROR(TRIM(INDEX($A200:$Z200,MATCH(Settings!$L$10,$A$1:$Z$1,0))&amp;""),""),9,2)))+TIME(VALUE(MID(IFERROR(TRIM(INDEX($A200:$Z200,MATCH(Settings!$L$10,$A$1:$Z$1,0))&amp;""),""),12,2)),VALUE(MID(IFERROR(TRIM(INDEX($A200:$Z200,MATCH(Settings!$L$10,$A$1:$Z$1,0))&amp;""),""),15,2)),VALUE(MID(IFERROR(TRIM(INDEX($A200:$Z200,MATCH(Settings!$L$10,$A$1:$Z$1,0))&amp;""),""),18,2)))),"")),"")</f>
        <v/>
      </c>
      <c r="AL200" s="32">
        <f>IF(AE200="","",IF(ISNUMBER(AK200),AK200,IFERROR(INT(IFERROR(IF(ISNUMBER(INDEX($A200:$Z200,MATCH(Settings!$L$11,$A$1:$Z$1,0))),INDEX($A200:$Z200,MATCH(Settings!$L$11,$A$1:$Z$1,0)),DATE(VALUE(LEFT(IFERROR(TRIM(INDEX($A200:$Z200,MATCH(Settings!$L$11,$A$1:$Z$1,0))&amp;""),""),4)),VALUE(MID(IFERROR(TRIM(INDEX($A200:$Z200,MATCH(Settings!$L$11,$A$1:$Z$1,0))&amp;""),""),6,2)),VALUE(MID(IFERROR(TRIM(INDEX($A200:$Z200,MATCH(Settings!$L$11,$A$1:$Z$1,0))&amp;""),""),9,2)))+TIME(VALUE(MID(IFERROR(TRIM(INDEX($A200:$Z200,MATCH(Settings!$L$11,$A$1:$Z$1,0))&amp;""),""),12,2)),VALUE(MID(IFERROR(TRIM(INDEX($A200:$Z200,MATCH(Settings!$L$11,$A$1:$Z$1,0))&amp;""),""),15,2)),VALUE(MID(IFERROR(TRIM(INDEX($A200:$Z200,MATCH(Settings!$L$11,$A$1:$Z$1,0))&amp;""),""),18,2)))),"")),"")))</f>
        <v/>
      </c>
      <c r="AM200" s="31">
        <f>IF(AE200="","",IF(ISNUMBER(IFERROR(INDEX(Settings!$G$4:$G$11,MATCH(AH200,Settings!$F$4:$F$11,0)),"")),INDEX(Settings!$G$4:$G$11,MATCH(AH200,Settings!$F$4:$F$11,0)),Settings!$D$5))</f>
        <v/>
      </c>
      <c r="AN200" s="32">
        <f>IF(OR(AE200="",NOT(ISNUMBER(AL200)),NOT(ISNUMBER(AM200))),"",IF(AM200&lt;=0,"",IF(ISNUMBER(Settings!$D$8),DATE(YEAR(AL200)+IF(DATE(YEAR(AL200),MONTH(Settings!$D$8),DAY(Settings!$D$8))&gt;AL200,0,1),MONTH(Settings!$D$8),DAY(Settings!$D$8)),MIN(DATE(YEAR(AL200),MONTH(AL200)+AM200,DAY(AL200)),DATE(YEAR(AL200),MONTH(AL200)+AM200+1,0)))))</f>
        <v/>
      </c>
      <c r="AO200" s="31">
        <f>IF(ISNUMBER(AN200),AN200-Settings!$D$4,"")</f>
        <v/>
      </c>
      <c r="AP200" s="31">
        <f>IF(ISNUMBER(AL200),AL200+0+ROW()/100000,"")</f>
        <v/>
      </c>
      <c r="AQ200" s="31">
        <f>IF(OR(AG200="",NOT(ISNUMBER(AP200))),0,IF(SUMPRODUCT(('Responses'!$AG$2:$AG$501=AG200)*('Responses'!$AJ$2:$AJ$501=1)*ISNUMBER('Responses'!$AP$2:$AP$501)*('Responses'!$AP$2:$AP$501&gt;AP200)) + SUMPRODUCT(('Paper sign-ups'!$K$2:$K$101=AG200)*('Paper sign-ups'!$N$2:$N$101=1)*ISNUMBER('Paper sign-ups'!$T$2:$T$101)*('Paper sign-ups'!$T$2:$T$101&gt;AP200))&gt;0,1,0))</f>
        <v/>
      </c>
      <c r="AR200" s="31">
        <f>IF(AE200="","",IF(AQ200=1,"Joined again",IF(AJ200=0,"Unpaid",IF(NOT(ISNUMBER(AL200)),"Add a join date",IF(AN200="","No reminder",IF(AO200&lt;0,"Lapsed",IF(AO200&lt;=Settings!$D$6,"Remind soon","Current")))))))</f>
        <v/>
      </c>
      <c r="AS200" s="33">
        <f>IF(AJ200=1,IFERROR(VALUE(IFERROR(TRIM(INDEX($A200:$Z200,MATCH(Settings!$L$8,$A$1:$Z$1,0))&amp;""),"")),0)-IFERROR(VALUE(IFERROR(TRIM(INDEX($A200:$Z200,MATCH(Settings!$L$9,$A$1:$Z$1,0))&amp;""),"")),0),0)</f>
        <v/>
      </c>
      <c r="AT200" s="31">
        <f>IF(AND(AE200&lt;&gt;"",AQ200=0),1,0)</f>
        <v/>
      </c>
      <c r="AU200" s="31">
        <f>IF(AT200=0,"",IF(ISNUMBER(AN200),AN200,100000)+0+ROW()/1000000)</f>
        <v/>
      </c>
      <c r="AV200" s="31">
        <f>IF(ISNUMBER(AU200),SUMPRODUCT(ISNUMBER('Responses'!$AU$2:$AU$501)*('Responses'!$AU$2:$AU$501&lt;AU200)) + SUMPRODUCT(ISNUMBER('Paper sign-ups'!$Y$2:$Y$101)*('Paper sign-ups'!$Y$2:$Y$101&lt;AU200))+1,"")</f>
        <v/>
      </c>
    </row>
    <row r="201">
      <c r="AA201" s="29" t="n"/>
      <c r="AB201" s="30" t="n"/>
      <c r="AC201" s="30" t="n"/>
      <c r="AD201" s="29" t="n"/>
      <c r="AE201" s="31">
        <f>IFERROR(TRIM(INDEX($A201:$Z201,MATCH(Settings!$L$4,$A$1:$Z$1,0))&amp;""),"")</f>
        <v/>
      </c>
      <c r="AF201" s="31">
        <f>IFERROR(TRIM(INDEX($A201:$Z201,MATCH(Settings!$L$5,$A$1:$Z$1,0))&amp;""),"")</f>
        <v/>
      </c>
      <c r="AG201" s="31">
        <f>IF(AE201="","",LOWER(IF(AF201&lt;&gt;"",AF201,AE201)))</f>
        <v/>
      </c>
      <c r="AH201" s="31">
        <f>IFERROR(TRIM(INDEX($A201:$Z201,MATCH(Settings!$L$6,$A$1:$Z$1,0))&amp;""),"")</f>
        <v/>
      </c>
      <c r="AI201" s="31">
        <f>IF(AE201="","",IF(UPPER(TRIM(AB201&amp;""))="Y","Paid another way",IF(IFERROR(TRIM(INDEX($A201:$Z201,MATCH(Settings!$L$7,$A$1:$Z$1,0))&amp;""),"")="","No payment status",IFERROR(TRIM(INDEX($A201:$Z201,MATCH(Settings!$L$7,$A$1:$Z$1,0))&amp;""),""))))</f>
        <v/>
      </c>
      <c r="AJ201" s="31">
        <f>IF(AE201="",0,IF(IFERROR(INDEX(Settings!$J$4:$J$14,MATCH(AI201,Settings!$I$4:$I$14,0)),"N")="Y",1,0))</f>
        <v/>
      </c>
      <c r="AK201" s="32">
        <f>IFERROR(INT(IFERROR(IF(ISNUMBER(INDEX($A201:$Z201,MATCH(Settings!$L$10,$A$1:$Z$1,0))),INDEX($A201:$Z201,MATCH(Settings!$L$10,$A$1:$Z$1,0)),DATE(VALUE(LEFT(IFERROR(TRIM(INDEX($A201:$Z201,MATCH(Settings!$L$10,$A$1:$Z$1,0))&amp;""),""),4)),VALUE(MID(IFERROR(TRIM(INDEX($A201:$Z201,MATCH(Settings!$L$10,$A$1:$Z$1,0))&amp;""),""),6,2)),VALUE(MID(IFERROR(TRIM(INDEX($A201:$Z201,MATCH(Settings!$L$10,$A$1:$Z$1,0))&amp;""),""),9,2)))+TIME(VALUE(MID(IFERROR(TRIM(INDEX($A201:$Z201,MATCH(Settings!$L$10,$A$1:$Z$1,0))&amp;""),""),12,2)),VALUE(MID(IFERROR(TRIM(INDEX($A201:$Z201,MATCH(Settings!$L$10,$A$1:$Z$1,0))&amp;""),""),15,2)),VALUE(MID(IFERROR(TRIM(INDEX($A201:$Z201,MATCH(Settings!$L$10,$A$1:$Z$1,0))&amp;""),""),18,2)))),"")),"")</f>
        <v/>
      </c>
      <c r="AL201" s="32">
        <f>IF(AE201="","",IF(ISNUMBER(AK201),AK201,IFERROR(INT(IFERROR(IF(ISNUMBER(INDEX($A201:$Z201,MATCH(Settings!$L$11,$A$1:$Z$1,0))),INDEX($A201:$Z201,MATCH(Settings!$L$11,$A$1:$Z$1,0)),DATE(VALUE(LEFT(IFERROR(TRIM(INDEX($A201:$Z201,MATCH(Settings!$L$11,$A$1:$Z$1,0))&amp;""),""),4)),VALUE(MID(IFERROR(TRIM(INDEX($A201:$Z201,MATCH(Settings!$L$11,$A$1:$Z$1,0))&amp;""),""),6,2)),VALUE(MID(IFERROR(TRIM(INDEX($A201:$Z201,MATCH(Settings!$L$11,$A$1:$Z$1,0))&amp;""),""),9,2)))+TIME(VALUE(MID(IFERROR(TRIM(INDEX($A201:$Z201,MATCH(Settings!$L$11,$A$1:$Z$1,0))&amp;""),""),12,2)),VALUE(MID(IFERROR(TRIM(INDEX($A201:$Z201,MATCH(Settings!$L$11,$A$1:$Z$1,0))&amp;""),""),15,2)),VALUE(MID(IFERROR(TRIM(INDEX($A201:$Z201,MATCH(Settings!$L$11,$A$1:$Z$1,0))&amp;""),""),18,2)))),"")),"")))</f>
        <v/>
      </c>
      <c r="AM201" s="31">
        <f>IF(AE201="","",IF(ISNUMBER(IFERROR(INDEX(Settings!$G$4:$G$11,MATCH(AH201,Settings!$F$4:$F$11,0)),"")),INDEX(Settings!$G$4:$G$11,MATCH(AH201,Settings!$F$4:$F$11,0)),Settings!$D$5))</f>
        <v/>
      </c>
      <c r="AN201" s="32">
        <f>IF(OR(AE201="",NOT(ISNUMBER(AL201)),NOT(ISNUMBER(AM201))),"",IF(AM201&lt;=0,"",IF(ISNUMBER(Settings!$D$8),DATE(YEAR(AL201)+IF(DATE(YEAR(AL201),MONTH(Settings!$D$8),DAY(Settings!$D$8))&gt;AL201,0,1),MONTH(Settings!$D$8),DAY(Settings!$D$8)),MIN(DATE(YEAR(AL201),MONTH(AL201)+AM201,DAY(AL201)),DATE(YEAR(AL201),MONTH(AL201)+AM201+1,0)))))</f>
        <v/>
      </c>
      <c r="AO201" s="31">
        <f>IF(ISNUMBER(AN201),AN201-Settings!$D$4,"")</f>
        <v/>
      </c>
      <c r="AP201" s="31">
        <f>IF(ISNUMBER(AL201),AL201+0+ROW()/100000,"")</f>
        <v/>
      </c>
      <c r="AQ201" s="31">
        <f>IF(OR(AG201="",NOT(ISNUMBER(AP201))),0,IF(SUMPRODUCT(('Responses'!$AG$2:$AG$501=AG201)*('Responses'!$AJ$2:$AJ$501=1)*ISNUMBER('Responses'!$AP$2:$AP$501)*('Responses'!$AP$2:$AP$501&gt;AP201)) + SUMPRODUCT(('Paper sign-ups'!$K$2:$K$101=AG201)*('Paper sign-ups'!$N$2:$N$101=1)*ISNUMBER('Paper sign-ups'!$T$2:$T$101)*('Paper sign-ups'!$T$2:$T$101&gt;AP201))&gt;0,1,0))</f>
        <v/>
      </c>
      <c r="AR201" s="31">
        <f>IF(AE201="","",IF(AQ201=1,"Joined again",IF(AJ201=0,"Unpaid",IF(NOT(ISNUMBER(AL201)),"Add a join date",IF(AN201="","No reminder",IF(AO201&lt;0,"Lapsed",IF(AO201&lt;=Settings!$D$6,"Remind soon","Current")))))))</f>
        <v/>
      </c>
      <c r="AS201" s="33">
        <f>IF(AJ201=1,IFERROR(VALUE(IFERROR(TRIM(INDEX($A201:$Z201,MATCH(Settings!$L$8,$A$1:$Z$1,0))&amp;""),"")),0)-IFERROR(VALUE(IFERROR(TRIM(INDEX($A201:$Z201,MATCH(Settings!$L$9,$A$1:$Z$1,0))&amp;""),"")),0),0)</f>
        <v/>
      </c>
      <c r="AT201" s="31">
        <f>IF(AND(AE201&lt;&gt;"",AQ201=0),1,0)</f>
        <v/>
      </c>
      <c r="AU201" s="31">
        <f>IF(AT201=0,"",IF(ISNUMBER(AN201),AN201,100000)+0+ROW()/1000000)</f>
        <v/>
      </c>
      <c r="AV201" s="31">
        <f>IF(ISNUMBER(AU201),SUMPRODUCT(ISNUMBER('Responses'!$AU$2:$AU$501)*('Responses'!$AU$2:$AU$501&lt;AU201)) + SUMPRODUCT(ISNUMBER('Paper sign-ups'!$Y$2:$Y$101)*('Paper sign-ups'!$Y$2:$Y$101&lt;AU201))+1,"")</f>
        <v/>
      </c>
    </row>
    <row r="202">
      <c r="AA202" s="29" t="n"/>
      <c r="AB202" s="30" t="n"/>
      <c r="AC202" s="30" t="n"/>
      <c r="AD202" s="29" t="n"/>
      <c r="AE202" s="31">
        <f>IFERROR(TRIM(INDEX($A202:$Z202,MATCH(Settings!$L$4,$A$1:$Z$1,0))&amp;""),"")</f>
        <v/>
      </c>
      <c r="AF202" s="31">
        <f>IFERROR(TRIM(INDEX($A202:$Z202,MATCH(Settings!$L$5,$A$1:$Z$1,0))&amp;""),"")</f>
        <v/>
      </c>
      <c r="AG202" s="31">
        <f>IF(AE202="","",LOWER(IF(AF202&lt;&gt;"",AF202,AE202)))</f>
        <v/>
      </c>
      <c r="AH202" s="31">
        <f>IFERROR(TRIM(INDEX($A202:$Z202,MATCH(Settings!$L$6,$A$1:$Z$1,0))&amp;""),"")</f>
        <v/>
      </c>
      <c r="AI202" s="31">
        <f>IF(AE202="","",IF(UPPER(TRIM(AB202&amp;""))="Y","Paid another way",IF(IFERROR(TRIM(INDEX($A202:$Z202,MATCH(Settings!$L$7,$A$1:$Z$1,0))&amp;""),"")="","No payment status",IFERROR(TRIM(INDEX($A202:$Z202,MATCH(Settings!$L$7,$A$1:$Z$1,0))&amp;""),""))))</f>
        <v/>
      </c>
      <c r="AJ202" s="31">
        <f>IF(AE202="",0,IF(IFERROR(INDEX(Settings!$J$4:$J$14,MATCH(AI202,Settings!$I$4:$I$14,0)),"N")="Y",1,0))</f>
        <v/>
      </c>
      <c r="AK202" s="32">
        <f>IFERROR(INT(IFERROR(IF(ISNUMBER(INDEX($A202:$Z202,MATCH(Settings!$L$10,$A$1:$Z$1,0))),INDEX($A202:$Z202,MATCH(Settings!$L$10,$A$1:$Z$1,0)),DATE(VALUE(LEFT(IFERROR(TRIM(INDEX($A202:$Z202,MATCH(Settings!$L$10,$A$1:$Z$1,0))&amp;""),""),4)),VALUE(MID(IFERROR(TRIM(INDEX($A202:$Z202,MATCH(Settings!$L$10,$A$1:$Z$1,0))&amp;""),""),6,2)),VALUE(MID(IFERROR(TRIM(INDEX($A202:$Z202,MATCH(Settings!$L$10,$A$1:$Z$1,0))&amp;""),""),9,2)))+TIME(VALUE(MID(IFERROR(TRIM(INDEX($A202:$Z202,MATCH(Settings!$L$10,$A$1:$Z$1,0))&amp;""),""),12,2)),VALUE(MID(IFERROR(TRIM(INDEX($A202:$Z202,MATCH(Settings!$L$10,$A$1:$Z$1,0))&amp;""),""),15,2)),VALUE(MID(IFERROR(TRIM(INDEX($A202:$Z202,MATCH(Settings!$L$10,$A$1:$Z$1,0))&amp;""),""),18,2)))),"")),"")</f>
        <v/>
      </c>
      <c r="AL202" s="32">
        <f>IF(AE202="","",IF(ISNUMBER(AK202),AK202,IFERROR(INT(IFERROR(IF(ISNUMBER(INDEX($A202:$Z202,MATCH(Settings!$L$11,$A$1:$Z$1,0))),INDEX($A202:$Z202,MATCH(Settings!$L$11,$A$1:$Z$1,0)),DATE(VALUE(LEFT(IFERROR(TRIM(INDEX($A202:$Z202,MATCH(Settings!$L$11,$A$1:$Z$1,0))&amp;""),""),4)),VALUE(MID(IFERROR(TRIM(INDEX($A202:$Z202,MATCH(Settings!$L$11,$A$1:$Z$1,0))&amp;""),""),6,2)),VALUE(MID(IFERROR(TRIM(INDEX($A202:$Z202,MATCH(Settings!$L$11,$A$1:$Z$1,0))&amp;""),""),9,2)))+TIME(VALUE(MID(IFERROR(TRIM(INDEX($A202:$Z202,MATCH(Settings!$L$11,$A$1:$Z$1,0))&amp;""),""),12,2)),VALUE(MID(IFERROR(TRIM(INDEX($A202:$Z202,MATCH(Settings!$L$11,$A$1:$Z$1,0))&amp;""),""),15,2)),VALUE(MID(IFERROR(TRIM(INDEX($A202:$Z202,MATCH(Settings!$L$11,$A$1:$Z$1,0))&amp;""),""),18,2)))),"")),"")))</f>
        <v/>
      </c>
      <c r="AM202" s="31">
        <f>IF(AE202="","",IF(ISNUMBER(IFERROR(INDEX(Settings!$G$4:$G$11,MATCH(AH202,Settings!$F$4:$F$11,0)),"")),INDEX(Settings!$G$4:$G$11,MATCH(AH202,Settings!$F$4:$F$11,0)),Settings!$D$5))</f>
        <v/>
      </c>
      <c r="AN202" s="32">
        <f>IF(OR(AE202="",NOT(ISNUMBER(AL202)),NOT(ISNUMBER(AM202))),"",IF(AM202&lt;=0,"",IF(ISNUMBER(Settings!$D$8),DATE(YEAR(AL202)+IF(DATE(YEAR(AL202),MONTH(Settings!$D$8),DAY(Settings!$D$8))&gt;AL202,0,1),MONTH(Settings!$D$8),DAY(Settings!$D$8)),MIN(DATE(YEAR(AL202),MONTH(AL202)+AM202,DAY(AL202)),DATE(YEAR(AL202),MONTH(AL202)+AM202+1,0)))))</f>
        <v/>
      </c>
      <c r="AO202" s="31">
        <f>IF(ISNUMBER(AN202),AN202-Settings!$D$4,"")</f>
        <v/>
      </c>
      <c r="AP202" s="31">
        <f>IF(ISNUMBER(AL202),AL202+0+ROW()/100000,"")</f>
        <v/>
      </c>
      <c r="AQ202" s="31">
        <f>IF(OR(AG202="",NOT(ISNUMBER(AP202))),0,IF(SUMPRODUCT(('Responses'!$AG$2:$AG$501=AG202)*('Responses'!$AJ$2:$AJ$501=1)*ISNUMBER('Responses'!$AP$2:$AP$501)*('Responses'!$AP$2:$AP$501&gt;AP202)) + SUMPRODUCT(('Paper sign-ups'!$K$2:$K$101=AG202)*('Paper sign-ups'!$N$2:$N$101=1)*ISNUMBER('Paper sign-ups'!$T$2:$T$101)*('Paper sign-ups'!$T$2:$T$101&gt;AP202))&gt;0,1,0))</f>
        <v/>
      </c>
      <c r="AR202" s="31">
        <f>IF(AE202="","",IF(AQ202=1,"Joined again",IF(AJ202=0,"Unpaid",IF(NOT(ISNUMBER(AL202)),"Add a join date",IF(AN202="","No reminder",IF(AO202&lt;0,"Lapsed",IF(AO202&lt;=Settings!$D$6,"Remind soon","Current")))))))</f>
        <v/>
      </c>
      <c r="AS202" s="33">
        <f>IF(AJ202=1,IFERROR(VALUE(IFERROR(TRIM(INDEX($A202:$Z202,MATCH(Settings!$L$8,$A$1:$Z$1,0))&amp;""),"")),0)-IFERROR(VALUE(IFERROR(TRIM(INDEX($A202:$Z202,MATCH(Settings!$L$9,$A$1:$Z$1,0))&amp;""),"")),0),0)</f>
        <v/>
      </c>
      <c r="AT202" s="31">
        <f>IF(AND(AE202&lt;&gt;"",AQ202=0),1,0)</f>
        <v/>
      </c>
      <c r="AU202" s="31">
        <f>IF(AT202=0,"",IF(ISNUMBER(AN202),AN202,100000)+0+ROW()/1000000)</f>
        <v/>
      </c>
      <c r="AV202" s="31">
        <f>IF(ISNUMBER(AU202),SUMPRODUCT(ISNUMBER('Responses'!$AU$2:$AU$501)*('Responses'!$AU$2:$AU$501&lt;AU202)) + SUMPRODUCT(ISNUMBER('Paper sign-ups'!$Y$2:$Y$101)*('Paper sign-ups'!$Y$2:$Y$101&lt;AU202))+1,"")</f>
        <v/>
      </c>
    </row>
    <row r="203">
      <c r="AA203" s="29" t="n"/>
      <c r="AB203" s="30" t="n"/>
      <c r="AC203" s="30" t="n"/>
      <c r="AD203" s="29" t="n"/>
      <c r="AE203" s="31">
        <f>IFERROR(TRIM(INDEX($A203:$Z203,MATCH(Settings!$L$4,$A$1:$Z$1,0))&amp;""),"")</f>
        <v/>
      </c>
      <c r="AF203" s="31">
        <f>IFERROR(TRIM(INDEX($A203:$Z203,MATCH(Settings!$L$5,$A$1:$Z$1,0))&amp;""),"")</f>
        <v/>
      </c>
      <c r="AG203" s="31">
        <f>IF(AE203="","",LOWER(IF(AF203&lt;&gt;"",AF203,AE203)))</f>
        <v/>
      </c>
      <c r="AH203" s="31">
        <f>IFERROR(TRIM(INDEX($A203:$Z203,MATCH(Settings!$L$6,$A$1:$Z$1,0))&amp;""),"")</f>
        <v/>
      </c>
      <c r="AI203" s="31">
        <f>IF(AE203="","",IF(UPPER(TRIM(AB203&amp;""))="Y","Paid another way",IF(IFERROR(TRIM(INDEX($A203:$Z203,MATCH(Settings!$L$7,$A$1:$Z$1,0))&amp;""),"")="","No payment status",IFERROR(TRIM(INDEX($A203:$Z203,MATCH(Settings!$L$7,$A$1:$Z$1,0))&amp;""),""))))</f>
        <v/>
      </c>
      <c r="AJ203" s="31">
        <f>IF(AE203="",0,IF(IFERROR(INDEX(Settings!$J$4:$J$14,MATCH(AI203,Settings!$I$4:$I$14,0)),"N")="Y",1,0))</f>
        <v/>
      </c>
      <c r="AK203" s="32">
        <f>IFERROR(INT(IFERROR(IF(ISNUMBER(INDEX($A203:$Z203,MATCH(Settings!$L$10,$A$1:$Z$1,0))),INDEX($A203:$Z203,MATCH(Settings!$L$10,$A$1:$Z$1,0)),DATE(VALUE(LEFT(IFERROR(TRIM(INDEX($A203:$Z203,MATCH(Settings!$L$10,$A$1:$Z$1,0))&amp;""),""),4)),VALUE(MID(IFERROR(TRIM(INDEX($A203:$Z203,MATCH(Settings!$L$10,$A$1:$Z$1,0))&amp;""),""),6,2)),VALUE(MID(IFERROR(TRIM(INDEX($A203:$Z203,MATCH(Settings!$L$10,$A$1:$Z$1,0))&amp;""),""),9,2)))+TIME(VALUE(MID(IFERROR(TRIM(INDEX($A203:$Z203,MATCH(Settings!$L$10,$A$1:$Z$1,0))&amp;""),""),12,2)),VALUE(MID(IFERROR(TRIM(INDEX($A203:$Z203,MATCH(Settings!$L$10,$A$1:$Z$1,0))&amp;""),""),15,2)),VALUE(MID(IFERROR(TRIM(INDEX($A203:$Z203,MATCH(Settings!$L$10,$A$1:$Z$1,0))&amp;""),""),18,2)))),"")),"")</f>
        <v/>
      </c>
      <c r="AL203" s="32">
        <f>IF(AE203="","",IF(ISNUMBER(AK203),AK203,IFERROR(INT(IFERROR(IF(ISNUMBER(INDEX($A203:$Z203,MATCH(Settings!$L$11,$A$1:$Z$1,0))),INDEX($A203:$Z203,MATCH(Settings!$L$11,$A$1:$Z$1,0)),DATE(VALUE(LEFT(IFERROR(TRIM(INDEX($A203:$Z203,MATCH(Settings!$L$11,$A$1:$Z$1,0))&amp;""),""),4)),VALUE(MID(IFERROR(TRIM(INDEX($A203:$Z203,MATCH(Settings!$L$11,$A$1:$Z$1,0))&amp;""),""),6,2)),VALUE(MID(IFERROR(TRIM(INDEX($A203:$Z203,MATCH(Settings!$L$11,$A$1:$Z$1,0))&amp;""),""),9,2)))+TIME(VALUE(MID(IFERROR(TRIM(INDEX($A203:$Z203,MATCH(Settings!$L$11,$A$1:$Z$1,0))&amp;""),""),12,2)),VALUE(MID(IFERROR(TRIM(INDEX($A203:$Z203,MATCH(Settings!$L$11,$A$1:$Z$1,0))&amp;""),""),15,2)),VALUE(MID(IFERROR(TRIM(INDEX($A203:$Z203,MATCH(Settings!$L$11,$A$1:$Z$1,0))&amp;""),""),18,2)))),"")),"")))</f>
        <v/>
      </c>
      <c r="AM203" s="31">
        <f>IF(AE203="","",IF(ISNUMBER(IFERROR(INDEX(Settings!$G$4:$G$11,MATCH(AH203,Settings!$F$4:$F$11,0)),"")),INDEX(Settings!$G$4:$G$11,MATCH(AH203,Settings!$F$4:$F$11,0)),Settings!$D$5))</f>
        <v/>
      </c>
      <c r="AN203" s="32">
        <f>IF(OR(AE203="",NOT(ISNUMBER(AL203)),NOT(ISNUMBER(AM203))),"",IF(AM203&lt;=0,"",IF(ISNUMBER(Settings!$D$8),DATE(YEAR(AL203)+IF(DATE(YEAR(AL203),MONTH(Settings!$D$8),DAY(Settings!$D$8))&gt;AL203,0,1),MONTH(Settings!$D$8),DAY(Settings!$D$8)),MIN(DATE(YEAR(AL203),MONTH(AL203)+AM203,DAY(AL203)),DATE(YEAR(AL203),MONTH(AL203)+AM203+1,0)))))</f>
        <v/>
      </c>
      <c r="AO203" s="31">
        <f>IF(ISNUMBER(AN203),AN203-Settings!$D$4,"")</f>
        <v/>
      </c>
      <c r="AP203" s="31">
        <f>IF(ISNUMBER(AL203),AL203+0+ROW()/100000,"")</f>
        <v/>
      </c>
      <c r="AQ203" s="31">
        <f>IF(OR(AG203="",NOT(ISNUMBER(AP203))),0,IF(SUMPRODUCT(('Responses'!$AG$2:$AG$501=AG203)*('Responses'!$AJ$2:$AJ$501=1)*ISNUMBER('Responses'!$AP$2:$AP$501)*('Responses'!$AP$2:$AP$501&gt;AP203)) + SUMPRODUCT(('Paper sign-ups'!$K$2:$K$101=AG203)*('Paper sign-ups'!$N$2:$N$101=1)*ISNUMBER('Paper sign-ups'!$T$2:$T$101)*('Paper sign-ups'!$T$2:$T$101&gt;AP203))&gt;0,1,0))</f>
        <v/>
      </c>
      <c r="AR203" s="31">
        <f>IF(AE203="","",IF(AQ203=1,"Joined again",IF(AJ203=0,"Unpaid",IF(NOT(ISNUMBER(AL203)),"Add a join date",IF(AN203="","No reminder",IF(AO203&lt;0,"Lapsed",IF(AO203&lt;=Settings!$D$6,"Remind soon","Current")))))))</f>
        <v/>
      </c>
      <c r="AS203" s="33">
        <f>IF(AJ203=1,IFERROR(VALUE(IFERROR(TRIM(INDEX($A203:$Z203,MATCH(Settings!$L$8,$A$1:$Z$1,0))&amp;""),"")),0)-IFERROR(VALUE(IFERROR(TRIM(INDEX($A203:$Z203,MATCH(Settings!$L$9,$A$1:$Z$1,0))&amp;""),"")),0),0)</f>
        <v/>
      </c>
      <c r="AT203" s="31">
        <f>IF(AND(AE203&lt;&gt;"",AQ203=0),1,0)</f>
        <v/>
      </c>
      <c r="AU203" s="31">
        <f>IF(AT203=0,"",IF(ISNUMBER(AN203),AN203,100000)+0+ROW()/1000000)</f>
        <v/>
      </c>
      <c r="AV203" s="31">
        <f>IF(ISNUMBER(AU203),SUMPRODUCT(ISNUMBER('Responses'!$AU$2:$AU$501)*('Responses'!$AU$2:$AU$501&lt;AU203)) + SUMPRODUCT(ISNUMBER('Paper sign-ups'!$Y$2:$Y$101)*('Paper sign-ups'!$Y$2:$Y$101&lt;AU203))+1,"")</f>
        <v/>
      </c>
    </row>
    <row r="204">
      <c r="AA204" s="29" t="n"/>
      <c r="AB204" s="30" t="n"/>
      <c r="AC204" s="30" t="n"/>
      <c r="AD204" s="29" t="n"/>
      <c r="AE204" s="31">
        <f>IFERROR(TRIM(INDEX($A204:$Z204,MATCH(Settings!$L$4,$A$1:$Z$1,0))&amp;""),"")</f>
        <v/>
      </c>
      <c r="AF204" s="31">
        <f>IFERROR(TRIM(INDEX($A204:$Z204,MATCH(Settings!$L$5,$A$1:$Z$1,0))&amp;""),"")</f>
        <v/>
      </c>
      <c r="AG204" s="31">
        <f>IF(AE204="","",LOWER(IF(AF204&lt;&gt;"",AF204,AE204)))</f>
        <v/>
      </c>
      <c r="AH204" s="31">
        <f>IFERROR(TRIM(INDEX($A204:$Z204,MATCH(Settings!$L$6,$A$1:$Z$1,0))&amp;""),"")</f>
        <v/>
      </c>
      <c r="AI204" s="31">
        <f>IF(AE204="","",IF(UPPER(TRIM(AB204&amp;""))="Y","Paid another way",IF(IFERROR(TRIM(INDEX($A204:$Z204,MATCH(Settings!$L$7,$A$1:$Z$1,0))&amp;""),"")="","No payment status",IFERROR(TRIM(INDEX($A204:$Z204,MATCH(Settings!$L$7,$A$1:$Z$1,0))&amp;""),""))))</f>
        <v/>
      </c>
      <c r="AJ204" s="31">
        <f>IF(AE204="",0,IF(IFERROR(INDEX(Settings!$J$4:$J$14,MATCH(AI204,Settings!$I$4:$I$14,0)),"N")="Y",1,0))</f>
        <v/>
      </c>
      <c r="AK204" s="32">
        <f>IFERROR(INT(IFERROR(IF(ISNUMBER(INDEX($A204:$Z204,MATCH(Settings!$L$10,$A$1:$Z$1,0))),INDEX($A204:$Z204,MATCH(Settings!$L$10,$A$1:$Z$1,0)),DATE(VALUE(LEFT(IFERROR(TRIM(INDEX($A204:$Z204,MATCH(Settings!$L$10,$A$1:$Z$1,0))&amp;""),""),4)),VALUE(MID(IFERROR(TRIM(INDEX($A204:$Z204,MATCH(Settings!$L$10,$A$1:$Z$1,0))&amp;""),""),6,2)),VALUE(MID(IFERROR(TRIM(INDEX($A204:$Z204,MATCH(Settings!$L$10,$A$1:$Z$1,0))&amp;""),""),9,2)))+TIME(VALUE(MID(IFERROR(TRIM(INDEX($A204:$Z204,MATCH(Settings!$L$10,$A$1:$Z$1,0))&amp;""),""),12,2)),VALUE(MID(IFERROR(TRIM(INDEX($A204:$Z204,MATCH(Settings!$L$10,$A$1:$Z$1,0))&amp;""),""),15,2)),VALUE(MID(IFERROR(TRIM(INDEX($A204:$Z204,MATCH(Settings!$L$10,$A$1:$Z$1,0))&amp;""),""),18,2)))),"")),"")</f>
        <v/>
      </c>
      <c r="AL204" s="32">
        <f>IF(AE204="","",IF(ISNUMBER(AK204),AK204,IFERROR(INT(IFERROR(IF(ISNUMBER(INDEX($A204:$Z204,MATCH(Settings!$L$11,$A$1:$Z$1,0))),INDEX($A204:$Z204,MATCH(Settings!$L$11,$A$1:$Z$1,0)),DATE(VALUE(LEFT(IFERROR(TRIM(INDEX($A204:$Z204,MATCH(Settings!$L$11,$A$1:$Z$1,0))&amp;""),""),4)),VALUE(MID(IFERROR(TRIM(INDEX($A204:$Z204,MATCH(Settings!$L$11,$A$1:$Z$1,0))&amp;""),""),6,2)),VALUE(MID(IFERROR(TRIM(INDEX($A204:$Z204,MATCH(Settings!$L$11,$A$1:$Z$1,0))&amp;""),""),9,2)))+TIME(VALUE(MID(IFERROR(TRIM(INDEX($A204:$Z204,MATCH(Settings!$L$11,$A$1:$Z$1,0))&amp;""),""),12,2)),VALUE(MID(IFERROR(TRIM(INDEX($A204:$Z204,MATCH(Settings!$L$11,$A$1:$Z$1,0))&amp;""),""),15,2)),VALUE(MID(IFERROR(TRIM(INDEX($A204:$Z204,MATCH(Settings!$L$11,$A$1:$Z$1,0))&amp;""),""),18,2)))),"")),"")))</f>
        <v/>
      </c>
      <c r="AM204" s="31">
        <f>IF(AE204="","",IF(ISNUMBER(IFERROR(INDEX(Settings!$G$4:$G$11,MATCH(AH204,Settings!$F$4:$F$11,0)),"")),INDEX(Settings!$G$4:$G$11,MATCH(AH204,Settings!$F$4:$F$11,0)),Settings!$D$5))</f>
        <v/>
      </c>
      <c r="AN204" s="32">
        <f>IF(OR(AE204="",NOT(ISNUMBER(AL204)),NOT(ISNUMBER(AM204))),"",IF(AM204&lt;=0,"",IF(ISNUMBER(Settings!$D$8),DATE(YEAR(AL204)+IF(DATE(YEAR(AL204),MONTH(Settings!$D$8),DAY(Settings!$D$8))&gt;AL204,0,1),MONTH(Settings!$D$8),DAY(Settings!$D$8)),MIN(DATE(YEAR(AL204),MONTH(AL204)+AM204,DAY(AL204)),DATE(YEAR(AL204),MONTH(AL204)+AM204+1,0)))))</f>
        <v/>
      </c>
      <c r="AO204" s="31">
        <f>IF(ISNUMBER(AN204),AN204-Settings!$D$4,"")</f>
        <v/>
      </c>
      <c r="AP204" s="31">
        <f>IF(ISNUMBER(AL204),AL204+0+ROW()/100000,"")</f>
        <v/>
      </c>
      <c r="AQ204" s="31">
        <f>IF(OR(AG204="",NOT(ISNUMBER(AP204))),0,IF(SUMPRODUCT(('Responses'!$AG$2:$AG$501=AG204)*('Responses'!$AJ$2:$AJ$501=1)*ISNUMBER('Responses'!$AP$2:$AP$501)*('Responses'!$AP$2:$AP$501&gt;AP204)) + SUMPRODUCT(('Paper sign-ups'!$K$2:$K$101=AG204)*('Paper sign-ups'!$N$2:$N$101=1)*ISNUMBER('Paper sign-ups'!$T$2:$T$101)*('Paper sign-ups'!$T$2:$T$101&gt;AP204))&gt;0,1,0))</f>
        <v/>
      </c>
      <c r="AR204" s="31">
        <f>IF(AE204="","",IF(AQ204=1,"Joined again",IF(AJ204=0,"Unpaid",IF(NOT(ISNUMBER(AL204)),"Add a join date",IF(AN204="","No reminder",IF(AO204&lt;0,"Lapsed",IF(AO204&lt;=Settings!$D$6,"Remind soon","Current")))))))</f>
        <v/>
      </c>
      <c r="AS204" s="33">
        <f>IF(AJ204=1,IFERROR(VALUE(IFERROR(TRIM(INDEX($A204:$Z204,MATCH(Settings!$L$8,$A$1:$Z$1,0))&amp;""),"")),0)-IFERROR(VALUE(IFERROR(TRIM(INDEX($A204:$Z204,MATCH(Settings!$L$9,$A$1:$Z$1,0))&amp;""),"")),0),0)</f>
        <v/>
      </c>
      <c r="AT204" s="31">
        <f>IF(AND(AE204&lt;&gt;"",AQ204=0),1,0)</f>
        <v/>
      </c>
      <c r="AU204" s="31">
        <f>IF(AT204=0,"",IF(ISNUMBER(AN204),AN204,100000)+0+ROW()/1000000)</f>
        <v/>
      </c>
      <c r="AV204" s="31">
        <f>IF(ISNUMBER(AU204),SUMPRODUCT(ISNUMBER('Responses'!$AU$2:$AU$501)*('Responses'!$AU$2:$AU$501&lt;AU204)) + SUMPRODUCT(ISNUMBER('Paper sign-ups'!$Y$2:$Y$101)*('Paper sign-ups'!$Y$2:$Y$101&lt;AU204))+1,"")</f>
        <v/>
      </c>
    </row>
    <row r="205">
      <c r="AA205" s="29" t="n"/>
      <c r="AB205" s="30" t="n"/>
      <c r="AC205" s="30" t="n"/>
      <c r="AD205" s="29" t="n"/>
      <c r="AE205" s="31">
        <f>IFERROR(TRIM(INDEX($A205:$Z205,MATCH(Settings!$L$4,$A$1:$Z$1,0))&amp;""),"")</f>
        <v/>
      </c>
      <c r="AF205" s="31">
        <f>IFERROR(TRIM(INDEX($A205:$Z205,MATCH(Settings!$L$5,$A$1:$Z$1,0))&amp;""),"")</f>
        <v/>
      </c>
      <c r="AG205" s="31">
        <f>IF(AE205="","",LOWER(IF(AF205&lt;&gt;"",AF205,AE205)))</f>
        <v/>
      </c>
      <c r="AH205" s="31">
        <f>IFERROR(TRIM(INDEX($A205:$Z205,MATCH(Settings!$L$6,$A$1:$Z$1,0))&amp;""),"")</f>
        <v/>
      </c>
      <c r="AI205" s="31">
        <f>IF(AE205="","",IF(UPPER(TRIM(AB205&amp;""))="Y","Paid another way",IF(IFERROR(TRIM(INDEX($A205:$Z205,MATCH(Settings!$L$7,$A$1:$Z$1,0))&amp;""),"")="","No payment status",IFERROR(TRIM(INDEX($A205:$Z205,MATCH(Settings!$L$7,$A$1:$Z$1,0))&amp;""),""))))</f>
        <v/>
      </c>
      <c r="AJ205" s="31">
        <f>IF(AE205="",0,IF(IFERROR(INDEX(Settings!$J$4:$J$14,MATCH(AI205,Settings!$I$4:$I$14,0)),"N")="Y",1,0))</f>
        <v/>
      </c>
      <c r="AK205" s="32">
        <f>IFERROR(INT(IFERROR(IF(ISNUMBER(INDEX($A205:$Z205,MATCH(Settings!$L$10,$A$1:$Z$1,0))),INDEX($A205:$Z205,MATCH(Settings!$L$10,$A$1:$Z$1,0)),DATE(VALUE(LEFT(IFERROR(TRIM(INDEX($A205:$Z205,MATCH(Settings!$L$10,$A$1:$Z$1,0))&amp;""),""),4)),VALUE(MID(IFERROR(TRIM(INDEX($A205:$Z205,MATCH(Settings!$L$10,$A$1:$Z$1,0))&amp;""),""),6,2)),VALUE(MID(IFERROR(TRIM(INDEX($A205:$Z205,MATCH(Settings!$L$10,$A$1:$Z$1,0))&amp;""),""),9,2)))+TIME(VALUE(MID(IFERROR(TRIM(INDEX($A205:$Z205,MATCH(Settings!$L$10,$A$1:$Z$1,0))&amp;""),""),12,2)),VALUE(MID(IFERROR(TRIM(INDEX($A205:$Z205,MATCH(Settings!$L$10,$A$1:$Z$1,0))&amp;""),""),15,2)),VALUE(MID(IFERROR(TRIM(INDEX($A205:$Z205,MATCH(Settings!$L$10,$A$1:$Z$1,0))&amp;""),""),18,2)))),"")),"")</f>
        <v/>
      </c>
      <c r="AL205" s="32">
        <f>IF(AE205="","",IF(ISNUMBER(AK205),AK205,IFERROR(INT(IFERROR(IF(ISNUMBER(INDEX($A205:$Z205,MATCH(Settings!$L$11,$A$1:$Z$1,0))),INDEX($A205:$Z205,MATCH(Settings!$L$11,$A$1:$Z$1,0)),DATE(VALUE(LEFT(IFERROR(TRIM(INDEX($A205:$Z205,MATCH(Settings!$L$11,$A$1:$Z$1,0))&amp;""),""),4)),VALUE(MID(IFERROR(TRIM(INDEX($A205:$Z205,MATCH(Settings!$L$11,$A$1:$Z$1,0))&amp;""),""),6,2)),VALUE(MID(IFERROR(TRIM(INDEX($A205:$Z205,MATCH(Settings!$L$11,$A$1:$Z$1,0))&amp;""),""),9,2)))+TIME(VALUE(MID(IFERROR(TRIM(INDEX($A205:$Z205,MATCH(Settings!$L$11,$A$1:$Z$1,0))&amp;""),""),12,2)),VALUE(MID(IFERROR(TRIM(INDEX($A205:$Z205,MATCH(Settings!$L$11,$A$1:$Z$1,0))&amp;""),""),15,2)),VALUE(MID(IFERROR(TRIM(INDEX($A205:$Z205,MATCH(Settings!$L$11,$A$1:$Z$1,0))&amp;""),""),18,2)))),"")),"")))</f>
        <v/>
      </c>
      <c r="AM205" s="31">
        <f>IF(AE205="","",IF(ISNUMBER(IFERROR(INDEX(Settings!$G$4:$G$11,MATCH(AH205,Settings!$F$4:$F$11,0)),"")),INDEX(Settings!$G$4:$G$11,MATCH(AH205,Settings!$F$4:$F$11,0)),Settings!$D$5))</f>
        <v/>
      </c>
      <c r="AN205" s="32">
        <f>IF(OR(AE205="",NOT(ISNUMBER(AL205)),NOT(ISNUMBER(AM205))),"",IF(AM205&lt;=0,"",IF(ISNUMBER(Settings!$D$8),DATE(YEAR(AL205)+IF(DATE(YEAR(AL205),MONTH(Settings!$D$8),DAY(Settings!$D$8))&gt;AL205,0,1),MONTH(Settings!$D$8),DAY(Settings!$D$8)),MIN(DATE(YEAR(AL205),MONTH(AL205)+AM205,DAY(AL205)),DATE(YEAR(AL205),MONTH(AL205)+AM205+1,0)))))</f>
        <v/>
      </c>
      <c r="AO205" s="31">
        <f>IF(ISNUMBER(AN205),AN205-Settings!$D$4,"")</f>
        <v/>
      </c>
      <c r="AP205" s="31">
        <f>IF(ISNUMBER(AL205),AL205+0+ROW()/100000,"")</f>
        <v/>
      </c>
      <c r="AQ205" s="31">
        <f>IF(OR(AG205="",NOT(ISNUMBER(AP205))),0,IF(SUMPRODUCT(('Responses'!$AG$2:$AG$501=AG205)*('Responses'!$AJ$2:$AJ$501=1)*ISNUMBER('Responses'!$AP$2:$AP$501)*('Responses'!$AP$2:$AP$501&gt;AP205)) + SUMPRODUCT(('Paper sign-ups'!$K$2:$K$101=AG205)*('Paper sign-ups'!$N$2:$N$101=1)*ISNUMBER('Paper sign-ups'!$T$2:$T$101)*('Paper sign-ups'!$T$2:$T$101&gt;AP205))&gt;0,1,0))</f>
        <v/>
      </c>
      <c r="AR205" s="31">
        <f>IF(AE205="","",IF(AQ205=1,"Joined again",IF(AJ205=0,"Unpaid",IF(NOT(ISNUMBER(AL205)),"Add a join date",IF(AN205="","No reminder",IF(AO205&lt;0,"Lapsed",IF(AO205&lt;=Settings!$D$6,"Remind soon","Current")))))))</f>
        <v/>
      </c>
      <c r="AS205" s="33">
        <f>IF(AJ205=1,IFERROR(VALUE(IFERROR(TRIM(INDEX($A205:$Z205,MATCH(Settings!$L$8,$A$1:$Z$1,0))&amp;""),"")),0)-IFERROR(VALUE(IFERROR(TRIM(INDEX($A205:$Z205,MATCH(Settings!$L$9,$A$1:$Z$1,0))&amp;""),"")),0),0)</f>
        <v/>
      </c>
      <c r="AT205" s="31">
        <f>IF(AND(AE205&lt;&gt;"",AQ205=0),1,0)</f>
        <v/>
      </c>
      <c r="AU205" s="31">
        <f>IF(AT205=0,"",IF(ISNUMBER(AN205),AN205,100000)+0+ROW()/1000000)</f>
        <v/>
      </c>
      <c r="AV205" s="31">
        <f>IF(ISNUMBER(AU205),SUMPRODUCT(ISNUMBER('Responses'!$AU$2:$AU$501)*('Responses'!$AU$2:$AU$501&lt;AU205)) + SUMPRODUCT(ISNUMBER('Paper sign-ups'!$Y$2:$Y$101)*('Paper sign-ups'!$Y$2:$Y$101&lt;AU205))+1,"")</f>
        <v/>
      </c>
    </row>
    <row r="206">
      <c r="AA206" s="29" t="n"/>
      <c r="AB206" s="30" t="n"/>
      <c r="AC206" s="30" t="n"/>
      <c r="AD206" s="29" t="n"/>
      <c r="AE206" s="31">
        <f>IFERROR(TRIM(INDEX($A206:$Z206,MATCH(Settings!$L$4,$A$1:$Z$1,0))&amp;""),"")</f>
        <v/>
      </c>
      <c r="AF206" s="31">
        <f>IFERROR(TRIM(INDEX($A206:$Z206,MATCH(Settings!$L$5,$A$1:$Z$1,0))&amp;""),"")</f>
        <v/>
      </c>
      <c r="AG206" s="31">
        <f>IF(AE206="","",LOWER(IF(AF206&lt;&gt;"",AF206,AE206)))</f>
        <v/>
      </c>
      <c r="AH206" s="31">
        <f>IFERROR(TRIM(INDEX($A206:$Z206,MATCH(Settings!$L$6,$A$1:$Z$1,0))&amp;""),"")</f>
        <v/>
      </c>
      <c r="AI206" s="31">
        <f>IF(AE206="","",IF(UPPER(TRIM(AB206&amp;""))="Y","Paid another way",IF(IFERROR(TRIM(INDEX($A206:$Z206,MATCH(Settings!$L$7,$A$1:$Z$1,0))&amp;""),"")="","No payment status",IFERROR(TRIM(INDEX($A206:$Z206,MATCH(Settings!$L$7,$A$1:$Z$1,0))&amp;""),""))))</f>
        <v/>
      </c>
      <c r="AJ206" s="31">
        <f>IF(AE206="",0,IF(IFERROR(INDEX(Settings!$J$4:$J$14,MATCH(AI206,Settings!$I$4:$I$14,0)),"N")="Y",1,0))</f>
        <v/>
      </c>
      <c r="AK206" s="32">
        <f>IFERROR(INT(IFERROR(IF(ISNUMBER(INDEX($A206:$Z206,MATCH(Settings!$L$10,$A$1:$Z$1,0))),INDEX($A206:$Z206,MATCH(Settings!$L$10,$A$1:$Z$1,0)),DATE(VALUE(LEFT(IFERROR(TRIM(INDEX($A206:$Z206,MATCH(Settings!$L$10,$A$1:$Z$1,0))&amp;""),""),4)),VALUE(MID(IFERROR(TRIM(INDEX($A206:$Z206,MATCH(Settings!$L$10,$A$1:$Z$1,0))&amp;""),""),6,2)),VALUE(MID(IFERROR(TRIM(INDEX($A206:$Z206,MATCH(Settings!$L$10,$A$1:$Z$1,0))&amp;""),""),9,2)))+TIME(VALUE(MID(IFERROR(TRIM(INDEX($A206:$Z206,MATCH(Settings!$L$10,$A$1:$Z$1,0))&amp;""),""),12,2)),VALUE(MID(IFERROR(TRIM(INDEX($A206:$Z206,MATCH(Settings!$L$10,$A$1:$Z$1,0))&amp;""),""),15,2)),VALUE(MID(IFERROR(TRIM(INDEX($A206:$Z206,MATCH(Settings!$L$10,$A$1:$Z$1,0))&amp;""),""),18,2)))),"")),"")</f>
        <v/>
      </c>
      <c r="AL206" s="32">
        <f>IF(AE206="","",IF(ISNUMBER(AK206),AK206,IFERROR(INT(IFERROR(IF(ISNUMBER(INDEX($A206:$Z206,MATCH(Settings!$L$11,$A$1:$Z$1,0))),INDEX($A206:$Z206,MATCH(Settings!$L$11,$A$1:$Z$1,0)),DATE(VALUE(LEFT(IFERROR(TRIM(INDEX($A206:$Z206,MATCH(Settings!$L$11,$A$1:$Z$1,0))&amp;""),""),4)),VALUE(MID(IFERROR(TRIM(INDEX($A206:$Z206,MATCH(Settings!$L$11,$A$1:$Z$1,0))&amp;""),""),6,2)),VALUE(MID(IFERROR(TRIM(INDEX($A206:$Z206,MATCH(Settings!$L$11,$A$1:$Z$1,0))&amp;""),""),9,2)))+TIME(VALUE(MID(IFERROR(TRIM(INDEX($A206:$Z206,MATCH(Settings!$L$11,$A$1:$Z$1,0))&amp;""),""),12,2)),VALUE(MID(IFERROR(TRIM(INDEX($A206:$Z206,MATCH(Settings!$L$11,$A$1:$Z$1,0))&amp;""),""),15,2)),VALUE(MID(IFERROR(TRIM(INDEX($A206:$Z206,MATCH(Settings!$L$11,$A$1:$Z$1,0))&amp;""),""),18,2)))),"")),"")))</f>
        <v/>
      </c>
      <c r="AM206" s="31">
        <f>IF(AE206="","",IF(ISNUMBER(IFERROR(INDEX(Settings!$G$4:$G$11,MATCH(AH206,Settings!$F$4:$F$11,0)),"")),INDEX(Settings!$G$4:$G$11,MATCH(AH206,Settings!$F$4:$F$11,0)),Settings!$D$5))</f>
        <v/>
      </c>
      <c r="AN206" s="32">
        <f>IF(OR(AE206="",NOT(ISNUMBER(AL206)),NOT(ISNUMBER(AM206))),"",IF(AM206&lt;=0,"",IF(ISNUMBER(Settings!$D$8),DATE(YEAR(AL206)+IF(DATE(YEAR(AL206),MONTH(Settings!$D$8),DAY(Settings!$D$8))&gt;AL206,0,1),MONTH(Settings!$D$8),DAY(Settings!$D$8)),MIN(DATE(YEAR(AL206),MONTH(AL206)+AM206,DAY(AL206)),DATE(YEAR(AL206),MONTH(AL206)+AM206+1,0)))))</f>
        <v/>
      </c>
      <c r="AO206" s="31">
        <f>IF(ISNUMBER(AN206),AN206-Settings!$D$4,"")</f>
        <v/>
      </c>
      <c r="AP206" s="31">
        <f>IF(ISNUMBER(AL206),AL206+0+ROW()/100000,"")</f>
        <v/>
      </c>
      <c r="AQ206" s="31">
        <f>IF(OR(AG206="",NOT(ISNUMBER(AP206))),0,IF(SUMPRODUCT(('Responses'!$AG$2:$AG$501=AG206)*('Responses'!$AJ$2:$AJ$501=1)*ISNUMBER('Responses'!$AP$2:$AP$501)*('Responses'!$AP$2:$AP$501&gt;AP206)) + SUMPRODUCT(('Paper sign-ups'!$K$2:$K$101=AG206)*('Paper sign-ups'!$N$2:$N$101=1)*ISNUMBER('Paper sign-ups'!$T$2:$T$101)*('Paper sign-ups'!$T$2:$T$101&gt;AP206))&gt;0,1,0))</f>
        <v/>
      </c>
      <c r="AR206" s="31">
        <f>IF(AE206="","",IF(AQ206=1,"Joined again",IF(AJ206=0,"Unpaid",IF(NOT(ISNUMBER(AL206)),"Add a join date",IF(AN206="","No reminder",IF(AO206&lt;0,"Lapsed",IF(AO206&lt;=Settings!$D$6,"Remind soon","Current")))))))</f>
        <v/>
      </c>
      <c r="AS206" s="33">
        <f>IF(AJ206=1,IFERROR(VALUE(IFERROR(TRIM(INDEX($A206:$Z206,MATCH(Settings!$L$8,$A$1:$Z$1,0))&amp;""),"")),0)-IFERROR(VALUE(IFERROR(TRIM(INDEX($A206:$Z206,MATCH(Settings!$L$9,$A$1:$Z$1,0))&amp;""),"")),0),0)</f>
        <v/>
      </c>
      <c r="AT206" s="31">
        <f>IF(AND(AE206&lt;&gt;"",AQ206=0),1,0)</f>
        <v/>
      </c>
      <c r="AU206" s="31">
        <f>IF(AT206=0,"",IF(ISNUMBER(AN206),AN206,100000)+0+ROW()/1000000)</f>
        <v/>
      </c>
      <c r="AV206" s="31">
        <f>IF(ISNUMBER(AU206),SUMPRODUCT(ISNUMBER('Responses'!$AU$2:$AU$501)*('Responses'!$AU$2:$AU$501&lt;AU206)) + SUMPRODUCT(ISNUMBER('Paper sign-ups'!$Y$2:$Y$101)*('Paper sign-ups'!$Y$2:$Y$101&lt;AU206))+1,"")</f>
        <v/>
      </c>
    </row>
    <row r="207">
      <c r="AA207" s="29" t="n"/>
      <c r="AB207" s="30" t="n"/>
      <c r="AC207" s="30" t="n"/>
      <c r="AD207" s="29" t="n"/>
      <c r="AE207" s="31">
        <f>IFERROR(TRIM(INDEX($A207:$Z207,MATCH(Settings!$L$4,$A$1:$Z$1,0))&amp;""),"")</f>
        <v/>
      </c>
      <c r="AF207" s="31">
        <f>IFERROR(TRIM(INDEX($A207:$Z207,MATCH(Settings!$L$5,$A$1:$Z$1,0))&amp;""),"")</f>
        <v/>
      </c>
      <c r="AG207" s="31">
        <f>IF(AE207="","",LOWER(IF(AF207&lt;&gt;"",AF207,AE207)))</f>
        <v/>
      </c>
      <c r="AH207" s="31">
        <f>IFERROR(TRIM(INDEX($A207:$Z207,MATCH(Settings!$L$6,$A$1:$Z$1,0))&amp;""),"")</f>
        <v/>
      </c>
      <c r="AI207" s="31">
        <f>IF(AE207="","",IF(UPPER(TRIM(AB207&amp;""))="Y","Paid another way",IF(IFERROR(TRIM(INDEX($A207:$Z207,MATCH(Settings!$L$7,$A$1:$Z$1,0))&amp;""),"")="","No payment status",IFERROR(TRIM(INDEX($A207:$Z207,MATCH(Settings!$L$7,$A$1:$Z$1,0))&amp;""),""))))</f>
        <v/>
      </c>
      <c r="AJ207" s="31">
        <f>IF(AE207="",0,IF(IFERROR(INDEX(Settings!$J$4:$J$14,MATCH(AI207,Settings!$I$4:$I$14,0)),"N")="Y",1,0))</f>
        <v/>
      </c>
      <c r="AK207" s="32">
        <f>IFERROR(INT(IFERROR(IF(ISNUMBER(INDEX($A207:$Z207,MATCH(Settings!$L$10,$A$1:$Z$1,0))),INDEX($A207:$Z207,MATCH(Settings!$L$10,$A$1:$Z$1,0)),DATE(VALUE(LEFT(IFERROR(TRIM(INDEX($A207:$Z207,MATCH(Settings!$L$10,$A$1:$Z$1,0))&amp;""),""),4)),VALUE(MID(IFERROR(TRIM(INDEX($A207:$Z207,MATCH(Settings!$L$10,$A$1:$Z$1,0))&amp;""),""),6,2)),VALUE(MID(IFERROR(TRIM(INDEX($A207:$Z207,MATCH(Settings!$L$10,$A$1:$Z$1,0))&amp;""),""),9,2)))+TIME(VALUE(MID(IFERROR(TRIM(INDEX($A207:$Z207,MATCH(Settings!$L$10,$A$1:$Z$1,0))&amp;""),""),12,2)),VALUE(MID(IFERROR(TRIM(INDEX($A207:$Z207,MATCH(Settings!$L$10,$A$1:$Z$1,0))&amp;""),""),15,2)),VALUE(MID(IFERROR(TRIM(INDEX($A207:$Z207,MATCH(Settings!$L$10,$A$1:$Z$1,0))&amp;""),""),18,2)))),"")),"")</f>
        <v/>
      </c>
      <c r="AL207" s="32">
        <f>IF(AE207="","",IF(ISNUMBER(AK207),AK207,IFERROR(INT(IFERROR(IF(ISNUMBER(INDEX($A207:$Z207,MATCH(Settings!$L$11,$A$1:$Z$1,0))),INDEX($A207:$Z207,MATCH(Settings!$L$11,$A$1:$Z$1,0)),DATE(VALUE(LEFT(IFERROR(TRIM(INDEX($A207:$Z207,MATCH(Settings!$L$11,$A$1:$Z$1,0))&amp;""),""),4)),VALUE(MID(IFERROR(TRIM(INDEX($A207:$Z207,MATCH(Settings!$L$11,$A$1:$Z$1,0))&amp;""),""),6,2)),VALUE(MID(IFERROR(TRIM(INDEX($A207:$Z207,MATCH(Settings!$L$11,$A$1:$Z$1,0))&amp;""),""),9,2)))+TIME(VALUE(MID(IFERROR(TRIM(INDEX($A207:$Z207,MATCH(Settings!$L$11,$A$1:$Z$1,0))&amp;""),""),12,2)),VALUE(MID(IFERROR(TRIM(INDEX($A207:$Z207,MATCH(Settings!$L$11,$A$1:$Z$1,0))&amp;""),""),15,2)),VALUE(MID(IFERROR(TRIM(INDEX($A207:$Z207,MATCH(Settings!$L$11,$A$1:$Z$1,0))&amp;""),""),18,2)))),"")),"")))</f>
        <v/>
      </c>
      <c r="AM207" s="31">
        <f>IF(AE207="","",IF(ISNUMBER(IFERROR(INDEX(Settings!$G$4:$G$11,MATCH(AH207,Settings!$F$4:$F$11,0)),"")),INDEX(Settings!$G$4:$G$11,MATCH(AH207,Settings!$F$4:$F$11,0)),Settings!$D$5))</f>
        <v/>
      </c>
      <c r="AN207" s="32">
        <f>IF(OR(AE207="",NOT(ISNUMBER(AL207)),NOT(ISNUMBER(AM207))),"",IF(AM207&lt;=0,"",IF(ISNUMBER(Settings!$D$8),DATE(YEAR(AL207)+IF(DATE(YEAR(AL207),MONTH(Settings!$D$8),DAY(Settings!$D$8))&gt;AL207,0,1),MONTH(Settings!$D$8),DAY(Settings!$D$8)),MIN(DATE(YEAR(AL207),MONTH(AL207)+AM207,DAY(AL207)),DATE(YEAR(AL207),MONTH(AL207)+AM207+1,0)))))</f>
        <v/>
      </c>
      <c r="AO207" s="31">
        <f>IF(ISNUMBER(AN207),AN207-Settings!$D$4,"")</f>
        <v/>
      </c>
      <c r="AP207" s="31">
        <f>IF(ISNUMBER(AL207),AL207+0+ROW()/100000,"")</f>
        <v/>
      </c>
      <c r="AQ207" s="31">
        <f>IF(OR(AG207="",NOT(ISNUMBER(AP207))),0,IF(SUMPRODUCT(('Responses'!$AG$2:$AG$501=AG207)*('Responses'!$AJ$2:$AJ$501=1)*ISNUMBER('Responses'!$AP$2:$AP$501)*('Responses'!$AP$2:$AP$501&gt;AP207)) + SUMPRODUCT(('Paper sign-ups'!$K$2:$K$101=AG207)*('Paper sign-ups'!$N$2:$N$101=1)*ISNUMBER('Paper sign-ups'!$T$2:$T$101)*('Paper sign-ups'!$T$2:$T$101&gt;AP207))&gt;0,1,0))</f>
        <v/>
      </c>
      <c r="AR207" s="31">
        <f>IF(AE207="","",IF(AQ207=1,"Joined again",IF(AJ207=0,"Unpaid",IF(NOT(ISNUMBER(AL207)),"Add a join date",IF(AN207="","No reminder",IF(AO207&lt;0,"Lapsed",IF(AO207&lt;=Settings!$D$6,"Remind soon","Current")))))))</f>
        <v/>
      </c>
      <c r="AS207" s="33">
        <f>IF(AJ207=1,IFERROR(VALUE(IFERROR(TRIM(INDEX($A207:$Z207,MATCH(Settings!$L$8,$A$1:$Z$1,0))&amp;""),"")),0)-IFERROR(VALUE(IFERROR(TRIM(INDEX($A207:$Z207,MATCH(Settings!$L$9,$A$1:$Z$1,0))&amp;""),"")),0),0)</f>
        <v/>
      </c>
      <c r="AT207" s="31">
        <f>IF(AND(AE207&lt;&gt;"",AQ207=0),1,0)</f>
        <v/>
      </c>
      <c r="AU207" s="31">
        <f>IF(AT207=0,"",IF(ISNUMBER(AN207),AN207,100000)+0+ROW()/1000000)</f>
        <v/>
      </c>
      <c r="AV207" s="31">
        <f>IF(ISNUMBER(AU207),SUMPRODUCT(ISNUMBER('Responses'!$AU$2:$AU$501)*('Responses'!$AU$2:$AU$501&lt;AU207)) + SUMPRODUCT(ISNUMBER('Paper sign-ups'!$Y$2:$Y$101)*('Paper sign-ups'!$Y$2:$Y$101&lt;AU207))+1,"")</f>
        <v/>
      </c>
    </row>
    <row r="208">
      <c r="AA208" s="29" t="n"/>
      <c r="AB208" s="30" t="n"/>
      <c r="AC208" s="30" t="n"/>
      <c r="AD208" s="29" t="n"/>
      <c r="AE208" s="31">
        <f>IFERROR(TRIM(INDEX($A208:$Z208,MATCH(Settings!$L$4,$A$1:$Z$1,0))&amp;""),"")</f>
        <v/>
      </c>
      <c r="AF208" s="31">
        <f>IFERROR(TRIM(INDEX($A208:$Z208,MATCH(Settings!$L$5,$A$1:$Z$1,0))&amp;""),"")</f>
        <v/>
      </c>
      <c r="AG208" s="31">
        <f>IF(AE208="","",LOWER(IF(AF208&lt;&gt;"",AF208,AE208)))</f>
        <v/>
      </c>
      <c r="AH208" s="31">
        <f>IFERROR(TRIM(INDEX($A208:$Z208,MATCH(Settings!$L$6,$A$1:$Z$1,0))&amp;""),"")</f>
        <v/>
      </c>
      <c r="AI208" s="31">
        <f>IF(AE208="","",IF(UPPER(TRIM(AB208&amp;""))="Y","Paid another way",IF(IFERROR(TRIM(INDEX($A208:$Z208,MATCH(Settings!$L$7,$A$1:$Z$1,0))&amp;""),"")="","No payment status",IFERROR(TRIM(INDEX($A208:$Z208,MATCH(Settings!$L$7,$A$1:$Z$1,0))&amp;""),""))))</f>
        <v/>
      </c>
      <c r="AJ208" s="31">
        <f>IF(AE208="",0,IF(IFERROR(INDEX(Settings!$J$4:$J$14,MATCH(AI208,Settings!$I$4:$I$14,0)),"N")="Y",1,0))</f>
        <v/>
      </c>
      <c r="AK208" s="32">
        <f>IFERROR(INT(IFERROR(IF(ISNUMBER(INDEX($A208:$Z208,MATCH(Settings!$L$10,$A$1:$Z$1,0))),INDEX($A208:$Z208,MATCH(Settings!$L$10,$A$1:$Z$1,0)),DATE(VALUE(LEFT(IFERROR(TRIM(INDEX($A208:$Z208,MATCH(Settings!$L$10,$A$1:$Z$1,0))&amp;""),""),4)),VALUE(MID(IFERROR(TRIM(INDEX($A208:$Z208,MATCH(Settings!$L$10,$A$1:$Z$1,0))&amp;""),""),6,2)),VALUE(MID(IFERROR(TRIM(INDEX($A208:$Z208,MATCH(Settings!$L$10,$A$1:$Z$1,0))&amp;""),""),9,2)))+TIME(VALUE(MID(IFERROR(TRIM(INDEX($A208:$Z208,MATCH(Settings!$L$10,$A$1:$Z$1,0))&amp;""),""),12,2)),VALUE(MID(IFERROR(TRIM(INDEX($A208:$Z208,MATCH(Settings!$L$10,$A$1:$Z$1,0))&amp;""),""),15,2)),VALUE(MID(IFERROR(TRIM(INDEX($A208:$Z208,MATCH(Settings!$L$10,$A$1:$Z$1,0))&amp;""),""),18,2)))),"")),"")</f>
        <v/>
      </c>
      <c r="AL208" s="32">
        <f>IF(AE208="","",IF(ISNUMBER(AK208),AK208,IFERROR(INT(IFERROR(IF(ISNUMBER(INDEX($A208:$Z208,MATCH(Settings!$L$11,$A$1:$Z$1,0))),INDEX($A208:$Z208,MATCH(Settings!$L$11,$A$1:$Z$1,0)),DATE(VALUE(LEFT(IFERROR(TRIM(INDEX($A208:$Z208,MATCH(Settings!$L$11,$A$1:$Z$1,0))&amp;""),""),4)),VALUE(MID(IFERROR(TRIM(INDEX($A208:$Z208,MATCH(Settings!$L$11,$A$1:$Z$1,0))&amp;""),""),6,2)),VALUE(MID(IFERROR(TRIM(INDEX($A208:$Z208,MATCH(Settings!$L$11,$A$1:$Z$1,0))&amp;""),""),9,2)))+TIME(VALUE(MID(IFERROR(TRIM(INDEX($A208:$Z208,MATCH(Settings!$L$11,$A$1:$Z$1,0))&amp;""),""),12,2)),VALUE(MID(IFERROR(TRIM(INDEX($A208:$Z208,MATCH(Settings!$L$11,$A$1:$Z$1,0))&amp;""),""),15,2)),VALUE(MID(IFERROR(TRIM(INDEX($A208:$Z208,MATCH(Settings!$L$11,$A$1:$Z$1,0))&amp;""),""),18,2)))),"")),"")))</f>
        <v/>
      </c>
      <c r="AM208" s="31">
        <f>IF(AE208="","",IF(ISNUMBER(IFERROR(INDEX(Settings!$G$4:$G$11,MATCH(AH208,Settings!$F$4:$F$11,0)),"")),INDEX(Settings!$G$4:$G$11,MATCH(AH208,Settings!$F$4:$F$11,0)),Settings!$D$5))</f>
        <v/>
      </c>
      <c r="AN208" s="32">
        <f>IF(OR(AE208="",NOT(ISNUMBER(AL208)),NOT(ISNUMBER(AM208))),"",IF(AM208&lt;=0,"",IF(ISNUMBER(Settings!$D$8),DATE(YEAR(AL208)+IF(DATE(YEAR(AL208),MONTH(Settings!$D$8),DAY(Settings!$D$8))&gt;AL208,0,1),MONTH(Settings!$D$8),DAY(Settings!$D$8)),MIN(DATE(YEAR(AL208),MONTH(AL208)+AM208,DAY(AL208)),DATE(YEAR(AL208),MONTH(AL208)+AM208+1,0)))))</f>
        <v/>
      </c>
      <c r="AO208" s="31">
        <f>IF(ISNUMBER(AN208),AN208-Settings!$D$4,"")</f>
        <v/>
      </c>
      <c r="AP208" s="31">
        <f>IF(ISNUMBER(AL208),AL208+0+ROW()/100000,"")</f>
        <v/>
      </c>
      <c r="AQ208" s="31">
        <f>IF(OR(AG208="",NOT(ISNUMBER(AP208))),0,IF(SUMPRODUCT(('Responses'!$AG$2:$AG$501=AG208)*('Responses'!$AJ$2:$AJ$501=1)*ISNUMBER('Responses'!$AP$2:$AP$501)*('Responses'!$AP$2:$AP$501&gt;AP208)) + SUMPRODUCT(('Paper sign-ups'!$K$2:$K$101=AG208)*('Paper sign-ups'!$N$2:$N$101=1)*ISNUMBER('Paper sign-ups'!$T$2:$T$101)*('Paper sign-ups'!$T$2:$T$101&gt;AP208))&gt;0,1,0))</f>
        <v/>
      </c>
      <c r="AR208" s="31">
        <f>IF(AE208="","",IF(AQ208=1,"Joined again",IF(AJ208=0,"Unpaid",IF(NOT(ISNUMBER(AL208)),"Add a join date",IF(AN208="","No reminder",IF(AO208&lt;0,"Lapsed",IF(AO208&lt;=Settings!$D$6,"Remind soon","Current")))))))</f>
        <v/>
      </c>
      <c r="AS208" s="33">
        <f>IF(AJ208=1,IFERROR(VALUE(IFERROR(TRIM(INDEX($A208:$Z208,MATCH(Settings!$L$8,$A$1:$Z$1,0))&amp;""),"")),0)-IFERROR(VALUE(IFERROR(TRIM(INDEX($A208:$Z208,MATCH(Settings!$L$9,$A$1:$Z$1,0))&amp;""),"")),0),0)</f>
        <v/>
      </c>
      <c r="AT208" s="31">
        <f>IF(AND(AE208&lt;&gt;"",AQ208=0),1,0)</f>
        <v/>
      </c>
      <c r="AU208" s="31">
        <f>IF(AT208=0,"",IF(ISNUMBER(AN208),AN208,100000)+0+ROW()/1000000)</f>
        <v/>
      </c>
      <c r="AV208" s="31">
        <f>IF(ISNUMBER(AU208),SUMPRODUCT(ISNUMBER('Responses'!$AU$2:$AU$501)*('Responses'!$AU$2:$AU$501&lt;AU208)) + SUMPRODUCT(ISNUMBER('Paper sign-ups'!$Y$2:$Y$101)*('Paper sign-ups'!$Y$2:$Y$101&lt;AU208))+1,"")</f>
        <v/>
      </c>
    </row>
    <row r="209">
      <c r="AA209" s="29" t="n"/>
      <c r="AB209" s="30" t="n"/>
      <c r="AC209" s="30" t="n"/>
      <c r="AD209" s="29" t="n"/>
      <c r="AE209" s="31">
        <f>IFERROR(TRIM(INDEX($A209:$Z209,MATCH(Settings!$L$4,$A$1:$Z$1,0))&amp;""),"")</f>
        <v/>
      </c>
      <c r="AF209" s="31">
        <f>IFERROR(TRIM(INDEX($A209:$Z209,MATCH(Settings!$L$5,$A$1:$Z$1,0))&amp;""),"")</f>
        <v/>
      </c>
      <c r="AG209" s="31">
        <f>IF(AE209="","",LOWER(IF(AF209&lt;&gt;"",AF209,AE209)))</f>
        <v/>
      </c>
      <c r="AH209" s="31">
        <f>IFERROR(TRIM(INDEX($A209:$Z209,MATCH(Settings!$L$6,$A$1:$Z$1,0))&amp;""),"")</f>
        <v/>
      </c>
      <c r="AI209" s="31">
        <f>IF(AE209="","",IF(UPPER(TRIM(AB209&amp;""))="Y","Paid another way",IF(IFERROR(TRIM(INDEX($A209:$Z209,MATCH(Settings!$L$7,$A$1:$Z$1,0))&amp;""),"")="","No payment status",IFERROR(TRIM(INDEX($A209:$Z209,MATCH(Settings!$L$7,$A$1:$Z$1,0))&amp;""),""))))</f>
        <v/>
      </c>
      <c r="AJ209" s="31">
        <f>IF(AE209="",0,IF(IFERROR(INDEX(Settings!$J$4:$J$14,MATCH(AI209,Settings!$I$4:$I$14,0)),"N")="Y",1,0))</f>
        <v/>
      </c>
      <c r="AK209" s="32">
        <f>IFERROR(INT(IFERROR(IF(ISNUMBER(INDEX($A209:$Z209,MATCH(Settings!$L$10,$A$1:$Z$1,0))),INDEX($A209:$Z209,MATCH(Settings!$L$10,$A$1:$Z$1,0)),DATE(VALUE(LEFT(IFERROR(TRIM(INDEX($A209:$Z209,MATCH(Settings!$L$10,$A$1:$Z$1,0))&amp;""),""),4)),VALUE(MID(IFERROR(TRIM(INDEX($A209:$Z209,MATCH(Settings!$L$10,$A$1:$Z$1,0))&amp;""),""),6,2)),VALUE(MID(IFERROR(TRIM(INDEX($A209:$Z209,MATCH(Settings!$L$10,$A$1:$Z$1,0))&amp;""),""),9,2)))+TIME(VALUE(MID(IFERROR(TRIM(INDEX($A209:$Z209,MATCH(Settings!$L$10,$A$1:$Z$1,0))&amp;""),""),12,2)),VALUE(MID(IFERROR(TRIM(INDEX($A209:$Z209,MATCH(Settings!$L$10,$A$1:$Z$1,0))&amp;""),""),15,2)),VALUE(MID(IFERROR(TRIM(INDEX($A209:$Z209,MATCH(Settings!$L$10,$A$1:$Z$1,0))&amp;""),""),18,2)))),"")),"")</f>
        <v/>
      </c>
      <c r="AL209" s="32">
        <f>IF(AE209="","",IF(ISNUMBER(AK209),AK209,IFERROR(INT(IFERROR(IF(ISNUMBER(INDEX($A209:$Z209,MATCH(Settings!$L$11,$A$1:$Z$1,0))),INDEX($A209:$Z209,MATCH(Settings!$L$11,$A$1:$Z$1,0)),DATE(VALUE(LEFT(IFERROR(TRIM(INDEX($A209:$Z209,MATCH(Settings!$L$11,$A$1:$Z$1,0))&amp;""),""),4)),VALUE(MID(IFERROR(TRIM(INDEX($A209:$Z209,MATCH(Settings!$L$11,$A$1:$Z$1,0))&amp;""),""),6,2)),VALUE(MID(IFERROR(TRIM(INDEX($A209:$Z209,MATCH(Settings!$L$11,$A$1:$Z$1,0))&amp;""),""),9,2)))+TIME(VALUE(MID(IFERROR(TRIM(INDEX($A209:$Z209,MATCH(Settings!$L$11,$A$1:$Z$1,0))&amp;""),""),12,2)),VALUE(MID(IFERROR(TRIM(INDEX($A209:$Z209,MATCH(Settings!$L$11,$A$1:$Z$1,0))&amp;""),""),15,2)),VALUE(MID(IFERROR(TRIM(INDEX($A209:$Z209,MATCH(Settings!$L$11,$A$1:$Z$1,0))&amp;""),""),18,2)))),"")),"")))</f>
        <v/>
      </c>
      <c r="AM209" s="31">
        <f>IF(AE209="","",IF(ISNUMBER(IFERROR(INDEX(Settings!$G$4:$G$11,MATCH(AH209,Settings!$F$4:$F$11,0)),"")),INDEX(Settings!$G$4:$G$11,MATCH(AH209,Settings!$F$4:$F$11,0)),Settings!$D$5))</f>
        <v/>
      </c>
      <c r="AN209" s="32">
        <f>IF(OR(AE209="",NOT(ISNUMBER(AL209)),NOT(ISNUMBER(AM209))),"",IF(AM209&lt;=0,"",IF(ISNUMBER(Settings!$D$8),DATE(YEAR(AL209)+IF(DATE(YEAR(AL209),MONTH(Settings!$D$8),DAY(Settings!$D$8))&gt;AL209,0,1),MONTH(Settings!$D$8),DAY(Settings!$D$8)),MIN(DATE(YEAR(AL209),MONTH(AL209)+AM209,DAY(AL209)),DATE(YEAR(AL209),MONTH(AL209)+AM209+1,0)))))</f>
        <v/>
      </c>
      <c r="AO209" s="31">
        <f>IF(ISNUMBER(AN209),AN209-Settings!$D$4,"")</f>
        <v/>
      </c>
      <c r="AP209" s="31">
        <f>IF(ISNUMBER(AL209),AL209+0+ROW()/100000,"")</f>
        <v/>
      </c>
      <c r="AQ209" s="31">
        <f>IF(OR(AG209="",NOT(ISNUMBER(AP209))),0,IF(SUMPRODUCT(('Responses'!$AG$2:$AG$501=AG209)*('Responses'!$AJ$2:$AJ$501=1)*ISNUMBER('Responses'!$AP$2:$AP$501)*('Responses'!$AP$2:$AP$501&gt;AP209)) + SUMPRODUCT(('Paper sign-ups'!$K$2:$K$101=AG209)*('Paper sign-ups'!$N$2:$N$101=1)*ISNUMBER('Paper sign-ups'!$T$2:$T$101)*('Paper sign-ups'!$T$2:$T$101&gt;AP209))&gt;0,1,0))</f>
        <v/>
      </c>
      <c r="AR209" s="31">
        <f>IF(AE209="","",IF(AQ209=1,"Joined again",IF(AJ209=0,"Unpaid",IF(NOT(ISNUMBER(AL209)),"Add a join date",IF(AN209="","No reminder",IF(AO209&lt;0,"Lapsed",IF(AO209&lt;=Settings!$D$6,"Remind soon","Current")))))))</f>
        <v/>
      </c>
      <c r="AS209" s="33">
        <f>IF(AJ209=1,IFERROR(VALUE(IFERROR(TRIM(INDEX($A209:$Z209,MATCH(Settings!$L$8,$A$1:$Z$1,0))&amp;""),"")),0)-IFERROR(VALUE(IFERROR(TRIM(INDEX($A209:$Z209,MATCH(Settings!$L$9,$A$1:$Z$1,0))&amp;""),"")),0),0)</f>
        <v/>
      </c>
      <c r="AT209" s="31">
        <f>IF(AND(AE209&lt;&gt;"",AQ209=0),1,0)</f>
        <v/>
      </c>
      <c r="AU209" s="31">
        <f>IF(AT209=0,"",IF(ISNUMBER(AN209),AN209,100000)+0+ROW()/1000000)</f>
        <v/>
      </c>
      <c r="AV209" s="31">
        <f>IF(ISNUMBER(AU209),SUMPRODUCT(ISNUMBER('Responses'!$AU$2:$AU$501)*('Responses'!$AU$2:$AU$501&lt;AU209)) + SUMPRODUCT(ISNUMBER('Paper sign-ups'!$Y$2:$Y$101)*('Paper sign-ups'!$Y$2:$Y$101&lt;AU209))+1,"")</f>
        <v/>
      </c>
    </row>
    <row r="210">
      <c r="AA210" s="29" t="n"/>
      <c r="AB210" s="30" t="n"/>
      <c r="AC210" s="30" t="n"/>
      <c r="AD210" s="29" t="n"/>
      <c r="AE210" s="31">
        <f>IFERROR(TRIM(INDEX($A210:$Z210,MATCH(Settings!$L$4,$A$1:$Z$1,0))&amp;""),"")</f>
        <v/>
      </c>
      <c r="AF210" s="31">
        <f>IFERROR(TRIM(INDEX($A210:$Z210,MATCH(Settings!$L$5,$A$1:$Z$1,0))&amp;""),"")</f>
        <v/>
      </c>
      <c r="AG210" s="31">
        <f>IF(AE210="","",LOWER(IF(AF210&lt;&gt;"",AF210,AE210)))</f>
        <v/>
      </c>
      <c r="AH210" s="31">
        <f>IFERROR(TRIM(INDEX($A210:$Z210,MATCH(Settings!$L$6,$A$1:$Z$1,0))&amp;""),"")</f>
        <v/>
      </c>
      <c r="AI210" s="31">
        <f>IF(AE210="","",IF(UPPER(TRIM(AB210&amp;""))="Y","Paid another way",IF(IFERROR(TRIM(INDEX($A210:$Z210,MATCH(Settings!$L$7,$A$1:$Z$1,0))&amp;""),"")="","No payment status",IFERROR(TRIM(INDEX($A210:$Z210,MATCH(Settings!$L$7,$A$1:$Z$1,0))&amp;""),""))))</f>
        <v/>
      </c>
      <c r="AJ210" s="31">
        <f>IF(AE210="",0,IF(IFERROR(INDEX(Settings!$J$4:$J$14,MATCH(AI210,Settings!$I$4:$I$14,0)),"N")="Y",1,0))</f>
        <v/>
      </c>
      <c r="AK210" s="32">
        <f>IFERROR(INT(IFERROR(IF(ISNUMBER(INDEX($A210:$Z210,MATCH(Settings!$L$10,$A$1:$Z$1,0))),INDEX($A210:$Z210,MATCH(Settings!$L$10,$A$1:$Z$1,0)),DATE(VALUE(LEFT(IFERROR(TRIM(INDEX($A210:$Z210,MATCH(Settings!$L$10,$A$1:$Z$1,0))&amp;""),""),4)),VALUE(MID(IFERROR(TRIM(INDEX($A210:$Z210,MATCH(Settings!$L$10,$A$1:$Z$1,0))&amp;""),""),6,2)),VALUE(MID(IFERROR(TRIM(INDEX($A210:$Z210,MATCH(Settings!$L$10,$A$1:$Z$1,0))&amp;""),""),9,2)))+TIME(VALUE(MID(IFERROR(TRIM(INDEX($A210:$Z210,MATCH(Settings!$L$10,$A$1:$Z$1,0))&amp;""),""),12,2)),VALUE(MID(IFERROR(TRIM(INDEX($A210:$Z210,MATCH(Settings!$L$10,$A$1:$Z$1,0))&amp;""),""),15,2)),VALUE(MID(IFERROR(TRIM(INDEX($A210:$Z210,MATCH(Settings!$L$10,$A$1:$Z$1,0))&amp;""),""),18,2)))),"")),"")</f>
        <v/>
      </c>
      <c r="AL210" s="32">
        <f>IF(AE210="","",IF(ISNUMBER(AK210),AK210,IFERROR(INT(IFERROR(IF(ISNUMBER(INDEX($A210:$Z210,MATCH(Settings!$L$11,$A$1:$Z$1,0))),INDEX($A210:$Z210,MATCH(Settings!$L$11,$A$1:$Z$1,0)),DATE(VALUE(LEFT(IFERROR(TRIM(INDEX($A210:$Z210,MATCH(Settings!$L$11,$A$1:$Z$1,0))&amp;""),""),4)),VALUE(MID(IFERROR(TRIM(INDEX($A210:$Z210,MATCH(Settings!$L$11,$A$1:$Z$1,0))&amp;""),""),6,2)),VALUE(MID(IFERROR(TRIM(INDEX($A210:$Z210,MATCH(Settings!$L$11,$A$1:$Z$1,0))&amp;""),""),9,2)))+TIME(VALUE(MID(IFERROR(TRIM(INDEX($A210:$Z210,MATCH(Settings!$L$11,$A$1:$Z$1,0))&amp;""),""),12,2)),VALUE(MID(IFERROR(TRIM(INDEX($A210:$Z210,MATCH(Settings!$L$11,$A$1:$Z$1,0))&amp;""),""),15,2)),VALUE(MID(IFERROR(TRIM(INDEX($A210:$Z210,MATCH(Settings!$L$11,$A$1:$Z$1,0))&amp;""),""),18,2)))),"")),"")))</f>
        <v/>
      </c>
      <c r="AM210" s="31">
        <f>IF(AE210="","",IF(ISNUMBER(IFERROR(INDEX(Settings!$G$4:$G$11,MATCH(AH210,Settings!$F$4:$F$11,0)),"")),INDEX(Settings!$G$4:$G$11,MATCH(AH210,Settings!$F$4:$F$11,0)),Settings!$D$5))</f>
        <v/>
      </c>
      <c r="AN210" s="32">
        <f>IF(OR(AE210="",NOT(ISNUMBER(AL210)),NOT(ISNUMBER(AM210))),"",IF(AM210&lt;=0,"",IF(ISNUMBER(Settings!$D$8),DATE(YEAR(AL210)+IF(DATE(YEAR(AL210),MONTH(Settings!$D$8),DAY(Settings!$D$8))&gt;AL210,0,1),MONTH(Settings!$D$8),DAY(Settings!$D$8)),MIN(DATE(YEAR(AL210),MONTH(AL210)+AM210,DAY(AL210)),DATE(YEAR(AL210),MONTH(AL210)+AM210+1,0)))))</f>
        <v/>
      </c>
      <c r="AO210" s="31">
        <f>IF(ISNUMBER(AN210),AN210-Settings!$D$4,"")</f>
        <v/>
      </c>
      <c r="AP210" s="31">
        <f>IF(ISNUMBER(AL210),AL210+0+ROW()/100000,"")</f>
        <v/>
      </c>
      <c r="AQ210" s="31">
        <f>IF(OR(AG210="",NOT(ISNUMBER(AP210))),0,IF(SUMPRODUCT(('Responses'!$AG$2:$AG$501=AG210)*('Responses'!$AJ$2:$AJ$501=1)*ISNUMBER('Responses'!$AP$2:$AP$501)*('Responses'!$AP$2:$AP$501&gt;AP210)) + SUMPRODUCT(('Paper sign-ups'!$K$2:$K$101=AG210)*('Paper sign-ups'!$N$2:$N$101=1)*ISNUMBER('Paper sign-ups'!$T$2:$T$101)*('Paper sign-ups'!$T$2:$T$101&gt;AP210))&gt;0,1,0))</f>
        <v/>
      </c>
      <c r="AR210" s="31">
        <f>IF(AE210="","",IF(AQ210=1,"Joined again",IF(AJ210=0,"Unpaid",IF(NOT(ISNUMBER(AL210)),"Add a join date",IF(AN210="","No reminder",IF(AO210&lt;0,"Lapsed",IF(AO210&lt;=Settings!$D$6,"Remind soon","Current")))))))</f>
        <v/>
      </c>
      <c r="AS210" s="33">
        <f>IF(AJ210=1,IFERROR(VALUE(IFERROR(TRIM(INDEX($A210:$Z210,MATCH(Settings!$L$8,$A$1:$Z$1,0))&amp;""),"")),0)-IFERROR(VALUE(IFERROR(TRIM(INDEX($A210:$Z210,MATCH(Settings!$L$9,$A$1:$Z$1,0))&amp;""),"")),0),0)</f>
        <v/>
      </c>
      <c r="AT210" s="31">
        <f>IF(AND(AE210&lt;&gt;"",AQ210=0),1,0)</f>
        <v/>
      </c>
      <c r="AU210" s="31">
        <f>IF(AT210=0,"",IF(ISNUMBER(AN210),AN210,100000)+0+ROW()/1000000)</f>
        <v/>
      </c>
      <c r="AV210" s="31">
        <f>IF(ISNUMBER(AU210),SUMPRODUCT(ISNUMBER('Responses'!$AU$2:$AU$501)*('Responses'!$AU$2:$AU$501&lt;AU210)) + SUMPRODUCT(ISNUMBER('Paper sign-ups'!$Y$2:$Y$101)*('Paper sign-ups'!$Y$2:$Y$101&lt;AU210))+1,"")</f>
        <v/>
      </c>
    </row>
    <row r="211">
      <c r="AA211" s="29" t="n"/>
      <c r="AB211" s="30" t="n"/>
      <c r="AC211" s="30" t="n"/>
      <c r="AD211" s="29" t="n"/>
      <c r="AE211" s="31">
        <f>IFERROR(TRIM(INDEX($A211:$Z211,MATCH(Settings!$L$4,$A$1:$Z$1,0))&amp;""),"")</f>
        <v/>
      </c>
      <c r="AF211" s="31">
        <f>IFERROR(TRIM(INDEX($A211:$Z211,MATCH(Settings!$L$5,$A$1:$Z$1,0))&amp;""),"")</f>
        <v/>
      </c>
      <c r="AG211" s="31">
        <f>IF(AE211="","",LOWER(IF(AF211&lt;&gt;"",AF211,AE211)))</f>
        <v/>
      </c>
      <c r="AH211" s="31">
        <f>IFERROR(TRIM(INDEX($A211:$Z211,MATCH(Settings!$L$6,$A$1:$Z$1,0))&amp;""),"")</f>
        <v/>
      </c>
      <c r="AI211" s="31">
        <f>IF(AE211="","",IF(UPPER(TRIM(AB211&amp;""))="Y","Paid another way",IF(IFERROR(TRIM(INDEX($A211:$Z211,MATCH(Settings!$L$7,$A$1:$Z$1,0))&amp;""),"")="","No payment status",IFERROR(TRIM(INDEX($A211:$Z211,MATCH(Settings!$L$7,$A$1:$Z$1,0))&amp;""),""))))</f>
        <v/>
      </c>
      <c r="AJ211" s="31">
        <f>IF(AE211="",0,IF(IFERROR(INDEX(Settings!$J$4:$J$14,MATCH(AI211,Settings!$I$4:$I$14,0)),"N")="Y",1,0))</f>
        <v/>
      </c>
      <c r="AK211" s="32">
        <f>IFERROR(INT(IFERROR(IF(ISNUMBER(INDEX($A211:$Z211,MATCH(Settings!$L$10,$A$1:$Z$1,0))),INDEX($A211:$Z211,MATCH(Settings!$L$10,$A$1:$Z$1,0)),DATE(VALUE(LEFT(IFERROR(TRIM(INDEX($A211:$Z211,MATCH(Settings!$L$10,$A$1:$Z$1,0))&amp;""),""),4)),VALUE(MID(IFERROR(TRIM(INDEX($A211:$Z211,MATCH(Settings!$L$10,$A$1:$Z$1,0))&amp;""),""),6,2)),VALUE(MID(IFERROR(TRIM(INDEX($A211:$Z211,MATCH(Settings!$L$10,$A$1:$Z$1,0))&amp;""),""),9,2)))+TIME(VALUE(MID(IFERROR(TRIM(INDEX($A211:$Z211,MATCH(Settings!$L$10,$A$1:$Z$1,0))&amp;""),""),12,2)),VALUE(MID(IFERROR(TRIM(INDEX($A211:$Z211,MATCH(Settings!$L$10,$A$1:$Z$1,0))&amp;""),""),15,2)),VALUE(MID(IFERROR(TRIM(INDEX($A211:$Z211,MATCH(Settings!$L$10,$A$1:$Z$1,0))&amp;""),""),18,2)))),"")),"")</f>
        <v/>
      </c>
      <c r="AL211" s="32">
        <f>IF(AE211="","",IF(ISNUMBER(AK211),AK211,IFERROR(INT(IFERROR(IF(ISNUMBER(INDEX($A211:$Z211,MATCH(Settings!$L$11,$A$1:$Z$1,0))),INDEX($A211:$Z211,MATCH(Settings!$L$11,$A$1:$Z$1,0)),DATE(VALUE(LEFT(IFERROR(TRIM(INDEX($A211:$Z211,MATCH(Settings!$L$11,$A$1:$Z$1,0))&amp;""),""),4)),VALUE(MID(IFERROR(TRIM(INDEX($A211:$Z211,MATCH(Settings!$L$11,$A$1:$Z$1,0))&amp;""),""),6,2)),VALUE(MID(IFERROR(TRIM(INDEX($A211:$Z211,MATCH(Settings!$L$11,$A$1:$Z$1,0))&amp;""),""),9,2)))+TIME(VALUE(MID(IFERROR(TRIM(INDEX($A211:$Z211,MATCH(Settings!$L$11,$A$1:$Z$1,0))&amp;""),""),12,2)),VALUE(MID(IFERROR(TRIM(INDEX($A211:$Z211,MATCH(Settings!$L$11,$A$1:$Z$1,0))&amp;""),""),15,2)),VALUE(MID(IFERROR(TRIM(INDEX($A211:$Z211,MATCH(Settings!$L$11,$A$1:$Z$1,0))&amp;""),""),18,2)))),"")),"")))</f>
        <v/>
      </c>
      <c r="AM211" s="31">
        <f>IF(AE211="","",IF(ISNUMBER(IFERROR(INDEX(Settings!$G$4:$G$11,MATCH(AH211,Settings!$F$4:$F$11,0)),"")),INDEX(Settings!$G$4:$G$11,MATCH(AH211,Settings!$F$4:$F$11,0)),Settings!$D$5))</f>
        <v/>
      </c>
      <c r="AN211" s="32">
        <f>IF(OR(AE211="",NOT(ISNUMBER(AL211)),NOT(ISNUMBER(AM211))),"",IF(AM211&lt;=0,"",IF(ISNUMBER(Settings!$D$8),DATE(YEAR(AL211)+IF(DATE(YEAR(AL211),MONTH(Settings!$D$8),DAY(Settings!$D$8))&gt;AL211,0,1),MONTH(Settings!$D$8),DAY(Settings!$D$8)),MIN(DATE(YEAR(AL211),MONTH(AL211)+AM211,DAY(AL211)),DATE(YEAR(AL211),MONTH(AL211)+AM211+1,0)))))</f>
        <v/>
      </c>
      <c r="AO211" s="31">
        <f>IF(ISNUMBER(AN211),AN211-Settings!$D$4,"")</f>
        <v/>
      </c>
      <c r="AP211" s="31">
        <f>IF(ISNUMBER(AL211),AL211+0+ROW()/100000,"")</f>
        <v/>
      </c>
      <c r="AQ211" s="31">
        <f>IF(OR(AG211="",NOT(ISNUMBER(AP211))),0,IF(SUMPRODUCT(('Responses'!$AG$2:$AG$501=AG211)*('Responses'!$AJ$2:$AJ$501=1)*ISNUMBER('Responses'!$AP$2:$AP$501)*('Responses'!$AP$2:$AP$501&gt;AP211)) + SUMPRODUCT(('Paper sign-ups'!$K$2:$K$101=AG211)*('Paper sign-ups'!$N$2:$N$101=1)*ISNUMBER('Paper sign-ups'!$T$2:$T$101)*('Paper sign-ups'!$T$2:$T$101&gt;AP211))&gt;0,1,0))</f>
        <v/>
      </c>
      <c r="AR211" s="31">
        <f>IF(AE211="","",IF(AQ211=1,"Joined again",IF(AJ211=0,"Unpaid",IF(NOT(ISNUMBER(AL211)),"Add a join date",IF(AN211="","No reminder",IF(AO211&lt;0,"Lapsed",IF(AO211&lt;=Settings!$D$6,"Remind soon","Current")))))))</f>
        <v/>
      </c>
      <c r="AS211" s="33">
        <f>IF(AJ211=1,IFERROR(VALUE(IFERROR(TRIM(INDEX($A211:$Z211,MATCH(Settings!$L$8,$A$1:$Z$1,0))&amp;""),"")),0)-IFERROR(VALUE(IFERROR(TRIM(INDEX($A211:$Z211,MATCH(Settings!$L$9,$A$1:$Z$1,0))&amp;""),"")),0),0)</f>
        <v/>
      </c>
      <c r="AT211" s="31">
        <f>IF(AND(AE211&lt;&gt;"",AQ211=0),1,0)</f>
        <v/>
      </c>
      <c r="AU211" s="31">
        <f>IF(AT211=0,"",IF(ISNUMBER(AN211),AN211,100000)+0+ROW()/1000000)</f>
        <v/>
      </c>
      <c r="AV211" s="31">
        <f>IF(ISNUMBER(AU211),SUMPRODUCT(ISNUMBER('Responses'!$AU$2:$AU$501)*('Responses'!$AU$2:$AU$501&lt;AU211)) + SUMPRODUCT(ISNUMBER('Paper sign-ups'!$Y$2:$Y$101)*('Paper sign-ups'!$Y$2:$Y$101&lt;AU211))+1,"")</f>
        <v/>
      </c>
    </row>
    <row r="212">
      <c r="AA212" s="29" t="n"/>
      <c r="AB212" s="30" t="n"/>
      <c r="AC212" s="30" t="n"/>
      <c r="AD212" s="29" t="n"/>
      <c r="AE212" s="31">
        <f>IFERROR(TRIM(INDEX($A212:$Z212,MATCH(Settings!$L$4,$A$1:$Z$1,0))&amp;""),"")</f>
        <v/>
      </c>
      <c r="AF212" s="31">
        <f>IFERROR(TRIM(INDEX($A212:$Z212,MATCH(Settings!$L$5,$A$1:$Z$1,0))&amp;""),"")</f>
        <v/>
      </c>
      <c r="AG212" s="31">
        <f>IF(AE212="","",LOWER(IF(AF212&lt;&gt;"",AF212,AE212)))</f>
        <v/>
      </c>
      <c r="AH212" s="31">
        <f>IFERROR(TRIM(INDEX($A212:$Z212,MATCH(Settings!$L$6,$A$1:$Z$1,0))&amp;""),"")</f>
        <v/>
      </c>
      <c r="AI212" s="31">
        <f>IF(AE212="","",IF(UPPER(TRIM(AB212&amp;""))="Y","Paid another way",IF(IFERROR(TRIM(INDEX($A212:$Z212,MATCH(Settings!$L$7,$A$1:$Z$1,0))&amp;""),"")="","No payment status",IFERROR(TRIM(INDEX($A212:$Z212,MATCH(Settings!$L$7,$A$1:$Z$1,0))&amp;""),""))))</f>
        <v/>
      </c>
      <c r="AJ212" s="31">
        <f>IF(AE212="",0,IF(IFERROR(INDEX(Settings!$J$4:$J$14,MATCH(AI212,Settings!$I$4:$I$14,0)),"N")="Y",1,0))</f>
        <v/>
      </c>
      <c r="AK212" s="32">
        <f>IFERROR(INT(IFERROR(IF(ISNUMBER(INDEX($A212:$Z212,MATCH(Settings!$L$10,$A$1:$Z$1,0))),INDEX($A212:$Z212,MATCH(Settings!$L$10,$A$1:$Z$1,0)),DATE(VALUE(LEFT(IFERROR(TRIM(INDEX($A212:$Z212,MATCH(Settings!$L$10,$A$1:$Z$1,0))&amp;""),""),4)),VALUE(MID(IFERROR(TRIM(INDEX($A212:$Z212,MATCH(Settings!$L$10,$A$1:$Z$1,0))&amp;""),""),6,2)),VALUE(MID(IFERROR(TRIM(INDEX($A212:$Z212,MATCH(Settings!$L$10,$A$1:$Z$1,0))&amp;""),""),9,2)))+TIME(VALUE(MID(IFERROR(TRIM(INDEX($A212:$Z212,MATCH(Settings!$L$10,$A$1:$Z$1,0))&amp;""),""),12,2)),VALUE(MID(IFERROR(TRIM(INDEX($A212:$Z212,MATCH(Settings!$L$10,$A$1:$Z$1,0))&amp;""),""),15,2)),VALUE(MID(IFERROR(TRIM(INDEX($A212:$Z212,MATCH(Settings!$L$10,$A$1:$Z$1,0))&amp;""),""),18,2)))),"")),"")</f>
        <v/>
      </c>
      <c r="AL212" s="32">
        <f>IF(AE212="","",IF(ISNUMBER(AK212),AK212,IFERROR(INT(IFERROR(IF(ISNUMBER(INDEX($A212:$Z212,MATCH(Settings!$L$11,$A$1:$Z$1,0))),INDEX($A212:$Z212,MATCH(Settings!$L$11,$A$1:$Z$1,0)),DATE(VALUE(LEFT(IFERROR(TRIM(INDEX($A212:$Z212,MATCH(Settings!$L$11,$A$1:$Z$1,0))&amp;""),""),4)),VALUE(MID(IFERROR(TRIM(INDEX($A212:$Z212,MATCH(Settings!$L$11,$A$1:$Z$1,0))&amp;""),""),6,2)),VALUE(MID(IFERROR(TRIM(INDEX($A212:$Z212,MATCH(Settings!$L$11,$A$1:$Z$1,0))&amp;""),""),9,2)))+TIME(VALUE(MID(IFERROR(TRIM(INDEX($A212:$Z212,MATCH(Settings!$L$11,$A$1:$Z$1,0))&amp;""),""),12,2)),VALUE(MID(IFERROR(TRIM(INDEX($A212:$Z212,MATCH(Settings!$L$11,$A$1:$Z$1,0))&amp;""),""),15,2)),VALUE(MID(IFERROR(TRIM(INDEX($A212:$Z212,MATCH(Settings!$L$11,$A$1:$Z$1,0))&amp;""),""),18,2)))),"")),"")))</f>
        <v/>
      </c>
      <c r="AM212" s="31">
        <f>IF(AE212="","",IF(ISNUMBER(IFERROR(INDEX(Settings!$G$4:$G$11,MATCH(AH212,Settings!$F$4:$F$11,0)),"")),INDEX(Settings!$G$4:$G$11,MATCH(AH212,Settings!$F$4:$F$11,0)),Settings!$D$5))</f>
        <v/>
      </c>
      <c r="AN212" s="32">
        <f>IF(OR(AE212="",NOT(ISNUMBER(AL212)),NOT(ISNUMBER(AM212))),"",IF(AM212&lt;=0,"",IF(ISNUMBER(Settings!$D$8),DATE(YEAR(AL212)+IF(DATE(YEAR(AL212),MONTH(Settings!$D$8),DAY(Settings!$D$8))&gt;AL212,0,1),MONTH(Settings!$D$8),DAY(Settings!$D$8)),MIN(DATE(YEAR(AL212),MONTH(AL212)+AM212,DAY(AL212)),DATE(YEAR(AL212),MONTH(AL212)+AM212+1,0)))))</f>
        <v/>
      </c>
      <c r="AO212" s="31">
        <f>IF(ISNUMBER(AN212),AN212-Settings!$D$4,"")</f>
        <v/>
      </c>
      <c r="AP212" s="31">
        <f>IF(ISNUMBER(AL212),AL212+0+ROW()/100000,"")</f>
        <v/>
      </c>
      <c r="AQ212" s="31">
        <f>IF(OR(AG212="",NOT(ISNUMBER(AP212))),0,IF(SUMPRODUCT(('Responses'!$AG$2:$AG$501=AG212)*('Responses'!$AJ$2:$AJ$501=1)*ISNUMBER('Responses'!$AP$2:$AP$501)*('Responses'!$AP$2:$AP$501&gt;AP212)) + SUMPRODUCT(('Paper sign-ups'!$K$2:$K$101=AG212)*('Paper sign-ups'!$N$2:$N$101=1)*ISNUMBER('Paper sign-ups'!$T$2:$T$101)*('Paper sign-ups'!$T$2:$T$101&gt;AP212))&gt;0,1,0))</f>
        <v/>
      </c>
      <c r="AR212" s="31">
        <f>IF(AE212="","",IF(AQ212=1,"Joined again",IF(AJ212=0,"Unpaid",IF(NOT(ISNUMBER(AL212)),"Add a join date",IF(AN212="","No reminder",IF(AO212&lt;0,"Lapsed",IF(AO212&lt;=Settings!$D$6,"Remind soon","Current")))))))</f>
        <v/>
      </c>
      <c r="AS212" s="33">
        <f>IF(AJ212=1,IFERROR(VALUE(IFERROR(TRIM(INDEX($A212:$Z212,MATCH(Settings!$L$8,$A$1:$Z$1,0))&amp;""),"")),0)-IFERROR(VALUE(IFERROR(TRIM(INDEX($A212:$Z212,MATCH(Settings!$L$9,$A$1:$Z$1,0))&amp;""),"")),0),0)</f>
        <v/>
      </c>
      <c r="AT212" s="31">
        <f>IF(AND(AE212&lt;&gt;"",AQ212=0),1,0)</f>
        <v/>
      </c>
      <c r="AU212" s="31">
        <f>IF(AT212=0,"",IF(ISNUMBER(AN212),AN212,100000)+0+ROW()/1000000)</f>
        <v/>
      </c>
      <c r="AV212" s="31">
        <f>IF(ISNUMBER(AU212),SUMPRODUCT(ISNUMBER('Responses'!$AU$2:$AU$501)*('Responses'!$AU$2:$AU$501&lt;AU212)) + SUMPRODUCT(ISNUMBER('Paper sign-ups'!$Y$2:$Y$101)*('Paper sign-ups'!$Y$2:$Y$101&lt;AU212))+1,"")</f>
        <v/>
      </c>
    </row>
    <row r="213">
      <c r="AA213" s="29" t="n"/>
      <c r="AB213" s="30" t="n"/>
      <c r="AC213" s="30" t="n"/>
      <c r="AD213" s="29" t="n"/>
      <c r="AE213" s="31">
        <f>IFERROR(TRIM(INDEX($A213:$Z213,MATCH(Settings!$L$4,$A$1:$Z$1,0))&amp;""),"")</f>
        <v/>
      </c>
      <c r="AF213" s="31">
        <f>IFERROR(TRIM(INDEX($A213:$Z213,MATCH(Settings!$L$5,$A$1:$Z$1,0))&amp;""),"")</f>
        <v/>
      </c>
      <c r="AG213" s="31">
        <f>IF(AE213="","",LOWER(IF(AF213&lt;&gt;"",AF213,AE213)))</f>
        <v/>
      </c>
      <c r="AH213" s="31">
        <f>IFERROR(TRIM(INDEX($A213:$Z213,MATCH(Settings!$L$6,$A$1:$Z$1,0))&amp;""),"")</f>
        <v/>
      </c>
      <c r="AI213" s="31">
        <f>IF(AE213="","",IF(UPPER(TRIM(AB213&amp;""))="Y","Paid another way",IF(IFERROR(TRIM(INDEX($A213:$Z213,MATCH(Settings!$L$7,$A$1:$Z$1,0))&amp;""),"")="","No payment status",IFERROR(TRIM(INDEX($A213:$Z213,MATCH(Settings!$L$7,$A$1:$Z$1,0))&amp;""),""))))</f>
        <v/>
      </c>
      <c r="AJ213" s="31">
        <f>IF(AE213="",0,IF(IFERROR(INDEX(Settings!$J$4:$J$14,MATCH(AI213,Settings!$I$4:$I$14,0)),"N")="Y",1,0))</f>
        <v/>
      </c>
      <c r="AK213" s="32">
        <f>IFERROR(INT(IFERROR(IF(ISNUMBER(INDEX($A213:$Z213,MATCH(Settings!$L$10,$A$1:$Z$1,0))),INDEX($A213:$Z213,MATCH(Settings!$L$10,$A$1:$Z$1,0)),DATE(VALUE(LEFT(IFERROR(TRIM(INDEX($A213:$Z213,MATCH(Settings!$L$10,$A$1:$Z$1,0))&amp;""),""),4)),VALUE(MID(IFERROR(TRIM(INDEX($A213:$Z213,MATCH(Settings!$L$10,$A$1:$Z$1,0))&amp;""),""),6,2)),VALUE(MID(IFERROR(TRIM(INDEX($A213:$Z213,MATCH(Settings!$L$10,$A$1:$Z$1,0))&amp;""),""),9,2)))+TIME(VALUE(MID(IFERROR(TRIM(INDEX($A213:$Z213,MATCH(Settings!$L$10,$A$1:$Z$1,0))&amp;""),""),12,2)),VALUE(MID(IFERROR(TRIM(INDEX($A213:$Z213,MATCH(Settings!$L$10,$A$1:$Z$1,0))&amp;""),""),15,2)),VALUE(MID(IFERROR(TRIM(INDEX($A213:$Z213,MATCH(Settings!$L$10,$A$1:$Z$1,0))&amp;""),""),18,2)))),"")),"")</f>
        <v/>
      </c>
      <c r="AL213" s="32">
        <f>IF(AE213="","",IF(ISNUMBER(AK213),AK213,IFERROR(INT(IFERROR(IF(ISNUMBER(INDEX($A213:$Z213,MATCH(Settings!$L$11,$A$1:$Z$1,0))),INDEX($A213:$Z213,MATCH(Settings!$L$11,$A$1:$Z$1,0)),DATE(VALUE(LEFT(IFERROR(TRIM(INDEX($A213:$Z213,MATCH(Settings!$L$11,$A$1:$Z$1,0))&amp;""),""),4)),VALUE(MID(IFERROR(TRIM(INDEX($A213:$Z213,MATCH(Settings!$L$11,$A$1:$Z$1,0))&amp;""),""),6,2)),VALUE(MID(IFERROR(TRIM(INDEX($A213:$Z213,MATCH(Settings!$L$11,$A$1:$Z$1,0))&amp;""),""),9,2)))+TIME(VALUE(MID(IFERROR(TRIM(INDEX($A213:$Z213,MATCH(Settings!$L$11,$A$1:$Z$1,0))&amp;""),""),12,2)),VALUE(MID(IFERROR(TRIM(INDEX($A213:$Z213,MATCH(Settings!$L$11,$A$1:$Z$1,0))&amp;""),""),15,2)),VALUE(MID(IFERROR(TRIM(INDEX($A213:$Z213,MATCH(Settings!$L$11,$A$1:$Z$1,0))&amp;""),""),18,2)))),"")),"")))</f>
        <v/>
      </c>
      <c r="AM213" s="31">
        <f>IF(AE213="","",IF(ISNUMBER(IFERROR(INDEX(Settings!$G$4:$G$11,MATCH(AH213,Settings!$F$4:$F$11,0)),"")),INDEX(Settings!$G$4:$G$11,MATCH(AH213,Settings!$F$4:$F$11,0)),Settings!$D$5))</f>
        <v/>
      </c>
      <c r="AN213" s="32">
        <f>IF(OR(AE213="",NOT(ISNUMBER(AL213)),NOT(ISNUMBER(AM213))),"",IF(AM213&lt;=0,"",IF(ISNUMBER(Settings!$D$8),DATE(YEAR(AL213)+IF(DATE(YEAR(AL213),MONTH(Settings!$D$8),DAY(Settings!$D$8))&gt;AL213,0,1),MONTH(Settings!$D$8),DAY(Settings!$D$8)),MIN(DATE(YEAR(AL213),MONTH(AL213)+AM213,DAY(AL213)),DATE(YEAR(AL213),MONTH(AL213)+AM213+1,0)))))</f>
        <v/>
      </c>
      <c r="AO213" s="31">
        <f>IF(ISNUMBER(AN213),AN213-Settings!$D$4,"")</f>
        <v/>
      </c>
      <c r="AP213" s="31">
        <f>IF(ISNUMBER(AL213),AL213+0+ROW()/100000,"")</f>
        <v/>
      </c>
      <c r="AQ213" s="31">
        <f>IF(OR(AG213="",NOT(ISNUMBER(AP213))),0,IF(SUMPRODUCT(('Responses'!$AG$2:$AG$501=AG213)*('Responses'!$AJ$2:$AJ$501=1)*ISNUMBER('Responses'!$AP$2:$AP$501)*('Responses'!$AP$2:$AP$501&gt;AP213)) + SUMPRODUCT(('Paper sign-ups'!$K$2:$K$101=AG213)*('Paper sign-ups'!$N$2:$N$101=1)*ISNUMBER('Paper sign-ups'!$T$2:$T$101)*('Paper sign-ups'!$T$2:$T$101&gt;AP213))&gt;0,1,0))</f>
        <v/>
      </c>
      <c r="AR213" s="31">
        <f>IF(AE213="","",IF(AQ213=1,"Joined again",IF(AJ213=0,"Unpaid",IF(NOT(ISNUMBER(AL213)),"Add a join date",IF(AN213="","No reminder",IF(AO213&lt;0,"Lapsed",IF(AO213&lt;=Settings!$D$6,"Remind soon","Current")))))))</f>
        <v/>
      </c>
      <c r="AS213" s="33">
        <f>IF(AJ213=1,IFERROR(VALUE(IFERROR(TRIM(INDEX($A213:$Z213,MATCH(Settings!$L$8,$A$1:$Z$1,0))&amp;""),"")),0)-IFERROR(VALUE(IFERROR(TRIM(INDEX($A213:$Z213,MATCH(Settings!$L$9,$A$1:$Z$1,0))&amp;""),"")),0),0)</f>
        <v/>
      </c>
      <c r="AT213" s="31">
        <f>IF(AND(AE213&lt;&gt;"",AQ213=0),1,0)</f>
        <v/>
      </c>
      <c r="AU213" s="31">
        <f>IF(AT213=0,"",IF(ISNUMBER(AN213),AN213,100000)+0+ROW()/1000000)</f>
        <v/>
      </c>
      <c r="AV213" s="31">
        <f>IF(ISNUMBER(AU213),SUMPRODUCT(ISNUMBER('Responses'!$AU$2:$AU$501)*('Responses'!$AU$2:$AU$501&lt;AU213)) + SUMPRODUCT(ISNUMBER('Paper sign-ups'!$Y$2:$Y$101)*('Paper sign-ups'!$Y$2:$Y$101&lt;AU213))+1,"")</f>
        <v/>
      </c>
    </row>
    <row r="214">
      <c r="AA214" s="29" t="n"/>
      <c r="AB214" s="30" t="n"/>
      <c r="AC214" s="30" t="n"/>
      <c r="AD214" s="29" t="n"/>
      <c r="AE214" s="31">
        <f>IFERROR(TRIM(INDEX($A214:$Z214,MATCH(Settings!$L$4,$A$1:$Z$1,0))&amp;""),"")</f>
        <v/>
      </c>
      <c r="AF214" s="31">
        <f>IFERROR(TRIM(INDEX($A214:$Z214,MATCH(Settings!$L$5,$A$1:$Z$1,0))&amp;""),"")</f>
        <v/>
      </c>
      <c r="AG214" s="31">
        <f>IF(AE214="","",LOWER(IF(AF214&lt;&gt;"",AF214,AE214)))</f>
        <v/>
      </c>
      <c r="AH214" s="31">
        <f>IFERROR(TRIM(INDEX($A214:$Z214,MATCH(Settings!$L$6,$A$1:$Z$1,0))&amp;""),"")</f>
        <v/>
      </c>
      <c r="AI214" s="31">
        <f>IF(AE214="","",IF(UPPER(TRIM(AB214&amp;""))="Y","Paid another way",IF(IFERROR(TRIM(INDEX($A214:$Z214,MATCH(Settings!$L$7,$A$1:$Z$1,0))&amp;""),"")="","No payment status",IFERROR(TRIM(INDEX($A214:$Z214,MATCH(Settings!$L$7,$A$1:$Z$1,0))&amp;""),""))))</f>
        <v/>
      </c>
      <c r="AJ214" s="31">
        <f>IF(AE214="",0,IF(IFERROR(INDEX(Settings!$J$4:$J$14,MATCH(AI214,Settings!$I$4:$I$14,0)),"N")="Y",1,0))</f>
        <v/>
      </c>
      <c r="AK214" s="32">
        <f>IFERROR(INT(IFERROR(IF(ISNUMBER(INDEX($A214:$Z214,MATCH(Settings!$L$10,$A$1:$Z$1,0))),INDEX($A214:$Z214,MATCH(Settings!$L$10,$A$1:$Z$1,0)),DATE(VALUE(LEFT(IFERROR(TRIM(INDEX($A214:$Z214,MATCH(Settings!$L$10,$A$1:$Z$1,0))&amp;""),""),4)),VALUE(MID(IFERROR(TRIM(INDEX($A214:$Z214,MATCH(Settings!$L$10,$A$1:$Z$1,0))&amp;""),""),6,2)),VALUE(MID(IFERROR(TRIM(INDEX($A214:$Z214,MATCH(Settings!$L$10,$A$1:$Z$1,0))&amp;""),""),9,2)))+TIME(VALUE(MID(IFERROR(TRIM(INDEX($A214:$Z214,MATCH(Settings!$L$10,$A$1:$Z$1,0))&amp;""),""),12,2)),VALUE(MID(IFERROR(TRIM(INDEX($A214:$Z214,MATCH(Settings!$L$10,$A$1:$Z$1,0))&amp;""),""),15,2)),VALUE(MID(IFERROR(TRIM(INDEX($A214:$Z214,MATCH(Settings!$L$10,$A$1:$Z$1,0))&amp;""),""),18,2)))),"")),"")</f>
        <v/>
      </c>
      <c r="AL214" s="32">
        <f>IF(AE214="","",IF(ISNUMBER(AK214),AK214,IFERROR(INT(IFERROR(IF(ISNUMBER(INDEX($A214:$Z214,MATCH(Settings!$L$11,$A$1:$Z$1,0))),INDEX($A214:$Z214,MATCH(Settings!$L$11,$A$1:$Z$1,0)),DATE(VALUE(LEFT(IFERROR(TRIM(INDEX($A214:$Z214,MATCH(Settings!$L$11,$A$1:$Z$1,0))&amp;""),""),4)),VALUE(MID(IFERROR(TRIM(INDEX($A214:$Z214,MATCH(Settings!$L$11,$A$1:$Z$1,0))&amp;""),""),6,2)),VALUE(MID(IFERROR(TRIM(INDEX($A214:$Z214,MATCH(Settings!$L$11,$A$1:$Z$1,0))&amp;""),""),9,2)))+TIME(VALUE(MID(IFERROR(TRIM(INDEX($A214:$Z214,MATCH(Settings!$L$11,$A$1:$Z$1,0))&amp;""),""),12,2)),VALUE(MID(IFERROR(TRIM(INDEX($A214:$Z214,MATCH(Settings!$L$11,$A$1:$Z$1,0))&amp;""),""),15,2)),VALUE(MID(IFERROR(TRIM(INDEX($A214:$Z214,MATCH(Settings!$L$11,$A$1:$Z$1,0))&amp;""),""),18,2)))),"")),"")))</f>
        <v/>
      </c>
      <c r="AM214" s="31">
        <f>IF(AE214="","",IF(ISNUMBER(IFERROR(INDEX(Settings!$G$4:$G$11,MATCH(AH214,Settings!$F$4:$F$11,0)),"")),INDEX(Settings!$G$4:$G$11,MATCH(AH214,Settings!$F$4:$F$11,0)),Settings!$D$5))</f>
        <v/>
      </c>
      <c r="AN214" s="32">
        <f>IF(OR(AE214="",NOT(ISNUMBER(AL214)),NOT(ISNUMBER(AM214))),"",IF(AM214&lt;=0,"",IF(ISNUMBER(Settings!$D$8),DATE(YEAR(AL214)+IF(DATE(YEAR(AL214),MONTH(Settings!$D$8),DAY(Settings!$D$8))&gt;AL214,0,1),MONTH(Settings!$D$8),DAY(Settings!$D$8)),MIN(DATE(YEAR(AL214),MONTH(AL214)+AM214,DAY(AL214)),DATE(YEAR(AL214),MONTH(AL214)+AM214+1,0)))))</f>
        <v/>
      </c>
      <c r="AO214" s="31">
        <f>IF(ISNUMBER(AN214),AN214-Settings!$D$4,"")</f>
        <v/>
      </c>
      <c r="AP214" s="31">
        <f>IF(ISNUMBER(AL214),AL214+0+ROW()/100000,"")</f>
        <v/>
      </c>
      <c r="AQ214" s="31">
        <f>IF(OR(AG214="",NOT(ISNUMBER(AP214))),0,IF(SUMPRODUCT(('Responses'!$AG$2:$AG$501=AG214)*('Responses'!$AJ$2:$AJ$501=1)*ISNUMBER('Responses'!$AP$2:$AP$501)*('Responses'!$AP$2:$AP$501&gt;AP214)) + SUMPRODUCT(('Paper sign-ups'!$K$2:$K$101=AG214)*('Paper sign-ups'!$N$2:$N$101=1)*ISNUMBER('Paper sign-ups'!$T$2:$T$101)*('Paper sign-ups'!$T$2:$T$101&gt;AP214))&gt;0,1,0))</f>
        <v/>
      </c>
      <c r="AR214" s="31">
        <f>IF(AE214="","",IF(AQ214=1,"Joined again",IF(AJ214=0,"Unpaid",IF(NOT(ISNUMBER(AL214)),"Add a join date",IF(AN214="","No reminder",IF(AO214&lt;0,"Lapsed",IF(AO214&lt;=Settings!$D$6,"Remind soon","Current")))))))</f>
        <v/>
      </c>
      <c r="AS214" s="33">
        <f>IF(AJ214=1,IFERROR(VALUE(IFERROR(TRIM(INDEX($A214:$Z214,MATCH(Settings!$L$8,$A$1:$Z$1,0))&amp;""),"")),0)-IFERROR(VALUE(IFERROR(TRIM(INDEX($A214:$Z214,MATCH(Settings!$L$9,$A$1:$Z$1,0))&amp;""),"")),0),0)</f>
        <v/>
      </c>
      <c r="AT214" s="31">
        <f>IF(AND(AE214&lt;&gt;"",AQ214=0),1,0)</f>
        <v/>
      </c>
      <c r="AU214" s="31">
        <f>IF(AT214=0,"",IF(ISNUMBER(AN214),AN214,100000)+0+ROW()/1000000)</f>
        <v/>
      </c>
      <c r="AV214" s="31">
        <f>IF(ISNUMBER(AU214),SUMPRODUCT(ISNUMBER('Responses'!$AU$2:$AU$501)*('Responses'!$AU$2:$AU$501&lt;AU214)) + SUMPRODUCT(ISNUMBER('Paper sign-ups'!$Y$2:$Y$101)*('Paper sign-ups'!$Y$2:$Y$101&lt;AU214))+1,"")</f>
        <v/>
      </c>
    </row>
    <row r="215">
      <c r="AA215" s="29" t="n"/>
      <c r="AB215" s="30" t="n"/>
      <c r="AC215" s="30" t="n"/>
      <c r="AD215" s="29" t="n"/>
      <c r="AE215" s="31">
        <f>IFERROR(TRIM(INDEX($A215:$Z215,MATCH(Settings!$L$4,$A$1:$Z$1,0))&amp;""),"")</f>
        <v/>
      </c>
      <c r="AF215" s="31">
        <f>IFERROR(TRIM(INDEX($A215:$Z215,MATCH(Settings!$L$5,$A$1:$Z$1,0))&amp;""),"")</f>
        <v/>
      </c>
      <c r="AG215" s="31">
        <f>IF(AE215="","",LOWER(IF(AF215&lt;&gt;"",AF215,AE215)))</f>
        <v/>
      </c>
      <c r="AH215" s="31">
        <f>IFERROR(TRIM(INDEX($A215:$Z215,MATCH(Settings!$L$6,$A$1:$Z$1,0))&amp;""),"")</f>
        <v/>
      </c>
      <c r="AI215" s="31">
        <f>IF(AE215="","",IF(UPPER(TRIM(AB215&amp;""))="Y","Paid another way",IF(IFERROR(TRIM(INDEX($A215:$Z215,MATCH(Settings!$L$7,$A$1:$Z$1,0))&amp;""),"")="","No payment status",IFERROR(TRIM(INDEX($A215:$Z215,MATCH(Settings!$L$7,$A$1:$Z$1,0))&amp;""),""))))</f>
        <v/>
      </c>
      <c r="AJ215" s="31">
        <f>IF(AE215="",0,IF(IFERROR(INDEX(Settings!$J$4:$J$14,MATCH(AI215,Settings!$I$4:$I$14,0)),"N")="Y",1,0))</f>
        <v/>
      </c>
      <c r="AK215" s="32">
        <f>IFERROR(INT(IFERROR(IF(ISNUMBER(INDEX($A215:$Z215,MATCH(Settings!$L$10,$A$1:$Z$1,0))),INDEX($A215:$Z215,MATCH(Settings!$L$10,$A$1:$Z$1,0)),DATE(VALUE(LEFT(IFERROR(TRIM(INDEX($A215:$Z215,MATCH(Settings!$L$10,$A$1:$Z$1,0))&amp;""),""),4)),VALUE(MID(IFERROR(TRIM(INDEX($A215:$Z215,MATCH(Settings!$L$10,$A$1:$Z$1,0))&amp;""),""),6,2)),VALUE(MID(IFERROR(TRIM(INDEX($A215:$Z215,MATCH(Settings!$L$10,$A$1:$Z$1,0))&amp;""),""),9,2)))+TIME(VALUE(MID(IFERROR(TRIM(INDEX($A215:$Z215,MATCH(Settings!$L$10,$A$1:$Z$1,0))&amp;""),""),12,2)),VALUE(MID(IFERROR(TRIM(INDEX($A215:$Z215,MATCH(Settings!$L$10,$A$1:$Z$1,0))&amp;""),""),15,2)),VALUE(MID(IFERROR(TRIM(INDEX($A215:$Z215,MATCH(Settings!$L$10,$A$1:$Z$1,0))&amp;""),""),18,2)))),"")),"")</f>
        <v/>
      </c>
      <c r="AL215" s="32">
        <f>IF(AE215="","",IF(ISNUMBER(AK215),AK215,IFERROR(INT(IFERROR(IF(ISNUMBER(INDEX($A215:$Z215,MATCH(Settings!$L$11,$A$1:$Z$1,0))),INDEX($A215:$Z215,MATCH(Settings!$L$11,$A$1:$Z$1,0)),DATE(VALUE(LEFT(IFERROR(TRIM(INDEX($A215:$Z215,MATCH(Settings!$L$11,$A$1:$Z$1,0))&amp;""),""),4)),VALUE(MID(IFERROR(TRIM(INDEX($A215:$Z215,MATCH(Settings!$L$11,$A$1:$Z$1,0))&amp;""),""),6,2)),VALUE(MID(IFERROR(TRIM(INDEX($A215:$Z215,MATCH(Settings!$L$11,$A$1:$Z$1,0))&amp;""),""),9,2)))+TIME(VALUE(MID(IFERROR(TRIM(INDEX($A215:$Z215,MATCH(Settings!$L$11,$A$1:$Z$1,0))&amp;""),""),12,2)),VALUE(MID(IFERROR(TRIM(INDEX($A215:$Z215,MATCH(Settings!$L$11,$A$1:$Z$1,0))&amp;""),""),15,2)),VALUE(MID(IFERROR(TRIM(INDEX($A215:$Z215,MATCH(Settings!$L$11,$A$1:$Z$1,0))&amp;""),""),18,2)))),"")),"")))</f>
        <v/>
      </c>
      <c r="AM215" s="31">
        <f>IF(AE215="","",IF(ISNUMBER(IFERROR(INDEX(Settings!$G$4:$G$11,MATCH(AH215,Settings!$F$4:$F$11,0)),"")),INDEX(Settings!$G$4:$G$11,MATCH(AH215,Settings!$F$4:$F$11,0)),Settings!$D$5))</f>
        <v/>
      </c>
      <c r="AN215" s="32">
        <f>IF(OR(AE215="",NOT(ISNUMBER(AL215)),NOT(ISNUMBER(AM215))),"",IF(AM215&lt;=0,"",IF(ISNUMBER(Settings!$D$8),DATE(YEAR(AL215)+IF(DATE(YEAR(AL215),MONTH(Settings!$D$8),DAY(Settings!$D$8))&gt;AL215,0,1),MONTH(Settings!$D$8),DAY(Settings!$D$8)),MIN(DATE(YEAR(AL215),MONTH(AL215)+AM215,DAY(AL215)),DATE(YEAR(AL215),MONTH(AL215)+AM215+1,0)))))</f>
        <v/>
      </c>
      <c r="AO215" s="31">
        <f>IF(ISNUMBER(AN215),AN215-Settings!$D$4,"")</f>
        <v/>
      </c>
      <c r="AP215" s="31">
        <f>IF(ISNUMBER(AL215),AL215+0+ROW()/100000,"")</f>
        <v/>
      </c>
      <c r="AQ215" s="31">
        <f>IF(OR(AG215="",NOT(ISNUMBER(AP215))),0,IF(SUMPRODUCT(('Responses'!$AG$2:$AG$501=AG215)*('Responses'!$AJ$2:$AJ$501=1)*ISNUMBER('Responses'!$AP$2:$AP$501)*('Responses'!$AP$2:$AP$501&gt;AP215)) + SUMPRODUCT(('Paper sign-ups'!$K$2:$K$101=AG215)*('Paper sign-ups'!$N$2:$N$101=1)*ISNUMBER('Paper sign-ups'!$T$2:$T$101)*('Paper sign-ups'!$T$2:$T$101&gt;AP215))&gt;0,1,0))</f>
        <v/>
      </c>
      <c r="AR215" s="31">
        <f>IF(AE215="","",IF(AQ215=1,"Joined again",IF(AJ215=0,"Unpaid",IF(NOT(ISNUMBER(AL215)),"Add a join date",IF(AN215="","No reminder",IF(AO215&lt;0,"Lapsed",IF(AO215&lt;=Settings!$D$6,"Remind soon","Current")))))))</f>
        <v/>
      </c>
      <c r="AS215" s="33">
        <f>IF(AJ215=1,IFERROR(VALUE(IFERROR(TRIM(INDEX($A215:$Z215,MATCH(Settings!$L$8,$A$1:$Z$1,0))&amp;""),"")),0)-IFERROR(VALUE(IFERROR(TRIM(INDEX($A215:$Z215,MATCH(Settings!$L$9,$A$1:$Z$1,0))&amp;""),"")),0),0)</f>
        <v/>
      </c>
      <c r="AT215" s="31">
        <f>IF(AND(AE215&lt;&gt;"",AQ215=0),1,0)</f>
        <v/>
      </c>
      <c r="AU215" s="31">
        <f>IF(AT215=0,"",IF(ISNUMBER(AN215),AN215,100000)+0+ROW()/1000000)</f>
        <v/>
      </c>
      <c r="AV215" s="31">
        <f>IF(ISNUMBER(AU215),SUMPRODUCT(ISNUMBER('Responses'!$AU$2:$AU$501)*('Responses'!$AU$2:$AU$501&lt;AU215)) + SUMPRODUCT(ISNUMBER('Paper sign-ups'!$Y$2:$Y$101)*('Paper sign-ups'!$Y$2:$Y$101&lt;AU215))+1,"")</f>
        <v/>
      </c>
    </row>
    <row r="216">
      <c r="AA216" s="29" t="n"/>
      <c r="AB216" s="30" t="n"/>
      <c r="AC216" s="30" t="n"/>
      <c r="AD216" s="29" t="n"/>
      <c r="AE216" s="31">
        <f>IFERROR(TRIM(INDEX($A216:$Z216,MATCH(Settings!$L$4,$A$1:$Z$1,0))&amp;""),"")</f>
        <v/>
      </c>
      <c r="AF216" s="31">
        <f>IFERROR(TRIM(INDEX($A216:$Z216,MATCH(Settings!$L$5,$A$1:$Z$1,0))&amp;""),"")</f>
        <v/>
      </c>
      <c r="AG216" s="31">
        <f>IF(AE216="","",LOWER(IF(AF216&lt;&gt;"",AF216,AE216)))</f>
        <v/>
      </c>
      <c r="AH216" s="31">
        <f>IFERROR(TRIM(INDEX($A216:$Z216,MATCH(Settings!$L$6,$A$1:$Z$1,0))&amp;""),"")</f>
        <v/>
      </c>
      <c r="AI216" s="31">
        <f>IF(AE216="","",IF(UPPER(TRIM(AB216&amp;""))="Y","Paid another way",IF(IFERROR(TRIM(INDEX($A216:$Z216,MATCH(Settings!$L$7,$A$1:$Z$1,0))&amp;""),"")="","No payment status",IFERROR(TRIM(INDEX($A216:$Z216,MATCH(Settings!$L$7,$A$1:$Z$1,0))&amp;""),""))))</f>
        <v/>
      </c>
      <c r="AJ216" s="31">
        <f>IF(AE216="",0,IF(IFERROR(INDEX(Settings!$J$4:$J$14,MATCH(AI216,Settings!$I$4:$I$14,0)),"N")="Y",1,0))</f>
        <v/>
      </c>
      <c r="AK216" s="32">
        <f>IFERROR(INT(IFERROR(IF(ISNUMBER(INDEX($A216:$Z216,MATCH(Settings!$L$10,$A$1:$Z$1,0))),INDEX($A216:$Z216,MATCH(Settings!$L$10,$A$1:$Z$1,0)),DATE(VALUE(LEFT(IFERROR(TRIM(INDEX($A216:$Z216,MATCH(Settings!$L$10,$A$1:$Z$1,0))&amp;""),""),4)),VALUE(MID(IFERROR(TRIM(INDEX($A216:$Z216,MATCH(Settings!$L$10,$A$1:$Z$1,0))&amp;""),""),6,2)),VALUE(MID(IFERROR(TRIM(INDEX($A216:$Z216,MATCH(Settings!$L$10,$A$1:$Z$1,0))&amp;""),""),9,2)))+TIME(VALUE(MID(IFERROR(TRIM(INDEX($A216:$Z216,MATCH(Settings!$L$10,$A$1:$Z$1,0))&amp;""),""),12,2)),VALUE(MID(IFERROR(TRIM(INDEX($A216:$Z216,MATCH(Settings!$L$10,$A$1:$Z$1,0))&amp;""),""),15,2)),VALUE(MID(IFERROR(TRIM(INDEX($A216:$Z216,MATCH(Settings!$L$10,$A$1:$Z$1,0))&amp;""),""),18,2)))),"")),"")</f>
        <v/>
      </c>
      <c r="AL216" s="32">
        <f>IF(AE216="","",IF(ISNUMBER(AK216),AK216,IFERROR(INT(IFERROR(IF(ISNUMBER(INDEX($A216:$Z216,MATCH(Settings!$L$11,$A$1:$Z$1,0))),INDEX($A216:$Z216,MATCH(Settings!$L$11,$A$1:$Z$1,0)),DATE(VALUE(LEFT(IFERROR(TRIM(INDEX($A216:$Z216,MATCH(Settings!$L$11,$A$1:$Z$1,0))&amp;""),""),4)),VALUE(MID(IFERROR(TRIM(INDEX($A216:$Z216,MATCH(Settings!$L$11,$A$1:$Z$1,0))&amp;""),""),6,2)),VALUE(MID(IFERROR(TRIM(INDEX($A216:$Z216,MATCH(Settings!$L$11,$A$1:$Z$1,0))&amp;""),""),9,2)))+TIME(VALUE(MID(IFERROR(TRIM(INDEX($A216:$Z216,MATCH(Settings!$L$11,$A$1:$Z$1,0))&amp;""),""),12,2)),VALUE(MID(IFERROR(TRIM(INDEX($A216:$Z216,MATCH(Settings!$L$11,$A$1:$Z$1,0))&amp;""),""),15,2)),VALUE(MID(IFERROR(TRIM(INDEX($A216:$Z216,MATCH(Settings!$L$11,$A$1:$Z$1,0))&amp;""),""),18,2)))),"")),"")))</f>
        <v/>
      </c>
      <c r="AM216" s="31">
        <f>IF(AE216="","",IF(ISNUMBER(IFERROR(INDEX(Settings!$G$4:$G$11,MATCH(AH216,Settings!$F$4:$F$11,0)),"")),INDEX(Settings!$G$4:$G$11,MATCH(AH216,Settings!$F$4:$F$11,0)),Settings!$D$5))</f>
        <v/>
      </c>
      <c r="AN216" s="32">
        <f>IF(OR(AE216="",NOT(ISNUMBER(AL216)),NOT(ISNUMBER(AM216))),"",IF(AM216&lt;=0,"",IF(ISNUMBER(Settings!$D$8),DATE(YEAR(AL216)+IF(DATE(YEAR(AL216),MONTH(Settings!$D$8),DAY(Settings!$D$8))&gt;AL216,0,1),MONTH(Settings!$D$8),DAY(Settings!$D$8)),MIN(DATE(YEAR(AL216),MONTH(AL216)+AM216,DAY(AL216)),DATE(YEAR(AL216),MONTH(AL216)+AM216+1,0)))))</f>
        <v/>
      </c>
      <c r="AO216" s="31">
        <f>IF(ISNUMBER(AN216),AN216-Settings!$D$4,"")</f>
        <v/>
      </c>
      <c r="AP216" s="31">
        <f>IF(ISNUMBER(AL216),AL216+0+ROW()/100000,"")</f>
        <v/>
      </c>
      <c r="AQ216" s="31">
        <f>IF(OR(AG216="",NOT(ISNUMBER(AP216))),0,IF(SUMPRODUCT(('Responses'!$AG$2:$AG$501=AG216)*('Responses'!$AJ$2:$AJ$501=1)*ISNUMBER('Responses'!$AP$2:$AP$501)*('Responses'!$AP$2:$AP$501&gt;AP216)) + SUMPRODUCT(('Paper sign-ups'!$K$2:$K$101=AG216)*('Paper sign-ups'!$N$2:$N$101=1)*ISNUMBER('Paper sign-ups'!$T$2:$T$101)*('Paper sign-ups'!$T$2:$T$101&gt;AP216))&gt;0,1,0))</f>
        <v/>
      </c>
      <c r="AR216" s="31">
        <f>IF(AE216="","",IF(AQ216=1,"Joined again",IF(AJ216=0,"Unpaid",IF(NOT(ISNUMBER(AL216)),"Add a join date",IF(AN216="","No reminder",IF(AO216&lt;0,"Lapsed",IF(AO216&lt;=Settings!$D$6,"Remind soon","Current")))))))</f>
        <v/>
      </c>
      <c r="AS216" s="33">
        <f>IF(AJ216=1,IFERROR(VALUE(IFERROR(TRIM(INDEX($A216:$Z216,MATCH(Settings!$L$8,$A$1:$Z$1,0))&amp;""),"")),0)-IFERROR(VALUE(IFERROR(TRIM(INDEX($A216:$Z216,MATCH(Settings!$L$9,$A$1:$Z$1,0))&amp;""),"")),0),0)</f>
        <v/>
      </c>
      <c r="AT216" s="31">
        <f>IF(AND(AE216&lt;&gt;"",AQ216=0),1,0)</f>
        <v/>
      </c>
      <c r="AU216" s="31">
        <f>IF(AT216=0,"",IF(ISNUMBER(AN216),AN216,100000)+0+ROW()/1000000)</f>
        <v/>
      </c>
      <c r="AV216" s="31">
        <f>IF(ISNUMBER(AU216),SUMPRODUCT(ISNUMBER('Responses'!$AU$2:$AU$501)*('Responses'!$AU$2:$AU$501&lt;AU216)) + SUMPRODUCT(ISNUMBER('Paper sign-ups'!$Y$2:$Y$101)*('Paper sign-ups'!$Y$2:$Y$101&lt;AU216))+1,"")</f>
        <v/>
      </c>
    </row>
    <row r="217">
      <c r="AA217" s="29" t="n"/>
      <c r="AB217" s="30" t="n"/>
      <c r="AC217" s="30" t="n"/>
      <c r="AD217" s="29" t="n"/>
      <c r="AE217" s="31">
        <f>IFERROR(TRIM(INDEX($A217:$Z217,MATCH(Settings!$L$4,$A$1:$Z$1,0))&amp;""),"")</f>
        <v/>
      </c>
      <c r="AF217" s="31">
        <f>IFERROR(TRIM(INDEX($A217:$Z217,MATCH(Settings!$L$5,$A$1:$Z$1,0))&amp;""),"")</f>
        <v/>
      </c>
      <c r="AG217" s="31">
        <f>IF(AE217="","",LOWER(IF(AF217&lt;&gt;"",AF217,AE217)))</f>
        <v/>
      </c>
      <c r="AH217" s="31">
        <f>IFERROR(TRIM(INDEX($A217:$Z217,MATCH(Settings!$L$6,$A$1:$Z$1,0))&amp;""),"")</f>
        <v/>
      </c>
      <c r="AI217" s="31">
        <f>IF(AE217="","",IF(UPPER(TRIM(AB217&amp;""))="Y","Paid another way",IF(IFERROR(TRIM(INDEX($A217:$Z217,MATCH(Settings!$L$7,$A$1:$Z$1,0))&amp;""),"")="","No payment status",IFERROR(TRIM(INDEX($A217:$Z217,MATCH(Settings!$L$7,$A$1:$Z$1,0))&amp;""),""))))</f>
        <v/>
      </c>
      <c r="AJ217" s="31">
        <f>IF(AE217="",0,IF(IFERROR(INDEX(Settings!$J$4:$J$14,MATCH(AI217,Settings!$I$4:$I$14,0)),"N")="Y",1,0))</f>
        <v/>
      </c>
      <c r="AK217" s="32">
        <f>IFERROR(INT(IFERROR(IF(ISNUMBER(INDEX($A217:$Z217,MATCH(Settings!$L$10,$A$1:$Z$1,0))),INDEX($A217:$Z217,MATCH(Settings!$L$10,$A$1:$Z$1,0)),DATE(VALUE(LEFT(IFERROR(TRIM(INDEX($A217:$Z217,MATCH(Settings!$L$10,$A$1:$Z$1,0))&amp;""),""),4)),VALUE(MID(IFERROR(TRIM(INDEX($A217:$Z217,MATCH(Settings!$L$10,$A$1:$Z$1,0))&amp;""),""),6,2)),VALUE(MID(IFERROR(TRIM(INDEX($A217:$Z217,MATCH(Settings!$L$10,$A$1:$Z$1,0))&amp;""),""),9,2)))+TIME(VALUE(MID(IFERROR(TRIM(INDEX($A217:$Z217,MATCH(Settings!$L$10,$A$1:$Z$1,0))&amp;""),""),12,2)),VALUE(MID(IFERROR(TRIM(INDEX($A217:$Z217,MATCH(Settings!$L$10,$A$1:$Z$1,0))&amp;""),""),15,2)),VALUE(MID(IFERROR(TRIM(INDEX($A217:$Z217,MATCH(Settings!$L$10,$A$1:$Z$1,0))&amp;""),""),18,2)))),"")),"")</f>
        <v/>
      </c>
      <c r="AL217" s="32">
        <f>IF(AE217="","",IF(ISNUMBER(AK217),AK217,IFERROR(INT(IFERROR(IF(ISNUMBER(INDEX($A217:$Z217,MATCH(Settings!$L$11,$A$1:$Z$1,0))),INDEX($A217:$Z217,MATCH(Settings!$L$11,$A$1:$Z$1,0)),DATE(VALUE(LEFT(IFERROR(TRIM(INDEX($A217:$Z217,MATCH(Settings!$L$11,$A$1:$Z$1,0))&amp;""),""),4)),VALUE(MID(IFERROR(TRIM(INDEX($A217:$Z217,MATCH(Settings!$L$11,$A$1:$Z$1,0))&amp;""),""),6,2)),VALUE(MID(IFERROR(TRIM(INDEX($A217:$Z217,MATCH(Settings!$L$11,$A$1:$Z$1,0))&amp;""),""),9,2)))+TIME(VALUE(MID(IFERROR(TRIM(INDEX($A217:$Z217,MATCH(Settings!$L$11,$A$1:$Z$1,0))&amp;""),""),12,2)),VALUE(MID(IFERROR(TRIM(INDEX($A217:$Z217,MATCH(Settings!$L$11,$A$1:$Z$1,0))&amp;""),""),15,2)),VALUE(MID(IFERROR(TRIM(INDEX($A217:$Z217,MATCH(Settings!$L$11,$A$1:$Z$1,0))&amp;""),""),18,2)))),"")),"")))</f>
        <v/>
      </c>
      <c r="AM217" s="31">
        <f>IF(AE217="","",IF(ISNUMBER(IFERROR(INDEX(Settings!$G$4:$G$11,MATCH(AH217,Settings!$F$4:$F$11,0)),"")),INDEX(Settings!$G$4:$G$11,MATCH(AH217,Settings!$F$4:$F$11,0)),Settings!$D$5))</f>
        <v/>
      </c>
      <c r="AN217" s="32">
        <f>IF(OR(AE217="",NOT(ISNUMBER(AL217)),NOT(ISNUMBER(AM217))),"",IF(AM217&lt;=0,"",IF(ISNUMBER(Settings!$D$8),DATE(YEAR(AL217)+IF(DATE(YEAR(AL217),MONTH(Settings!$D$8),DAY(Settings!$D$8))&gt;AL217,0,1),MONTH(Settings!$D$8),DAY(Settings!$D$8)),MIN(DATE(YEAR(AL217),MONTH(AL217)+AM217,DAY(AL217)),DATE(YEAR(AL217),MONTH(AL217)+AM217+1,0)))))</f>
        <v/>
      </c>
      <c r="AO217" s="31">
        <f>IF(ISNUMBER(AN217),AN217-Settings!$D$4,"")</f>
        <v/>
      </c>
      <c r="AP217" s="31">
        <f>IF(ISNUMBER(AL217),AL217+0+ROW()/100000,"")</f>
        <v/>
      </c>
      <c r="AQ217" s="31">
        <f>IF(OR(AG217="",NOT(ISNUMBER(AP217))),0,IF(SUMPRODUCT(('Responses'!$AG$2:$AG$501=AG217)*('Responses'!$AJ$2:$AJ$501=1)*ISNUMBER('Responses'!$AP$2:$AP$501)*('Responses'!$AP$2:$AP$501&gt;AP217)) + SUMPRODUCT(('Paper sign-ups'!$K$2:$K$101=AG217)*('Paper sign-ups'!$N$2:$N$101=1)*ISNUMBER('Paper sign-ups'!$T$2:$T$101)*('Paper sign-ups'!$T$2:$T$101&gt;AP217))&gt;0,1,0))</f>
        <v/>
      </c>
      <c r="AR217" s="31">
        <f>IF(AE217="","",IF(AQ217=1,"Joined again",IF(AJ217=0,"Unpaid",IF(NOT(ISNUMBER(AL217)),"Add a join date",IF(AN217="","No reminder",IF(AO217&lt;0,"Lapsed",IF(AO217&lt;=Settings!$D$6,"Remind soon","Current")))))))</f>
        <v/>
      </c>
      <c r="AS217" s="33">
        <f>IF(AJ217=1,IFERROR(VALUE(IFERROR(TRIM(INDEX($A217:$Z217,MATCH(Settings!$L$8,$A$1:$Z$1,0))&amp;""),"")),0)-IFERROR(VALUE(IFERROR(TRIM(INDEX($A217:$Z217,MATCH(Settings!$L$9,$A$1:$Z$1,0))&amp;""),"")),0),0)</f>
        <v/>
      </c>
      <c r="AT217" s="31">
        <f>IF(AND(AE217&lt;&gt;"",AQ217=0),1,0)</f>
        <v/>
      </c>
      <c r="AU217" s="31">
        <f>IF(AT217=0,"",IF(ISNUMBER(AN217),AN217,100000)+0+ROW()/1000000)</f>
        <v/>
      </c>
      <c r="AV217" s="31">
        <f>IF(ISNUMBER(AU217),SUMPRODUCT(ISNUMBER('Responses'!$AU$2:$AU$501)*('Responses'!$AU$2:$AU$501&lt;AU217)) + SUMPRODUCT(ISNUMBER('Paper sign-ups'!$Y$2:$Y$101)*('Paper sign-ups'!$Y$2:$Y$101&lt;AU217))+1,"")</f>
        <v/>
      </c>
    </row>
    <row r="218">
      <c r="AA218" s="29" t="n"/>
      <c r="AB218" s="30" t="n"/>
      <c r="AC218" s="30" t="n"/>
      <c r="AD218" s="29" t="n"/>
      <c r="AE218" s="31">
        <f>IFERROR(TRIM(INDEX($A218:$Z218,MATCH(Settings!$L$4,$A$1:$Z$1,0))&amp;""),"")</f>
        <v/>
      </c>
      <c r="AF218" s="31">
        <f>IFERROR(TRIM(INDEX($A218:$Z218,MATCH(Settings!$L$5,$A$1:$Z$1,0))&amp;""),"")</f>
        <v/>
      </c>
      <c r="AG218" s="31">
        <f>IF(AE218="","",LOWER(IF(AF218&lt;&gt;"",AF218,AE218)))</f>
        <v/>
      </c>
      <c r="AH218" s="31">
        <f>IFERROR(TRIM(INDEX($A218:$Z218,MATCH(Settings!$L$6,$A$1:$Z$1,0))&amp;""),"")</f>
        <v/>
      </c>
      <c r="AI218" s="31">
        <f>IF(AE218="","",IF(UPPER(TRIM(AB218&amp;""))="Y","Paid another way",IF(IFERROR(TRIM(INDEX($A218:$Z218,MATCH(Settings!$L$7,$A$1:$Z$1,0))&amp;""),"")="","No payment status",IFERROR(TRIM(INDEX($A218:$Z218,MATCH(Settings!$L$7,$A$1:$Z$1,0))&amp;""),""))))</f>
        <v/>
      </c>
      <c r="AJ218" s="31">
        <f>IF(AE218="",0,IF(IFERROR(INDEX(Settings!$J$4:$J$14,MATCH(AI218,Settings!$I$4:$I$14,0)),"N")="Y",1,0))</f>
        <v/>
      </c>
      <c r="AK218" s="32">
        <f>IFERROR(INT(IFERROR(IF(ISNUMBER(INDEX($A218:$Z218,MATCH(Settings!$L$10,$A$1:$Z$1,0))),INDEX($A218:$Z218,MATCH(Settings!$L$10,$A$1:$Z$1,0)),DATE(VALUE(LEFT(IFERROR(TRIM(INDEX($A218:$Z218,MATCH(Settings!$L$10,$A$1:$Z$1,0))&amp;""),""),4)),VALUE(MID(IFERROR(TRIM(INDEX($A218:$Z218,MATCH(Settings!$L$10,$A$1:$Z$1,0))&amp;""),""),6,2)),VALUE(MID(IFERROR(TRIM(INDEX($A218:$Z218,MATCH(Settings!$L$10,$A$1:$Z$1,0))&amp;""),""),9,2)))+TIME(VALUE(MID(IFERROR(TRIM(INDEX($A218:$Z218,MATCH(Settings!$L$10,$A$1:$Z$1,0))&amp;""),""),12,2)),VALUE(MID(IFERROR(TRIM(INDEX($A218:$Z218,MATCH(Settings!$L$10,$A$1:$Z$1,0))&amp;""),""),15,2)),VALUE(MID(IFERROR(TRIM(INDEX($A218:$Z218,MATCH(Settings!$L$10,$A$1:$Z$1,0))&amp;""),""),18,2)))),"")),"")</f>
        <v/>
      </c>
      <c r="AL218" s="32">
        <f>IF(AE218="","",IF(ISNUMBER(AK218),AK218,IFERROR(INT(IFERROR(IF(ISNUMBER(INDEX($A218:$Z218,MATCH(Settings!$L$11,$A$1:$Z$1,0))),INDEX($A218:$Z218,MATCH(Settings!$L$11,$A$1:$Z$1,0)),DATE(VALUE(LEFT(IFERROR(TRIM(INDEX($A218:$Z218,MATCH(Settings!$L$11,$A$1:$Z$1,0))&amp;""),""),4)),VALUE(MID(IFERROR(TRIM(INDEX($A218:$Z218,MATCH(Settings!$L$11,$A$1:$Z$1,0))&amp;""),""),6,2)),VALUE(MID(IFERROR(TRIM(INDEX($A218:$Z218,MATCH(Settings!$L$11,$A$1:$Z$1,0))&amp;""),""),9,2)))+TIME(VALUE(MID(IFERROR(TRIM(INDEX($A218:$Z218,MATCH(Settings!$L$11,$A$1:$Z$1,0))&amp;""),""),12,2)),VALUE(MID(IFERROR(TRIM(INDEX($A218:$Z218,MATCH(Settings!$L$11,$A$1:$Z$1,0))&amp;""),""),15,2)),VALUE(MID(IFERROR(TRIM(INDEX($A218:$Z218,MATCH(Settings!$L$11,$A$1:$Z$1,0))&amp;""),""),18,2)))),"")),"")))</f>
        <v/>
      </c>
      <c r="AM218" s="31">
        <f>IF(AE218="","",IF(ISNUMBER(IFERROR(INDEX(Settings!$G$4:$G$11,MATCH(AH218,Settings!$F$4:$F$11,0)),"")),INDEX(Settings!$G$4:$G$11,MATCH(AH218,Settings!$F$4:$F$11,0)),Settings!$D$5))</f>
        <v/>
      </c>
      <c r="AN218" s="32">
        <f>IF(OR(AE218="",NOT(ISNUMBER(AL218)),NOT(ISNUMBER(AM218))),"",IF(AM218&lt;=0,"",IF(ISNUMBER(Settings!$D$8),DATE(YEAR(AL218)+IF(DATE(YEAR(AL218),MONTH(Settings!$D$8),DAY(Settings!$D$8))&gt;AL218,0,1),MONTH(Settings!$D$8),DAY(Settings!$D$8)),MIN(DATE(YEAR(AL218),MONTH(AL218)+AM218,DAY(AL218)),DATE(YEAR(AL218),MONTH(AL218)+AM218+1,0)))))</f>
        <v/>
      </c>
      <c r="AO218" s="31">
        <f>IF(ISNUMBER(AN218),AN218-Settings!$D$4,"")</f>
        <v/>
      </c>
      <c r="AP218" s="31">
        <f>IF(ISNUMBER(AL218),AL218+0+ROW()/100000,"")</f>
        <v/>
      </c>
      <c r="AQ218" s="31">
        <f>IF(OR(AG218="",NOT(ISNUMBER(AP218))),0,IF(SUMPRODUCT(('Responses'!$AG$2:$AG$501=AG218)*('Responses'!$AJ$2:$AJ$501=1)*ISNUMBER('Responses'!$AP$2:$AP$501)*('Responses'!$AP$2:$AP$501&gt;AP218)) + SUMPRODUCT(('Paper sign-ups'!$K$2:$K$101=AG218)*('Paper sign-ups'!$N$2:$N$101=1)*ISNUMBER('Paper sign-ups'!$T$2:$T$101)*('Paper sign-ups'!$T$2:$T$101&gt;AP218))&gt;0,1,0))</f>
        <v/>
      </c>
      <c r="AR218" s="31">
        <f>IF(AE218="","",IF(AQ218=1,"Joined again",IF(AJ218=0,"Unpaid",IF(NOT(ISNUMBER(AL218)),"Add a join date",IF(AN218="","No reminder",IF(AO218&lt;0,"Lapsed",IF(AO218&lt;=Settings!$D$6,"Remind soon","Current")))))))</f>
        <v/>
      </c>
      <c r="AS218" s="33">
        <f>IF(AJ218=1,IFERROR(VALUE(IFERROR(TRIM(INDEX($A218:$Z218,MATCH(Settings!$L$8,$A$1:$Z$1,0))&amp;""),"")),0)-IFERROR(VALUE(IFERROR(TRIM(INDEX($A218:$Z218,MATCH(Settings!$L$9,$A$1:$Z$1,0))&amp;""),"")),0),0)</f>
        <v/>
      </c>
      <c r="AT218" s="31">
        <f>IF(AND(AE218&lt;&gt;"",AQ218=0),1,0)</f>
        <v/>
      </c>
      <c r="AU218" s="31">
        <f>IF(AT218=0,"",IF(ISNUMBER(AN218),AN218,100000)+0+ROW()/1000000)</f>
        <v/>
      </c>
      <c r="AV218" s="31">
        <f>IF(ISNUMBER(AU218),SUMPRODUCT(ISNUMBER('Responses'!$AU$2:$AU$501)*('Responses'!$AU$2:$AU$501&lt;AU218)) + SUMPRODUCT(ISNUMBER('Paper sign-ups'!$Y$2:$Y$101)*('Paper sign-ups'!$Y$2:$Y$101&lt;AU218))+1,"")</f>
        <v/>
      </c>
    </row>
    <row r="219">
      <c r="AA219" s="29" t="n"/>
      <c r="AB219" s="30" t="n"/>
      <c r="AC219" s="30" t="n"/>
      <c r="AD219" s="29" t="n"/>
      <c r="AE219" s="31">
        <f>IFERROR(TRIM(INDEX($A219:$Z219,MATCH(Settings!$L$4,$A$1:$Z$1,0))&amp;""),"")</f>
        <v/>
      </c>
      <c r="AF219" s="31">
        <f>IFERROR(TRIM(INDEX($A219:$Z219,MATCH(Settings!$L$5,$A$1:$Z$1,0))&amp;""),"")</f>
        <v/>
      </c>
      <c r="AG219" s="31">
        <f>IF(AE219="","",LOWER(IF(AF219&lt;&gt;"",AF219,AE219)))</f>
        <v/>
      </c>
      <c r="AH219" s="31">
        <f>IFERROR(TRIM(INDEX($A219:$Z219,MATCH(Settings!$L$6,$A$1:$Z$1,0))&amp;""),"")</f>
        <v/>
      </c>
      <c r="AI219" s="31">
        <f>IF(AE219="","",IF(UPPER(TRIM(AB219&amp;""))="Y","Paid another way",IF(IFERROR(TRIM(INDEX($A219:$Z219,MATCH(Settings!$L$7,$A$1:$Z$1,0))&amp;""),"")="","No payment status",IFERROR(TRIM(INDEX($A219:$Z219,MATCH(Settings!$L$7,$A$1:$Z$1,0))&amp;""),""))))</f>
        <v/>
      </c>
      <c r="AJ219" s="31">
        <f>IF(AE219="",0,IF(IFERROR(INDEX(Settings!$J$4:$J$14,MATCH(AI219,Settings!$I$4:$I$14,0)),"N")="Y",1,0))</f>
        <v/>
      </c>
      <c r="AK219" s="32">
        <f>IFERROR(INT(IFERROR(IF(ISNUMBER(INDEX($A219:$Z219,MATCH(Settings!$L$10,$A$1:$Z$1,0))),INDEX($A219:$Z219,MATCH(Settings!$L$10,$A$1:$Z$1,0)),DATE(VALUE(LEFT(IFERROR(TRIM(INDEX($A219:$Z219,MATCH(Settings!$L$10,$A$1:$Z$1,0))&amp;""),""),4)),VALUE(MID(IFERROR(TRIM(INDEX($A219:$Z219,MATCH(Settings!$L$10,$A$1:$Z$1,0))&amp;""),""),6,2)),VALUE(MID(IFERROR(TRIM(INDEX($A219:$Z219,MATCH(Settings!$L$10,$A$1:$Z$1,0))&amp;""),""),9,2)))+TIME(VALUE(MID(IFERROR(TRIM(INDEX($A219:$Z219,MATCH(Settings!$L$10,$A$1:$Z$1,0))&amp;""),""),12,2)),VALUE(MID(IFERROR(TRIM(INDEX($A219:$Z219,MATCH(Settings!$L$10,$A$1:$Z$1,0))&amp;""),""),15,2)),VALUE(MID(IFERROR(TRIM(INDEX($A219:$Z219,MATCH(Settings!$L$10,$A$1:$Z$1,0))&amp;""),""),18,2)))),"")),"")</f>
        <v/>
      </c>
      <c r="AL219" s="32">
        <f>IF(AE219="","",IF(ISNUMBER(AK219),AK219,IFERROR(INT(IFERROR(IF(ISNUMBER(INDEX($A219:$Z219,MATCH(Settings!$L$11,$A$1:$Z$1,0))),INDEX($A219:$Z219,MATCH(Settings!$L$11,$A$1:$Z$1,0)),DATE(VALUE(LEFT(IFERROR(TRIM(INDEX($A219:$Z219,MATCH(Settings!$L$11,$A$1:$Z$1,0))&amp;""),""),4)),VALUE(MID(IFERROR(TRIM(INDEX($A219:$Z219,MATCH(Settings!$L$11,$A$1:$Z$1,0))&amp;""),""),6,2)),VALUE(MID(IFERROR(TRIM(INDEX($A219:$Z219,MATCH(Settings!$L$11,$A$1:$Z$1,0))&amp;""),""),9,2)))+TIME(VALUE(MID(IFERROR(TRIM(INDEX($A219:$Z219,MATCH(Settings!$L$11,$A$1:$Z$1,0))&amp;""),""),12,2)),VALUE(MID(IFERROR(TRIM(INDEX($A219:$Z219,MATCH(Settings!$L$11,$A$1:$Z$1,0))&amp;""),""),15,2)),VALUE(MID(IFERROR(TRIM(INDEX($A219:$Z219,MATCH(Settings!$L$11,$A$1:$Z$1,0))&amp;""),""),18,2)))),"")),"")))</f>
        <v/>
      </c>
      <c r="AM219" s="31">
        <f>IF(AE219="","",IF(ISNUMBER(IFERROR(INDEX(Settings!$G$4:$G$11,MATCH(AH219,Settings!$F$4:$F$11,0)),"")),INDEX(Settings!$G$4:$G$11,MATCH(AH219,Settings!$F$4:$F$11,0)),Settings!$D$5))</f>
        <v/>
      </c>
      <c r="AN219" s="32">
        <f>IF(OR(AE219="",NOT(ISNUMBER(AL219)),NOT(ISNUMBER(AM219))),"",IF(AM219&lt;=0,"",IF(ISNUMBER(Settings!$D$8),DATE(YEAR(AL219)+IF(DATE(YEAR(AL219),MONTH(Settings!$D$8),DAY(Settings!$D$8))&gt;AL219,0,1),MONTH(Settings!$D$8),DAY(Settings!$D$8)),MIN(DATE(YEAR(AL219),MONTH(AL219)+AM219,DAY(AL219)),DATE(YEAR(AL219),MONTH(AL219)+AM219+1,0)))))</f>
        <v/>
      </c>
      <c r="AO219" s="31">
        <f>IF(ISNUMBER(AN219),AN219-Settings!$D$4,"")</f>
        <v/>
      </c>
      <c r="AP219" s="31">
        <f>IF(ISNUMBER(AL219),AL219+0+ROW()/100000,"")</f>
        <v/>
      </c>
      <c r="AQ219" s="31">
        <f>IF(OR(AG219="",NOT(ISNUMBER(AP219))),0,IF(SUMPRODUCT(('Responses'!$AG$2:$AG$501=AG219)*('Responses'!$AJ$2:$AJ$501=1)*ISNUMBER('Responses'!$AP$2:$AP$501)*('Responses'!$AP$2:$AP$501&gt;AP219)) + SUMPRODUCT(('Paper sign-ups'!$K$2:$K$101=AG219)*('Paper sign-ups'!$N$2:$N$101=1)*ISNUMBER('Paper sign-ups'!$T$2:$T$101)*('Paper sign-ups'!$T$2:$T$101&gt;AP219))&gt;0,1,0))</f>
        <v/>
      </c>
      <c r="AR219" s="31">
        <f>IF(AE219="","",IF(AQ219=1,"Joined again",IF(AJ219=0,"Unpaid",IF(NOT(ISNUMBER(AL219)),"Add a join date",IF(AN219="","No reminder",IF(AO219&lt;0,"Lapsed",IF(AO219&lt;=Settings!$D$6,"Remind soon","Current")))))))</f>
        <v/>
      </c>
      <c r="AS219" s="33">
        <f>IF(AJ219=1,IFERROR(VALUE(IFERROR(TRIM(INDEX($A219:$Z219,MATCH(Settings!$L$8,$A$1:$Z$1,0))&amp;""),"")),0)-IFERROR(VALUE(IFERROR(TRIM(INDEX($A219:$Z219,MATCH(Settings!$L$9,$A$1:$Z$1,0))&amp;""),"")),0),0)</f>
        <v/>
      </c>
      <c r="AT219" s="31">
        <f>IF(AND(AE219&lt;&gt;"",AQ219=0),1,0)</f>
        <v/>
      </c>
      <c r="AU219" s="31">
        <f>IF(AT219=0,"",IF(ISNUMBER(AN219),AN219,100000)+0+ROW()/1000000)</f>
        <v/>
      </c>
      <c r="AV219" s="31">
        <f>IF(ISNUMBER(AU219),SUMPRODUCT(ISNUMBER('Responses'!$AU$2:$AU$501)*('Responses'!$AU$2:$AU$501&lt;AU219)) + SUMPRODUCT(ISNUMBER('Paper sign-ups'!$Y$2:$Y$101)*('Paper sign-ups'!$Y$2:$Y$101&lt;AU219))+1,"")</f>
        <v/>
      </c>
    </row>
    <row r="220">
      <c r="AA220" s="29" t="n"/>
      <c r="AB220" s="30" t="n"/>
      <c r="AC220" s="30" t="n"/>
      <c r="AD220" s="29" t="n"/>
      <c r="AE220" s="31">
        <f>IFERROR(TRIM(INDEX($A220:$Z220,MATCH(Settings!$L$4,$A$1:$Z$1,0))&amp;""),"")</f>
        <v/>
      </c>
      <c r="AF220" s="31">
        <f>IFERROR(TRIM(INDEX($A220:$Z220,MATCH(Settings!$L$5,$A$1:$Z$1,0))&amp;""),"")</f>
        <v/>
      </c>
      <c r="AG220" s="31">
        <f>IF(AE220="","",LOWER(IF(AF220&lt;&gt;"",AF220,AE220)))</f>
        <v/>
      </c>
      <c r="AH220" s="31">
        <f>IFERROR(TRIM(INDEX($A220:$Z220,MATCH(Settings!$L$6,$A$1:$Z$1,0))&amp;""),"")</f>
        <v/>
      </c>
      <c r="AI220" s="31">
        <f>IF(AE220="","",IF(UPPER(TRIM(AB220&amp;""))="Y","Paid another way",IF(IFERROR(TRIM(INDEX($A220:$Z220,MATCH(Settings!$L$7,$A$1:$Z$1,0))&amp;""),"")="","No payment status",IFERROR(TRIM(INDEX($A220:$Z220,MATCH(Settings!$L$7,$A$1:$Z$1,0))&amp;""),""))))</f>
        <v/>
      </c>
      <c r="AJ220" s="31">
        <f>IF(AE220="",0,IF(IFERROR(INDEX(Settings!$J$4:$J$14,MATCH(AI220,Settings!$I$4:$I$14,0)),"N")="Y",1,0))</f>
        <v/>
      </c>
      <c r="AK220" s="32">
        <f>IFERROR(INT(IFERROR(IF(ISNUMBER(INDEX($A220:$Z220,MATCH(Settings!$L$10,$A$1:$Z$1,0))),INDEX($A220:$Z220,MATCH(Settings!$L$10,$A$1:$Z$1,0)),DATE(VALUE(LEFT(IFERROR(TRIM(INDEX($A220:$Z220,MATCH(Settings!$L$10,$A$1:$Z$1,0))&amp;""),""),4)),VALUE(MID(IFERROR(TRIM(INDEX($A220:$Z220,MATCH(Settings!$L$10,$A$1:$Z$1,0))&amp;""),""),6,2)),VALUE(MID(IFERROR(TRIM(INDEX($A220:$Z220,MATCH(Settings!$L$10,$A$1:$Z$1,0))&amp;""),""),9,2)))+TIME(VALUE(MID(IFERROR(TRIM(INDEX($A220:$Z220,MATCH(Settings!$L$10,$A$1:$Z$1,0))&amp;""),""),12,2)),VALUE(MID(IFERROR(TRIM(INDEX($A220:$Z220,MATCH(Settings!$L$10,$A$1:$Z$1,0))&amp;""),""),15,2)),VALUE(MID(IFERROR(TRIM(INDEX($A220:$Z220,MATCH(Settings!$L$10,$A$1:$Z$1,0))&amp;""),""),18,2)))),"")),"")</f>
        <v/>
      </c>
      <c r="AL220" s="32">
        <f>IF(AE220="","",IF(ISNUMBER(AK220),AK220,IFERROR(INT(IFERROR(IF(ISNUMBER(INDEX($A220:$Z220,MATCH(Settings!$L$11,$A$1:$Z$1,0))),INDEX($A220:$Z220,MATCH(Settings!$L$11,$A$1:$Z$1,0)),DATE(VALUE(LEFT(IFERROR(TRIM(INDEX($A220:$Z220,MATCH(Settings!$L$11,$A$1:$Z$1,0))&amp;""),""),4)),VALUE(MID(IFERROR(TRIM(INDEX($A220:$Z220,MATCH(Settings!$L$11,$A$1:$Z$1,0))&amp;""),""),6,2)),VALUE(MID(IFERROR(TRIM(INDEX($A220:$Z220,MATCH(Settings!$L$11,$A$1:$Z$1,0))&amp;""),""),9,2)))+TIME(VALUE(MID(IFERROR(TRIM(INDEX($A220:$Z220,MATCH(Settings!$L$11,$A$1:$Z$1,0))&amp;""),""),12,2)),VALUE(MID(IFERROR(TRIM(INDEX($A220:$Z220,MATCH(Settings!$L$11,$A$1:$Z$1,0))&amp;""),""),15,2)),VALUE(MID(IFERROR(TRIM(INDEX($A220:$Z220,MATCH(Settings!$L$11,$A$1:$Z$1,0))&amp;""),""),18,2)))),"")),"")))</f>
        <v/>
      </c>
      <c r="AM220" s="31">
        <f>IF(AE220="","",IF(ISNUMBER(IFERROR(INDEX(Settings!$G$4:$G$11,MATCH(AH220,Settings!$F$4:$F$11,0)),"")),INDEX(Settings!$G$4:$G$11,MATCH(AH220,Settings!$F$4:$F$11,0)),Settings!$D$5))</f>
        <v/>
      </c>
      <c r="AN220" s="32">
        <f>IF(OR(AE220="",NOT(ISNUMBER(AL220)),NOT(ISNUMBER(AM220))),"",IF(AM220&lt;=0,"",IF(ISNUMBER(Settings!$D$8),DATE(YEAR(AL220)+IF(DATE(YEAR(AL220),MONTH(Settings!$D$8),DAY(Settings!$D$8))&gt;AL220,0,1),MONTH(Settings!$D$8),DAY(Settings!$D$8)),MIN(DATE(YEAR(AL220),MONTH(AL220)+AM220,DAY(AL220)),DATE(YEAR(AL220),MONTH(AL220)+AM220+1,0)))))</f>
        <v/>
      </c>
      <c r="AO220" s="31">
        <f>IF(ISNUMBER(AN220),AN220-Settings!$D$4,"")</f>
        <v/>
      </c>
      <c r="AP220" s="31">
        <f>IF(ISNUMBER(AL220),AL220+0+ROW()/100000,"")</f>
        <v/>
      </c>
      <c r="AQ220" s="31">
        <f>IF(OR(AG220="",NOT(ISNUMBER(AP220))),0,IF(SUMPRODUCT(('Responses'!$AG$2:$AG$501=AG220)*('Responses'!$AJ$2:$AJ$501=1)*ISNUMBER('Responses'!$AP$2:$AP$501)*('Responses'!$AP$2:$AP$501&gt;AP220)) + SUMPRODUCT(('Paper sign-ups'!$K$2:$K$101=AG220)*('Paper sign-ups'!$N$2:$N$101=1)*ISNUMBER('Paper sign-ups'!$T$2:$T$101)*('Paper sign-ups'!$T$2:$T$101&gt;AP220))&gt;0,1,0))</f>
        <v/>
      </c>
      <c r="AR220" s="31">
        <f>IF(AE220="","",IF(AQ220=1,"Joined again",IF(AJ220=0,"Unpaid",IF(NOT(ISNUMBER(AL220)),"Add a join date",IF(AN220="","No reminder",IF(AO220&lt;0,"Lapsed",IF(AO220&lt;=Settings!$D$6,"Remind soon","Current")))))))</f>
        <v/>
      </c>
      <c r="AS220" s="33">
        <f>IF(AJ220=1,IFERROR(VALUE(IFERROR(TRIM(INDEX($A220:$Z220,MATCH(Settings!$L$8,$A$1:$Z$1,0))&amp;""),"")),0)-IFERROR(VALUE(IFERROR(TRIM(INDEX($A220:$Z220,MATCH(Settings!$L$9,$A$1:$Z$1,0))&amp;""),"")),0),0)</f>
        <v/>
      </c>
      <c r="AT220" s="31">
        <f>IF(AND(AE220&lt;&gt;"",AQ220=0),1,0)</f>
        <v/>
      </c>
      <c r="AU220" s="31">
        <f>IF(AT220=0,"",IF(ISNUMBER(AN220),AN220,100000)+0+ROW()/1000000)</f>
        <v/>
      </c>
      <c r="AV220" s="31">
        <f>IF(ISNUMBER(AU220),SUMPRODUCT(ISNUMBER('Responses'!$AU$2:$AU$501)*('Responses'!$AU$2:$AU$501&lt;AU220)) + SUMPRODUCT(ISNUMBER('Paper sign-ups'!$Y$2:$Y$101)*('Paper sign-ups'!$Y$2:$Y$101&lt;AU220))+1,"")</f>
        <v/>
      </c>
    </row>
    <row r="221">
      <c r="AA221" s="29" t="n"/>
      <c r="AB221" s="30" t="n"/>
      <c r="AC221" s="30" t="n"/>
      <c r="AD221" s="29" t="n"/>
      <c r="AE221" s="31">
        <f>IFERROR(TRIM(INDEX($A221:$Z221,MATCH(Settings!$L$4,$A$1:$Z$1,0))&amp;""),"")</f>
        <v/>
      </c>
      <c r="AF221" s="31">
        <f>IFERROR(TRIM(INDEX($A221:$Z221,MATCH(Settings!$L$5,$A$1:$Z$1,0))&amp;""),"")</f>
        <v/>
      </c>
      <c r="AG221" s="31">
        <f>IF(AE221="","",LOWER(IF(AF221&lt;&gt;"",AF221,AE221)))</f>
        <v/>
      </c>
      <c r="AH221" s="31">
        <f>IFERROR(TRIM(INDEX($A221:$Z221,MATCH(Settings!$L$6,$A$1:$Z$1,0))&amp;""),"")</f>
        <v/>
      </c>
      <c r="AI221" s="31">
        <f>IF(AE221="","",IF(UPPER(TRIM(AB221&amp;""))="Y","Paid another way",IF(IFERROR(TRIM(INDEX($A221:$Z221,MATCH(Settings!$L$7,$A$1:$Z$1,0))&amp;""),"")="","No payment status",IFERROR(TRIM(INDEX($A221:$Z221,MATCH(Settings!$L$7,$A$1:$Z$1,0))&amp;""),""))))</f>
        <v/>
      </c>
      <c r="AJ221" s="31">
        <f>IF(AE221="",0,IF(IFERROR(INDEX(Settings!$J$4:$J$14,MATCH(AI221,Settings!$I$4:$I$14,0)),"N")="Y",1,0))</f>
        <v/>
      </c>
      <c r="AK221" s="32">
        <f>IFERROR(INT(IFERROR(IF(ISNUMBER(INDEX($A221:$Z221,MATCH(Settings!$L$10,$A$1:$Z$1,0))),INDEX($A221:$Z221,MATCH(Settings!$L$10,$A$1:$Z$1,0)),DATE(VALUE(LEFT(IFERROR(TRIM(INDEX($A221:$Z221,MATCH(Settings!$L$10,$A$1:$Z$1,0))&amp;""),""),4)),VALUE(MID(IFERROR(TRIM(INDEX($A221:$Z221,MATCH(Settings!$L$10,$A$1:$Z$1,0))&amp;""),""),6,2)),VALUE(MID(IFERROR(TRIM(INDEX($A221:$Z221,MATCH(Settings!$L$10,$A$1:$Z$1,0))&amp;""),""),9,2)))+TIME(VALUE(MID(IFERROR(TRIM(INDEX($A221:$Z221,MATCH(Settings!$L$10,$A$1:$Z$1,0))&amp;""),""),12,2)),VALUE(MID(IFERROR(TRIM(INDEX($A221:$Z221,MATCH(Settings!$L$10,$A$1:$Z$1,0))&amp;""),""),15,2)),VALUE(MID(IFERROR(TRIM(INDEX($A221:$Z221,MATCH(Settings!$L$10,$A$1:$Z$1,0))&amp;""),""),18,2)))),"")),"")</f>
        <v/>
      </c>
      <c r="AL221" s="32">
        <f>IF(AE221="","",IF(ISNUMBER(AK221),AK221,IFERROR(INT(IFERROR(IF(ISNUMBER(INDEX($A221:$Z221,MATCH(Settings!$L$11,$A$1:$Z$1,0))),INDEX($A221:$Z221,MATCH(Settings!$L$11,$A$1:$Z$1,0)),DATE(VALUE(LEFT(IFERROR(TRIM(INDEX($A221:$Z221,MATCH(Settings!$L$11,$A$1:$Z$1,0))&amp;""),""),4)),VALUE(MID(IFERROR(TRIM(INDEX($A221:$Z221,MATCH(Settings!$L$11,$A$1:$Z$1,0))&amp;""),""),6,2)),VALUE(MID(IFERROR(TRIM(INDEX($A221:$Z221,MATCH(Settings!$L$11,$A$1:$Z$1,0))&amp;""),""),9,2)))+TIME(VALUE(MID(IFERROR(TRIM(INDEX($A221:$Z221,MATCH(Settings!$L$11,$A$1:$Z$1,0))&amp;""),""),12,2)),VALUE(MID(IFERROR(TRIM(INDEX($A221:$Z221,MATCH(Settings!$L$11,$A$1:$Z$1,0))&amp;""),""),15,2)),VALUE(MID(IFERROR(TRIM(INDEX($A221:$Z221,MATCH(Settings!$L$11,$A$1:$Z$1,0))&amp;""),""),18,2)))),"")),"")))</f>
        <v/>
      </c>
      <c r="AM221" s="31">
        <f>IF(AE221="","",IF(ISNUMBER(IFERROR(INDEX(Settings!$G$4:$G$11,MATCH(AH221,Settings!$F$4:$F$11,0)),"")),INDEX(Settings!$G$4:$G$11,MATCH(AH221,Settings!$F$4:$F$11,0)),Settings!$D$5))</f>
        <v/>
      </c>
      <c r="AN221" s="32">
        <f>IF(OR(AE221="",NOT(ISNUMBER(AL221)),NOT(ISNUMBER(AM221))),"",IF(AM221&lt;=0,"",IF(ISNUMBER(Settings!$D$8),DATE(YEAR(AL221)+IF(DATE(YEAR(AL221),MONTH(Settings!$D$8),DAY(Settings!$D$8))&gt;AL221,0,1),MONTH(Settings!$D$8),DAY(Settings!$D$8)),MIN(DATE(YEAR(AL221),MONTH(AL221)+AM221,DAY(AL221)),DATE(YEAR(AL221),MONTH(AL221)+AM221+1,0)))))</f>
        <v/>
      </c>
      <c r="AO221" s="31">
        <f>IF(ISNUMBER(AN221),AN221-Settings!$D$4,"")</f>
        <v/>
      </c>
      <c r="AP221" s="31">
        <f>IF(ISNUMBER(AL221),AL221+0+ROW()/100000,"")</f>
        <v/>
      </c>
      <c r="AQ221" s="31">
        <f>IF(OR(AG221="",NOT(ISNUMBER(AP221))),0,IF(SUMPRODUCT(('Responses'!$AG$2:$AG$501=AG221)*('Responses'!$AJ$2:$AJ$501=1)*ISNUMBER('Responses'!$AP$2:$AP$501)*('Responses'!$AP$2:$AP$501&gt;AP221)) + SUMPRODUCT(('Paper sign-ups'!$K$2:$K$101=AG221)*('Paper sign-ups'!$N$2:$N$101=1)*ISNUMBER('Paper sign-ups'!$T$2:$T$101)*('Paper sign-ups'!$T$2:$T$101&gt;AP221))&gt;0,1,0))</f>
        <v/>
      </c>
      <c r="AR221" s="31">
        <f>IF(AE221="","",IF(AQ221=1,"Joined again",IF(AJ221=0,"Unpaid",IF(NOT(ISNUMBER(AL221)),"Add a join date",IF(AN221="","No reminder",IF(AO221&lt;0,"Lapsed",IF(AO221&lt;=Settings!$D$6,"Remind soon","Current")))))))</f>
        <v/>
      </c>
      <c r="AS221" s="33">
        <f>IF(AJ221=1,IFERROR(VALUE(IFERROR(TRIM(INDEX($A221:$Z221,MATCH(Settings!$L$8,$A$1:$Z$1,0))&amp;""),"")),0)-IFERROR(VALUE(IFERROR(TRIM(INDEX($A221:$Z221,MATCH(Settings!$L$9,$A$1:$Z$1,0))&amp;""),"")),0),0)</f>
        <v/>
      </c>
      <c r="AT221" s="31">
        <f>IF(AND(AE221&lt;&gt;"",AQ221=0),1,0)</f>
        <v/>
      </c>
      <c r="AU221" s="31">
        <f>IF(AT221=0,"",IF(ISNUMBER(AN221),AN221,100000)+0+ROW()/1000000)</f>
        <v/>
      </c>
      <c r="AV221" s="31">
        <f>IF(ISNUMBER(AU221),SUMPRODUCT(ISNUMBER('Responses'!$AU$2:$AU$501)*('Responses'!$AU$2:$AU$501&lt;AU221)) + SUMPRODUCT(ISNUMBER('Paper sign-ups'!$Y$2:$Y$101)*('Paper sign-ups'!$Y$2:$Y$101&lt;AU221))+1,"")</f>
        <v/>
      </c>
    </row>
    <row r="222">
      <c r="AA222" s="29" t="n"/>
      <c r="AB222" s="30" t="n"/>
      <c r="AC222" s="30" t="n"/>
      <c r="AD222" s="29" t="n"/>
      <c r="AE222" s="31">
        <f>IFERROR(TRIM(INDEX($A222:$Z222,MATCH(Settings!$L$4,$A$1:$Z$1,0))&amp;""),"")</f>
        <v/>
      </c>
      <c r="AF222" s="31">
        <f>IFERROR(TRIM(INDEX($A222:$Z222,MATCH(Settings!$L$5,$A$1:$Z$1,0))&amp;""),"")</f>
        <v/>
      </c>
      <c r="AG222" s="31">
        <f>IF(AE222="","",LOWER(IF(AF222&lt;&gt;"",AF222,AE222)))</f>
        <v/>
      </c>
      <c r="AH222" s="31">
        <f>IFERROR(TRIM(INDEX($A222:$Z222,MATCH(Settings!$L$6,$A$1:$Z$1,0))&amp;""),"")</f>
        <v/>
      </c>
      <c r="AI222" s="31">
        <f>IF(AE222="","",IF(UPPER(TRIM(AB222&amp;""))="Y","Paid another way",IF(IFERROR(TRIM(INDEX($A222:$Z222,MATCH(Settings!$L$7,$A$1:$Z$1,0))&amp;""),"")="","No payment status",IFERROR(TRIM(INDEX($A222:$Z222,MATCH(Settings!$L$7,$A$1:$Z$1,0))&amp;""),""))))</f>
        <v/>
      </c>
      <c r="AJ222" s="31">
        <f>IF(AE222="",0,IF(IFERROR(INDEX(Settings!$J$4:$J$14,MATCH(AI222,Settings!$I$4:$I$14,0)),"N")="Y",1,0))</f>
        <v/>
      </c>
      <c r="AK222" s="32">
        <f>IFERROR(INT(IFERROR(IF(ISNUMBER(INDEX($A222:$Z222,MATCH(Settings!$L$10,$A$1:$Z$1,0))),INDEX($A222:$Z222,MATCH(Settings!$L$10,$A$1:$Z$1,0)),DATE(VALUE(LEFT(IFERROR(TRIM(INDEX($A222:$Z222,MATCH(Settings!$L$10,$A$1:$Z$1,0))&amp;""),""),4)),VALUE(MID(IFERROR(TRIM(INDEX($A222:$Z222,MATCH(Settings!$L$10,$A$1:$Z$1,0))&amp;""),""),6,2)),VALUE(MID(IFERROR(TRIM(INDEX($A222:$Z222,MATCH(Settings!$L$10,$A$1:$Z$1,0))&amp;""),""),9,2)))+TIME(VALUE(MID(IFERROR(TRIM(INDEX($A222:$Z222,MATCH(Settings!$L$10,$A$1:$Z$1,0))&amp;""),""),12,2)),VALUE(MID(IFERROR(TRIM(INDEX($A222:$Z222,MATCH(Settings!$L$10,$A$1:$Z$1,0))&amp;""),""),15,2)),VALUE(MID(IFERROR(TRIM(INDEX($A222:$Z222,MATCH(Settings!$L$10,$A$1:$Z$1,0))&amp;""),""),18,2)))),"")),"")</f>
        <v/>
      </c>
      <c r="AL222" s="32">
        <f>IF(AE222="","",IF(ISNUMBER(AK222),AK222,IFERROR(INT(IFERROR(IF(ISNUMBER(INDEX($A222:$Z222,MATCH(Settings!$L$11,$A$1:$Z$1,0))),INDEX($A222:$Z222,MATCH(Settings!$L$11,$A$1:$Z$1,0)),DATE(VALUE(LEFT(IFERROR(TRIM(INDEX($A222:$Z222,MATCH(Settings!$L$11,$A$1:$Z$1,0))&amp;""),""),4)),VALUE(MID(IFERROR(TRIM(INDEX($A222:$Z222,MATCH(Settings!$L$11,$A$1:$Z$1,0))&amp;""),""),6,2)),VALUE(MID(IFERROR(TRIM(INDEX($A222:$Z222,MATCH(Settings!$L$11,$A$1:$Z$1,0))&amp;""),""),9,2)))+TIME(VALUE(MID(IFERROR(TRIM(INDEX($A222:$Z222,MATCH(Settings!$L$11,$A$1:$Z$1,0))&amp;""),""),12,2)),VALUE(MID(IFERROR(TRIM(INDEX($A222:$Z222,MATCH(Settings!$L$11,$A$1:$Z$1,0))&amp;""),""),15,2)),VALUE(MID(IFERROR(TRIM(INDEX($A222:$Z222,MATCH(Settings!$L$11,$A$1:$Z$1,0))&amp;""),""),18,2)))),"")),"")))</f>
        <v/>
      </c>
      <c r="AM222" s="31">
        <f>IF(AE222="","",IF(ISNUMBER(IFERROR(INDEX(Settings!$G$4:$G$11,MATCH(AH222,Settings!$F$4:$F$11,0)),"")),INDEX(Settings!$G$4:$G$11,MATCH(AH222,Settings!$F$4:$F$11,0)),Settings!$D$5))</f>
        <v/>
      </c>
      <c r="AN222" s="32">
        <f>IF(OR(AE222="",NOT(ISNUMBER(AL222)),NOT(ISNUMBER(AM222))),"",IF(AM222&lt;=0,"",IF(ISNUMBER(Settings!$D$8),DATE(YEAR(AL222)+IF(DATE(YEAR(AL222),MONTH(Settings!$D$8),DAY(Settings!$D$8))&gt;AL222,0,1),MONTH(Settings!$D$8),DAY(Settings!$D$8)),MIN(DATE(YEAR(AL222),MONTH(AL222)+AM222,DAY(AL222)),DATE(YEAR(AL222),MONTH(AL222)+AM222+1,0)))))</f>
        <v/>
      </c>
      <c r="AO222" s="31">
        <f>IF(ISNUMBER(AN222),AN222-Settings!$D$4,"")</f>
        <v/>
      </c>
      <c r="AP222" s="31">
        <f>IF(ISNUMBER(AL222),AL222+0+ROW()/100000,"")</f>
        <v/>
      </c>
      <c r="AQ222" s="31">
        <f>IF(OR(AG222="",NOT(ISNUMBER(AP222))),0,IF(SUMPRODUCT(('Responses'!$AG$2:$AG$501=AG222)*('Responses'!$AJ$2:$AJ$501=1)*ISNUMBER('Responses'!$AP$2:$AP$501)*('Responses'!$AP$2:$AP$501&gt;AP222)) + SUMPRODUCT(('Paper sign-ups'!$K$2:$K$101=AG222)*('Paper sign-ups'!$N$2:$N$101=1)*ISNUMBER('Paper sign-ups'!$T$2:$T$101)*('Paper sign-ups'!$T$2:$T$101&gt;AP222))&gt;0,1,0))</f>
        <v/>
      </c>
      <c r="AR222" s="31">
        <f>IF(AE222="","",IF(AQ222=1,"Joined again",IF(AJ222=0,"Unpaid",IF(NOT(ISNUMBER(AL222)),"Add a join date",IF(AN222="","No reminder",IF(AO222&lt;0,"Lapsed",IF(AO222&lt;=Settings!$D$6,"Remind soon","Current")))))))</f>
        <v/>
      </c>
      <c r="AS222" s="33">
        <f>IF(AJ222=1,IFERROR(VALUE(IFERROR(TRIM(INDEX($A222:$Z222,MATCH(Settings!$L$8,$A$1:$Z$1,0))&amp;""),"")),0)-IFERROR(VALUE(IFERROR(TRIM(INDEX($A222:$Z222,MATCH(Settings!$L$9,$A$1:$Z$1,0))&amp;""),"")),0),0)</f>
        <v/>
      </c>
      <c r="AT222" s="31">
        <f>IF(AND(AE222&lt;&gt;"",AQ222=0),1,0)</f>
        <v/>
      </c>
      <c r="AU222" s="31">
        <f>IF(AT222=0,"",IF(ISNUMBER(AN222),AN222,100000)+0+ROW()/1000000)</f>
        <v/>
      </c>
      <c r="AV222" s="31">
        <f>IF(ISNUMBER(AU222),SUMPRODUCT(ISNUMBER('Responses'!$AU$2:$AU$501)*('Responses'!$AU$2:$AU$501&lt;AU222)) + SUMPRODUCT(ISNUMBER('Paper sign-ups'!$Y$2:$Y$101)*('Paper sign-ups'!$Y$2:$Y$101&lt;AU222))+1,"")</f>
        <v/>
      </c>
    </row>
    <row r="223">
      <c r="AA223" s="29" t="n"/>
      <c r="AB223" s="30" t="n"/>
      <c r="AC223" s="30" t="n"/>
      <c r="AD223" s="29" t="n"/>
      <c r="AE223" s="31">
        <f>IFERROR(TRIM(INDEX($A223:$Z223,MATCH(Settings!$L$4,$A$1:$Z$1,0))&amp;""),"")</f>
        <v/>
      </c>
      <c r="AF223" s="31">
        <f>IFERROR(TRIM(INDEX($A223:$Z223,MATCH(Settings!$L$5,$A$1:$Z$1,0))&amp;""),"")</f>
        <v/>
      </c>
      <c r="AG223" s="31">
        <f>IF(AE223="","",LOWER(IF(AF223&lt;&gt;"",AF223,AE223)))</f>
        <v/>
      </c>
      <c r="AH223" s="31">
        <f>IFERROR(TRIM(INDEX($A223:$Z223,MATCH(Settings!$L$6,$A$1:$Z$1,0))&amp;""),"")</f>
        <v/>
      </c>
      <c r="AI223" s="31">
        <f>IF(AE223="","",IF(UPPER(TRIM(AB223&amp;""))="Y","Paid another way",IF(IFERROR(TRIM(INDEX($A223:$Z223,MATCH(Settings!$L$7,$A$1:$Z$1,0))&amp;""),"")="","No payment status",IFERROR(TRIM(INDEX($A223:$Z223,MATCH(Settings!$L$7,$A$1:$Z$1,0))&amp;""),""))))</f>
        <v/>
      </c>
      <c r="AJ223" s="31">
        <f>IF(AE223="",0,IF(IFERROR(INDEX(Settings!$J$4:$J$14,MATCH(AI223,Settings!$I$4:$I$14,0)),"N")="Y",1,0))</f>
        <v/>
      </c>
      <c r="AK223" s="32">
        <f>IFERROR(INT(IFERROR(IF(ISNUMBER(INDEX($A223:$Z223,MATCH(Settings!$L$10,$A$1:$Z$1,0))),INDEX($A223:$Z223,MATCH(Settings!$L$10,$A$1:$Z$1,0)),DATE(VALUE(LEFT(IFERROR(TRIM(INDEX($A223:$Z223,MATCH(Settings!$L$10,$A$1:$Z$1,0))&amp;""),""),4)),VALUE(MID(IFERROR(TRIM(INDEX($A223:$Z223,MATCH(Settings!$L$10,$A$1:$Z$1,0))&amp;""),""),6,2)),VALUE(MID(IFERROR(TRIM(INDEX($A223:$Z223,MATCH(Settings!$L$10,$A$1:$Z$1,0))&amp;""),""),9,2)))+TIME(VALUE(MID(IFERROR(TRIM(INDEX($A223:$Z223,MATCH(Settings!$L$10,$A$1:$Z$1,0))&amp;""),""),12,2)),VALUE(MID(IFERROR(TRIM(INDEX($A223:$Z223,MATCH(Settings!$L$10,$A$1:$Z$1,0))&amp;""),""),15,2)),VALUE(MID(IFERROR(TRIM(INDEX($A223:$Z223,MATCH(Settings!$L$10,$A$1:$Z$1,0))&amp;""),""),18,2)))),"")),"")</f>
        <v/>
      </c>
      <c r="AL223" s="32">
        <f>IF(AE223="","",IF(ISNUMBER(AK223),AK223,IFERROR(INT(IFERROR(IF(ISNUMBER(INDEX($A223:$Z223,MATCH(Settings!$L$11,$A$1:$Z$1,0))),INDEX($A223:$Z223,MATCH(Settings!$L$11,$A$1:$Z$1,0)),DATE(VALUE(LEFT(IFERROR(TRIM(INDEX($A223:$Z223,MATCH(Settings!$L$11,$A$1:$Z$1,0))&amp;""),""),4)),VALUE(MID(IFERROR(TRIM(INDEX($A223:$Z223,MATCH(Settings!$L$11,$A$1:$Z$1,0))&amp;""),""),6,2)),VALUE(MID(IFERROR(TRIM(INDEX($A223:$Z223,MATCH(Settings!$L$11,$A$1:$Z$1,0))&amp;""),""),9,2)))+TIME(VALUE(MID(IFERROR(TRIM(INDEX($A223:$Z223,MATCH(Settings!$L$11,$A$1:$Z$1,0))&amp;""),""),12,2)),VALUE(MID(IFERROR(TRIM(INDEX($A223:$Z223,MATCH(Settings!$L$11,$A$1:$Z$1,0))&amp;""),""),15,2)),VALUE(MID(IFERROR(TRIM(INDEX($A223:$Z223,MATCH(Settings!$L$11,$A$1:$Z$1,0))&amp;""),""),18,2)))),"")),"")))</f>
        <v/>
      </c>
      <c r="AM223" s="31">
        <f>IF(AE223="","",IF(ISNUMBER(IFERROR(INDEX(Settings!$G$4:$G$11,MATCH(AH223,Settings!$F$4:$F$11,0)),"")),INDEX(Settings!$G$4:$G$11,MATCH(AH223,Settings!$F$4:$F$11,0)),Settings!$D$5))</f>
        <v/>
      </c>
      <c r="AN223" s="32">
        <f>IF(OR(AE223="",NOT(ISNUMBER(AL223)),NOT(ISNUMBER(AM223))),"",IF(AM223&lt;=0,"",IF(ISNUMBER(Settings!$D$8),DATE(YEAR(AL223)+IF(DATE(YEAR(AL223),MONTH(Settings!$D$8),DAY(Settings!$D$8))&gt;AL223,0,1),MONTH(Settings!$D$8),DAY(Settings!$D$8)),MIN(DATE(YEAR(AL223),MONTH(AL223)+AM223,DAY(AL223)),DATE(YEAR(AL223),MONTH(AL223)+AM223+1,0)))))</f>
        <v/>
      </c>
      <c r="AO223" s="31">
        <f>IF(ISNUMBER(AN223),AN223-Settings!$D$4,"")</f>
        <v/>
      </c>
      <c r="AP223" s="31">
        <f>IF(ISNUMBER(AL223),AL223+0+ROW()/100000,"")</f>
        <v/>
      </c>
      <c r="AQ223" s="31">
        <f>IF(OR(AG223="",NOT(ISNUMBER(AP223))),0,IF(SUMPRODUCT(('Responses'!$AG$2:$AG$501=AG223)*('Responses'!$AJ$2:$AJ$501=1)*ISNUMBER('Responses'!$AP$2:$AP$501)*('Responses'!$AP$2:$AP$501&gt;AP223)) + SUMPRODUCT(('Paper sign-ups'!$K$2:$K$101=AG223)*('Paper sign-ups'!$N$2:$N$101=1)*ISNUMBER('Paper sign-ups'!$T$2:$T$101)*('Paper sign-ups'!$T$2:$T$101&gt;AP223))&gt;0,1,0))</f>
        <v/>
      </c>
      <c r="AR223" s="31">
        <f>IF(AE223="","",IF(AQ223=1,"Joined again",IF(AJ223=0,"Unpaid",IF(NOT(ISNUMBER(AL223)),"Add a join date",IF(AN223="","No reminder",IF(AO223&lt;0,"Lapsed",IF(AO223&lt;=Settings!$D$6,"Remind soon","Current")))))))</f>
        <v/>
      </c>
      <c r="AS223" s="33">
        <f>IF(AJ223=1,IFERROR(VALUE(IFERROR(TRIM(INDEX($A223:$Z223,MATCH(Settings!$L$8,$A$1:$Z$1,0))&amp;""),"")),0)-IFERROR(VALUE(IFERROR(TRIM(INDEX($A223:$Z223,MATCH(Settings!$L$9,$A$1:$Z$1,0))&amp;""),"")),0),0)</f>
        <v/>
      </c>
      <c r="AT223" s="31">
        <f>IF(AND(AE223&lt;&gt;"",AQ223=0),1,0)</f>
        <v/>
      </c>
      <c r="AU223" s="31">
        <f>IF(AT223=0,"",IF(ISNUMBER(AN223),AN223,100000)+0+ROW()/1000000)</f>
        <v/>
      </c>
      <c r="AV223" s="31">
        <f>IF(ISNUMBER(AU223),SUMPRODUCT(ISNUMBER('Responses'!$AU$2:$AU$501)*('Responses'!$AU$2:$AU$501&lt;AU223)) + SUMPRODUCT(ISNUMBER('Paper sign-ups'!$Y$2:$Y$101)*('Paper sign-ups'!$Y$2:$Y$101&lt;AU223))+1,"")</f>
        <v/>
      </c>
    </row>
    <row r="224">
      <c r="AA224" s="29" t="n"/>
      <c r="AB224" s="30" t="n"/>
      <c r="AC224" s="30" t="n"/>
      <c r="AD224" s="29" t="n"/>
      <c r="AE224" s="31">
        <f>IFERROR(TRIM(INDEX($A224:$Z224,MATCH(Settings!$L$4,$A$1:$Z$1,0))&amp;""),"")</f>
        <v/>
      </c>
      <c r="AF224" s="31">
        <f>IFERROR(TRIM(INDEX($A224:$Z224,MATCH(Settings!$L$5,$A$1:$Z$1,0))&amp;""),"")</f>
        <v/>
      </c>
      <c r="AG224" s="31">
        <f>IF(AE224="","",LOWER(IF(AF224&lt;&gt;"",AF224,AE224)))</f>
        <v/>
      </c>
      <c r="AH224" s="31">
        <f>IFERROR(TRIM(INDEX($A224:$Z224,MATCH(Settings!$L$6,$A$1:$Z$1,0))&amp;""),"")</f>
        <v/>
      </c>
      <c r="AI224" s="31">
        <f>IF(AE224="","",IF(UPPER(TRIM(AB224&amp;""))="Y","Paid another way",IF(IFERROR(TRIM(INDEX($A224:$Z224,MATCH(Settings!$L$7,$A$1:$Z$1,0))&amp;""),"")="","No payment status",IFERROR(TRIM(INDEX($A224:$Z224,MATCH(Settings!$L$7,$A$1:$Z$1,0))&amp;""),""))))</f>
        <v/>
      </c>
      <c r="AJ224" s="31">
        <f>IF(AE224="",0,IF(IFERROR(INDEX(Settings!$J$4:$J$14,MATCH(AI224,Settings!$I$4:$I$14,0)),"N")="Y",1,0))</f>
        <v/>
      </c>
      <c r="AK224" s="32">
        <f>IFERROR(INT(IFERROR(IF(ISNUMBER(INDEX($A224:$Z224,MATCH(Settings!$L$10,$A$1:$Z$1,0))),INDEX($A224:$Z224,MATCH(Settings!$L$10,$A$1:$Z$1,0)),DATE(VALUE(LEFT(IFERROR(TRIM(INDEX($A224:$Z224,MATCH(Settings!$L$10,$A$1:$Z$1,0))&amp;""),""),4)),VALUE(MID(IFERROR(TRIM(INDEX($A224:$Z224,MATCH(Settings!$L$10,$A$1:$Z$1,0))&amp;""),""),6,2)),VALUE(MID(IFERROR(TRIM(INDEX($A224:$Z224,MATCH(Settings!$L$10,$A$1:$Z$1,0))&amp;""),""),9,2)))+TIME(VALUE(MID(IFERROR(TRIM(INDEX($A224:$Z224,MATCH(Settings!$L$10,$A$1:$Z$1,0))&amp;""),""),12,2)),VALUE(MID(IFERROR(TRIM(INDEX($A224:$Z224,MATCH(Settings!$L$10,$A$1:$Z$1,0))&amp;""),""),15,2)),VALUE(MID(IFERROR(TRIM(INDEX($A224:$Z224,MATCH(Settings!$L$10,$A$1:$Z$1,0))&amp;""),""),18,2)))),"")),"")</f>
        <v/>
      </c>
      <c r="AL224" s="32">
        <f>IF(AE224="","",IF(ISNUMBER(AK224),AK224,IFERROR(INT(IFERROR(IF(ISNUMBER(INDEX($A224:$Z224,MATCH(Settings!$L$11,$A$1:$Z$1,0))),INDEX($A224:$Z224,MATCH(Settings!$L$11,$A$1:$Z$1,0)),DATE(VALUE(LEFT(IFERROR(TRIM(INDEX($A224:$Z224,MATCH(Settings!$L$11,$A$1:$Z$1,0))&amp;""),""),4)),VALUE(MID(IFERROR(TRIM(INDEX($A224:$Z224,MATCH(Settings!$L$11,$A$1:$Z$1,0))&amp;""),""),6,2)),VALUE(MID(IFERROR(TRIM(INDEX($A224:$Z224,MATCH(Settings!$L$11,$A$1:$Z$1,0))&amp;""),""),9,2)))+TIME(VALUE(MID(IFERROR(TRIM(INDEX($A224:$Z224,MATCH(Settings!$L$11,$A$1:$Z$1,0))&amp;""),""),12,2)),VALUE(MID(IFERROR(TRIM(INDEX($A224:$Z224,MATCH(Settings!$L$11,$A$1:$Z$1,0))&amp;""),""),15,2)),VALUE(MID(IFERROR(TRIM(INDEX($A224:$Z224,MATCH(Settings!$L$11,$A$1:$Z$1,0))&amp;""),""),18,2)))),"")),"")))</f>
        <v/>
      </c>
      <c r="AM224" s="31">
        <f>IF(AE224="","",IF(ISNUMBER(IFERROR(INDEX(Settings!$G$4:$G$11,MATCH(AH224,Settings!$F$4:$F$11,0)),"")),INDEX(Settings!$G$4:$G$11,MATCH(AH224,Settings!$F$4:$F$11,0)),Settings!$D$5))</f>
        <v/>
      </c>
      <c r="AN224" s="32">
        <f>IF(OR(AE224="",NOT(ISNUMBER(AL224)),NOT(ISNUMBER(AM224))),"",IF(AM224&lt;=0,"",IF(ISNUMBER(Settings!$D$8),DATE(YEAR(AL224)+IF(DATE(YEAR(AL224),MONTH(Settings!$D$8),DAY(Settings!$D$8))&gt;AL224,0,1),MONTH(Settings!$D$8),DAY(Settings!$D$8)),MIN(DATE(YEAR(AL224),MONTH(AL224)+AM224,DAY(AL224)),DATE(YEAR(AL224),MONTH(AL224)+AM224+1,0)))))</f>
        <v/>
      </c>
      <c r="AO224" s="31">
        <f>IF(ISNUMBER(AN224),AN224-Settings!$D$4,"")</f>
        <v/>
      </c>
      <c r="AP224" s="31">
        <f>IF(ISNUMBER(AL224),AL224+0+ROW()/100000,"")</f>
        <v/>
      </c>
      <c r="AQ224" s="31">
        <f>IF(OR(AG224="",NOT(ISNUMBER(AP224))),0,IF(SUMPRODUCT(('Responses'!$AG$2:$AG$501=AG224)*('Responses'!$AJ$2:$AJ$501=1)*ISNUMBER('Responses'!$AP$2:$AP$501)*('Responses'!$AP$2:$AP$501&gt;AP224)) + SUMPRODUCT(('Paper sign-ups'!$K$2:$K$101=AG224)*('Paper sign-ups'!$N$2:$N$101=1)*ISNUMBER('Paper sign-ups'!$T$2:$T$101)*('Paper sign-ups'!$T$2:$T$101&gt;AP224))&gt;0,1,0))</f>
        <v/>
      </c>
      <c r="AR224" s="31">
        <f>IF(AE224="","",IF(AQ224=1,"Joined again",IF(AJ224=0,"Unpaid",IF(NOT(ISNUMBER(AL224)),"Add a join date",IF(AN224="","No reminder",IF(AO224&lt;0,"Lapsed",IF(AO224&lt;=Settings!$D$6,"Remind soon","Current")))))))</f>
        <v/>
      </c>
      <c r="AS224" s="33">
        <f>IF(AJ224=1,IFERROR(VALUE(IFERROR(TRIM(INDEX($A224:$Z224,MATCH(Settings!$L$8,$A$1:$Z$1,0))&amp;""),"")),0)-IFERROR(VALUE(IFERROR(TRIM(INDEX($A224:$Z224,MATCH(Settings!$L$9,$A$1:$Z$1,0))&amp;""),"")),0),0)</f>
        <v/>
      </c>
      <c r="AT224" s="31">
        <f>IF(AND(AE224&lt;&gt;"",AQ224=0),1,0)</f>
        <v/>
      </c>
      <c r="AU224" s="31">
        <f>IF(AT224=0,"",IF(ISNUMBER(AN224),AN224,100000)+0+ROW()/1000000)</f>
        <v/>
      </c>
      <c r="AV224" s="31">
        <f>IF(ISNUMBER(AU224),SUMPRODUCT(ISNUMBER('Responses'!$AU$2:$AU$501)*('Responses'!$AU$2:$AU$501&lt;AU224)) + SUMPRODUCT(ISNUMBER('Paper sign-ups'!$Y$2:$Y$101)*('Paper sign-ups'!$Y$2:$Y$101&lt;AU224))+1,"")</f>
        <v/>
      </c>
    </row>
    <row r="225">
      <c r="AA225" s="29" t="n"/>
      <c r="AB225" s="30" t="n"/>
      <c r="AC225" s="30" t="n"/>
      <c r="AD225" s="29" t="n"/>
      <c r="AE225" s="31">
        <f>IFERROR(TRIM(INDEX($A225:$Z225,MATCH(Settings!$L$4,$A$1:$Z$1,0))&amp;""),"")</f>
        <v/>
      </c>
      <c r="AF225" s="31">
        <f>IFERROR(TRIM(INDEX($A225:$Z225,MATCH(Settings!$L$5,$A$1:$Z$1,0))&amp;""),"")</f>
        <v/>
      </c>
      <c r="AG225" s="31">
        <f>IF(AE225="","",LOWER(IF(AF225&lt;&gt;"",AF225,AE225)))</f>
        <v/>
      </c>
      <c r="AH225" s="31">
        <f>IFERROR(TRIM(INDEX($A225:$Z225,MATCH(Settings!$L$6,$A$1:$Z$1,0))&amp;""),"")</f>
        <v/>
      </c>
      <c r="AI225" s="31">
        <f>IF(AE225="","",IF(UPPER(TRIM(AB225&amp;""))="Y","Paid another way",IF(IFERROR(TRIM(INDEX($A225:$Z225,MATCH(Settings!$L$7,$A$1:$Z$1,0))&amp;""),"")="","No payment status",IFERROR(TRIM(INDEX($A225:$Z225,MATCH(Settings!$L$7,$A$1:$Z$1,0))&amp;""),""))))</f>
        <v/>
      </c>
      <c r="AJ225" s="31">
        <f>IF(AE225="",0,IF(IFERROR(INDEX(Settings!$J$4:$J$14,MATCH(AI225,Settings!$I$4:$I$14,0)),"N")="Y",1,0))</f>
        <v/>
      </c>
      <c r="AK225" s="32">
        <f>IFERROR(INT(IFERROR(IF(ISNUMBER(INDEX($A225:$Z225,MATCH(Settings!$L$10,$A$1:$Z$1,0))),INDEX($A225:$Z225,MATCH(Settings!$L$10,$A$1:$Z$1,0)),DATE(VALUE(LEFT(IFERROR(TRIM(INDEX($A225:$Z225,MATCH(Settings!$L$10,$A$1:$Z$1,0))&amp;""),""),4)),VALUE(MID(IFERROR(TRIM(INDEX($A225:$Z225,MATCH(Settings!$L$10,$A$1:$Z$1,0))&amp;""),""),6,2)),VALUE(MID(IFERROR(TRIM(INDEX($A225:$Z225,MATCH(Settings!$L$10,$A$1:$Z$1,0))&amp;""),""),9,2)))+TIME(VALUE(MID(IFERROR(TRIM(INDEX($A225:$Z225,MATCH(Settings!$L$10,$A$1:$Z$1,0))&amp;""),""),12,2)),VALUE(MID(IFERROR(TRIM(INDEX($A225:$Z225,MATCH(Settings!$L$10,$A$1:$Z$1,0))&amp;""),""),15,2)),VALUE(MID(IFERROR(TRIM(INDEX($A225:$Z225,MATCH(Settings!$L$10,$A$1:$Z$1,0))&amp;""),""),18,2)))),"")),"")</f>
        <v/>
      </c>
      <c r="AL225" s="32">
        <f>IF(AE225="","",IF(ISNUMBER(AK225),AK225,IFERROR(INT(IFERROR(IF(ISNUMBER(INDEX($A225:$Z225,MATCH(Settings!$L$11,$A$1:$Z$1,0))),INDEX($A225:$Z225,MATCH(Settings!$L$11,$A$1:$Z$1,0)),DATE(VALUE(LEFT(IFERROR(TRIM(INDEX($A225:$Z225,MATCH(Settings!$L$11,$A$1:$Z$1,0))&amp;""),""),4)),VALUE(MID(IFERROR(TRIM(INDEX($A225:$Z225,MATCH(Settings!$L$11,$A$1:$Z$1,0))&amp;""),""),6,2)),VALUE(MID(IFERROR(TRIM(INDEX($A225:$Z225,MATCH(Settings!$L$11,$A$1:$Z$1,0))&amp;""),""),9,2)))+TIME(VALUE(MID(IFERROR(TRIM(INDEX($A225:$Z225,MATCH(Settings!$L$11,$A$1:$Z$1,0))&amp;""),""),12,2)),VALUE(MID(IFERROR(TRIM(INDEX($A225:$Z225,MATCH(Settings!$L$11,$A$1:$Z$1,0))&amp;""),""),15,2)),VALUE(MID(IFERROR(TRIM(INDEX($A225:$Z225,MATCH(Settings!$L$11,$A$1:$Z$1,0))&amp;""),""),18,2)))),"")),"")))</f>
        <v/>
      </c>
      <c r="AM225" s="31">
        <f>IF(AE225="","",IF(ISNUMBER(IFERROR(INDEX(Settings!$G$4:$G$11,MATCH(AH225,Settings!$F$4:$F$11,0)),"")),INDEX(Settings!$G$4:$G$11,MATCH(AH225,Settings!$F$4:$F$11,0)),Settings!$D$5))</f>
        <v/>
      </c>
      <c r="AN225" s="32">
        <f>IF(OR(AE225="",NOT(ISNUMBER(AL225)),NOT(ISNUMBER(AM225))),"",IF(AM225&lt;=0,"",IF(ISNUMBER(Settings!$D$8),DATE(YEAR(AL225)+IF(DATE(YEAR(AL225),MONTH(Settings!$D$8),DAY(Settings!$D$8))&gt;AL225,0,1),MONTH(Settings!$D$8),DAY(Settings!$D$8)),MIN(DATE(YEAR(AL225),MONTH(AL225)+AM225,DAY(AL225)),DATE(YEAR(AL225),MONTH(AL225)+AM225+1,0)))))</f>
        <v/>
      </c>
      <c r="AO225" s="31">
        <f>IF(ISNUMBER(AN225),AN225-Settings!$D$4,"")</f>
        <v/>
      </c>
      <c r="AP225" s="31">
        <f>IF(ISNUMBER(AL225),AL225+0+ROW()/100000,"")</f>
        <v/>
      </c>
      <c r="AQ225" s="31">
        <f>IF(OR(AG225="",NOT(ISNUMBER(AP225))),0,IF(SUMPRODUCT(('Responses'!$AG$2:$AG$501=AG225)*('Responses'!$AJ$2:$AJ$501=1)*ISNUMBER('Responses'!$AP$2:$AP$501)*('Responses'!$AP$2:$AP$501&gt;AP225)) + SUMPRODUCT(('Paper sign-ups'!$K$2:$K$101=AG225)*('Paper sign-ups'!$N$2:$N$101=1)*ISNUMBER('Paper sign-ups'!$T$2:$T$101)*('Paper sign-ups'!$T$2:$T$101&gt;AP225))&gt;0,1,0))</f>
        <v/>
      </c>
      <c r="AR225" s="31">
        <f>IF(AE225="","",IF(AQ225=1,"Joined again",IF(AJ225=0,"Unpaid",IF(NOT(ISNUMBER(AL225)),"Add a join date",IF(AN225="","No reminder",IF(AO225&lt;0,"Lapsed",IF(AO225&lt;=Settings!$D$6,"Remind soon","Current")))))))</f>
        <v/>
      </c>
      <c r="AS225" s="33">
        <f>IF(AJ225=1,IFERROR(VALUE(IFERROR(TRIM(INDEX($A225:$Z225,MATCH(Settings!$L$8,$A$1:$Z$1,0))&amp;""),"")),0)-IFERROR(VALUE(IFERROR(TRIM(INDEX($A225:$Z225,MATCH(Settings!$L$9,$A$1:$Z$1,0))&amp;""),"")),0),0)</f>
        <v/>
      </c>
      <c r="AT225" s="31">
        <f>IF(AND(AE225&lt;&gt;"",AQ225=0),1,0)</f>
        <v/>
      </c>
      <c r="AU225" s="31">
        <f>IF(AT225=0,"",IF(ISNUMBER(AN225),AN225,100000)+0+ROW()/1000000)</f>
        <v/>
      </c>
      <c r="AV225" s="31">
        <f>IF(ISNUMBER(AU225),SUMPRODUCT(ISNUMBER('Responses'!$AU$2:$AU$501)*('Responses'!$AU$2:$AU$501&lt;AU225)) + SUMPRODUCT(ISNUMBER('Paper sign-ups'!$Y$2:$Y$101)*('Paper sign-ups'!$Y$2:$Y$101&lt;AU225))+1,"")</f>
        <v/>
      </c>
    </row>
    <row r="226">
      <c r="AA226" s="29" t="n"/>
      <c r="AB226" s="30" t="n"/>
      <c r="AC226" s="30" t="n"/>
      <c r="AD226" s="29" t="n"/>
      <c r="AE226" s="31">
        <f>IFERROR(TRIM(INDEX($A226:$Z226,MATCH(Settings!$L$4,$A$1:$Z$1,0))&amp;""),"")</f>
        <v/>
      </c>
      <c r="AF226" s="31">
        <f>IFERROR(TRIM(INDEX($A226:$Z226,MATCH(Settings!$L$5,$A$1:$Z$1,0))&amp;""),"")</f>
        <v/>
      </c>
      <c r="AG226" s="31">
        <f>IF(AE226="","",LOWER(IF(AF226&lt;&gt;"",AF226,AE226)))</f>
        <v/>
      </c>
      <c r="AH226" s="31">
        <f>IFERROR(TRIM(INDEX($A226:$Z226,MATCH(Settings!$L$6,$A$1:$Z$1,0))&amp;""),"")</f>
        <v/>
      </c>
      <c r="AI226" s="31">
        <f>IF(AE226="","",IF(UPPER(TRIM(AB226&amp;""))="Y","Paid another way",IF(IFERROR(TRIM(INDEX($A226:$Z226,MATCH(Settings!$L$7,$A$1:$Z$1,0))&amp;""),"")="","No payment status",IFERROR(TRIM(INDEX($A226:$Z226,MATCH(Settings!$L$7,$A$1:$Z$1,0))&amp;""),""))))</f>
        <v/>
      </c>
      <c r="AJ226" s="31">
        <f>IF(AE226="",0,IF(IFERROR(INDEX(Settings!$J$4:$J$14,MATCH(AI226,Settings!$I$4:$I$14,0)),"N")="Y",1,0))</f>
        <v/>
      </c>
      <c r="AK226" s="32">
        <f>IFERROR(INT(IFERROR(IF(ISNUMBER(INDEX($A226:$Z226,MATCH(Settings!$L$10,$A$1:$Z$1,0))),INDEX($A226:$Z226,MATCH(Settings!$L$10,$A$1:$Z$1,0)),DATE(VALUE(LEFT(IFERROR(TRIM(INDEX($A226:$Z226,MATCH(Settings!$L$10,$A$1:$Z$1,0))&amp;""),""),4)),VALUE(MID(IFERROR(TRIM(INDEX($A226:$Z226,MATCH(Settings!$L$10,$A$1:$Z$1,0))&amp;""),""),6,2)),VALUE(MID(IFERROR(TRIM(INDEX($A226:$Z226,MATCH(Settings!$L$10,$A$1:$Z$1,0))&amp;""),""),9,2)))+TIME(VALUE(MID(IFERROR(TRIM(INDEX($A226:$Z226,MATCH(Settings!$L$10,$A$1:$Z$1,0))&amp;""),""),12,2)),VALUE(MID(IFERROR(TRIM(INDEX($A226:$Z226,MATCH(Settings!$L$10,$A$1:$Z$1,0))&amp;""),""),15,2)),VALUE(MID(IFERROR(TRIM(INDEX($A226:$Z226,MATCH(Settings!$L$10,$A$1:$Z$1,0))&amp;""),""),18,2)))),"")),"")</f>
        <v/>
      </c>
      <c r="AL226" s="32">
        <f>IF(AE226="","",IF(ISNUMBER(AK226),AK226,IFERROR(INT(IFERROR(IF(ISNUMBER(INDEX($A226:$Z226,MATCH(Settings!$L$11,$A$1:$Z$1,0))),INDEX($A226:$Z226,MATCH(Settings!$L$11,$A$1:$Z$1,0)),DATE(VALUE(LEFT(IFERROR(TRIM(INDEX($A226:$Z226,MATCH(Settings!$L$11,$A$1:$Z$1,0))&amp;""),""),4)),VALUE(MID(IFERROR(TRIM(INDEX($A226:$Z226,MATCH(Settings!$L$11,$A$1:$Z$1,0))&amp;""),""),6,2)),VALUE(MID(IFERROR(TRIM(INDEX($A226:$Z226,MATCH(Settings!$L$11,$A$1:$Z$1,0))&amp;""),""),9,2)))+TIME(VALUE(MID(IFERROR(TRIM(INDEX($A226:$Z226,MATCH(Settings!$L$11,$A$1:$Z$1,0))&amp;""),""),12,2)),VALUE(MID(IFERROR(TRIM(INDEX($A226:$Z226,MATCH(Settings!$L$11,$A$1:$Z$1,0))&amp;""),""),15,2)),VALUE(MID(IFERROR(TRIM(INDEX($A226:$Z226,MATCH(Settings!$L$11,$A$1:$Z$1,0))&amp;""),""),18,2)))),"")),"")))</f>
        <v/>
      </c>
      <c r="AM226" s="31">
        <f>IF(AE226="","",IF(ISNUMBER(IFERROR(INDEX(Settings!$G$4:$G$11,MATCH(AH226,Settings!$F$4:$F$11,0)),"")),INDEX(Settings!$G$4:$G$11,MATCH(AH226,Settings!$F$4:$F$11,0)),Settings!$D$5))</f>
        <v/>
      </c>
      <c r="AN226" s="32">
        <f>IF(OR(AE226="",NOT(ISNUMBER(AL226)),NOT(ISNUMBER(AM226))),"",IF(AM226&lt;=0,"",IF(ISNUMBER(Settings!$D$8),DATE(YEAR(AL226)+IF(DATE(YEAR(AL226),MONTH(Settings!$D$8),DAY(Settings!$D$8))&gt;AL226,0,1),MONTH(Settings!$D$8),DAY(Settings!$D$8)),MIN(DATE(YEAR(AL226),MONTH(AL226)+AM226,DAY(AL226)),DATE(YEAR(AL226),MONTH(AL226)+AM226+1,0)))))</f>
        <v/>
      </c>
      <c r="AO226" s="31">
        <f>IF(ISNUMBER(AN226),AN226-Settings!$D$4,"")</f>
        <v/>
      </c>
      <c r="AP226" s="31">
        <f>IF(ISNUMBER(AL226),AL226+0+ROW()/100000,"")</f>
        <v/>
      </c>
      <c r="AQ226" s="31">
        <f>IF(OR(AG226="",NOT(ISNUMBER(AP226))),0,IF(SUMPRODUCT(('Responses'!$AG$2:$AG$501=AG226)*('Responses'!$AJ$2:$AJ$501=1)*ISNUMBER('Responses'!$AP$2:$AP$501)*('Responses'!$AP$2:$AP$501&gt;AP226)) + SUMPRODUCT(('Paper sign-ups'!$K$2:$K$101=AG226)*('Paper sign-ups'!$N$2:$N$101=1)*ISNUMBER('Paper sign-ups'!$T$2:$T$101)*('Paper sign-ups'!$T$2:$T$101&gt;AP226))&gt;0,1,0))</f>
        <v/>
      </c>
      <c r="AR226" s="31">
        <f>IF(AE226="","",IF(AQ226=1,"Joined again",IF(AJ226=0,"Unpaid",IF(NOT(ISNUMBER(AL226)),"Add a join date",IF(AN226="","No reminder",IF(AO226&lt;0,"Lapsed",IF(AO226&lt;=Settings!$D$6,"Remind soon","Current")))))))</f>
        <v/>
      </c>
      <c r="AS226" s="33">
        <f>IF(AJ226=1,IFERROR(VALUE(IFERROR(TRIM(INDEX($A226:$Z226,MATCH(Settings!$L$8,$A$1:$Z$1,0))&amp;""),"")),0)-IFERROR(VALUE(IFERROR(TRIM(INDEX($A226:$Z226,MATCH(Settings!$L$9,$A$1:$Z$1,0))&amp;""),"")),0),0)</f>
        <v/>
      </c>
      <c r="AT226" s="31">
        <f>IF(AND(AE226&lt;&gt;"",AQ226=0),1,0)</f>
        <v/>
      </c>
      <c r="AU226" s="31">
        <f>IF(AT226=0,"",IF(ISNUMBER(AN226),AN226,100000)+0+ROW()/1000000)</f>
        <v/>
      </c>
      <c r="AV226" s="31">
        <f>IF(ISNUMBER(AU226),SUMPRODUCT(ISNUMBER('Responses'!$AU$2:$AU$501)*('Responses'!$AU$2:$AU$501&lt;AU226)) + SUMPRODUCT(ISNUMBER('Paper sign-ups'!$Y$2:$Y$101)*('Paper sign-ups'!$Y$2:$Y$101&lt;AU226))+1,"")</f>
        <v/>
      </c>
    </row>
    <row r="227">
      <c r="AA227" s="29" t="n"/>
      <c r="AB227" s="30" t="n"/>
      <c r="AC227" s="30" t="n"/>
      <c r="AD227" s="29" t="n"/>
      <c r="AE227" s="31">
        <f>IFERROR(TRIM(INDEX($A227:$Z227,MATCH(Settings!$L$4,$A$1:$Z$1,0))&amp;""),"")</f>
        <v/>
      </c>
      <c r="AF227" s="31">
        <f>IFERROR(TRIM(INDEX($A227:$Z227,MATCH(Settings!$L$5,$A$1:$Z$1,0))&amp;""),"")</f>
        <v/>
      </c>
      <c r="AG227" s="31">
        <f>IF(AE227="","",LOWER(IF(AF227&lt;&gt;"",AF227,AE227)))</f>
        <v/>
      </c>
      <c r="AH227" s="31">
        <f>IFERROR(TRIM(INDEX($A227:$Z227,MATCH(Settings!$L$6,$A$1:$Z$1,0))&amp;""),"")</f>
        <v/>
      </c>
      <c r="AI227" s="31">
        <f>IF(AE227="","",IF(UPPER(TRIM(AB227&amp;""))="Y","Paid another way",IF(IFERROR(TRIM(INDEX($A227:$Z227,MATCH(Settings!$L$7,$A$1:$Z$1,0))&amp;""),"")="","No payment status",IFERROR(TRIM(INDEX($A227:$Z227,MATCH(Settings!$L$7,$A$1:$Z$1,0))&amp;""),""))))</f>
        <v/>
      </c>
      <c r="AJ227" s="31">
        <f>IF(AE227="",0,IF(IFERROR(INDEX(Settings!$J$4:$J$14,MATCH(AI227,Settings!$I$4:$I$14,0)),"N")="Y",1,0))</f>
        <v/>
      </c>
      <c r="AK227" s="32">
        <f>IFERROR(INT(IFERROR(IF(ISNUMBER(INDEX($A227:$Z227,MATCH(Settings!$L$10,$A$1:$Z$1,0))),INDEX($A227:$Z227,MATCH(Settings!$L$10,$A$1:$Z$1,0)),DATE(VALUE(LEFT(IFERROR(TRIM(INDEX($A227:$Z227,MATCH(Settings!$L$10,$A$1:$Z$1,0))&amp;""),""),4)),VALUE(MID(IFERROR(TRIM(INDEX($A227:$Z227,MATCH(Settings!$L$10,$A$1:$Z$1,0))&amp;""),""),6,2)),VALUE(MID(IFERROR(TRIM(INDEX($A227:$Z227,MATCH(Settings!$L$10,$A$1:$Z$1,0))&amp;""),""),9,2)))+TIME(VALUE(MID(IFERROR(TRIM(INDEX($A227:$Z227,MATCH(Settings!$L$10,$A$1:$Z$1,0))&amp;""),""),12,2)),VALUE(MID(IFERROR(TRIM(INDEX($A227:$Z227,MATCH(Settings!$L$10,$A$1:$Z$1,0))&amp;""),""),15,2)),VALUE(MID(IFERROR(TRIM(INDEX($A227:$Z227,MATCH(Settings!$L$10,$A$1:$Z$1,0))&amp;""),""),18,2)))),"")),"")</f>
        <v/>
      </c>
      <c r="AL227" s="32">
        <f>IF(AE227="","",IF(ISNUMBER(AK227),AK227,IFERROR(INT(IFERROR(IF(ISNUMBER(INDEX($A227:$Z227,MATCH(Settings!$L$11,$A$1:$Z$1,0))),INDEX($A227:$Z227,MATCH(Settings!$L$11,$A$1:$Z$1,0)),DATE(VALUE(LEFT(IFERROR(TRIM(INDEX($A227:$Z227,MATCH(Settings!$L$11,$A$1:$Z$1,0))&amp;""),""),4)),VALUE(MID(IFERROR(TRIM(INDEX($A227:$Z227,MATCH(Settings!$L$11,$A$1:$Z$1,0))&amp;""),""),6,2)),VALUE(MID(IFERROR(TRIM(INDEX($A227:$Z227,MATCH(Settings!$L$11,$A$1:$Z$1,0))&amp;""),""),9,2)))+TIME(VALUE(MID(IFERROR(TRIM(INDEX($A227:$Z227,MATCH(Settings!$L$11,$A$1:$Z$1,0))&amp;""),""),12,2)),VALUE(MID(IFERROR(TRIM(INDEX($A227:$Z227,MATCH(Settings!$L$11,$A$1:$Z$1,0))&amp;""),""),15,2)),VALUE(MID(IFERROR(TRIM(INDEX($A227:$Z227,MATCH(Settings!$L$11,$A$1:$Z$1,0))&amp;""),""),18,2)))),"")),"")))</f>
        <v/>
      </c>
      <c r="AM227" s="31">
        <f>IF(AE227="","",IF(ISNUMBER(IFERROR(INDEX(Settings!$G$4:$G$11,MATCH(AH227,Settings!$F$4:$F$11,0)),"")),INDEX(Settings!$G$4:$G$11,MATCH(AH227,Settings!$F$4:$F$11,0)),Settings!$D$5))</f>
        <v/>
      </c>
      <c r="AN227" s="32">
        <f>IF(OR(AE227="",NOT(ISNUMBER(AL227)),NOT(ISNUMBER(AM227))),"",IF(AM227&lt;=0,"",IF(ISNUMBER(Settings!$D$8),DATE(YEAR(AL227)+IF(DATE(YEAR(AL227),MONTH(Settings!$D$8),DAY(Settings!$D$8))&gt;AL227,0,1),MONTH(Settings!$D$8),DAY(Settings!$D$8)),MIN(DATE(YEAR(AL227),MONTH(AL227)+AM227,DAY(AL227)),DATE(YEAR(AL227),MONTH(AL227)+AM227+1,0)))))</f>
        <v/>
      </c>
      <c r="AO227" s="31">
        <f>IF(ISNUMBER(AN227),AN227-Settings!$D$4,"")</f>
        <v/>
      </c>
      <c r="AP227" s="31">
        <f>IF(ISNUMBER(AL227),AL227+0+ROW()/100000,"")</f>
        <v/>
      </c>
      <c r="AQ227" s="31">
        <f>IF(OR(AG227="",NOT(ISNUMBER(AP227))),0,IF(SUMPRODUCT(('Responses'!$AG$2:$AG$501=AG227)*('Responses'!$AJ$2:$AJ$501=1)*ISNUMBER('Responses'!$AP$2:$AP$501)*('Responses'!$AP$2:$AP$501&gt;AP227)) + SUMPRODUCT(('Paper sign-ups'!$K$2:$K$101=AG227)*('Paper sign-ups'!$N$2:$N$101=1)*ISNUMBER('Paper sign-ups'!$T$2:$T$101)*('Paper sign-ups'!$T$2:$T$101&gt;AP227))&gt;0,1,0))</f>
        <v/>
      </c>
      <c r="AR227" s="31">
        <f>IF(AE227="","",IF(AQ227=1,"Joined again",IF(AJ227=0,"Unpaid",IF(NOT(ISNUMBER(AL227)),"Add a join date",IF(AN227="","No reminder",IF(AO227&lt;0,"Lapsed",IF(AO227&lt;=Settings!$D$6,"Remind soon","Current")))))))</f>
        <v/>
      </c>
      <c r="AS227" s="33">
        <f>IF(AJ227=1,IFERROR(VALUE(IFERROR(TRIM(INDEX($A227:$Z227,MATCH(Settings!$L$8,$A$1:$Z$1,0))&amp;""),"")),0)-IFERROR(VALUE(IFERROR(TRIM(INDEX($A227:$Z227,MATCH(Settings!$L$9,$A$1:$Z$1,0))&amp;""),"")),0),0)</f>
        <v/>
      </c>
      <c r="AT227" s="31">
        <f>IF(AND(AE227&lt;&gt;"",AQ227=0),1,0)</f>
        <v/>
      </c>
      <c r="AU227" s="31">
        <f>IF(AT227=0,"",IF(ISNUMBER(AN227),AN227,100000)+0+ROW()/1000000)</f>
        <v/>
      </c>
      <c r="AV227" s="31">
        <f>IF(ISNUMBER(AU227),SUMPRODUCT(ISNUMBER('Responses'!$AU$2:$AU$501)*('Responses'!$AU$2:$AU$501&lt;AU227)) + SUMPRODUCT(ISNUMBER('Paper sign-ups'!$Y$2:$Y$101)*('Paper sign-ups'!$Y$2:$Y$101&lt;AU227))+1,"")</f>
        <v/>
      </c>
    </row>
    <row r="228">
      <c r="AA228" s="29" t="n"/>
      <c r="AB228" s="30" t="n"/>
      <c r="AC228" s="30" t="n"/>
      <c r="AD228" s="29" t="n"/>
      <c r="AE228" s="31">
        <f>IFERROR(TRIM(INDEX($A228:$Z228,MATCH(Settings!$L$4,$A$1:$Z$1,0))&amp;""),"")</f>
        <v/>
      </c>
      <c r="AF228" s="31">
        <f>IFERROR(TRIM(INDEX($A228:$Z228,MATCH(Settings!$L$5,$A$1:$Z$1,0))&amp;""),"")</f>
        <v/>
      </c>
      <c r="AG228" s="31">
        <f>IF(AE228="","",LOWER(IF(AF228&lt;&gt;"",AF228,AE228)))</f>
        <v/>
      </c>
      <c r="AH228" s="31">
        <f>IFERROR(TRIM(INDEX($A228:$Z228,MATCH(Settings!$L$6,$A$1:$Z$1,0))&amp;""),"")</f>
        <v/>
      </c>
      <c r="AI228" s="31">
        <f>IF(AE228="","",IF(UPPER(TRIM(AB228&amp;""))="Y","Paid another way",IF(IFERROR(TRIM(INDEX($A228:$Z228,MATCH(Settings!$L$7,$A$1:$Z$1,0))&amp;""),"")="","No payment status",IFERROR(TRIM(INDEX($A228:$Z228,MATCH(Settings!$L$7,$A$1:$Z$1,0))&amp;""),""))))</f>
        <v/>
      </c>
      <c r="AJ228" s="31">
        <f>IF(AE228="",0,IF(IFERROR(INDEX(Settings!$J$4:$J$14,MATCH(AI228,Settings!$I$4:$I$14,0)),"N")="Y",1,0))</f>
        <v/>
      </c>
      <c r="AK228" s="32">
        <f>IFERROR(INT(IFERROR(IF(ISNUMBER(INDEX($A228:$Z228,MATCH(Settings!$L$10,$A$1:$Z$1,0))),INDEX($A228:$Z228,MATCH(Settings!$L$10,$A$1:$Z$1,0)),DATE(VALUE(LEFT(IFERROR(TRIM(INDEX($A228:$Z228,MATCH(Settings!$L$10,$A$1:$Z$1,0))&amp;""),""),4)),VALUE(MID(IFERROR(TRIM(INDEX($A228:$Z228,MATCH(Settings!$L$10,$A$1:$Z$1,0))&amp;""),""),6,2)),VALUE(MID(IFERROR(TRIM(INDEX($A228:$Z228,MATCH(Settings!$L$10,$A$1:$Z$1,0))&amp;""),""),9,2)))+TIME(VALUE(MID(IFERROR(TRIM(INDEX($A228:$Z228,MATCH(Settings!$L$10,$A$1:$Z$1,0))&amp;""),""),12,2)),VALUE(MID(IFERROR(TRIM(INDEX($A228:$Z228,MATCH(Settings!$L$10,$A$1:$Z$1,0))&amp;""),""),15,2)),VALUE(MID(IFERROR(TRIM(INDEX($A228:$Z228,MATCH(Settings!$L$10,$A$1:$Z$1,0))&amp;""),""),18,2)))),"")),"")</f>
        <v/>
      </c>
      <c r="AL228" s="32">
        <f>IF(AE228="","",IF(ISNUMBER(AK228),AK228,IFERROR(INT(IFERROR(IF(ISNUMBER(INDEX($A228:$Z228,MATCH(Settings!$L$11,$A$1:$Z$1,0))),INDEX($A228:$Z228,MATCH(Settings!$L$11,$A$1:$Z$1,0)),DATE(VALUE(LEFT(IFERROR(TRIM(INDEX($A228:$Z228,MATCH(Settings!$L$11,$A$1:$Z$1,0))&amp;""),""),4)),VALUE(MID(IFERROR(TRIM(INDEX($A228:$Z228,MATCH(Settings!$L$11,$A$1:$Z$1,0))&amp;""),""),6,2)),VALUE(MID(IFERROR(TRIM(INDEX($A228:$Z228,MATCH(Settings!$L$11,$A$1:$Z$1,0))&amp;""),""),9,2)))+TIME(VALUE(MID(IFERROR(TRIM(INDEX($A228:$Z228,MATCH(Settings!$L$11,$A$1:$Z$1,0))&amp;""),""),12,2)),VALUE(MID(IFERROR(TRIM(INDEX($A228:$Z228,MATCH(Settings!$L$11,$A$1:$Z$1,0))&amp;""),""),15,2)),VALUE(MID(IFERROR(TRIM(INDEX($A228:$Z228,MATCH(Settings!$L$11,$A$1:$Z$1,0))&amp;""),""),18,2)))),"")),"")))</f>
        <v/>
      </c>
      <c r="AM228" s="31">
        <f>IF(AE228="","",IF(ISNUMBER(IFERROR(INDEX(Settings!$G$4:$G$11,MATCH(AH228,Settings!$F$4:$F$11,0)),"")),INDEX(Settings!$G$4:$G$11,MATCH(AH228,Settings!$F$4:$F$11,0)),Settings!$D$5))</f>
        <v/>
      </c>
      <c r="AN228" s="32">
        <f>IF(OR(AE228="",NOT(ISNUMBER(AL228)),NOT(ISNUMBER(AM228))),"",IF(AM228&lt;=0,"",IF(ISNUMBER(Settings!$D$8),DATE(YEAR(AL228)+IF(DATE(YEAR(AL228),MONTH(Settings!$D$8),DAY(Settings!$D$8))&gt;AL228,0,1),MONTH(Settings!$D$8),DAY(Settings!$D$8)),MIN(DATE(YEAR(AL228),MONTH(AL228)+AM228,DAY(AL228)),DATE(YEAR(AL228),MONTH(AL228)+AM228+1,0)))))</f>
        <v/>
      </c>
      <c r="AO228" s="31">
        <f>IF(ISNUMBER(AN228),AN228-Settings!$D$4,"")</f>
        <v/>
      </c>
      <c r="AP228" s="31">
        <f>IF(ISNUMBER(AL228),AL228+0+ROW()/100000,"")</f>
        <v/>
      </c>
      <c r="AQ228" s="31">
        <f>IF(OR(AG228="",NOT(ISNUMBER(AP228))),0,IF(SUMPRODUCT(('Responses'!$AG$2:$AG$501=AG228)*('Responses'!$AJ$2:$AJ$501=1)*ISNUMBER('Responses'!$AP$2:$AP$501)*('Responses'!$AP$2:$AP$501&gt;AP228)) + SUMPRODUCT(('Paper sign-ups'!$K$2:$K$101=AG228)*('Paper sign-ups'!$N$2:$N$101=1)*ISNUMBER('Paper sign-ups'!$T$2:$T$101)*('Paper sign-ups'!$T$2:$T$101&gt;AP228))&gt;0,1,0))</f>
        <v/>
      </c>
      <c r="AR228" s="31">
        <f>IF(AE228="","",IF(AQ228=1,"Joined again",IF(AJ228=0,"Unpaid",IF(NOT(ISNUMBER(AL228)),"Add a join date",IF(AN228="","No reminder",IF(AO228&lt;0,"Lapsed",IF(AO228&lt;=Settings!$D$6,"Remind soon","Current")))))))</f>
        <v/>
      </c>
      <c r="AS228" s="33">
        <f>IF(AJ228=1,IFERROR(VALUE(IFERROR(TRIM(INDEX($A228:$Z228,MATCH(Settings!$L$8,$A$1:$Z$1,0))&amp;""),"")),0)-IFERROR(VALUE(IFERROR(TRIM(INDEX($A228:$Z228,MATCH(Settings!$L$9,$A$1:$Z$1,0))&amp;""),"")),0),0)</f>
        <v/>
      </c>
      <c r="AT228" s="31">
        <f>IF(AND(AE228&lt;&gt;"",AQ228=0),1,0)</f>
        <v/>
      </c>
      <c r="AU228" s="31">
        <f>IF(AT228=0,"",IF(ISNUMBER(AN228),AN228,100000)+0+ROW()/1000000)</f>
        <v/>
      </c>
      <c r="AV228" s="31">
        <f>IF(ISNUMBER(AU228),SUMPRODUCT(ISNUMBER('Responses'!$AU$2:$AU$501)*('Responses'!$AU$2:$AU$501&lt;AU228)) + SUMPRODUCT(ISNUMBER('Paper sign-ups'!$Y$2:$Y$101)*('Paper sign-ups'!$Y$2:$Y$101&lt;AU228))+1,"")</f>
        <v/>
      </c>
    </row>
    <row r="229">
      <c r="AA229" s="29" t="n"/>
      <c r="AB229" s="30" t="n"/>
      <c r="AC229" s="30" t="n"/>
      <c r="AD229" s="29" t="n"/>
      <c r="AE229" s="31">
        <f>IFERROR(TRIM(INDEX($A229:$Z229,MATCH(Settings!$L$4,$A$1:$Z$1,0))&amp;""),"")</f>
        <v/>
      </c>
      <c r="AF229" s="31">
        <f>IFERROR(TRIM(INDEX($A229:$Z229,MATCH(Settings!$L$5,$A$1:$Z$1,0))&amp;""),"")</f>
        <v/>
      </c>
      <c r="AG229" s="31">
        <f>IF(AE229="","",LOWER(IF(AF229&lt;&gt;"",AF229,AE229)))</f>
        <v/>
      </c>
      <c r="AH229" s="31">
        <f>IFERROR(TRIM(INDEX($A229:$Z229,MATCH(Settings!$L$6,$A$1:$Z$1,0))&amp;""),"")</f>
        <v/>
      </c>
      <c r="AI229" s="31">
        <f>IF(AE229="","",IF(UPPER(TRIM(AB229&amp;""))="Y","Paid another way",IF(IFERROR(TRIM(INDEX($A229:$Z229,MATCH(Settings!$L$7,$A$1:$Z$1,0))&amp;""),"")="","No payment status",IFERROR(TRIM(INDEX($A229:$Z229,MATCH(Settings!$L$7,$A$1:$Z$1,0))&amp;""),""))))</f>
        <v/>
      </c>
      <c r="AJ229" s="31">
        <f>IF(AE229="",0,IF(IFERROR(INDEX(Settings!$J$4:$J$14,MATCH(AI229,Settings!$I$4:$I$14,0)),"N")="Y",1,0))</f>
        <v/>
      </c>
      <c r="AK229" s="32">
        <f>IFERROR(INT(IFERROR(IF(ISNUMBER(INDEX($A229:$Z229,MATCH(Settings!$L$10,$A$1:$Z$1,0))),INDEX($A229:$Z229,MATCH(Settings!$L$10,$A$1:$Z$1,0)),DATE(VALUE(LEFT(IFERROR(TRIM(INDEX($A229:$Z229,MATCH(Settings!$L$10,$A$1:$Z$1,0))&amp;""),""),4)),VALUE(MID(IFERROR(TRIM(INDEX($A229:$Z229,MATCH(Settings!$L$10,$A$1:$Z$1,0))&amp;""),""),6,2)),VALUE(MID(IFERROR(TRIM(INDEX($A229:$Z229,MATCH(Settings!$L$10,$A$1:$Z$1,0))&amp;""),""),9,2)))+TIME(VALUE(MID(IFERROR(TRIM(INDEX($A229:$Z229,MATCH(Settings!$L$10,$A$1:$Z$1,0))&amp;""),""),12,2)),VALUE(MID(IFERROR(TRIM(INDEX($A229:$Z229,MATCH(Settings!$L$10,$A$1:$Z$1,0))&amp;""),""),15,2)),VALUE(MID(IFERROR(TRIM(INDEX($A229:$Z229,MATCH(Settings!$L$10,$A$1:$Z$1,0))&amp;""),""),18,2)))),"")),"")</f>
        <v/>
      </c>
      <c r="AL229" s="32">
        <f>IF(AE229="","",IF(ISNUMBER(AK229),AK229,IFERROR(INT(IFERROR(IF(ISNUMBER(INDEX($A229:$Z229,MATCH(Settings!$L$11,$A$1:$Z$1,0))),INDEX($A229:$Z229,MATCH(Settings!$L$11,$A$1:$Z$1,0)),DATE(VALUE(LEFT(IFERROR(TRIM(INDEX($A229:$Z229,MATCH(Settings!$L$11,$A$1:$Z$1,0))&amp;""),""),4)),VALUE(MID(IFERROR(TRIM(INDEX($A229:$Z229,MATCH(Settings!$L$11,$A$1:$Z$1,0))&amp;""),""),6,2)),VALUE(MID(IFERROR(TRIM(INDEX($A229:$Z229,MATCH(Settings!$L$11,$A$1:$Z$1,0))&amp;""),""),9,2)))+TIME(VALUE(MID(IFERROR(TRIM(INDEX($A229:$Z229,MATCH(Settings!$L$11,$A$1:$Z$1,0))&amp;""),""),12,2)),VALUE(MID(IFERROR(TRIM(INDEX($A229:$Z229,MATCH(Settings!$L$11,$A$1:$Z$1,0))&amp;""),""),15,2)),VALUE(MID(IFERROR(TRIM(INDEX($A229:$Z229,MATCH(Settings!$L$11,$A$1:$Z$1,0))&amp;""),""),18,2)))),"")),"")))</f>
        <v/>
      </c>
      <c r="AM229" s="31">
        <f>IF(AE229="","",IF(ISNUMBER(IFERROR(INDEX(Settings!$G$4:$G$11,MATCH(AH229,Settings!$F$4:$F$11,0)),"")),INDEX(Settings!$G$4:$G$11,MATCH(AH229,Settings!$F$4:$F$11,0)),Settings!$D$5))</f>
        <v/>
      </c>
      <c r="AN229" s="32">
        <f>IF(OR(AE229="",NOT(ISNUMBER(AL229)),NOT(ISNUMBER(AM229))),"",IF(AM229&lt;=0,"",IF(ISNUMBER(Settings!$D$8),DATE(YEAR(AL229)+IF(DATE(YEAR(AL229),MONTH(Settings!$D$8),DAY(Settings!$D$8))&gt;AL229,0,1),MONTH(Settings!$D$8),DAY(Settings!$D$8)),MIN(DATE(YEAR(AL229),MONTH(AL229)+AM229,DAY(AL229)),DATE(YEAR(AL229),MONTH(AL229)+AM229+1,0)))))</f>
        <v/>
      </c>
      <c r="AO229" s="31">
        <f>IF(ISNUMBER(AN229),AN229-Settings!$D$4,"")</f>
        <v/>
      </c>
      <c r="AP229" s="31">
        <f>IF(ISNUMBER(AL229),AL229+0+ROW()/100000,"")</f>
        <v/>
      </c>
      <c r="AQ229" s="31">
        <f>IF(OR(AG229="",NOT(ISNUMBER(AP229))),0,IF(SUMPRODUCT(('Responses'!$AG$2:$AG$501=AG229)*('Responses'!$AJ$2:$AJ$501=1)*ISNUMBER('Responses'!$AP$2:$AP$501)*('Responses'!$AP$2:$AP$501&gt;AP229)) + SUMPRODUCT(('Paper sign-ups'!$K$2:$K$101=AG229)*('Paper sign-ups'!$N$2:$N$101=1)*ISNUMBER('Paper sign-ups'!$T$2:$T$101)*('Paper sign-ups'!$T$2:$T$101&gt;AP229))&gt;0,1,0))</f>
        <v/>
      </c>
      <c r="AR229" s="31">
        <f>IF(AE229="","",IF(AQ229=1,"Joined again",IF(AJ229=0,"Unpaid",IF(NOT(ISNUMBER(AL229)),"Add a join date",IF(AN229="","No reminder",IF(AO229&lt;0,"Lapsed",IF(AO229&lt;=Settings!$D$6,"Remind soon","Current")))))))</f>
        <v/>
      </c>
      <c r="AS229" s="33">
        <f>IF(AJ229=1,IFERROR(VALUE(IFERROR(TRIM(INDEX($A229:$Z229,MATCH(Settings!$L$8,$A$1:$Z$1,0))&amp;""),"")),0)-IFERROR(VALUE(IFERROR(TRIM(INDEX($A229:$Z229,MATCH(Settings!$L$9,$A$1:$Z$1,0))&amp;""),"")),0),0)</f>
        <v/>
      </c>
      <c r="AT229" s="31">
        <f>IF(AND(AE229&lt;&gt;"",AQ229=0),1,0)</f>
        <v/>
      </c>
      <c r="AU229" s="31">
        <f>IF(AT229=0,"",IF(ISNUMBER(AN229),AN229,100000)+0+ROW()/1000000)</f>
        <v/>
      </c>
      <c r="AV229" s="31">
        <f>IF(ISNUMBER(AU229),SUMPRODUCT(ISNUMBER('Responses'!$AU$2:$AU$501)*('Responses'!$AU$2:$AU$501&lt;AU229)) + SUMPRODUCT(ISNUMBER('Paper sign-ups'!$Y$2:$Y$101)*('Paper sign-ups'!$Y$2:$Y$101&lt;AU229))+1,"")</f>
        <v/>
      </c>
    </row>
    <row r="230">
      <c r="AA230" s="29" t="n"/>
      <c r="AB230" s="30" t="n"/>
      <c r="AC230" s="30" t="n"/>
      <c r="AD230" s="29" t="n"/>
      <c r="AE230" s="31">
        <f>IFERROR(TRIM(INDEX($A230:$Z230,MATCH(Settings!$L$4,$A$1:$Z$1,0))&amp;""),"")</f>
        <v/>
      </c>
      <c r="AF230" s="31">
        <f>IFERROR(TRIM(INDEX($A230:$Z230,MATCH(Settings!$L$5,$A$1:$Z$1,0))&amp;""),"")</f>
        <v/>
      </c>
      <c r="AG230" s="31">
        <f>IF(AE230="","",LOWER(IF(AF230&lt;&gt;"",AF230,AE230)))</f>
        <v/>
      </c>
      <c r="AH230" s="31">
        <f>IFERROR(TRIM(INDEX($A230:$Z230,MATCH(Settings!$L$6,$A$1:$Z$1,0))&amp;""),"")</f>
        <v/>
      </c>
      <c r="AI230" s="31">
        <f>IF(AE230="","",IF(UPPER(TRIM(AB230&amp;""))="Y","Paid another way",IF(IFERROR(TRIM(INDEX($A230:$Z230,MATCH(Settings!$L$7,$A$1:$Z$1,0))&amp;""),"")="","No payment status",IFERROR(TRIM(INDEX($A230:$Z230,MATCH(Settings!$L$7,$A$1:$Z$1,0))&amp;""),""))))</f>
        <v/>
      </c>
      <c r="AJ230" s="31">
        <f>IF(AE230="",0,IF(IFERROR(INDEX(Settings!$J$4:$J$14,MATCH(AI230,Settings!$I$4:$I$14,0)),"N")="Y",1,0))</f>
        <v/>
      </c>
      <c r="AK230" s="32">
        <f>IFERROR(INT(IFERROR(IF(ISNUMBER(INDEX($A230:$Z230,MATCH(Settings!$L$10,$A$1:$Z$1,0))),INDEX($A230:$Z230,MATCH(Settings!$L$10,$A$1:$Z$1,0)),DATE(VALUE(LEFT(IFERROR(TRIM(INDEX($A230:$Z230,MATCH(Settings!$L$10,$A$1:$Z$1,0))&amp;""),""),4)),VALUE(MID(IFERROR(TRIM(INDEX($A230:$Z230,MATCH(Settings!$L$10,$A$1:$Z$1,0))&amp;""),""),6,2)),VALUE(MID(IFERROR(TRIM(INDEX($A230:$Z230,MATCH(Settings!$L$10,$A$1:$Z$1,0))&amp;""),""),9,2)))+TIME(VALUE(MID(IFERROR(TRIM(INDEX($A230:$Z230,MATCH(Settings!$L$10,$A$1:$Z$1,0))&amp;""),""),12,2)),VALUE(MID(IFERROR(TRIM(INDEX($A230:$Z230,MATCH(Settings!$L$10,$A$1:$Z$1,0))&amp;""),""),15,2)),VALUE(MID(IFERROR(TRIM(INDEX($A230:$Z230,MATCH(Settings!$L$10,$A$1:$Z$1,0))&amp;""),""),18,2)))),"")),"")</f>
        <v/>
      </c>
      <c r="AL230" s="32">
        <f>IF(AE230="","",IF(ISNUMBER(AK230),AK230,IFERROR(INT(IFERROR(IF(ISNUMBER(INDEX($A230:$Z230,MATCH(Settings!$L$11,$A$1:$Z$1,0))),INDEX($A230:$Z230,MATCH(Settings!$L$11,$A$1:$Z$1,0)),DATE(VALUE(LEFT(IFERROR(TRIM(INDEX($A230:$Z230,MATCH(Settings!$L$11,$A$1:$Z$1,0))&amp;""),""),4)),VALUE(MID(IFERROR(TRIM(INDEX($A230:$Z230,MATCH(Settings!$L$11,$A$1:$Z$1,0))&amp;""),""),6,2)),VALUE(MID(IFERROR(TRIM(INDEX($A230:$Z230,MATCH(Settings!$L$11,$A$1:$Z$1,0))&amp;""),""),9,2)))+TIME(VALUE(MID(IFERROR(TRIM(INDEX($A230:$Z230,MATCH(Settings!$L$11,$A$1:$Z$1,0))&amp;""),""),12,2)),VALUE(MID(IFERROR(TRIM(INDEX($A230:$Z230,MATCH(Settings!$L$11,$A$1:$Z$1,0))&amp;""),""),15,2)),VALUE(MID(IFERROR(TRIM(INDEX($A230:$Z230,MATCH(Settings!$L$11,$A$1:$Z$1,0))&amp;""),""),18,2)))),"")),"")))</f>
        <v/>
      </c>
      <c r="AM230" s="31">
        <f>IF(AE230="","",IF(ISNUMBER(IFERROR(INDEX(Settings!$G$4:$G$11,MATCH(AH230,Settings!$F$4:$F$11,0)),"")),INDEX(Settings!$G$4:$G$11,MATCH(AH230,Settings!$F$4:$F$11,0)),Settings!$D$5))</f>
        <v/>
      </c>
      <c r="AN230" s="32">
        <f>IF(OR(AE230="",NOT(ISNUMBER(AL230)),NOT(ISNUMBER(AM230))),"",IF(AM230&lt;=0,"",IF(ISNUMBER(Settings!$D$8),DATE(YEAR(AL230)+IF(DATE(YEAR(AL230),MONTH(Settings!$D$8),DAY(Settings!$D$8))&gt;AL230,0,1),MONTH(Settings!$D$8),DAY(Settings!$D$8)),MIN(DATE(YEAR(AL230),MONTH(AL230)+AM230,DAY(AL230)),DATE(YEAR(AL230),MONTH(AL230)+AM230+1,0)))))</f>
        <v/>
      </c>
      <c r="AO230" s="31">
        <f>IF(ISNUMBER(AN230),AN230-Settings!$D$4,"")</f>
        <v/>
      </c>
      <c r="AP230" s="31">
        <f>IF(ISNUMBER(AL230),AL230+0+ROW()/100000,"")</f>
        <v/>
      </c>
      <c r="AQ230" s="31">
        <f>IF(OR(AG230="",NOT(ISNUMBER(AP230))),0,IF(SUMPRODUCT(('Responses'!$AG$2:$AG$501=AG230)*('Responses'!$AJ$2:$AJ$501=1)*ISNUMBER('Responses'!$AP$2:$AP$501)*('Responses'!$AP$2:$AP$501&gt;AP230)) + SUMPRODUCT(('Paper sign-ups'!$K$2:$K$101=AG230)*('Paper sign-ups'!$N$2:$N$101=1)*ISNUMBER('Paper sign-ups'!$T$2:$T$101)*('Paper sign-ups'!$T$2:$T$101&gt;AP230))&gt;0,1,0))</f>
        <v/>
      </c>
      <c r="AR230" s="31">
        <f>IF(AE230="","",IF(AQ230=1,"Joined again",IF(AJ230=0,"Unpaid",IF(NOT(ISNUMBER(AL230)),"Add a join date",IF(AN230="","No reminder",IF(AO230&lt;0,"Lapsed",IF(AO230&lt;=Settings!$D$6,"Remind soon","Current")))))))</f>
        <v/>
      </c>
      <c r="AS230" s="33">
        <f>IF(AJ230=1,IFERROR(VALUE(IFERROR(TRIM(INDEX($A230:$Z230,MATCH(Settings!$L$8,$A$1:$Z$1,0))&amp;""),"")),0)-IFERROR(VALUE(IFERROR(TRIM(INDEX($A230:$Z230,MATCH(Settings!$L$9,$A$1:$Z$1,0))&amp;""),"")),0),0)</f>
        <v/>
      </c>
      <c r="AT230" s="31">
        <f>IF(AND(AE230&lt;&gt;"",AQ230=0),1,0)</f>
        <v/>
      </c>
      <c r="AU230" s="31">
        <f>IF(AT230=0,"",IF(ISNUMBER(AN230),AN230,100000)+0+ROW()/1000000)</f>
        <v/>
      </c>
      <c r="AV230" s="31">
        <f>IF(ISNUMBER(AU230),SUMPRODUCT(ISNUMBER('Responses'!$AU$2:$AU$501)*('Responses'!$AU$2:$AU$501&lt;AU230)) + SUMPRODUCT(ISNUMBER('Paper sign-ups'!$Y$2:$Y$101)*('Paper sign-ups'!$Y$2:$Y$101&lt;AU230))+1,"")</f>
        <v/>
      </c>
    </row>
    <row r="231">
      <c r="AA231" s="29" t="n"/>
      <c r="AB231" s="30" t="n"/>
      <c r="AC231" s="30" t="n"/>
      <c r="AD231" s="29" t="n"/>
      <c r="AE231" s="31">
        <f>IFERROR(TRIM(INDEX($A231:$Z231,MATCH(Settings!$L$4,$A$1:$Z$1,0))&amp;""),"")</f>
        <v/>
      </c>
      <c r="AF231" s="31">
        <f>IFERROR(TRIM(INDEX($A231:$Z231,MATCH(Settings!$L$5,$A$1:$Z$1,0))&amp;""),"")</f>
        <v/>
      </c>
      <c r="AG231" s="31">
        <f>IF(AE231="","",LOWER(IF(AF231&lt;&gt;"",AF231,AE231)))</f>
        <v/>
      </c>
      <c r="AH231" s="31">
        <f>IFERROR(TRIM(INDEX($A231:$Z231,MATCH(Settings!$L$6,$A$1:$Z$1,0))&amp;""),"")</f>
        <v/>
      </c>
      <c r="AI231" s="31">
        <f>IF(AE231="","",IF(UPPER(TRIM(AB231&amp;""))="Y","Paid another way",IF(IFERROR(TRIM(INDEX($A231:$Z231,MATCH(Settings!$L$7,$A$1:$Z$1,0))&amp;""),"")="","No payment status",IFERROR(TRIM(INDEX($A231:$Z231,MATCH(Settings!$L$7,$A$1:$Z$1,0))&amp;""),""))))</f>
        <v/>
      </c>
      <c r="AJ231" s="31">
        <f>IF(AE231="",0,IF(IFERROR(INDEX(Settings!$J$4:$J$14,MATCH(AI231,Settings!$I$4:$I$14,0)),"N")="Y",1,0))</f>
        <v/>
      </c>
      <c r="AK231" s="32">
        <f>IFERROR(INT(IFERROR(IF(ISNUMBER(INDEX($A231:$Z231,MATCH(Settings!$L$10,$A$1:$Z$1,0))),INDEX($A231:$Z231,MATCH(Settings!$L$10,$A$1:$Z$1,0)),DATE(VALUE(LEFT(IFERROR(TRIM(INDEX($A231:$Z231,MATCH(Settings!$L$10,$A$1:$Z$1,0))&amp;""),""),4)),VALUE(MID(IFERROR(TRIM(INDEX($A231:$Z231,MATCH(Settings!$L$10,$A$1:$Z$1,0))&amp;""),""),6,2)),VALUE(MID(IFERROR(TRIM(INDEX($A231:$Z231,MATCH(Settings!$L$10,$A$1:$Z$1,0))&amp;""),""),9,2)))+TIME(VALUE(MID(IFERROR(TRIM(INDEX($A231:$Z231,MATCH(Settings!$L$10,$A$1:$Z$1,0))&amp;""),""),12,2)),VALUE(MID(IFERROR(TRIM(INDEX($A231:$Z231,MATCH(Settings!$L$10,$A$1:$Z$1,0))&amp;""),""),15,2)),VALUE(MID(IFERROR(TRIM(INDEX($A231:$Z231,MATCH(Settings!$L$10,$A$1:$Z$1,0))&amp;""),""),18,2)))),"")),"")</f>
        <v/>
      </c>
      <c r="AL231" s="32">
        <f>IF(AE231="","",IF(ISNUMBER(AK231),AK231,IFERROR(INT(IFERROR(IF(ISNUMBER(INDEX($A231:$Z231,MATCH(Settings!$L$11,$A$1:$Z$1,0))),INDEX($A231:$Z231,MATCH(Settings!$L$11,$A$1:$Z$1,0)),DATE(VALUE(LEFT(IFERROR(TRIM(INDEX($A231:$Z231,MATCH(Settings!$L$11,$A$1:$Z$1,0))&amp;""),""),4)),VALUE(MID(IFERROR(TRIM(INDEX($A231:$Z231,MATCH(Settings!$L$11,$A$1:$Z$1,0))&amp;""),""),6,2)),VALUE(MID(IFERROR(TRIM(INDEX($A231:$Z231,MATCH(Settings!$L$11,$A$1:$Z$1,0))&amp;""),""),9,2)))+TIME(VALUE(MID(IFERROR(TRIM(INDEX($A231:$Z231,MATCH(Settings!$L$11,$A$1:$Z$1,0))&amp;""),""),12,2)),VALUE(MID(IFERROR(TRIM(INDEX($A231:$Z231,MATCH(Settings!$L$11,$A$1:$Z$1,0))&amp;""),""),15,2)),VALUE(MID(IFERROR(TRIM(INDEX($A231:$Z231,MATCH(Settings!$L$11,$A$1:$Z$1,0))&amp;""),""),18,2)))),"")),"")))</f>
        <v/>
      </c>
      <c r="AM231" s="31">
        <f>IF(AE231="","",IF(ISNUMBER(IFERROR(INDEX(Settings!$G$4:$G$11,MATCH(AH231,Settings!$F$4:$F$11,0)),"")),INDEX(Settings!$G$4:$G$11,MATCH(AH231,Settings!$F$4:$F$11,0)),Settings!$D$5))</f>
        <v/>
      </c>
      <c r="AN231" s="32">
        <f>IF(OR(AE231="",NOT(ISNUMBER(AL231)),NOT(ISNUMBER(AM231))),"",IF(AM231&lt;=0,"",IF(ISNUMBER(Settings!$D$8),DATE(YEAR(AL231)+IF(DATE(YEAR(AL231),MONTH(Settings!$D$8),DAY(Settings!$D$8))&gt;AL231,0,1),MONTH(Settings!$D$8),DAY(Settings!$D$8)),MIN(DATE(YEAR(AL231),MONTH(AL231)+AM231,DAY(AL231)),DATE(YEAR(AL231),MONTH(AL231)+AM231+1,0)))))</f>
        <v/>
      </c>
      <c r="AO231" s="31">
        <f>IF(ISNUMBER(AN231),AN231-Settings!$D$4,"")</f>
        <v/>
      </c>
      <c r="AP231" s="31">
        <f>IF(ISNUMBER(AL231),AL231+0+ROW()/100000,"")</f>
        <v/>
      </c>
      <c r="AQ231" s="31">
        <f>IF(OR(AG231="",NOT(ISNUMBER(AP231))),0,IF(SUMPRODUCT(('Responses'!$AG$2:$AG$501=AG231)*('Responses'!$AJ$2:$AJ$501=1)*ISNUMBER('Responses'!$AP$2:$AP$501)*('Responses'!$AP$2:$AP$501&gt;AP231)) + SUMPRODUCT(('Paper sign-ups'!$K$2:$K$101=AG231)*('Paper sign-ups'!$N$2:$N$101=1)*ISNUMBER('Paper sign-ups'!$T$2:$T$101)*('Paper sign-ups'!$T$2:$T$101&gt;AP231))&gt;0,1,0))</f>
        <v/>
      </c>
      <c r="AR231" s="31">
        <f>IF(AE231="","",IF(AQ231=1,"Joined again",IF(AJ231=0,"Unpaid",IF(NOT(ISNUMBER(AL231)),"Add a join date",IF(AN231="","No reminder",IF(AO231&lt;0,"Lapsed",IF(AO231&lt;=Settings!$D$6,"Remind soon","Current")))))))</f>
        <v/>
      </c>
      <c r="AS231" s="33">
        <f>IF(AJ231=1,IFERROR(VALUE(IFERROR(TRIM(INDEX($A231:$Z231,MATCH(Settings!$L$8,$A$1:$Z$1,0))&amp;""),"")),0)-IFERROR(VALUE(IFERROR(TRIM(INDEX($A231:$Z231,MATCH(Settings!$L$9,$A$1:$Z$1,0))&amp;""),"")),0),0)</f>
        <v/>
      </c>
      <c r="AT231" s="31">
        <f>IF(AND(AE231&lt;&gt;"",AQ231=0),1,0)</f>
        <v/>
      </c>
      <c r="AU231" s="31">
        <f>IF(AT231=0,"",IF(ISNUMBER(AN231),AN231,100000)+0+ROW()/1000000)</f>
        <v/>
      </c>
      <c r="AV231" s="31">
        <f>IF(ISNUMBER(AU231),SUMPRODUCT(ISNUMBER('Responses'!$AU$2:$AU$501)*('Responses'!$AU$2:$AU$501&lt;AU231)) + SUMPRODUCT(ISNUMBER('Paper sign-ups'!$Y$2:$Y$101)*('Paper sign-ups'!$Y$2:$Y$101&lt;AU231))+1,"")</f>
        <v/>
      </c>
    </row>
    <row r="232">
      <c r="AA232" s="29" t="n"/>
      <c r="AB232" s="30" t="n"/>
      <c r="AC232" s="30" t="n"/>
      <c r="AD232" s="29" t="n"/>
      <c r="AE232" s="31">
        <f>IFERROR(TRIM(INDEX($A232:$Z232,MATCH(Settings!$L$4,$A$1:$Z$1,0))&amp;""),"")</f>
        <v/>
      </c>
      <c r="AF232" s="31">
        <f>IFERROR(TRIM(INDEX($A232:$Z232,MATCH(Settings!$L$5,$A$1:$Z$1,0))&amp;""),"")</f>
        <v/>
      </c>
      <c r="AG232" s="31">
        <f>IF(AE232="","",LOWER(IF(AF232&lt;&gt;"",AF232,AE232)))</f>
        <v/>
      </c>
      <c r="AH232" s="31">
        <f>IFERROR(TRIM(INDEX($A232:$Z232,MATCH(Settings!$L$6,$A$1:$Z$1,0))&amp;""),"")</f>
        <v/>
      </c>
      <c r="AI232" s="31">
        <f>IF(AE232="","",IF(UPPER(TRIM(AB232&amp;""))="Y","Paid another way",IF(IFERROR(TRIM(INDEX($A232:$Z232,MATCH(Settings!$L$7,$A$1:$Z$1,0))&amp;""),"")="","No payment status",IFERROR(TRIM(INDEX($A232:$Z232,MATCH(Settings!$L$7,$A$1:$Z$1,0))&amp;""),""))))</f>
        <v/>
      </c>
      <c r="AJ232" s="31">
        <f>IF(AE232="",0,IF(IFERROR(INDEX(Settings!$J$4:$J$14,MATCH(AI232,Settings!$I$4:$I$14,0)),"N")="Y",1,0))</f>
        <v/>
      </c>
      <c r="AK232" s="32">
        <f>IFERROR(INT(IFERROR(IF(ISNUMBER(INDEX($A232:$Z232,MATCH(Settings!$L$10,$A$1:$Z$1,0))),INDEX($A232:$Z232,MATCH(Settings!$L$10,$A$1:$Z$1,0)),DATE(VALUE(LEFT(IFERROR(TRIM(INDEX($A232:$Z232,MATCH(Settings!$L$10,$A$1:$Z$1,0))&amp;""),""),4)),VALUE(MID(IFERROR(TRIM(INDEX($A232:$Z232,MATCH(Settings!$L$10,$A$1:$Z$1,0))&amp;""),""),6,2)),VALUE(MID(IFERROR(TRIM(INDEX($A232:$Z232,MATCH(Settings!$L$10,$A$1:$Z$1,0))&amp;""),""),9,2)))+TIME(VALUE(MID(IFERROR(TRIM(INDEX($A232:$Z232,MATCH(Settings!$L$10,$A$1:$Z$1,0))&amp;""),""),12,2)),VALUE(MID(IFERROR(TRIM(INDEX($A232:$Z232,MATCH(Settings!$L$10,$A$1:$Z$1,0))&amp;""),""),15,2)),VALUE(MID(IFERROR(TRIM(INDEX($A232:$Z232,MATCH(Settings!$L$10,$A$1:$Z$1,0))&amp;""),""),18,2)))),"")),"")</f>
        <v/>
      </c>
      <c r="AL232" s="32">
        <f>IF(AE232="","",IF(ISNUMBER(AK232),AK232,IFERROR(INT(IFERROR(IF(ISNUMBER(INDEX($A232:$Z232,MATCH(Settings!$L$11,$A$1:$Z$1,0))),INDEX($A232:$Z232,MATCH(Settings!$L$11,$A$1:$Z$1,0)),DATE(VALUE(LEFT(IFERROR(TRIM(INDEX($A232:$Z232,MATCH(Settings!$L$11,$A$1:$Z$1,0))&amp;""),""),4)),VALUE(MID(IFERROR(TRIM(INDEX($A232:$Z232,MATCH(Settings!$L$11,$A$1:$Z$1,0))&amp;""),""),6,2)),VALUE(MID(IFERROR(TRIM(INDEX($A232:$Z232,MATCH(Settings!$L$11,$A$1:$Z$1,0))&amp;""),""),9,2)))+TIME(VALUE(MID(IFERROR(TRIM(INDEX($A232:$Z232,MATCH(Settings!$L$11,$A$1:$Z$1,0))&amp;""),""),12,2)),VALUE(MID(IFERROR(TRIM(INDEX($A232:$Z232,MATCH(Settings!$L$11,$A$1:$Z$1,0))&amp;""),""),15,2)),VALUE(MID(IFERROR(TRIM(INDEX($A232:$Z232,MATCH(Settings!$L$11,$A$1:$Z$1,0))&amp;""),""),18,2)))),"")),"")))</f>
        <v/>
      </c>
      <c r="AM232" s="31">
        <f>IF(AE232="","",IF(ISNUMBER(IFERROR(INDEX(Settings!$G$4:$G$11,MATCH(AH232,Settings!$F$4:$F$11,0)),"")),INDEX(Settings!$G$4:$G$11,MATCH(AH232,Settings!$F$4:$F$11,0)),Settings!$D$5))</f>
        <v/>
      </c>
      <c r="AN232" s="32">
        <f>IF(OR(AE232="",NOT(ISNUMBER(AL232)),NOT(ISNUMBER(AM232))),"",IF(AM232&lt;=0,"",IF(ISNUMBER(Settings!$D$8),DATE(YEAR(AL232)+IF(DATE(YEAR(AL232),MONTH(Settings!$D$8),DAY(Settings!$D$8))&gt;AL232,0,1),MONTH(Settings!$D$8),DAY(Settings!$D$8)),MIN(DATE(YEAR(AL232),MONTH(AL232)+AM232,DAY(AL232)),DATE(YEAR(AL232),MONTH(AL232)+AM232+1,0)))))</f>
        <v/>
      </c>
      <c r="AO232" s="31">
        <f>IF(ISNUMBER(AN232),AN232-Settings!$D$4,"")</f>
        <v/>
      </c>
      <c r="AP232" s="31">
        <f>IF(ISNUMBER(AL232),AL232+0+ROW()/100000,"")</f>
        <v/>
      </c>
      <c r="AQ232" s="31">
        <f>IF(OR(AG232="",NOT(ISNUMBER(AP232))),0,IF(SUMPRODUCT(('Responses'!$AG$2:$AG$501=AG232)*('Responses'!$AJ$2:$AJ$501=1)*ISNUMBER('Responses'!$AP$2:$AP$501)*('Responses'!$AP$2:$AP$501&gt;AP232)) + SUMPRODUCT(('Paper sign-ups'!$K$2:$K$101=AG232)*('Paper sign-ups'!$N$2:$N$101=1)*ISNUMBER('Paper sign-ups'!$T$2:$T$101)*('Paper sign-ups'!$T$2:$T$101&gt;AP232))&gt;0,1,0))</f>
        <v/>
      </c>
      <c r="AR232" s="31">
        <f>IF(AE232="","",IF(AQ232=1,"Joined again",IF(AJ232=0,"Unpaid",IF(NOT(ISNUMBER(AL232)),"Add a join date",IF(AN232="","No reminder",IF(AO232&lt;0,"Lapsed",IF(AO232&lt;=Settings!$D$6,"Remind soon","Current")))))))</f>
        <v/>
      </c>
      <c r="AS232" s="33">
        <f>IF(AJ232=1,IFERROR(VALUE(IFERROR(TRIM(INDEX($A232:$Z232,MATCH(Settings!$L$8,$A$1:$Z$1,0))&amp;""),"")),0)-IFERROR(VALUE(IFERROR(TRIM(INDEX($A232:$Z232,MATCH(Settings!$L$9,$A$1:$Z$1,0))&amp;""),"")),0),0)</f>
        <v/>
      </c>
      <c r="AT232" s="31">
        <f>IF(AND(AE232&lt;&gt;"",AQ232=0),1,0)</f>
        <v/>
      </c>
      <c r="AU232" s="31">
        <f>IF(AT232=0,"",IF(ISNUMBER(AN232),AN232,100000)+0+ROW()/1000000)</f>
        <v/>
      </c>
      <c r="AV232" s="31">
        <f>IF(ISNUMBER(AU232),SUMPRODUCT(ISNUMBER('Responses'!$AU$2:$AU$501)*('Responses'!$AU$2:$AU$501&lt;AU232)) + SUMPRODUCT(ISNUMBER('Paper sign-ups'!$Y$2:$Y$101)*('Paper sign-ups'!$Y$2:$Y$101&lt;AU232))+1,"")</f>
        <v/>
      </c>
    </row>
    <row r="233">
      <c r="AA233" s="29" t="n"/>
      <c r="AB233" s="30" t="n"/>
      <c r="AC233" s="30" t="n"/>
      <c r="AD233" s="29" t="n"/>
      <c r="AE233" s="31">
        <f>IFERROR(TRIM(INDEX($A233:$Z233,MATCH(Settings!$L$4,$A$1:$Z$1,0))&amp;""),"")</f>
        <v/>
      </c>
      <c r="AF233" s="31">
        <f>IFERROR(TRIM(INDEX($A233:$Z233,MATCH(Settings!$L$5,$A$1:$Z$1,0))&amp;""),"")</f>
        <v/>
      </c>
      <c r="AG233" s="31">
        <f>IF(AE233="","",LOWER(IF(AF233&lt;&gt;"",AF233,AE233)))</f>
        <v/>
      </c>
      <c r="AH233" s="31">
        <f>IFERROR(TRIM(INDEX($A233:$Z233,MATCH(Settings!$L$6,$A$1:$Z$1,0))&amp;""),"")</f>
        <v/>
      </c>
      <c r="AI233" s="31">
        <f>IF(AE233="","",IF(UPPER(TRIM(AB233&amp;""))="Y","Paid another way",IF(IFERROR(TRIM(INDEX($A233:$Z233,MATCH(Settings!$L$7,$A$1:$Z$1,0))&amp;""),"")="","No payment status",IFERROR(TRIM(INDEX($A233:$Z233,MATCH(Settings!$L$7,$A$1:$Z$1,0))&amp;""),""))))</f>
        <v/>
      </c>
      <c r="AJ233" s="31">
        <f>IF(AE233="",0,IF(IFERROR(INDEX(Settings!$J$4:$J$14,MATCH(AI233,Settings!$I$4:$I$14,0)),"N")="Y",1,0))</f>
        <v/>
      </c>
      <c r="AK233" s="32">
        <f>IFERROR(INT(IFERROR(IF(ISNUMBER(INDEX($A233:$Z233,MATCH(Settings!$L$10,$A$1:$Z$1,0))),INDEX($A233:$Z233,MATCH(Settings!$L$10,$A$1:$Z$1,0)),DATE(VALUE(LEFT(IFERROR(TRIM(INDEX($A233:$Z233,MATCH(Settings!$L$10,$A$1:$Z$1,0))&amp;""),""),4)),VALUE(MID(IFERROR(TRIM(INDEX($A233:$Z233,MATCH(Settings!$L$10,$A$1:$Z$1,0))&amp;""),""),6,2)),VALUE(MID(IFERROR(TRIM(INDEX($A233:$Z233,MATCH(Settings!$L$10,$A$1:$Z$1,0))&amp;""),""),9,2)))+TIME(VALUE(MID(IFERROR(TRIM(INDEX($A233:$Z233,MATCH(Settings!$L$10,$A$1:$Z$1,0))&amp;""),""),12,2)),VALUE(MID(IFERROR(TRIM(INDEX($A233:$Z233,MATCH(Settings!$L$10,$A$1:$Z$1,0))&amp;""),""),15,2)),VALUE(MID(IFERROR(TRIM(INDEX($A233:$Z233,MATCH(Settings!$L$10,$A$1:$Z$1,0))&amp;""),""),18,2)))),"")),"")</f>
        <v/>
      </c>
      <c r="AL233" s="32">
        <f>IF(AE233="","",IF(ISNUMBER(AK233),AK233,IFERROR(INT(IFERROR(IF(ISNUMBER(INDEX($A233:$Z233,MATCH(Settings!$L$11,$A$1:$Z$1,0))),INDEX($A233:$Z233,MATCH(Settings!$L$11,$A$1:$Z$1,0)),DATE(VALUE(LEFT(IFERROR(TRIM(INDEX($A233:$Z233,MATCH(Settings!$L$11,$A$1:$Z$1,0))&amp;""),""),4)),VALUE(MID(IFERROR(TRIM(INDEX($A233:$Z233,MATCH(Settings!$L$11,$A$1:$Z$1,0))&amp;""),""),6,2)),VALUE(MID(IFERROR(TRIM(INDEX($A233:$Z233,MATCH(Settings!$L$11,$A$1:$Z$1,0))&amp;""),""),9,2)))+TIME(VALUE(MID(IFERROR(TRIM(INDEX($A233:$Z233,MATCH(Settings!$L$11,$A$1:$Z$1,0))&amp;""),""),12,2)),VALUE(MID(IFERROR(TRIM(INDEX($A233:$Z233,MATCH(Settings!$L$11,$A$1:$Z$1,0))&amp;""),""),15,2)),VALUE(MID(IFERROR(TRIM(INDEX($A233:$Z233,MATCH(Settings!$L$11,$A$1:$Z$1,0))&amp;""),""),18,2)))),"")),"")))</f>
        <v/>
      </c>
      <c r="AM233" s="31">
        <f>IF(AE233="","",IF(ISNUMBER(IFERROR(INDEX(Settings!$G$4:$G$11,MATCH(AH233,Settings!$F$4:$F$11,0)),"")),INDEX(Settings!$G$4:$G$11,MATCH(AH233,Settings!$F$4:$F$11,0)),Settings!$D$5))</f>
        <v/>
      </c>
      <c r="AN233" s="32">
        <f>IF(OR(AE233="",NOT(ISNUMBER(AL233)),NOT(ISNUMBER(AM233))),"",IF(AM233&lt;=0,"",IF(ISNUMBER(Settings!$D$8),DATE(YEAR(AL233)+IF(DATE(YEAR(AL233),MONTH(Settings!$D$8),DAY(Settings!$D$8))&gt;AL233,0,1),MONTH(Settings!$D$8),DAY(Settings!$D$8)),MIN(DATE(YEAR(AL233),MONTH(AL233)+AM233,DAY(AL233)),DATE(YEAR(AL233),MONTH(AL233)+AM233+1,0)))))</f>
        <v/>
      </c>
      <c r="AO233" s="31">
        <f>IF(ISNUMBER(AN233),AN233-Settings!$D$4,"")</f>
        <v/>
      </c>
      <c r="AP233" s="31">
        <f>IF(ISNUMBER(AL233),AL233+0+ROW()/100000,"")</f>
        <v/>
      </c>
      <c r="AQ233" s="31">
        <f>IF(OR(AG233="",NOT(ISNUMBER(AP233))),0,IF(SUMPRODUCT(('Responses'!$AG$2:$AG$501=AG233)*('Responses'!$AJ$2:$AJ$501=1)*ISNUMBER('Responses'!$AP$2:$AP$501)*('Responses'!$AP$2:$AP$501&gt;AP233)) + SUMPRODUCT(('Paper sign-ups'!$K$2:$K$101=AG233)*('Paper sign-ups'!$N$2:$N$101=1)*ISNUMBER('Paper sign-ups'!$T$2:$T$101)*('Paper sign-ups'!$T$2:$T$101&gt;AP233))&gt;0,1,0))</f>
        <v/>
      </c>
      <c r="AR233" s="31">
        <f>IF(AE233="","",IF(AQ233=1,"Joined again",IF(AJ233=0,"Unpaid",IF(NOT(ISNUMBER(AL233)),"Add a join date",IF(AN233="","No reminder",IF(AO233&lt;0,"Lapsed",IF(AO233&lt;=Settings!$D$6,"Remind soon","Current")))))))</f>
        <v/>
      </c>
      <c r="AS233" s="33">
        <f>IF(AJ233=1,IFERROR(VALUE(IFERROR(TRIM(INDEX($A233:$Z233,MATCH(Settings!$L$8,$A$1:$Z$1,0))&amp;""),"")),0)-IFERROR(VALUE(IFERROR(TRIM(INDEX($A233:$Z233,MATCH(Settings!$L$9,$A$1:$Z$1,0))&amp;""),"")),0),0)</f>
        <v/>
      </c>
      <c r="AT233" s="31">
        <f>IF(AND(AE233&lt;&gt;"",AQ233=0),1,0)</f>
        <v/>
      </c>
      <c r="AU233" s="31">
        <f>IF(AT233=0,"",IF(ISNUMBER(AN233),AN233,100000)+0+ROW()/1000000)</f>
        <v/>
      </c>
      <c r="AV233" s="31">
        <f>IF(ISNUMBER(AU233),SUMPRODUCT(ISNUMBER('Responses'!$AU$2:$AU$501)*('Responses'!$AU$2:$AU$501&lt;AU233)) + SUMPRODUCT(ISNUMBER('Paper sign-ups'!$Y$2:$Y$101)*('Paper sign-ups'!$Y$2:$Y$101&lt;AU233))+1,"")</f>
        <v/>
      </c>
    </row>
    <row r="234">
      <c r="AA234" s="29" t="n"/>
      <c r="AB234" s="30" t="n"/>
      <c r="AC234" s="30" t="n"/>
      <c r="AD234" s="29" t="n"/>
      <c r="AE234" s="31">
        <f>IFERROR(TRIM(INDEX($A234:$Z234,MATCH(Settings!$L$4,$A$1:$Z$1,0))&amp;""),"")</f>
        <v/>
      </c>
      <c r="AF234" s="31">
        <f>IFERROR(TRIM(INDEX($A234:$Z234,MATCH(Settings!$L$5,$A$1:$Z$1,0))&amp;""),"")</f>
        <v/>
      </c>
      <c r="AG234" s="31">
        <f>IF(AE234="","",LOWER(IF(AF234&lt;&gt;"",AF234,AE234)))</f>
        <v/>
      </c>
      <c r="AH234" s="31">
        <f>IFERROR(TRIM(INDEX($A234:$Z234,MATCH(Settings!$L$6,$A$1:$Z$1,0))&amp;""),"")</f>
        <v/>
      </c>
      <c r="AI234" s="31">
        <f>IF(AE234="","",IF(UPPER(TRIM(AB234&amp;""))="Y","Paid another way",IF(IFERROR(TRIM(INDEX($A234:$Z234,MATCH(Settings!$L$7,$A$1:$Z$1,0))&amp;""),"")="","No payment status",IFERROR(TRIM(INDEX($A234:$Z234,MATCH(Settings!$L$7,$A$1:$Z$1,0))&amp;""),""))))</f>
        <v/>
      </c>
      <c r="AJ234" s="31">
        <f>IF(AE234="",0,IF(IFERROR(INDEX(Settings!$J$4:$J$14,MATCH(AI234,Settings!$I$4:$I$14,0)),"N")="Y",1,0))</f>
        <v/>
      </c>
      <c r="AK234" s="32">
        <f>IFERROR(INT(IFERROR(IF(ISNUMBER(INDEX($A234:$Z234,MATCH(Settings!$L$10,$A$1:$Z$1,0))),INDEX($A234:$Z234,MATCH(Settings!$L$10,$A$1:$Z$1,0)),DATE(VALUE(LEFT(IFERROR(TRIM(INDEX($A234:$Z234,MATCH(Settings!$L$10,$A$1:$Z$1,0))&amp;""),""),4)),VALUE(MID(IFERROR(TRIM(INDEX($A234:$Z234,MATCH(Settings!$L$10,$A$1:$Z$1,0))&amp;""),""),6,2)),VALUE(MID(IFERROR(TRIM(INDEX($A234:$Z234,MATCH(Settings!$L$10,$A$1:$Z$1,0))&amp;""),""),9,2)))+TIME(VALUE(MID(IFERROR(TRIM(INDEX($A234:$Z234,MATCH(Settings!$L$10,$A$1:$Z$1,0))&amp;""),""),12,2)),VALUE(MID(IFERROR(TRIM(INDEX($A234:$Z234,MATCH(Settings!$L$10,$A$1:$Z$1,0))&amp;""),""),15,2)),VALUE(MID(IFERROR(TRIM(INDEX($A234:$Z234,MATCH(Settings!$L$10,$A$1:$Z$1,0))&amp;""),""),18,2)))),"")),"")</f>
        <v/>
      </c>
      <c r="AL234" s="32">
        <f>IF(AE234="","",IF(ISNUMBER(AK234),AK234,IFERROR(INT(IFERROR(IF(ISNUMBER(INDEX($A234:$Z234,MATCH(Settings!$L$11,$A$1:$Z$1,0))),INDEX($A234:$Z234,MATCH(Settings!$L$11,$A$1:$Z$1,0)),DATE(VALUE(LEFT(IFERROR(TRIM(INDEX($A234:$Z234,MATCH(Settings!$L$11,$A$1:$Z$1,0))&amp;""),""),4)),VALUE(MID(IFERROR(TRIM(INDEX($A234:$Z234,MATCH(Settings!$L$11,$A$1:$Z$1,0))&amp;""),""),6,2)),VALUE(MID(IFERROR(TRIM(INDEX($A234:$Z234,MATCH(Settings!$L$11,$A$1:$Z$1,0))&amp;""),""),9,2)))+TIME(VALUE(MID(IFERROR(TRIM(INDEX($A234:$Z234,MATCH(Settings!$L$11,$A$1:$Z$1,0))&amp;""),""),12,2)),VALUE(MID(IFERROR(TRIM(INDEX($A234:$Z234,MATCH(Settings!$L$11,$A$1:$Z$1,0))&amp;""),""),15,2)),VALUE(MID(IFERROR(TRIM(INDEX($A234:$Z234,MATCH(Settings!$L$11,$A$1:$Z$1,0))&amp;""),""),18,2)))),"")),"")))</f>
        <v/>
      </c>
      <c r="AM234" s="31">
        <f>IF(AE234="","",IF(ISNUMBER(IFERROR(INDEX(Settings!$G$4:$G$11,MATCH(AH234,Settings!$F$4:$F$11,0)),"")),INDEX(Settings!$G$4:$G$11,MATCH(AH234,Settings!$F$4:$F$11,0)),Settings!$D$5))</f>
        <v/>
      </c>
      <c r="AN234" s="32">
        <f>IF(OR(AE234="",NOT(ISNUMBER(AL234)),NOT(ISNUMBER(AM234))),"",IF(AM234&lt;=0,"",IF(ISNUMBER(Settings!$D$8),DATE(YEAR(AL234)+IF(DATE(YEAR(AL234),MONTH(Settings!$D$8),DAY(Settings!$D$8))&gt;AL234,0,1),MONTH(Settings!$D$8),DAY(Settings!$D$8)),MIN(DATE(YEAR(AL234),MONTH(AL234)+AM234,DAY(AL234)),DATE(YEAR(AL234),MONTH(AL234)+AM234+1,0)))))</f>
        <v/>
      </c>
      <c r="AO234" s="31">
        <f>IF(ISNUMBER(AN234),AN234-Settings!$D$4,"")</f>
        <v/>
      </c>
      <c r="AP234" s="31">
        <f>IF(ISNUMBER(AL234),AL234+0+ROW()/100000,"")</f>
        <v/>
      </c>
      <c r="AQ234" s="31">
        <f>IF(OR(AG234="",NOT(ISNUMBER(AP234))),0,IF(SUMPRODUCT(('Responses'!$AG$2:$AG$501=AG234)*('Responses'!$AJ$2:$AJ$501=1)*ISNUMBER('Responses'!$AP$2:$AP$501)*('Responses'!$AP$2:$AP$501&gt;AP234)) + SUMPRODUCT(('Paper sign-ups'!$K$2:$K$101=AG234)*('Paper sign-ups'!$N$2:$N$101=1)*ISNUMBER('Paper sign-ups'!$T$2:$T$101)*('Paper sign-ups'!$T$2:$T$101&gt;AP234))&gt;0,1,0))</f>
        <v/>
      </c>
      <c r="AR234" s="31">
        <f>IF(AE234="","",IF(AQ234=1,"Joined again",IF(AJ234=0,"Unpaid",IF(NOT(ISNUMBER(AL234)),"Add a join date",IF(AN234="","No reminder",IF(AO234&lt;0,"Lapsed",IF(AO234&lt;=Settings!$D$6,"Remind soon","Current")))))))</f>
        <v/>
      </c>
      <c r="AS234" s="33">
        <f>IF(AJ234=1,IFERROR(VALUE(IFERROR(TRIM(INDEX($A234:$Z234,MATCH(Settings!$L$8,$A$1:$Z$1,0))&amp;""),"")),0)-IFERROR(VALUE(IFERROR(TRIM(INDEX($A234:$Z234,MATCH(Settings!$L$9,$A$1:$Z$1,0))&amp;""),"")),0),0)</f>
        <v/>
      </c>
      <c r="AT234" s="31">
        <f>IF(AND(AE234&lt;&gt;"",AQ234=0),1,0)</f>
        <v/>
      </c>
      <c r="AU234" s="31">
        <f>IF(AT234=0,"",IF(ISNUMBER(AN234),AN234,100000)+0+ROW()/1000000)</f>
        <v/>
      </c>
      <c r="AV234" s="31">
        <f>IF(ISNUMBER(AU234),SUMPRODUCT(ISNUMBER('Responses'!$AU$2:$AU$501)*('Responses'!$AU$2:$AU$501&lt;AU234)) + SUMPRODUCT(ISNUMBER('Paper sign-ups'!$Y$2:$Y$101)*('Paper sign-ups'!$Y$2:$Y$101&lt;AU234))+1,"")</f>
        <v/>
      </c>
    </row>
    <row r="235">
      <c r="AA235" s="29" t="n"/>
      <c r="AB235" s="30" t="n"/>
      <c r="AC235" s="30" t="n"/>
      <c r="AD235" s="29" t="n"/>
      <c r="AE235" s="31">
        <f>IFERROR(TRIM(INDEX($A235:$Z235,MATCH(Settings!$L$4,$A$1:$Z$1,0))&amp;""),"")</f>
        <v/>
      </c>
      <c r="AF235" s="31">
        <f>IFERROR(TRIM(INDEX($A235:$Z235,MATCH(Settings!$L$5,$A$1:$Z$1,0))&amp;""),"")</f>
        <v/>
      </c>
      <c r="AG235" s="31">
        <f>IF(AE235="","",LOWER(IF(AF235&lt;&gt;"",AF235,AE235)))</f>
        <v/>
      </c>
      <c r="AH235" s="31">
        <f>IFERROR(TRIM(INDEX($A235:$Z235,MATCH(Settings!$L$6,$A$1:$Z$1,0))&amp;""),"")</f>
        <v/>
      </c>
      <c r="AI235" s="31">
        <f>IF(AE235="","",IF(UPPER(TRIM(AB235&amp;""))="Y","Paid another way",IF(IFERROR(TRIM(INDEX($A235:$Z235,MATCH(Settings!$L$7,$A$1:$Z$1,0))&amp;""),"")="","No payment status",IFERROR(TRIM(INDEX($A235:$Z235,MATCH(Settings!$L$7,$A$1:$Z$1,0))&amp;""),""))))</f>
        <v/>
      </c>
      <c r="AJ235" s="31">
        <f>IF(AE235="",0,IF(IFERROR(INDEX(Settings!$J$4:$J$14,MATCH(AI235,Settings!$I$4:$I$14,0)),"N")="Y",1,0))</f>
        <v/>
      </c>
      <c r="AK235" s="32">
        <f>IFERROR(INT(IFERROR(IF(ISNUMBER(INDEX($A235:$Z235,MATCH(Settings!$L$10,$A$1:$Z$1,0))),INDEX($A235:$Z235,MATCH(Settings!$L$10,$A$1:$Z$1,0)),DATE(VALUE(LEFT(IFERROR(TRIM(INDEX($A235:$Z235,MATCH(Settings!$L$10,$A$1:$Z$1,0))&amp;""),""),4)),VALUE(MID(IFERROR(TRIM(INDEX($A235:$Z235,MATCH(Settings!$L$10,$A$1:$Z$1,0))&amp;""),""),6,2)),VALUE(MID(IFERROR(TRIM(INDEX($A235:$Z235,MATCH(Settings!$L$10,$A$1:$Z$1,0))&amp;""),""),9,2)))+TIME(VALUE(MID(IFERROR(TRIM(INDEX($A235:$Z235,MATCH(Settings!$L$10,$A$1:$Z$1,0))&amp;""),""),12,2)),VALUE(MID(IFERROR(TRIM(INDEX($A235:$Z235,MATCH(Settings!$L$10,$A$1:$Z$1,0))&amp;""),""),15,2)),VALUE(MID(IFERROR(TRIM(INDEX($A235:$Z235,MATCH(Settings!$L$10,$A$1:$Z$1,0))&amp;""),""),18,2)))),"")),"")</f>
        <v/>
      </c>
      <c r="AL235" s="32">
        <f>IF(AE235="","",IF(ISNUMBER(AK235),AK235,IFERROR(INT(IFERROR(IF(ISNUMBER(INDEX($A235:$Z235,MATCH(Settings!$L$11,$A$1:$Z$1,0))),INDEX($A235:$Z235,MATCH(Settings!$L$11,$A$1:$Z$1,0)),DATE(VALUE(LEFT(IFERROR(TRIM(INDEX($A235:$Z235,MATCH(Settings!$L$11,$A$1:$Z$1,0))&amp;""),""),4)),VALUE(MID(IFERROR(TRIM(INDEX($A235:$Z235,MATCH(Settings!$L$11,$A$1:$Z$1,0))&amp;""),""),6,2)),VALUE(MID(IFERROR(TRIM(INDEX($A235:$Z235,MATCH(Settings!$L$11,$A$1:$Z$1,0))&amp;""),""),9,2)))+TIME(VALUE(MID(IFERROR(TRIM(INDEX($A235:$Z235,MATCH(Settings!$L$11,$A$1:$Z$1,0))&amp;""),""),12,2)),VALUE(MID(IFERROR(TRIM(INDEX($A235:$Z235,MATCH(Settings!$L$11,$A$1:$Z$1,0))&amp;""),""),15,2)),VALUE(MID(IFERROR(TRIM(INDEX($A235:$Z235,MATCH(Settings!$L$11,$A$1:$Z$1,0))&amp;""),""),18,2)))),"")),"")))</f>
        <v/>
      </c>
      <c r="AM235" s="31">
        <f>IF(AE235="","",IF(ISNUMBER(IFERROR(INDEX(Settings!$G$4:$G$11,MATCH(AH235,Settings!$F$4:$F$11,0)),"")),INDEX(Settings!$G$4:$G$11,MATCH(AH235,Settings!$F$4:$F$11,0)),Settings!$D$5))</f>
        <v/>
      </c>
      <c r="AN235" s="32">
        <f>IF(OR(AE235="",NOT(ISNUMBER(AL235)),NOT(ISNUMBER(AM235))),"",IF(AM235&lt;=0,"",IF(ISNUMBER(Settings!$D$8),DATE(YEAR(AL235)+IF(DATE(YEAR(AL235),MONTH(Settings!$D$8),DAY(Settings!$D$8))&gt;AL235,0,1),MONTH(Settings!$D$8),DAY(Settings!$D$8)),MIN(DATE(YEAR(AL235),MONTH(AL235)+AM235,DAY(AL235)),DATE(YEAR(AL235),MONTH(AL235)+AM235+1,0)))))</f>
        <v/>
      </c>
      <c r="AO235" s="31">
        <f>IF(ISNUMBER(AN235),AN235-Settings!$D$4,"")</f>
        <v/>
      </c>
      <c r="AP235" s="31">
        <f>IF(ISNUMBER(AL235),AL235+0+ROW()/100000,"")</f>
        <v/>
      </c>
      <c r="AQ235" s="31">
        <f>IF(OR(AG235="",NOT(ISNUMBER(AP235))),0,IF(SUMPRODUCT(('Responses'!$AG$2:$AG$501=AG235)*('Responses'!$AJ$2:$AJ$501=1)*ISNUMBER('Responses'!$AP$2:$AP$501)*('Responses'!$AP$2:$AP$501&gt;AP235)) + SUMPRODUCT(('Paper sign-ups'!$K$2:$K$101=AG235)*('Paper sign-ups'!$N$2:$N$101=1)*ISNUMBER('Paper sign-ups'!$T$2:$T$101)*('Paper sign-ups'!$T$2:$T$101&gt;AP235))&gt;0,1,0))</f>
        <v/>
      </c>
      <c r="AR235" s="31">
        <f>IF(AE235="","",IF(AQ235=1,"Joined again",IF(AJ235=0,"Unpaid",IF(NOT(ISNUMBER(AL235)),"Add a join date",IF(AN235="","No reminder",IF(AO235&lt;0,"Lapsed",IF(AO235&lt;=Settings!$D$6,"Remind soon","Current")))))))</f>
        <v/>
      </c>
      <c r="AS235" s="33">
        <f>IF(AJ235=1,IFERROR(VALUE(IFERROR(TRIM(INDEX($A235:$Z235,MATCH(Settings!$L$8,$A$1:$Z$1,0))&amp;""),"")),0)-IFERROR(VALUE(IFERROR(TRIM(INDEX($A235:$Z235,MATCH(Settings!$L$9,$A$1:$Z$1,0))&amp;""),"")),0),0)</f>
        <v/>
      </c>
      <c r="AT235" s="31">
        <f>IF(AND(AE235&lt;&gt;"",AQ235=0),1,0)</f>
        <v/>
      </c>
      <c r="AU235" s="31">
        <f>IF(AT235=0,"",IF(ISNUMBER(AN235),AN235,100000)+0+ROW()/1000000)</f>
        <v/>
      </c>
      <c r="AV235" s="31">
        <f>IF(ISNUMBER(AU235),SUMPRODUCT(ISNUMBER('Responses'!$AU$2:$AU$501)*('Responses'!$AU$2:$AU$501&lt;AU235)) + SUMPRODUCT(ISNUMBER('Paper sign-ups'!$Y$2:$Y$101)*('Paper sign-ups'!$Y$2:$Y$101&lt;AU235))+1,"")</f>
        <v/>
      </c>
    </row>
    <row r="236">
      <c r="AA236" s="29" t="n"/>
      <c r="AB236" s="30" t="n"/>
      <c r="AC236" s="30" t="n"/>
      <c r="AD236" s="29" t="n"/>
      <c r="AE236" s="31">
        <f>IFERROR(TRIM(INDEX($A236:$Z236,MATCH(Settings!$L$4,$A$1:$Z$1,0))&amp;""),"")</f>
        <v/>
      </c>
      <c r="AF236" s="31">
        <f>IFERROR(TRIM(INDEX($A236:$Z236,MATCH(Settings!$L$5,$A$1:$Z$1,0))&amp;""),"")</f>
        <v/>
      </c>
      <c r="AG236" s="31">
        <f>IF(AE236="","",LOWER(IF(AF236&lt;&gt;"",AF236,AE236)))</f>
        <v/>
      </c>
      <c r="AH236" s="31">
        <f>IFERROR(TRIM(INDEX($A236:$Z236,MATCH(Settings!$L$6,$A$1:$Z$1,0))&amp;""),"")</f>
        <v/>
      </c>
      <c r="AI236" s="31">
        <f>IF(AE236="","",IF(UPPER(TRIM(AB236&amp;""))="Y","Paid another way",IF(IFERROR(TRIM(INDEX($A236:$Z236,MATCH(Settings!$L$7,$A$1:$Z$1,0))&amp;""),"")="","No payment status",IFERROR(TRIM(INDEX($A236:$Z236,MATCH(Settings!$L$7,$A$1:$Z$1,0))&amp;""),""))))</f>
        <v/>
      </c>
      <c r="AJ236" s="31">
        <f>IF(AE236="",0,IF(IFERROR(INDEX(Settings!$J$4:$J$14,MATCH(AI236,Settings!$I$4:$I$14,0)),"N")="Y",1,0))</f>
        <v/>
      </c>
      <c r="AK236" s="32">
        <f>IFERROR(INT(IFERROR(IF(ISNUMBER(INDEX($A236:$Z236,MATCH(Settings!$L$10,$A$1:$Z$1,0))),INDEX($A236:$Z236,MATCH(Settings!$L$10,$A$1:$Z$1,0)),DATE(VALUE(LEFT(IFERROR(TRIM(INDEX($A236:$Z236,MATCH(Settings!$L$10,$A$1:$Z$1,0))&amp;""),""),4)),VALUE(MID(IFERROR(TRIM(INDEX($A236:$Z236,MATCH(Settings!$L$10,$A$1:$Z$1,0))&amp;""),""),6,2)),VALUE(MID(IFERROR(TRIM(INDEX($A236:$Z236,MATCH(Settings!$L$10,$A$1:$Z$1,0))&amp;""),""),9,2)))+TIME(VALUE(MID(IFERROR(TRIM(INDEX($A236:$Z236,MATCH(Settings!$L$10,$A$1:$Z$1,0))&amp;""),""),12,2)),VALUE(MID(IFERROR(TRIM(INDEX($A236:$Z236,MATCH(Settings!$L$10,$A$1:$Z$1,0))&amp;""),""),15,2)),VALUE(MID(IFERROR(TRIM(INDEX($A236:$Z236,MATCH(Settings!$L$10,$A$1:$Z$1,0))&amp;""),""),18,2)))),"")),"")</f>
        <v/>
      </c>
      <c r="AL236" s="32">
        <f>IF(AE236="","",IF(ISNUMBER(AK236),AK236,IFERROR(INT(IFERROR(IF(ISNUMBER(INDEX($A236:$Z236,MATCH(Settings!$L$11,$A$1:$Z$1,0))),INDEX($A236:$Z236,MATCH(Settings!$L$11,$A$1:$Z$1,0)),DATE(VALUE(LEFT(IFERROR(TRIM(INDEX($A236:$Z236,MATCH(Settings!$L$11,$A$1:$Z$1,0))&amp;""),""),4)),VALUE(MID(IFERROR(TRIM(INDEX($A236:$Z236,MATCH(Settings!$L$11,$A$1:$Z$1,0))&amp;""),""),6,2)),VALUE(MID(IFERROR(TRIM(INDEX($A236:$Z236,MATCH(Settings!$L$11,$A$1:$Z$1,0))&amp;""),""),9,2)))+TIME(VALUE(MID(IFERROR(TRIM(INDEX($A236:$Z236,MATCH(Settings!$L$11,$A$1:$Z$1,0))&amp;""),""),12,2)),VALUE(MID(IFERROR(TRIM(INDEX($A236:$Z236,MATCH(Settings!$L$11,$A$1:$Z$1,0))&amp;""),""),15,2)),VALUE(MID(IFERROR(TRIM(INDEX($A236:$Z236,MATCH(Settings!$L$11,$A$1:$Z$1,0))&amp;""),""),18,2)))),"")),"")))</f>
        <v/>
      </c>
      <c r="AM236" s="31">
        <f>IF(AE236="","",IF(ISNUMBER(IFERROR(INDEX(Settings!$G$4:$G$11,MATCH(AH236,Settings!$F$4:$F$11,0)),"")),INDEX(Settings!$G$4:$G$11,MATCH(AH236,Settings!$F$4:$F$11,0)),Settings!$D$5))</f>
        <v/>
      </c>
      <c r="AN236" s="32">
        <f>IF(OR(AE236="",NOT(ISNUMBER(AL236)),NOT(ISNUMBER(AM236))),"",IF(AM236&lt;=0,"",IF(ISNUMBER(Settings!$D$8),DATE(YEAR(AL236)+IF(DATE(YEAR(AL236),MONTH(Settings!$D$8),DAY(Settings!$D$8))&gt;AL236,0,1),MONTH(Settings!$D$8),DAY(Settings!$D$8)),MIN(DATE(YEAR(AL236),MONTH(AL236)+AM236,DAY(AL236)),DATE(YEAR(AL236),MONTH(AL236)+AM236+1,0)))))</f>
        <v/>
      </c>
      <c r="AO236" s="31">
        <f>IF(ISNUMBER(AN236),AN236-Settings!$D$4,"")</f>
        <v/>
      </c>
      <c r="AP236" s="31">
        <f>IF(ISNUMBER(AL236),AL236+0+ROW()/100000,"")</f>
        <v/>
      </c>
      <c r="AQ236" s="31">
        <f>IF(OR(AG236="",NOT(ISNUMBER(AP236))),0,IF(SUMPRODUCT(('Responses'!$AG$2:$AG$501=AG236)*('Responses'!$AJ$2:$AJ$501=1)*ISNUMBER('Responses'!$AP$2:$AP$501)*('Responses'!$AP$2:$AP$501&gt;AP236)) + SUMPRODUCT(('Paper sign-ups'!$K$2:$K$101=AG236)*('Paper sign-ups'!$N$2:$N$101=1)*ISNUMBER('Paper sign-ups'!$T$2:$T$101)*('Paper sign-ups'!$T$2:$T$101&gt;AP236))&gt;0,1,0))</f>
        <v/>
      </c>
      <c r="AR236" s="31">
        <f>IF(AE236="","",IF(AQ236=1,"Joined again",IF(AJ236=0,"Unpaid",IF(NOT(ISNUMBER(AL236)),"Add a join date",IF(AN236="","No reminder",IF(AO236&lt;0,"Lapsed",IF(AO236&lt;=Settings!$D$6,"Remind soon","Current")))))))</f>
        <v/>
      </c>
      <c r="AS236" s="33">
        <f>IF(AJ236=1,IFERROR(VALUE(IFERROR(TRIM(INDEX($A236:$Z236,MATCH(Settings!$L$8,$A$1:$Z$1,0))&amp;""),"")),0)-IFERROR(VALUE(IFERROR(TRIM(INDEX($A236:$Z236,MATCH(Settings!$L$9,$A$1:$Z$1,0))&amp;""),"")),0),0)</f>
        <v/>
      </c>
      <c r="AT236" s="31">
        <f>IF(AND(AE236&lt;&gt;"",AQ236=0),1,0)</f>
        <v/>
      </c>
      <c r="AU236" s="31">
        <f>IF(AT236=0,"",IF(ISNUMBER(AN236),AN236,100000)+0+ROW()/1000000)</f>
        <v/>
      </c>
      <c r="AV236" s="31">
        <f>IF(ISNUMBER(AU236),SUMPRODUCT(ISNUMBER('Responses'!$AU$2:$AU$501)*('Responses'!$AU$2:$AU$501&lt;AU236)) + SUMPRODUCT(ISNUMBER('Paper sign-ups'!$Y$2:$Y$101)*('Paper sign-ups'!$Y$2:$Y$101&lt;AU236))+1,"")</f>
        <v/>
      </c>
    </row>
    <row r="237">
      <c r="AA237" s="29" t="n"/>
      <c r="AB237" s="30" t="n"/>
      <c r="AC237" s="30" t="n"/>
      <c r="AD237" s="29" t="n"/>
      <c r="AE237" s="31">
        <f>IFERROR(TRIM(INDEX($A237:$Z237,MATCH(Settings!$L$4,$A$1:$Z$1,0))&amp;""),"")</f>
        <v/>
      </c>
      <c r="AF237" s="31">
        <f>IFERROR(TRIM(INDEX($A237:$Z237,MATCH(Settings!$L$5,$A$1:$Z$1,0))&amp;""),"")</f>
        <v/>
      </c>
      <c r="AG237" s="31">
        <f>IF(AE237="","",LOWER(IF(AF237&lt;&gt;"",AF237,AE237)))</f>
        <v/>
      </c>
      <c r="AH237" s="31">
        <f>IFERROR(TRIM(INDEX($A237:$Z237,MATCH(Settings!$L$6,$A$1:$Z$1,0))&amp;""),"")</f>
        <v/>
      </c>
      <c r="AI237" s="31">
        <f>IF(AE237="","",IF(UPPER(TRIM(AB237&amp;""))="Y","Paid another way",IF(IFERROR(TRIM(INDEX($A237:$Z237,MATCH(Settings!$L$7,$A$1:$Z$1,0))&amp;""),"")="","No payment status",IFERROR(TRIM(INDEX($A237:$Z237,MATCH(Settings!$L$7,$A$1:$Z$1,0))&amp;""),""))))</f>
        <v/>
      </c>
      <c r="AJ237" s="31">
        <f>IF(AE237="",0,IF(IFERROR(INDEX(Settings!$J$4:$J$14,MATCH(AI237,Settings!$I$4:$I$14,0)),"N")="Y",1,0))</f>
        <v/>
      </c>
      <c r="AK237" s="32">
        <f>IFERROR(INT(IFERROR(IF(ISNUMBER(INDEX($A237:$Z237,MATCH(Settings!$L$10,$A$1:$Z$1,0))),INDEX($A237:$Z237,MATCH(Settings!$L$10,$A$1:$Z$1,0)),DATE(VALUE(LEFT(IFERROR(TRIM(INDEX($A237:$Z237,MATCH(Settings!$L$10,$A$1:$Z$1,0))&amp;""),""),4)),VALUE(MID(IFERROR(TRIM(INDEX($A237:$Z237,MATCH(Settings!$L$10,$A$1:$Z$1,0))&amp;""),""),6,2)),VALUE(MID(IFERROR(TRIM(INDEX($A237:$Z237,MATCH(Settings!$L$10,$A$1:$Z$1,0))&amp;""),""),9,2)))+TIME(VALUE(MID(IFERROR(TRIM(INDEX($A237:$Z237,MATCH(Settings!$L$10,$A$1:$Z$1,0))&amp;""),""),12,2)),VALUE(MID(IFERROR(TRIM(INDEX($A237:$Z237,MATCH(Settings!$L$10,$A$1:$Z$1,0))&amp;""),""),15,2)),VALUE(MID(IFERROR(TRIM(INDEX($A237:$Z237,MATCH(Settings!$L$10,$A$1:$Z$1,0))&amp;""),""),18,2)))),"")),"")</f>
        <v/>
      </c>
      <c r="AL237" s="32">
        <f>IF(AE237="","",IF(ISNUMBER(AK237),AK237,IFERROR(INT(IFERROR(IF(ISNUMBER(INDEX($A237:$Z237,MATCH(Settings!$L$11,$A$1:$Z$1,0))),INDEX($A237:$Z237,MATCH(Settings!$L$11,$A$1:$Z$1,0)),DATE(VALUE(LEFT(IFERROR(TRIM(INDEX($A237:$Z237,MATCH(Settings!$L$11,$A$1:$Z$1,0))&amp;""),""),4)),VALUE(MID(IFERROR(TRIM(INDEX($A237:$Z237,MATCH(Settings!$L$11,$A$1:$Z$1,0))&amp;""),""),6,2)),VALUE(MID(IFERROR(TRIM(INDEX($A237:$Z237,MATCH(Settings!$L$11,$A$1:$Z$1,0))&amp;""),""),9,2)))+TIME(VALUE(MID(IFERROR(TRIM(INDEX($A237:$Z237,MATCH(Settings!$L$11,$A$1:$Z$1,0))&amp;""),""),12,2)),VALUE(MID(IFERROR(TRIM(INDEX($A237:$Z237,MATCH(Settings!$L$11,$A$1:$Z$1,0))&amp;""),""),15,2)),VALUE(MID(IFERROR(TRIM(INDEX($A237:$Z237,MATCH(Settings!$L$11,$A$1:$Z$1,0))&amp;""),""),18,2)))),"")),"")))</f>
        <v/>
      </c>
      <c r="AM237" s="31">
        <f>IF(AE237="","",IF(ISNUMBER(IFERROR(INDEX(Settings!$G$4:$G$11,MATCH(AH237,Settings!$F$4:$F$11,0)),"")),INDEX(Settings!$G$4:$G$11,MATCH(AH237,Settings!$F$4:$F$11,0)),Settings!$D$5))</f>
        <v/>
      </c>
      <c r="AN237" s="32">
        <f>IF(OR(AE237="",NOT(ISNUMBER(AL237)),NOT(ISNUMBER(AM237))),"",IF(AM237&lt;=0,"",IF(ISNUMBER(Settings!$D$8),DATE(YEAR(AL237)+IF(DATE(YEAR(AL237),MONTH(Settings!$D$8),DAY(Settings!$D$8))&gt;AL237,0,1),MONTH(Settings!$D$8),DAY(Settings!$D$8)),MIN(DATE(YEAR(AL237),MONTH(AL237)+AM237,DAY(AL237)),DATE(YEAR(AL237),MONTH(AL237)+AM237+1,0)))))</f>
        <v/>
      </c>
      <c r="AO237" s="31">
        <f>IF(ISNUMBER(AN237),AN237-Settings!$D$4,"")</f>
        <v/>
      </c>
      <c r="AP237" s="31">
        <f>IF(ISNUMBER(AL237),AL237+0+ROW()/100000,"")</f>
        <v/>
      </c>
      <c r="AQ237" s="31">
        <f>IF(OR(AG237="",NOT(ISNUMBER(AP237))),0,IF(SUMPRODUCT(('Responses'!$AG$2:$AG$501=AG237)*('Responses'!$AJ$2:$AJ$501=1)*ISNUMBER('Responses'!$AP$2:$AP$501)*('Responses'!$AP$2:$AP$501&gt;AP237)) + SUMPRODUCT(('Paper sign-ups'!$K$2:$K$101=AG237)*('Paper sign-ups'!$N$2:$N$101=1)*ISNUMBER('Paper sign-ups'!$T$2:$T$101)*('Paper sign-ups'!$T$2:$T$101&gt;AP237))&gt;0,1,0))</f>
        <v/>
      </c>
      <c r="AR237" s="31">
        <f>IF(AE237="","",IF(AQ237=1,"Joined again",IF(AJ237=0,"Unpaid",IF(NOT(ISNUMBER(AL237)),"Add a join date",IF(AN237="","No reminder",IF(AO237&lt;0,"Lapsed",IF(AO237&lt;=Settings!$D$6,"Remind soon","Current")))))))</f>
        <v/>
      </c>
      <c r="AS237" s="33">
        <f>IF(AJ237=1,IFERROR(VALUE(IFERROR(TRIM(INDEX($A237:$Z237,MATCH(Settings!$L$8,$A$1:$Z$1,0))&amp;""),"")),0)-IFERROR(VALUE(IFERROR(TRIM(INDEX($A237:$Z237,MATCH(Settings!$L$9,$A$1:$Z$1,0))&amp;""),"")),0),0)</f>
        <v/>
      </c>
      <c r="AT237" s="31">
        <f>IF(AND(AE237&lt;&gt;"",AQ237=0),1,0)</f>
        <v/>
      </c>
      <c r="AU237" s="31">
        <f>IF(AT237=0,"",IF(ISNUMBER(AN237),AN237,100000)+0+ROW()/1000000)</f>
        <v/>
      </c>
      <c r="AV237" s="31">
        <f>IF(ISNUMBER(AU237),SUMPRODUCT(ISNUMBER('Responses'!$AU$2:$AU$501)*('Responses'!$AU$2:$AU$501&lt;AU237)) + SUMPRODUCT(ISNUMBER('Paper sign-ups'!$Y$2:$Y$101)*('Paper sign-ups'!$Y$2:$Y$101&lt;AU237))+1,"")</f>
        <v/>
      </c>
    </row>
    <row r="238">
      <c r="AA238" s="29" t="n"/>
      <c r="AB238" s="30" t="n"/>
      <c r="AC238" s="30" t="n"/>
      <c r="AD238" s="29" t="n"/>
      <c r="AE238" s="31">
        <f>IFERROR(TRIM(INDEX($A238:$Z238,MATCH(Settings!$L$4,$A$1:$Z$1,0))&amp;""),"")</f>
        <v/>
      </c>
      <c r="AF238" s="31">
        <f>IFERROR(TRIM(INDEX($A238:$Z238,MATCH(Settings!$L$5,$A$1:$Z$1,0))&amp;""),"")</f>
        <v/>
      </c>
      <c r="AG238" s="31">
        <f>IF(AE238="","",LOWER(IF(AF238&lt;&gt;"",AF238,AE238)))</f>
        <v/>
      </c>
      <c r="AH238" s="31">
        <f>IFERROR(TRIM(INDEX($A238:$Z238,MATCH(Settings!$L$6,$A$1:$Z$1,0))&amp;""),"")</f>
        <v/>
      </c>
      <c r="AI238" s="31">
        <f>IF(AE238="","",IF(UPPER(TRIM(AB238&amp;""))="Y","Paid another way",IF(IFERROR(TRIM(INDEX($A238:$Z238,MATCH(Settings!$L$7,$A$1:$Z$1,0))&amp;""),"")="","No payment status",IFERROR(TRIM(INDEX($A238:$Z238,MATCH(Settings!$L$7,$A$1:$Z$1,0))&amp;""),""))))</f>
        <v/>
      </c>
      <c r="AJ238" s="31">
        <f>IF(AE238="",0,IF(IFERROR(INDEX(Settings!$J$4:$J$14,MATCH(AI238,Settings!$I$4:$I$14,0)),"N")="Y",1,0))</f>
        <v/>
      </c>
      <c r="AK238" s="32">
        <f>IFERROR(INT(IFERROR(IF(ISNUMBER(INDEX($A238:$Z238,MATCH(Settings!$L$10,$A$1:$Z$1,0))),INDEX($A238:$Z238,MATCH(Settings!$L$10,$A$1:$Z$1,0)),DATE(VALUE(LEFT(IFERROR(TRIM(INDEX($A238:$Z238,MATCH(Settings!$L$10,$A$1:$Z$1,0))&amp;""),""),4)),VALUE(MID(IFERROR(TRIM(INDEX($A238:$Z238,MATCH(Settings!$L$10,$A$1:$Z$1,0))&amp;""),""),6,2)),VALUE(MID(IFERROR(TRIM(INDEX($A238:$Z238,MATCH(Settings!$L$10,$A$1:$Z$1,0))&amp;""),""),9,2)))+TIME(VALUE(MID(IFERROR(TRIM(INDEX($A238:$Z238,MATCH(Settings!$L$10,$A$1:$Z$1,0))&amp;""),""),12,2)),VALUE(MID(IFERROR(TRIM(INDEX($A238:$Z238,MATCH(Settings!$L$10,$A$1:$Z$1,0))&amp;""),""),15,2)),VALUE(MID(IFERROR(TRIM(INDEX($A238:$Z238,MATCH(Settings!$L$10,$A$1:$Z$1,0))&amp;""),""),18,2)))),"")),"")</f>
        <v/>
      </c>
      <c r="AL238" s="32">
        <f>IF(AE238="","",IF(ISNUMBER(AK238),AK238,IFERROR(INT(IFERROR(IF(ISNUMBER(INDEX($A238:$Z238,MATCH(Settings!$L$11,$A$1:$Z$1,0))),INDEX($A238:$Z238,MATCH(Settings!$L$11,$A$1:$Z$1,0)),DATE(VALUE(LEFT(IFERROR(TRIM(INDEX($A238:$Z238,MATCH(Settings!$L$11,$A$1:$Z$1,0))&amp;""),""),4)),VALUE(MID(IFERROR(TRIM(INDEX($A238:$Z238,MATCH(Settings!$L$11,$A$1:$Z$1,0))&amp;""),""),6,2)),VALUE(MID(IFERROR(TRIM(INDEX($A238:$Z238,MATCH(Settings!$L$11,$A$1:$Z$1,0))&amp;""),""),9,2)))+TIME(VALUE(MID(IFERROR(TRIM(INDEX($A238:$Z238,MATCH(Settings!$L$11,$A$1:$Z$1,0))&amp;""),""),12,2)),VALUE(MID(IFERROR(TRIM(INDEX($A238:$Z238,MATCH(Settings!$L$11,$A$1:$Z$1,0))&amp;""),""),15,2)),VALUE(MID(IFERROR(TRIM(INDEX($A238:$Z238,MATCH(Settings!$L$11,$A$1:$Z$1,0))&amp;""),""),18,2)))),"")),"")))</f>
        <v/>
      </c>
      <c r="AM238" s="31">
        <f>IF(AE238="","",IF(ISNUMBER(IFERROR(INDEX(Settings!$G$4:$G$11,MATCH(AH238,Settings!$F$4:$F$11,0)),"")),INDEX(Settings!$G$4:$G$11,MATCH(AH238,Settings!$F$4:$F$11,0)),Settings!$D$5))</f>
        <v/>
      </c>
      <c r="AN238" s="32">
        <f>IF(OR(AE238="",NOT(ISNUMBER(AL238)),NOT(ISNUMBER(AM238))),"",IF(AM238&lt;=0,"",IF(ISNUMBER(Settings!$D$8),DATE(YEAR(AL238)+IF(DATE(YEAR(AL238),MONTH(Settings!$D$8),DAY(Settings!$D$8))&gt;AL238,0,1),MONTH(Settings!$D$8),DAY(Settings!$D$8)),MIN(DATE(YEAR(AL238),MONTH(AL238)+AM238,DAY(AL238)),DATE(YEAR(AL238),MONTH(AL238)+AM238+1,0)))))</f>
        <v/>
      </c>
      <c r="AO238" s="31">
        <f>IF(ISNUMBER(AN238),AN238-Settings!$D$4,"")</f>
        <v/>
      </c>
      <c r="AP238" s="31">
        <f>IF(ISNUMBER(AL238),AL238+0+ROW()/100000,"")</f>
        <v/>
      </c>
      <c r="AQ238" s="31">
        <f>IF(OR(AG238="",NOT(ISNUMBER(AP238))),0,IF(SUMPRODUCT(('Responses'!$AG$2:$AG$501=AG238)*('Responses'!$AJ$2:$AJ$501=1)*ISNUMBER('Responses'!$AP$2:$AP$501)*('Responses'!$AP$2:$AP$501&gt;AP238)) + SUMPRODUCT(('Paper sign-ups'!$K$2:$K$101=AG238)*('Paper sign-ups'!$N$2:$N$101=1)*ISNUMBER('Paper sign-ups'!$T$2:$T$101)*('Paper sign-ups'!$T$2:$T$101&gt;AP238))&gt;0,1,0))</f>
        <v/>
      </c>
      <c r="AR238" s="31">
        <f>IF(AE238="","",IF(AQ238=1,"Joined again",IF(AJ238=0,"Unpaid",IF(NOT(ISNUMBER(AL238)),"Add a join date",IF(AN238="","No reminder",IF(AO238&lt;0,"Lapsed",IF(AO238&lt;=Settings!$D$6,"Remind soon","Current")))))))</f>
        <v/>
      </c>
      <c r="AS238" s="33">
        <f>IF(AJ238=1,IFERROR(VALUE(IFERROR(TRIM(INDEX($A238:$Z238,MATCH(Settings!$L$8,$A$1:$Z$1,0))&amp;""),"")),0)-IFERROR(VALUE(IFERROR(TRIM(INDEX($A238:$Z238,MATCH(Settings!$L$9,$A$1:$Z$1,0))&amp;""),"")),0),0)</f>
        <v/>
      </c>
      <c r="AT238" s="31">
        <f>IF(AND(AE238&lt;&gt;"",AQ238=0),1,0)</f>
        <v/>
      </c>
      <c r="AU238" s="31">
        <f>IF(AT238=0,"",IF(ISNUMBER(AN238),AN238,100000)+0+ROW()/1000000)</f>
        <v/>
      </c>
      <c r="AV238" s="31">
        <f>IF(ISNUMBER(AU238),SUMPRODUCT(ISNUMBER('Responses'!$AU$2:$AU$501)*('Responses'!$AU$2:$AU$501&lt;AU238)) + SUMPRODUCT(ISNUMBER('Paper sign-ups'!$Y$2:$Y$101)*('Paper sign-ups'!$Y$2:$Y$101&lt;AU238))+1,"")</f>
        <v/>
      </c>
    </row>
    <row r="239">
      <c r="AA239" s="29" t="n"/>
      <c r="AB239" s="30" t="n"/>
      <c r="AC239" s="30" t="n"/>
      <c r="AD239" s="29" t="n"/>
      <c r="AE239" s="31">
        <f>IFERROR(TRIM(INDEX($A239:$Z239,MATCH(Settings!$L$4,$A$1:$Z$1,0))&amp;""),"")</f>
        <v/>
      </c>
      <c r="AF239" s="31">
        <f>IFERROR(TRIM(INDEX($A239:$Z239,MATCH(Settings!$L$5,$A$1:$Z$1,0))&amp;""),"")</f>
        <v/>
      </c>
      <c r="AG239" s="31">
        <f>IF(AE239="","",LOWER(IF(AF239&lt;&gt;"",AF239,AE239)))</f>
        <v/>
      </c>
      <c r="AH239" s="31">
        <f>IFERROR(TRIM(INDEX($A239:$Z239,MATCH(Settings!$L$6,$A$1:$Z$1,0))&amp;""),"")</f>
        <v/>
      </c>
      <c r="AI239" s="31">
        <f>IF(AE239="","",IF(UPPER(TRIM(AB239&amp;""))="Y","Paid another way",IF(IFERROR(TRIM(INDEX($A239:$Z239,MATCH(Settings!$L$7,$A$1:$Z$1,0))&amp;""),"")="","No payment status",IFERROR(TRIM(INDEX($A239:$Z239,MATCH(Settings!$L$7,$A$1:$Z$1,0))&amp;""),""))))</f>
        <v/>
      </c>
      <c r="AJ239" s="31">
        <f>IF(AE239="",0,IF(IFERROR(INDEX(Settings!$J$4:$J$14,MATCH(AI239,Settings!$I$4:$I$14,0)),"N")="Y",1,0))</f>
        <v/>
      </c>
      <c r="AK239" s="32">
        <f>IFERROR(INT(IFERROR(IF(ISNUMBER(INDEX($A239:$Z239,MATCH(Settings!$L$10,$A$1:$Z$1,0))),INDEX($A239:$Z239,MATCH(Settings!$L$10,$A$1:$Z$1,0)),DATE(VALUE(LEFT(IFERROR(TRIM(INDEX($A239:$Z239,MATCH(Settings!$L$10,$A$1:$Z$1,0))&amp;""),""),4)),VALUE(MID(IFERROR(TRIM(INDEX($A239:$Z239,MATCH(Settings!$L$10,$A$1:$Z$1,0))&amp;""),""),6,2)),VALUE(MID(IFERROR(TRIM(INDEX($A239:$Z239,MATCH(Settings!$L$10,$A$1:$Z$1,0))&amp;""),""),9,2)))+TIME(VALUE(MID(IFERROR(TRIM(INDEX($A239:$Z239,MATCH(Settings!$L$10,$A$1:$Z$1,0))&amp;""),""),12,2)),VALUE(MID(IFERROR(TRIM(INDEX($A239:$Z239,MATCH(Settings!$L$10,$A$1:$Z$1,0))&amp;""),""),15,2)),VALUE(MID(IFERROR(TRIM(INDEX($A239:$Z239,MATCH(Settings!$L$10,$A$1:$Z$1,0))&amp;""),""),18,2)))),"")),"")</f>
        <v/>
      </c>
      <c r="AL239" s="32">
        <f>IF(AE239="","",IF(ISNUMBER(AK239),AK239,IFERROR(INT(IFERROR(IF(ISNUMBER(INDEX($A239:$Z239,MATCH(Settings!$L$11,$A$1:$Z$1,0))),INDEX($A239:$Z239,MATCH(Settings!$L$11,$A$1:$Z$1,0)),DATE(VALUE(LEFT(IFERROR(TRIM(INDEX($A239:$Z239,MATCH(Settings!$L$11,$A$1:$Z$1,0))&amp;""),""),4)),VALUE(MID(IFERROR(TRIM(INDEX($A239:$Z239,MATCH(Settings!$L$11,$A$1:$Z$1,0))&amp;""),""),6,2)),VALUE(MID(IFERROR(TRIM(INDEX($A239:$Z239,MATCH(Settings!$L$11,$A$1:$Z$1,0))&amp;""),""),9,2)))+TIME(VALUE(MID(IFERROR(TRIM(INDEX($A239:$Z239,MATCH(Settings!$L$11,$A$1:$Z$1,0))&amp;""),""),12,2)),VALUE(MID(IFERROR(TRIM(INDEX($A239:$Z239,MATCH(Settings!$L$11,$A$1:$Z$1,0))&amp;""),""),15,2)),VALUE(MID(IFERROR(TRIM(INDEX($A239:$Z239,MATCH(Settings!$L$11,$A$1:$Z$1,0))&amp;""),""),18,2)))),"")),"")))</f>
        <v/>
      </c>
      <c r="AM239" s="31">
        <f>IF(AE239="","",IF(ISNUMBER(IFERROR(INDEX(Settings!$G$4:$G$11,MATCH(AH239,Settings!$F$4:$F$11,0)),"")),INDEX(Settings!$G$4:$G$11,MATCH(AH239,Settings!$F$4:$F$11,0)),Settings!$D$5))</f>
        <v/>
      </c>
      <c r="AN239" s="32">
        <f>IF(OR(AE239="",NOT(ISNUMBER(AL239)),NOT(ISNUMBER(AM239))),"",IF(AM239&lt;=0,"",IF(ISNUMBER(Settings!$D$8),DATE(YEAR(AL239)+IF(DATE(YEAR(AL239),MONTH(Settings!$D$8),DAY(Settings!$D$8))&gt;AL239,0,1),MONTH(Settings!$D$8),DAY(Settings!$D$8)),MIN(DATE(YEAR(AL239),MONTH(AL239)+AM239,DAY(AL239)),DATE(YEAR(AL239),MONTH(AL239)+AM239+1,0)))))</f>
        <v/>
      </c>
      <c r="AO239" s="31">
        <f>IF(ISNUMBER(AN239),AN239-Settings!$D$4,"")</f>
        <v/>
      </c>
      <c r="AP239" s="31">
        <f>IF(ISNUMBER(AL239),AL239+0+ROW()/100000,"")</f>
        <v/>
      </c>
      <c r="AQ239" s="31">
        <f>IF(OR(AG239="",NOT(ISNUMBER(AP239))),0,IF(SUMPRODUCT(('Responses'!$AG$2:$AG$501=AG239)*('Responses'!$AJ$2:$AJ$501=1)*ISNUMBER('Responses'!$AP$2:$AP$501)*('Responses'!$AP$2:$AP$501&gt;AP239)) + SUMPRODUCT(('Paper sign-ups'!$K$2:$K$101=AG239)*('Paper sign-ups'!$N$2:$N$101=1)*ISNUMBER('Paper sign-ups'!$T$2:$T$101)*('Paper sign-ups'!$T$2:$T$101&gt;AP239))&gt;0,1,0))</f>
        <v/>
      </c>
      <c r="AR239" s="31">
        <f>IF(AE239="","",IF(AQ239=1,"Joined again",IF(AJ239=0,"Unpaid",IF(NOT(ISNUMBER(AL239)),"Add a join date",IF(AN239="","No reminder",IF(AO239&lt;0,"Lapsed",IF(AO239&lt;=Settings!$D$6,"Remind soon","Current")))))))</f>
        <v/>
      </c>
      <c r="AS239" s="33">
        <f>IF(AJ239=1,IFERROR(VALUE(IFERROR(TRIM(INDEX($A239:$Z239,MATCH(Settings!$L$8,$A$1:$Z$1,0))&amp;""),"")),0)-IFERROR(VALUE(IFERROR(TRIM(INDEX($A239:$Z239,MATCH(Settings!$L$9,$A$1:$Z$1,0))&amp;""),"")),0),0)</f>
        <v/>
      </c>
      <c r="AT239" s="31">
        <f>IF(AND(AE239&lt;&gt;"",AQ239=0),1,0)</f>
        <v/>
      </c>
      <c r="AU239" s="31">
        <f>IF(AT239=0,"",IF(ISNUMBER(AN239),AN239,100000)+0+ROW()/1000000)</f>
        <v/>
      </c>
      <c r="AV239" s="31">
        <f>IF(ISNUMBER(AU239),SUMPRODUCT(ISNUMBER('Responses'!$AU$2:$AU$501)*('Responses'!$AU$2:$AU$501&lt;AU239)) + SUMPRODUCT(ISNUMBER('Paper sign-ups'!$Y$2:$Y$101)*('Paper sign-ups'!$Y$2:$Y$101&lt;AU239))+1,"")</f>
        <v/>
      </c>
    </row>
    <row r="240">
      <c r="AA240" s="29" t="n"/>
      <c r="AB240" s="30" t="n"/>
      <c r="AC240" s="30" t="n"/>
      <c r="AD240" s="29" t="n"/>
      <c r="AE240" s="31">
        <f>IFERROR(TRIM(INDEX($A240:$Z240,MATCH(Settings!$L$4,$A$1:$Z$1,0))&amp;""),"")</f>
        <v/>
      </c>
      <c r="AF240" s="31">
        <f>IFERROR(TRIM(INDEX($A240:$Z240,MATCH(Settings!$L$5,$A$1:$Z$1,0))&amp;""),"")</f>
        <v/>
      </c>
      <c r="AG240" s="31">
        <f>IF(AE240="","",LOWER(IF(AF240&lt;&gt;"",AF240,AE240)))</f>
        <v/>
      </c>
      <c r="AH240" s="31">
        <f>IFERROR(TRIM(INDEX($A240:$Z240,MATCH(Settings!$L$6,$A$1:$Z$1,0))&amp;""),"")</f>
        <v/>
      </c>
      <c r="AI240" s="31">
        <f>IF(AE240="","",IF(UPPER(TRIM(AB240&amp;""))="Y","Paid another way",IF(IFERROR(TRIM(INDEX($A240:$Z240,MATCH(Settings!$L$7,$A$1:$Z$1,0))&amp;""),"")="","No payment status",IFERROR(TRIM(INDEX($A240:$Z240,MATCH(Settings!$L$7,$A$1:$Z$1,0))&amp;""),""))))</f>
        <v/>
      </c>
      <c r="AJ240" s="31">
        <f>IF(AE240="",0,IF(IFERROR(INDEX(Settings!$J$4:$J$14,MATCH(AI240,Settings!$I$4:$I$14,0)),"N")="Y",1,0))</f>
        <v/>
      </c>
      <c r="AK240" s="32">
        <f>IFERROR(INT(IFERROR(IF(ISNUMBER(INDEX($A240:$Z240,MATCH(Settings!$L$10,$A$1:$Z$1,0))),INDEX($A240:$Z240,MATCH(Settings!$L$10,$A$1:$Z$1,0)),DATE(VALUE(LEFT(IFERROR(TRIM(INDEX($A240:$Z240,MATCH(Settings!$L$10,$A$1:$Z$1,0))&amp;""),""),4)),VALUE(MID(IFERROR(TRIM(INDEX($A240:$Z240,MATCH(Settings!$L$10,$A$1:$Z$1,0))&amp;""),""),6,2)),VALUE(MID(IFERROR(TRIM(INDEX($A240:$Z240,MATCH(Settings!$L$10,$A$1:$Z$1,0))&amp;""),""),9,2)))+TIME(VALUE(MID(IFERROR(TRIM(INDEX($A240:$Z240,MATCH(Settings!$L$10,$A$1:$Z$1,0))&amp;""),""),12,2)),VALUE(MID(IFERROR(TRIM(INDEX($A240:$Z240,MATCH(Settings!$L$10,$A$1:$Z$1,0))&amp;""),""),15,2)),VALUE(MID(IFERROR(TRIM(INDEX($A240:$Z240,MATCH(Settings!$L$10,$A$1:$Z$1,0))&amp;""),""),18,2)))),"")),"")</f>
        <v/>
      </c>
      <c r="AL240" s="32">
        <f>IF(AE240="","",IF(ISNUMBER(AK240),AK240,IFERROR(INT(IFERROR(IF(ISNUMBER(INDEX($A240:$Z240,MATCH(Settings!$L$11,$A$1:$Z$1,0))),INDEX($A240:$Z240,MATCH(Settings!$L$11,$A$1:$Z$1,0)),DATE(VALUE(LEFT(IFERROR(TRIM(INDEX($A240:$Z240,MATCH(Settings!$L$11,$A$1:$Z$1,0))&amp;""),""),4)),VALUE(MID(IFERROR(TRIM(INDEX($A240:$Z240,MATCH(Settings!$L$11,$A$1:$Z$1,0))&amp;""),""),6,2)),VALUE(MID(IFERROR(TRIM(INDEX($A240:$Z240,MATCH(Settings!$L$11,$A$1:$Z$1,0))&amp;""),""),9,2)))+TIME(VALUE(MID(IFERROR(TRIM(INDEX($A240:$Z240,MATCH(Settings!$L$11,$A$1:$Z$1,0))&amp;""),""),12,2)),VALUE(MID(IFERROR(TRIM(INDEX($A240:$Z240,MATCH(Settings!$L$11,$A$1:$Z$1,0))&amp;""),""),15,2)),VALUE(MID(IFERROR(TRIM(INDEX($A240:$Z240,MATCH(Settings!$L$11,$A$1:$Z$1,0))&amp;""),""),18,2)))),"")),"")))</f>
        <v/>
      </c>
      <c r="AM240" s="31">
        <f>IF(AE240="","",IF(ISNUMBER(IFERROR(INDEX(Settings!$G$4:$G$11,MATCH(AH240,Settings!$F$4:$F$11,0)),"")),INDEX(Settings!$G$4:$G$11,MATCH(AH240,Settings!$F$4:$F$11,0)),Settings!$D$5))</f>
        <v/>
      </c>
      <c r="AN240" s="32">
        <f>IF(OR(AE240="",NOT(ISNUMBER(AL240)),NOT(ISNUMBER(AM240))),"",IF(AM240&lt;=0,"",IF(ISNUMBER(Settings!$D$8),DATE(YEAR(AL240)+IF(DATE(YEAR(AL240),MONTH(Settings!$D$8),DAY(Settings!$D$8))&gt;AL240,0,1),MONTH(Settings!$D$8),DAY(Settings!$D$8)),MIN(DATE(YEAR(AL240),MONTH(AL240)+AM240,DAY(AL240)),DATE(YEAR(AL240),MONTH(AL240)+AM240+1,0)))))</f>
        <v/>
      </c>
      <c r="AO240" s="31">
        <f>IF(ISNUMBER(AN240),AN240-Settings!$D$4,"")</f>
        <v/>
      </c>
      <c r="AP240" s="31">
        <f>IF(ISNUMBER(AL240),AL240+0+ROW()/100000,"")</f>
        <v/>
      </c>
      <c r="AQ240" s="31">
        <f>IF(OR(AG240="",NOT(ISNUMBER(AP240))),0,IF(SUMPRODUCT(('Responses'!$AG$2:$AG$501=AG240)*('Responses'!$AJ$2:$AJ$501=1)*ISNUMBER('Responses'!$AP$2:$AP$501)*('Responses'!$AP$2:$AP$501&gt;AP240)) + SUMPRODUCT(('Paper sign-ups'!$K$2:$K$101=AG240)*('Paper sign-ups'!$N$2:$N$101=1)*ISNUMBER('Paper sign-ups'!$T$2:$T$101)*('Paper sign-ups'!$T$2:$T$101&gt;AP240))&gt;0,1,0))</f>
        <v/>
      </c>
      <c r="AR240" s="31">
        <f>IF(AE240="","",IF(AQ240=1,"Joined again",IF(AJ240=0,"Unpaid",IF(NOT(ISNUMBER(AL240)),"Add a join date",IF(AN240="","No reminder",IF(AO240&lt;0,"Lapsed",IF(AO240&lt;=Settings!$D$6,"Remind soon","Current")))))))</f>
        <v/>
      </c>
      <c r="AS240" s="33">
        <f>IF(AJ240=1,IFERROR(VALUE(IFERROR(TRIM(INDEX($A240:$Z240,MATCH(Settings!$L$8,$A$1:$Z$1,0))&amp;""),"")),0)-IFERROR(VALUE(IFERROR(TRIM(INDEX($A240:$Z240,MATCH(Settings!$L$9,$A$1:$Z$1,0))&amp;""),"")),0),0)</f>
        <v/>
      </c>
      <c r="AT240" s="31">
        <f>IF(AND(AE240&lt;&gt;"",AQ240=0),1,0)</f>
        <v/>
      </c>
      <c r="AU240" s="31">
        <f>IF(AT240=0,"",IF(ISNUMBER(AN240),AN240,100000)+0+ROW()/1000000)</f>
        <v/>
      </c>
      <c r="AV240" s="31">
        <f>IF(ISNUMBER(AU240),SUMPRODUCT(ISNUMBER('Responses'!$AU$2:$AU$501)*('Responses'!$AU$2:$AU$501&lt;AU240)) + SUMPRODUCT(ISNUMBER('Paper sign-ups'!$Y$2:$Y$101)*('Paper sign-ups'!$Y$2:$Y$101&lt;AU240))+1,"")</f>
        <v/>
      </c>
    </row>
    <row r="241">
      <c r="AA241" s="29" t="n"/>
      <c r="AB241" s="30" t="n"/>
      <c r="AC241" s="30" t="n"/>
      <c r="AD241" s="29" t="n"/>
      <c r="AE241" s="31">
        <f>IFERROR(TRIM(INDEX($A241:$Z241,MATCH(Settings!$L$4,$A$1:$Z$1,0))&amp;""),"")</f>
        <v/>
      </c>
      <c r="AF241" s="31">
        <f>IFERROR(TRIM(INDEX($A241:$Z241,MATCH(Settings!$L$5,$A$1:$Z$1,0))&amp;""),"")</f>
        <v/>
      </c>
      <c r="AG241" s="31">
        <f>IF(AE241="","",LOWER(IF(AF241&lt;&gt;"",AF241,AE241)))</f>
        <v/>
      </c>
      <c r="AH241" s="31">
        <f>IFERROR(TRIM(INDEX($A241:$Z241,MATCH(Settings!$L$6,$A$1:$Z$1,0))&amp;""),"")</f>
        <v/>
      </c>
      <c r="AI241" s="31">
        <f>IF(AE241="","",IF(UPPER(TRIM(AB241&amp;""))="Y","Paid another way",IF(IFERROR(TRIM(INDEX($A241:$Z241,MATCH(Settings!$L$7,$A$1:$Z$1,0))&amp;""),"")="","No payment status",IFERROR(TRIM(INDEX($A241:$Z241,MATCH(Settings!$L$7,$A$1:$Z$1,0))&amp;""),""))))</f>
        <v/>
      </c>
      <c r="AJ241" s="31">
        <f>IF(AE241="",0,IF(IFERROR(INDEX(Settings!$J$4:$J$14,MATCH(AI241,Settings!$I$4:$I$14,0)),"N")="Y",1,0))</f>
        <v/>
      </c>
      <c r="AK241" s="32">
        <f>IFERROR(INT(IFERROR(IF(ISNUMBER(INDEX($A241:$Z241,MATCH(Settings!$L$10,$A$1:$Z$1,0))),INDEX($A241:$Z241,MATCH(Settings!$L$10,$A$1:$Z$1,0)),DATE(VALUE(LEFT(IFERROR(TRIM(INDEX($A241:$Z241,MATCH(Settings!$L$10,$A$1:$Z$1,0))&amp;""),""),4)),VALUE(MID(IFERROR(TRIM(INDEX($A241:$Z241,MATCH(Settings!$L$10,$A$1:$Z$1,0))&amp;""),""),6,2)),VALUE(MID(IFERROR(TRIM(INDEX($A241:$Z241,MATCH(Settings!$L$10,$A$1:$Z$1,0))&amp;""),""),9,2)))+TIME(VALUE(MID(IFERROR(TRIM(INDEX($A241:$Z241,MATCH(Settings!$L$10,$A$1:$Z$1,0))&amp;""),""),12,2)),VALUE(MID(IFERROR(TRIM(INDEX($A241:$Z241,MATCH(Settings!$L$10,$A$1:$Z$1,0))&amp;""),""),15,2)),VALUE(MID(IFERROR(TRIM(INDEX($A241:$Z241,MATCH(Settings!$L$10,$A$1:$Z$1,0))&amp;""),""),18,2)))),"")),"")</f>
        <v/>
      </c>
      <c r="AL241" s="32">
        <f>IF(AE241="","",IF(ISNUMBER(AK241),AK241,IFERROR(INT(IFERROR(IF(ISNUMBER(INDEX($A241:$Z241,MATCH(Settings!$L$11,$A$1:$Z$1,0))),INDEX($A241:$Z241,MATCH(Settings!$L$11,$A$1:$Z$1,0)),DATE(VALUE(LEFT(IFERROR(TRIM(INDEX($A241:$Z241,MATCH(Settings!$L$11,$A$1:$Z$1,0))&amp;""),""),4)),VALUE(MID(IFERROR(TRIM(INDEX($A241:$Z241,MATCH(Settings!$L$11,$A$1:$Z$1,0))&amp;""),""),6,2)),VALUE(MID(IFERROR(TRIM(INDEX($A241:$Z241,MATCH(Settings!$L$11,$A$1:$Z$1,0))&amp;""),""),9,2)))+TIME(VALUE(MID(IFERROR(TRIM(INDEX($A241:$Z241,MATCH(Settings!$L$11,$A$1:$Z$1,0))&amp;""),""),12,2)),VALUE(MID(IFERROR(TRIM(INDEX($A241:$Z241,MATCH(Settings!$L$11,$A$1:$Z$1,0))&amp;""),""),15,2)),VALUE(MID(IFERROR(TRIM(INDEX($A241:$Z241,MATCH(Settings!$L$11,$A$1:$Z$1,0))&amp;""),""),18,2)))),"")),"")))</f>
        <v/>
      </c>
      <c r="AM241" s="31">
        <f>IF(AE241="","",IF(ISNUMBER(IFERROR(INDEX(Settings!$G$4:$G$11,MATCH(AH241,Settings!$F$4:$F$11,0)),"")),INDEX(Settings!$G$4:$G$11,MATCH(AH241,Settings!$F$4:$F$11,0)),Settings!$D$5))</f>
        <v/>
      </c>
      <c r="AN241" s="32">
        <f>IF(OR(AE241="",NOT(ISNUMBER(AL241)),NOT(ISNUMBER(AM241))),"",IF(AM241&lt;=0,"",IF(ISNUMBER(Settings!$D$8),DATE(YEAR(AL241)+IF(DATE(YEAR(AL241),MONTH(Settings!$D$8),DAY(Settings!$D$8))&gt;AL241,0,1),MONTH(Settings!$D$8),DAY(Settings!$D$8)),MIN(DATE(YEAR(AL241),MONTH(AL241)+AM241,DAY(AL241)),DATE(YEAR(AL241),MONTH(AL241)+AM241+1,0)))))</f>
        <v/>
      </c>
      <c r="AO241" s="31">
        <f>IF(ISNUMBER(AN241),AN241-Settings!$D$4,"")</f>
        <v/>
      </c>
      <c r="AP241" s="31">
        <f>IF(ISNUMBER(AL241),AL241+0+ROW()/100000,"")</f>
        <v/>
      </c>
      <c r="AQ241" s="31">
        <f>IF(OR(AG241="",NOT(ISNUMBER(AP241))),0,IF(SUMPRODUCT(('Responses'!$AG$2:$AG$501=AG241)*('Responses'!$AJ$2:$AJ$501=1)*ISNUMBER('Responses'!$AP$2:$AP$501)*('Responses'!$AP$2:$AP$501&gt;AP241)) + SUMPRODUCT(('Paper sign-ups'!$K$2:$K$101=AG241)*('Paper sign-ups'!$N$2:$N$101=1)*ISNUMBER('Paper sign-ups'!$T$2:$T$101)*('Paper sign-ups'!$T$2:$T$101&gt;AP241))&gt;0,1,0))</f>
        <v/>
      </c>
      <c r="AR241" s="31">
        <f>IF(AE241="","",IF(AQ241=1,"Joined again",IF(AJ241=0,"Unpaid",IF(NOT(ISNUMBER(AL241)),"Add a join date",IF(AN241="","No reminder",IF(AO241&lt;0,"Lapsed",IF(AO241&lt;=Settings!$D$6,"Remind soon","Current")))))))</f>
        <v/>
      </c>
      <c r="AS241" s="33">
        <f>IF(AJ241=1,IFERROR(VALUE(IFERROR(TRIM(INDEX($A241:$Z241,MATCH(Settings!$L$8,$A$1:$Z$1,0))&amp;""),"")),0)-IFERROR(VALUE(IFERROR(TRIM(INDEX($A241:$Z241,MATCH(Settings!$L$9,$A$1:$Z$1,0))&amp;""),"")),0),0)</f>
        <v/>
      </c>
      <c r="AT241" s="31">
        <f>IF(AND(AE241&lt;&gt;"",AQ241=0),1,0)</f>
        <v/>
      </c>
      <c r="AU241" s="31">
        <f>IF(AT241=0,"",IF(ISNUMBER(AN241),AN241,100000)+0+ROW()/1000000)</f>
        <v/>
      </c>
      <c r="AV241" s="31">
        <f>IF(ISNUMBER(AU241),SUMPRODUCT(ISNUMBER('Responses'!$AU$2:$AU$501)*('Responses'!$AU$2:$AU$501&lt;AU241)) + SUMPRODUCT(ISNUMBER('Paper sign-ups'!$Y$2:$Y$101)*('Paper sign-ups'!$Y$2:$Y$101&lt;AU241))+1,"")</f>
        <v/>
      </c>
    </row>
    <row r="242">
      <c r="AA242" s="29" t="n"/>
      <c r="AB242" s="30" t="n"/>
      <c r="AC242" s="30" t="n"/>
      <c r="AD242" s="29" t="n"/>
      <c r="AE242" s="31">
        <f>IFERROR(TRIM(INDEX($A242:$Z242,MATCH(Settings!$L$4,$A$1:$Z$1,0))&amp;""),"")</f>
        <v/>
      </c>
      <c r="AF242" s="31">
        <f>IFERROR(TRIM(INDEX($A242:$Z242,MATCH(Settings!$L$5,$A$1:$Z$1,0))&amp;""),"")</f>
        <v/>
      </c>
      <c r="AG242" s="31">
        <f>IF(AE242="","",LOWER(IF(AF242&lt;&gt;"",AF242,AE242)))</f>
        <v/>
      </c>
      <c r="AH242" s="31">
        <f>IFERROR(TRIM(INDEX($A242:$Z242,MATCH(Settings!$L$6,$A$1:$Z$1,0))&amp;""),"")</f>
        <v/>
      </c>
      <c r="AI242" s="31">
        <f>IF(AE242="","",IF(UPPER(TRIM(AB242&amp;""))="Y","Paid another way",IF(IFERROR(TRIM(INDEX($A242:$Z242,MATCH(Settings!$L$7,$A$1:$Z$1,0))&amp;""),"")="","No payment status",IFERROR(TRIM(INDEX($A242:$Z242,MATCH(Settings!$L$7,$A$1:$Z$1,0))&amp;""),""))))</f>
        <v/>
      </c>
      <c r="AJ242" s="31">
        <f>IF(AE242="",0,IF(IFERROR(INDEX(Settings!$J$4:$J$14,MATCH(AI242,Settings!$I$4:$I$14,0)),"N")="Y",1,0))</f>
        <v/>
      </c>
      <c r="AK242" s="32">
        <f>IFERROR(INT(IFERROR(IF(ISNUMBER(INDEX($A242:$Z242,MATCH(Settings!$L$10,$A$1:$Z$1,0))),INDEX($A242:$Z242,MATCH(Settings!$L$10,$A$1:$Z$1,0)),DATE(VALUE(LEFT(IFERROR(TRIM(INDEX($A242:$Z242,MATCH(Settings!$L$10,$A$1:$Z$1,0))&amp;""),""),4)),VALUE(MID(IFERROR(TRIM(INDEX($A242:$Z242,MATCH(Settings!$L$10,$A$1:$Z$1,0))&amp;""),""),6,2)),VALUE(MID(IFERROR(TRIM(INDEX($A242:$Z242,MATCH(Settings!$L$10,$A$1:$Z$1,0))&amp;""),""),9,2)))+TIME(VALUE(MID(IFERROR(TRIM(INDEX($A242:$Z242,MATCH(Settings!$L$10,$A$1:$Z$1,0))&amp;""),""),12,2)),VALUE(MID(IFERROR(TRIM(INDEX($A242:$Z242,MATCH(Settings!$L$10,$A$1:$Z$1,0))&amp;""),""),15,2)),VALUE(MID(IFERROR(TRIM(INDEX($A242:$Z242,MATCH(Settings!$L$10,$A$1:$Z$1,0))&amp;""),""),18,2)))),"")),"")</f>
        <v/>
      </c>
      <c r="AL242" s="32">
        <f>IF(AE242="","",IF(ISNUMBER(AK242),AK242,IFERROR(INT(IFERROR(IF(ISNUMBER(INDEX($A242:$Z242,MATCH(Settings!$L$11,$A$1:$Z$1,0))),INDEX($A242:$Z242,MATCH(Settings!$L$11,$A$1:$Z$1,0)),DATE(VALUE(LEFT(IFERROR(TRIM(INDEX($A242:$Z242,MATCH(Settings!$L$11,$A$1:$Z$1,0))&amp;""),""),4)),VALUE(MID(IFERROR(TRIM(INDEX($A242:$Z242,MATCH(Settings!$L$11,$A$1:$Z$1,0))&amp;""),""),6,2)),VALUE(MID(IFERROR(TRIM(INDEX($A242:$Z242,MATCH(Settings!$L$11,$A$1:$Z$1,0))&amp;""),""),9,2)))+TIME(VALUE(MID(IFERROR(TRIM(INDEX($A242:$Z242,MATCH(Settings!$L$11,$A$1:$Z$1,0))&amp;""),""),12,2)),VALUE(MID(IFERROR(TRIM(INDEX($A242:$Z242,MATCH(Settings!$L$11,$A$1:$Z$1,0))&amp;""),""),15,2)),VALUE(MID(IFERROR(TRIM(INDEX($A242:$Z242,MATCH(Settings!$L$11,$A$1:$Z$1,0))&amp;""),""),18,2)))),"")),"")))</f>
        <v/>
      </c>
      <c r="AM242" s="31">
        <f>IF(AE242="","",IF(ISNUMBER(IFERROR(INDEX(Settings!$G$4:$G$11,MATCH(AH242,Settings!$F$4:$F$11,0)),"")),INDEX(Settings!$G$4:$G$11,MATCH(AH242,Settings!$F$4:$F$11,0)),Settings!$D$5))</f>
        <v/>
      </c>
      <c r="AN242" s="32">
        <f>IF(OR(AE242="",NOT(ISNUMBER(AL242)),NOT(ISNUMBER(AM242))),"",IF(AM242&lt;=0,"",IF(ISNUMBER(Settings!$D$8),DATE(YEAR(AL242)+IF(DATE(YEAR(AL242),MONTH(Settings!$D$8),DAY(Settings!$D$8))&gt;AL242,0,1),MONTH(Settings!$D$8),DAY(Settings!$D$8)),MIN(DATE(YEAR(AL242),MONTH(AL242)+AM242,DAY(AL242)),DATE(YEAR(AL242),MONTH(AL242)+AM242+1,0)))))</f>
        <v/>
      </c>
      <c r="AO242" s="31">
        <f>IF(ISNUMBER(AN242),AN242-Settings!$D$4,"")</f>
        <v/>
      </c>
      <c r="AP242" s="31">
        <f>IF(ISNUMBER(AL242),AL242+0+ROW()/100000,"")</f>
        <v/>
      </c>
      <c r="AQ242" s="31">
        <f>IF(OR(AG242="",NOT(ISNUMBER(AP242))),0,IF(SUMPRODUCT(('Responses'!$AG$2:$AG$501=AG242)*('Responses'!$AJ$2:$AJ$501=1)*ISNUMBER('Responses'!$AP$2:$AP$501)*('Responses'!$AP$2:$AP$501&gt;AP242)) + SUMPRODUCT(('Paper sign-ups'!$K$2:$K$101=AG242)*('Paper sign-ups'!$N$2:$N$101=1)*ISNUMBER('Paper sign-ups'!$T$2:$T$101)*('Paper sign-ups'!$T$2:$T$101&gt;AP242))&gt;0,1,0))</f>
        <v/>
      </c>
      <c r="AR242" s="31">
        <f>IF(AE242="","",IF(AQ242=1,"Joined again",IF(AJ242=0,"Unpaid",IF(NOT(ISNUMBER(AL242)),"Add a join date",IF(AN242="","No reminder",IF(AO242&lt;0,"Lapsed",IF(AO242&lt;=Settings!$D$6,"Remind soon","Current")))))))</f>
        <v/>
      </c>
      <c r="AS242" s="33">
        <f>IF(AJ242=1,IFERROR(VALUE(IFERROR(TRIM(INDEX($A242:$Z242,MATCH(Settings!$L$8,$A$1:$Z$1,0))&amp;""),"")),0)-IFERROR(VALUE(IFERROR(TRIM(INDEX($A242:$Z242,MATCH(Settings!$L$9,$A$1:$Z$1,0))&amp;""),"")),0),0)</f>
        <v/>
      </c>
      <c r="AT242" s="31">
        <f>IF(AND(AE242&lt;&gt;"",AQ242=0),1,0)</f>
        <v/>
      </c>
      <c r="AU242" s="31">
        <f>IF(AT242=0,"",IF(ISNUMBER(AN242),AN242,100000)+0+ROW()/1000000)</f>
        <v/>
      </c>
      <c r="AV242" s="31">
        <f>IF(ISNUMBER(AU242),SUMPRODUCT(ISNUMBER('Responses'!$AU$2:$AU$501)*('Responses'!$AU$2:$AU$501&lt;AU242)) + SUMPRODUCT(ISNUMBER('Paper sign-ups'!$Y$2:$Y$101)*('Paper sign-ups'!$Y$2:$Y$101&lt;AU242))+1,"")</f>
        <v/>
      </c>
    </row>
    <row r="243">
      <c r="AA243" s="29" t="n"/>
      <c r="AB243" s="30" t="n"/>
      <c r="AC243" s="30" t="n"/>
      <c r="AD243" s="29" t="n"/>
      <c r="AE243" s="31">
        <f>IFERROR(TRIM(INDEX($A243:$Z243,MATCH(Settings!$L$4,$A$1:$Z$1,0))&amp;""),"")</f>
        <v/>
      </c>
      <c r="AF243" s="31">
        <f>IFERROR(TRIM(INDEX($A243:$Z243,MATCH(Settings!$L$5,$A$1:$Z$1,0))&amp;""),"")</f>
        <v/>
      </c>
      <c r="AG243" s="31">
        <f>IF(AE243="","",LOWER(IF(AF243&lt;&gt;"",AF243,AE243)))</f>
        <v/>
      </c>
      <c r="AH243" s="31">
        <f>IFERROR(TRIM(INDEX($A243:$Z243,MATCH(Settings!$L$6,$A$1:$Z$1,0))&amp;""),"")</f>
        <v/>
      </c>
      <c r="AI243" s="31">
        <f>IF(AE243="","",IF(UPPER(TRIM(AB243&amp;""))="Y","Paid another way",IF(IFERROR(TRIM(INDEX($A243:$Z243,MATCH(Settings!$L$7,$A$1:$Z$1,0))&amp;""),"")="","No payment status",IFERROR(TRIM(INDEX($A243:$Z243,MATCH(Settings!$L$7,$A$1:$Z$1,0))&amp;""),""))))</f>
        <v/>
      </c>
      <c r="AJ243" s="31">
        <f>IF(AE243="",0,IF(IFERROR(INDEX(Settings!$J$4:$J$14,MATCH(AI243,Settings!$I$4:$I$14,0)),"N")="Y",1,0))</f>
        <v/>
      </c>
      <c r="AK243" s="32">
        <f>IFERROR(INT(IFERROR(IF(ISNUMBER(INDEX($A243:$Z243,MATCH(Settings!$L$10,$A$1:$Z$1,0))),INDEX($A243:$Z243,MATCH(Settings!$L$10,$A$1:$Z$1,0)),DATE(VALUE(LEFT(IFERROR(TRIM(INDEX($A243:$Z243,MATCH(Settings!$L$10,$A$1:$Z$1,0))&amp;""),""),4)),VALUE(MID(IFERROR(TRIM(INDEX($A243:$Z243,MATCH(Settings!$L$10,$A$1:$Z$1,0))&amp;""),""),6,2)),VALUE(MID(IFERROR(TRIM(INDEX($A243:$Z243,MATCH(Settings!$L$10,$A$1:$Z$1,0))&amp;""),""),9,2)))+TIME(VALUE(MID(IFERROR(TRIM(INDEX($A243:$Z243,MATCH(Settings!$L$10,$A$1:$Z$1,0))&amp;""),""),12,2)),VALUE(MID(IFERROR(TRIM(INDEX($A243:$Z243,MATCH(Settings!$L$10,$A$1:$Z$1,0))&amp;""),""),15,2)),VALUE(MID(IFERROR(TRIM(INDEX($A243:$Z243,MATCH(Settings!$L$10,$A$1:$Z$1,0))&amp;""),""),18,2)))),"")),"")</f>
        <v/>
      </c>
      <c r="AL243" s="32">
        <f>IF(AE243="","",IF(ISNUMBER(AK243),AK243,IFERROR(INT(IFERROR(IF(ISNUMBER(INDEX($A243:$Z243,MATCH(Settings!$L$11,$A$1:$Z$1,0))),INDEX($A243:$Z243,MATCH(Settings!$L$11,$A$1:$Z$1,0)),DATE(VALUE(LEFT(IFERROR(TRIM(INDEX($A243:$Z243,MATCH(Settings!$L$11,$A$1:$Z$1,0))&amp;""),""),4)),VALUE(MID(IFERROR(TRIM(INDEX($A243:$Z243,MATCH(Settings!$L$11,$A$1:$Z$1,0))&amp;""),""),6,2)),VALUE(MID(IFERROR(TRIM(INDEX($A243:$Z243,MATCH(Settings!$L$11,$A$1:$Z$1,0))&amp;""),""),9,2)))+TIME(VALUE(MID(IFERROR(TRIM(INDEX($A243:$Z243,MATCH(Settings!$L$11,$A$1:$Z$1,0))&amp;""),""),12,2)),VALUE(MID(IFERROR(TRIM(INDEX($A243:$Z243,MATCH(Settings!$L$11,$A$1:$Z$1,0))&amp;""),""),15,2)),VALUE(MID(IFERROR(TRIM(INDEX($A243:$Z243,MATCH(Settings!$L$11,$A$1:$Z$1,0))&amp;""),""),18,2)))),"")),"")))</f>
        <v/>
      </c>
      <c r="AM243" s="31">
        <f>IF(AE243="","",IF(ISNUMBER(IFERROR(INDEX(Settings!$G$4:$G$11,MATCH(AH243,Settings!$F$4:$F$11,0)),"")),INDEX(Settings!$G$4:$G$11,MATCH(AH243,Settings!$F$4:$F$11,0)),Settings!$D$5))</f>
        <v/>
      </c>
      <c r="AN243" s="32">
        <f>IF(OR(AE243="",NOT(ISNUMBER(AL243)),NOT(ISNUMBER(AM243))),"",IF(AM243&lt;=0,"",IF(ISNUMBER(Settings!$D$8),DATE(YEAR(AL243)+IF(DATE(YEAR(AL243),MONTH(Settings!$D$8),DAY(Settings!$D$8))&gt;AL243,0,1),MONTH(Settings!$D$8),DAY(Settings!$D$8)),MIN(DATE(YEAR(AL243),MONTH(AL243)+AM243,DAY(AL243)),DATE(YEAR(AL243),MONTH(AL243)+AM243+1,0)))))</f>
        <v/>
      </c>
      <c r="AO243" s="31">
        <f>IF(ISNUMBER(AN243),AN243-Settings!$D$4,"")</f>
        <v/>
      </c>
      <c r="AP243" s="31">
        <f>IF(ISNUMBER(AL243),AL243+0+ROW()/100000,"")</f>
        <v/>
      </c>
      <c r="AQ243" s="31">
        <f>IF(OR(AG243="",NOT(ISNUMBER(AP243))),0,IF(SUMPRODUCT(('Responses'!$AG$2:$AG$501=AG243)*('Responses'!$AJ$2:$AJ$501=1)*ISNUMBER('Responses'!$AP$2:$AP$501)*('Responses'!$AP$2:$AP$501&gt;AP243)) + SUMPRODUCT(('Paper sign-ups'!$K$2:$K$101=AG243)*('Paper sign-ups'!$N$2:$N$101=1)*ISNUMBER('Paper sign-ups'!$T$2:$T$101)*('Paper sign-ups'!$T$2:$T$101&gt;AP243))&gt;0,1,0))</f>
        <v/>
      </c>
      <c r="AR243" s="31">
        <f>IF(AE243="","",IF(AQ243=1,"Joined again",IF(AJ243=0,"Unpaid",IF(NOT(ISNUMBER(AL243)),"Add a join date",IF(AN243="","No reminder",IF(AO243&lt;0,"Lapsed",IF(AO243&lt;=Settings!$D$6,"Remind soon","Current")))))))</f>
        <v/>
      </c>
      <c r="AS243" s="33">
        <f>IF(AJ243=1,IFERROR(VALUE(IFERROR(TRIM(INDEX($A243:$Z243,MATCH(Settings!$L$8,$A$1:$Z$1,0))&amp;""),"")),0)-IFERROR(VALUE(IFERROR(TRIM(INDEX($A243:$Z243,MATCH(Settings!$L$9,$A$1:$Z$1,0))&amp;""),"")),0),0)</f>
        <v/>
      </c>
      <c r="AT243" s="31">
        <f>IF(AND(AE243&lt;&gt;"",AQ243=0),1,0)</f>
        <v/>
      </c>
      <c r="AU243" s="31">
        <f>IF(AT243=0,"",IF(ISNUMBER(AN243),AN243,100000)+0+ROW()/1000000)</f>
        <v/>
      </c>
      <c r="AV243" s="31">
        <f>IF(ISNUMBER(AU243),SUMPRODUCT(ISNUMBER('Responses'!$AU$2:$AU$501)*('Responses'!$AU$2:$AU$501&lt;AU243)) + SUMPRODUCT(ISNUMBER('Paper sign-ups'!$Y$2:$Y$101)*('Paper sign-ups'!$Y$2:$Y$101&lt;AU243))+1,"")</f>
        <v/>
      </c>
    </row>
    <row r="244">
      <c r="AA244" s="29" t="n"/>
      <c r="AB244" s="30" t="n"/>
      <c r="AC244" s="30" t="n"/>
      <c r="AD244" s="29" t="n"/>
      <c r="AE244" s="31">
        <f>IFERROR(TRIM(INDEX($A244:$Z244,MATCH(Settings!$L$4,$A$1:$Z$1,0))&amp;""),"")</f>
        <v/>
      </c>
      <c r="AF244" s="31">
        <f>IFERROR(TRIM(INDEX($A244:$Z244,MATCH(Settings!$L$5,$A$1:$Z$1,0))&amp;""),"")</f>
        <v/>
      </c>
      <c r="AG244" s="31">
        <f>IF(AE244="","",LOWER(IF(AF244&lt;&gt;"",AF244,AE244)))</f>
        <v/>
      </c>
      <c r="AH244" s="31">
        <f>IFERROR(TRIM(INDEX($A244:$Z244,MATCH(Settings!$L$6,$A$1:$Z$1,0))&amp;""),"")</f>
        <v/>
      </c>
      <c r="AI244" s="31">
        <f>IF(AE244="","",IF(UPPER(TRIM(AB244&amp;""))="Y","Paid another way",IF(IFERROR(TRIM(INDEX($A244:$Z244,MATCH(Settings!$L$7,$A$1:$Z$1,0))&amp;""),"")="","No payment status",IFERROR(TRIM(INDEX($A244:$Z244,MATCH(Settings!$L$7,$A$1:$Z$1,0))&amp;""),""))))</f>
        <v/>
      </c>
      <c r="AJ244" s="31">
        <f>IF(AE244="",0,IF(IFERROR(INDEX(Settings!$J$4:$J$14,MATCH(AI244,Settings!$I$4:$I$14,0)),"N")="Y",1,0))</f>
        <v/>
      </c>
      <c r="AK244" s="32">
        <f>IFERROR(INT(IFERROR(IF(ISNUMBER(INDEX($A244:$Z244,MATCH(Settings!$L$10,$A$1:$Z$1,0))),INDEX($A244:$Z244,MATCH(Settings!$L$10,$A$1:$Z$1,0)),DATE(VALUE(LEFT(IFERROR(TRIM(INDEX($A244:$Z244,MATCH(Settings!$L$10,$A$1:$Z$1,0))&amp;""),""),4)),VALUE(MID(IFERROR(TRIM(INDEX($A244:$Z244,MATCH(Settings!$L$10,$A$1:$Z$1,0))&amp;""),""),6,2)),VALUE(MID(IFERROR(TRIM(INDEX($A244:$Z244,MATCH(Settings!$L$10,$A$1:$Z$1,0))&amp;""),""),9,2)))+TIME(VALUE(MID(IFERROR(TRIM(INDEX($A244:$Z244,MATCH(Settings!$L$10,$A$1:$Z$1,0))&amp;""),""),12,2)),VALUE(MID(IFERROR(TRIM(INDEX($A244:$Z244,MATCH(Settings!$L$10,$A$1:$Z$1,0))&amp;""),""),15,2)),VALUE(MID(IFERROR(TRIM(INDEX($A244:$Z244,MATCH(Settings!$L$10,$A$1:$Z$1,0))&amp;""),""),18,2)))),"")),"")</f>
        <v/>
      </c>
      <c r="AL244" s="32">
        <f>IF(AE244="","",IF(ISNUMBER(AK244),AK244,IFERROR(INT(IFERROR(IF(ISNUMBER(INDEX($A244:$Z244,MATCH(Settings!$L$11,$A$1:$Z$1,0))),INDEX($A244:$Z244,MATCH(Settings!$L$11,$A$1:$Z$1,0)),DATE(VALUE(LEFT(IFERROR(TRIM(INDEX($A244:$Z244,MATCH(Settings!$L$11,$A$1:$Z$1,0))&amp;""),""),4)),VALUE(MID(IFERROR(TRIM(INDEX($A244:$Z244,MATCH(Settings!$L$11,$A$1:$Z$1,0))&amp;""),""),6,2)),VALUE(MID(IFERROR(TRIM(INDEX($A244:$Z244,MATCH(Settings!$L$11,$A$1:$Z$1,0))&amp;""),""),9,2)))+TIME(VALUE(MID(IFERROR(TRIM(INDEX($A244:$Z244,MATCH(Settings!$L$11,$A$1:$Z$1,0))&amp;""),""),12,2)),VALUE(MID(IFERROR(TRIM(INDEX($A244:$Z244,MATCH(Settings!$L$11,$A$1:$Z$1,0))&amp;""),""),15,2)),VALUE(MID(IFERROR(TRIM(INDEX($A244:$Z244,MATCH(Settings!$L$11,$A$1:$Z$1,0))&amp;""),""),18,2)))),"")),"")))</f>
        <v/>
      </c>
      <c r="AM244" s="31">
        <f>IF(AE244="","",IF(ISNUMBER(IFERROR(INDEX(Settings!$G$4:$G$11,MATCH(AH244,Settings!$F$4:$F$11,0)),"")),INDEX(Settings!$G$4:$G$11,MATCH(AH244,Settings!$F$4:$F$11,0)),Settings!$D$5))</f>
        <v/>
      </c>
      <c r="AN244" s="32">
        <f>IF(OR(AE244="",NOT(ISNUMBER(AL244)),NOT(ISNUMBER(AM244))),"",IF(AM244&lt;=0,"",IF(ISNUMBER(Settings!$D$8),DATE(YEAR(AL244)+IF(DATE(YEAR(AL244),MONTH(Settings!$D$8),DAY(Settings!$D$8))&gt;AL244,0,1),MONTH(Settings!$D$8),DAY(Settings!$D$8)),MIN(DATE(YEAR(AL244),MONTH(AL244)+AM244,DAY(AL244)),DATE(YEAR(AL244),MONTH(AL244)+AM244+1,0)))))</f>
        <v/>
      </c>
      <c r="AO244" s="31">
        <f>IF(ISNUMBER(AN244),AN244-Settings!$D$4,"")</f>
        <v/>
      </c>
      <c r="AP244" s="31">
        <f>IF(ISNUMBER(AL244),AL244+0+ROW()/100000,"")</f>
        <v/>
      </c>
      <c r="AQ244" s="31">
        <f>IF(OR(AG244="",NOT(ISNUMBER(AP244))),0,IF(SUMPRODUCT(('Responses'!$AG$2:$AG$501=AG244)*('Responses'!$AJ$2:$AJ$501=1)*ISNUMBER('Responses'!$AP$2:$AP$501)*('Responses'!$AP$2:$AP$501&gt;AP244)) + SUMPRODUCT(('Paper sign-ups'!$K$2:$K$101=AG244)*('Paper sign-ups'!$N$2:$N$101=1)*ISNUMBER('Paper sign-ups'!$T$2:$T$101)*('Paper sign-ups'!$T$2:$T$101&gt;AP244))&gt;0,1,0))</f>
        <v/>
      </c>
      <c r="AR244" s="31">
        <f>IF(AE244="","",IF(AQ244=1,"Joined again",IF(AJ244=0,"Unpaid",IF(NOT(ISNUMBER(AL244)),"Add a join date",IF(AN244="","No reminder",IF(AO244&lt;0,"Lapsed",IF(AO244&lt;=Settings!$D$6,"Remind soon","Current")))))))</f>
        <v/>
      </c>
      <c r="AS244" s="33">
        <f>IF(AJ244=1,IFERROR(VALUE(IFERROR(TRIM(INDEX($A244:$Z244,MATCH(Settings!$L$8,$A$1:$Z$1,0))&amp;""),"")),0)-IFERROR(VALUE(IFERROR(TRIM(INDEX($A244:$Z244,MATCH(Settings!$L$9,$A$1:$Z$1,0))&amp;""),"")),0),0)</f>
        <v/>
      </c>
      <c r="AT244" s="31">
        <f>IF(AND(AE244&lt;&gt;"",AQ244=0),1,0)</f>
        <v/>
      </c>
      <c r="AU244" s="31">
        <f>IF(AT244=0,"",IF(ISNUMBER(AN244),AN244,100000)+0+ROW()/1000000)</f>
        <v/>
      </c>
      <c r="AV244" s="31">
        <f>IF(ISNUMBER(AU244),SUMPRODUCT(ISNUMBER('Responses'!$AU$2:$AU$501)*('Responses'!$AU$2:$AU$501&lt;AU244)) + SUMPRODUCT(ISNUMBER('Paper sign-ups'!$Y$2:$Y$101)*('Paper sign-ups'!$Y$2:$Y$101&lt;AU244))+1,"")</f>
        <v/>
      </c>
    </row>
    <row r="245">
      <c r="AA245" s="29" t="n"/>
      <c r="AB245" s="30" t="n"/>
      <c r="AC245" s="30" t="n"/>
      <c r="AD245" s="29" t="n"/>
      <c r="AE245" s="31">
        <f>IFERROR(TRIM(INDEX($A245:$Z245,MATCH(Settings!$L$4,$A$1:$Z$1,0))&amp;""),"")</f>
        <v/>
      </c>
      <c r="AF245" s="31">
        <f>IFERROR(TRIM(INDEX($A245:$Z245,MATCH(Settings!$L$5,$A$1:$Z$1,0))&amp;""),"")</f>
        <v/>
      </c>
      <c r="AG245" s="31">
        <f>IF(AE245="","",LOWER(IF(AF245&lt;&gt;"",AF245,AE245)))</f>
        <v/>
      </c>
      <c r="AH245" s="31">
        <f>IFERROR(TRIM(INDEX($A245:$Z245,MATCH(Settings!$L$6,$A$1:$Z$1,0))&amp;""),"")</f>
        <v/>
      </c>
      <c r="AI245" s="31">
        <f>IF(AE245="","",IF(UPPER(TRIM(AB245&amp;""))="Y","Paid another way",IF(IFERROR(TRIM(INDEX($A245:$Z245,MATCH(Settings!$L$7,$A$1:$Z$1,0))&amp;""),"")="","No payment status",IFERROR(TRIM(INDEX($A245:$Z245,MATCH(Settings!$L$7,$A$1:$Z$1,0))&amp;""),""))))</f>
        <v/>
      </c>
      <c r="AJ245" s="31">
        <f>IF(AE245="",0,IF(IFERROR(INDEX(Settings!$J$4:$J$14,MATCH(AI245,Settings!$I$4:$I$14,0)),"N")="Y",1,0))</f>
        <v/>
      </c>
      <c r="AK245" s="32">
        <f>IFERROR(INT(IFERROR(IF(ISNUMBER(INDEX($A245:$Z245,MATCH(Settings!$L$10,$A$1:$Z$1,0))),INDEX($A245:$Z245,MATCH(Settings!$L$10,$A$1:$Z$1,0)),DATE(VALUE(LEFT(IFERROR(TRIM(INDEX($A245:$Z245,MATCH(Settings!$L$10,$A$1:$Z$1,0))&amp;""),""),4)),VALUE(MID(IFERROR(TRIM(INDEX($A245:$Z245,MATCH(Settings!$L$10,$A$1:$Z$1,0))&amp;""),""),6,2)),VALUE(MID(IFERROR(TRIM(INDEX($A245:$Z245,MATCH(Settings!$L$10,$A$1:$Z$1,0))&amp;""),""),9,2)))+TIME(VALUE(MID(IFERROR(TRIM(INDEX($A245:$Z245,MATCH(Settings!$L$10,$A$1:$Z$1,0))&amp;""),""),12,2)),VALUE(MID(IFERROR(TRIM(INDEX($A245:$Z245,MATCH(Settings!$L$10,$A$1:$Z$1,0))&amp;""),""),15,2)),VALUE(MID(IFERROR(TRIM(INDEX($A245:$Z245,MATCH(Settings!$L$10,$A$1:$Z$1,0))&amp;""),""),18,2)))),"")),"")</f>
        <v/>
      </c>
      <c r="AL245" s="32">
        <f>IF(AE245="","",IF(ISNUMBER(AK245),AK245,IFERROR(INT(IFERROR(IF(ISNUMBER(INDEX($A245:$Z245,MATCH(Settings!$L$11,$A$1:$Z$1,0))),INDEX($A245:$Z245,MATCH(Settings!$L$11,$A$1:$Z$1,0)),DATE(VALUE(LEFT(IFERROR(TRIM(INDEX($A245:$Z245,MATCH(Settings!$L$11,$A$1:$Z$1,0))&amp;""),""),4)),VALUE(MID(IFERROR(TRIM(INDEX($A245:$Z245,MATCH(Settings!$L$11,$A$1:$Z$1,0))&amp;""),""),6,2)),VALUE(MID(IFERROR(TRIM(INDEX($A245:$Z245,MATCH(Settings!$L$11,$A$1:$Z$1,0))&amp;""),""),9,2)))+TIME(VALUE(MID(IFERROR(TRIM(INDEX($A245:$Z245,MATCH(Settings!$L$11,$A$1:$Z$1,0))&amp;""),""),12,2)),VALUE(MID(IFERROR(TRIM(INDEX($A245:$Z245,MATCH(Settings!$L$11,$A$1:$Z$1,0))&amp;""),""),15,2)),VALUE(MID(IFERROR(TRIM(INDEX($A245:$Z245,MATCH(Settings!$L$11,$A$1:$Z$1,0))&amp;""),""),18,2)))),"")),"")))</f>
        <v/>
      </c>
      <c r="AM245" s="31">
        <f>IF(AE245="","",IF(ISNUMBER(IFERROR(INDEX(Settings!$G$4:$G$11,MATCH(AH245,Settings!$F$4:$F$11,0)),"")),INDEX(Settings!$G$4:$G$11,MATCH(AH245,Settings!$F$4:$F$11,0)),Settings!$D$5))</f>
        <v/>
      </c>
      <c r="AN245" s="32">
        <f>IF(OR(AE245="",NOT(ISNUMBER(AL245)),NOT(ISNUMBER(AM245))),"",IF(AM245&lt;=0,"",IF(ISNUMBER(Settings!$D$8),DATE(YEAR(AL245)+IF(DATE(YEAR(AL245),MONTH(Settings!$D$8),DAY(Settings!$D$8))&gt;AL245,0,1),MONTH(Settings!$D$8),DAY(Settings!$D$8)),MIN(DATE(YEAR(AL245),MONTH(AL245)+AM245,DAY(AL245)),DATE(YEAR(AL245),MONTH(AL245)+AM245+1,0)))))</f>
        <v/>
      </c>
      <c r="AO245" s="31">
        <f>IF(ISNUMBER(AN245),AN245-Settings!$D$4,"")</f>
        <v/>
      </c>
      <c r="AP245" s="31">
        <f>IF(ISNUMBER(AL245),AL245+0+ROW()/100000,"")</f>
        <v/>
      </c>
      <c r="AQ245" s="31">
        <f>IF(OR(AG245="",NOT(ISNUMBER(AP245))),0,IF(SUMPRODUCT(('Responses'!$AG$2:$AG$501=AG245)*('Responses'!$AJ$2:$AJ$501=1)*ISNUMBER('Responses'!$AP$2:$AP$501)*('Responses'!$AP$2:$AP$501&gt;AP245)) + SUMPRODUCT(('Paper sign-ups'!$K$2:$K$101=AG245)*('Paper sign-ups'!$N$2:$N$101=1)*ISNUMBER('Paper sign-ups'!$T$2:$T$101)*('Paper sign-ups'!$T$2:$T$101&gt;AP245))&gt;0,1,0))</f>
        <v/>
      </c>
      <c r="AR245" s="31">
        <f>IF(AE245="","",IF(AQ245=1,"Joined again",IF(AJ245=0,"Unpaid",IF(NOT(ISNUMBER(AL245)),"Add a join date",IF(AN245="","No reminder",IF(AO245&lt;0,"Lapsed",IF(AO245&lt;=Settings!$D$6,"Remind soon","Current")))))))</f>
        <v/>
      </c>
      <c r="AS245" s="33">
        <f>IF(AJ245=1,IFERROR(VALUE(IFERROR(TRIM(INDEX($A245:$Z245,MATCH(Settings!$L$8,$A$1:$Z$1,0))&amp;""),"")),0)-IFERROR(VALUE(IFERROR(TRIM(INDEX($A245:$Z245,MATCH(Settings!$L$9,$A$1:$Z$1,0))&amp;""),"")),0),0)</f>
        <v/>
      </c>
      <c r="AT245" s="31">
        <f>IF(AND(AE245&lt;&gt;"",AQ245=0),1,0)</f>
        <v/>
      </c>
      <c r="AU245" s="31">
        <f>IF(AT245=0,"",IF(ISNUMBER(AN245),AN245,100000)+0+ROW()/1000000)</f>
        <v/>
      </c>
      <c r="AV245" s="31">
        <f>IF(ISNUMBER(AU245),SUMPRODUCT(ISNUMBER('Responses'!$AU$2:$AU$501)*('Responses'!$AU$2:$AU$501&lt;AU245)) + SUMPRODUCT(ISNUMBER('Paper sign-ups'!$Y$2:$Y$101)*('Paper sign-ups'!$Y$2:$Y$101&lt;AU245))+1,"")</f>
        <v/>
      </c>
    </row>
    <row r="246">
      <c r="AA246" s="29" t="n"/>
      <c r="AB246" s="30" t="n"/>
      <c r="AC246" s="30" t="n"/>
      <c r="AD246" s="29" t="n"/>
      <c r="AE246" s="31">
        <f>IFERROR(TRIM(INDEX($A246:$Z246,MATCH(Settings!$L$4,$A$1:$Z$1,0))&amp;""),"")</f>
        <v/>
      </c>
      <c r="AF246" s="31">
        <f>IFERROR(TRIM(INDEX($A246:$Z246,MATCH(Settings!$L$5,$A$1:$Z$1,0))&amp;""),"")</f>
        <v/>
      </c>
      <c r="AG246" s="31">
        <f>IF(AE246="","",LOWER(IF(AF246&lt;&gt;"",AF246,AE246)))</f>
        <v/>
      </c>
      <c r="AH246" s="31">
        <f>IFERROR(TRIM(INDEX($A246:$Z246,MATCH(Settings!$L$6,$A$1:$Z$1,0))&amp;""),"")</f>
        <v/>
      </c>
      <c r="AI246" s="31">
        <f>IF(AE246="","",IF(UPPER(TRIM(AB246&amp;""))="Y","Paid another way",IF(IFERROR(TRIM(INDEX($A246:$Z246,MATCH(Settings!$L$7,$A$1:$Z$1,0))&amp;""),"")="","No payment status",IFERROR(TRIM(INDEX($A246:$Z246,MATCH(Settings!$L$7,$A$1:$Z$1,0))&amp;""),""))))</f>
        <v/>
      </c>
      <c r="AJ246" s="31">
        <f>IF(AE246="",0,IF(IFERROR(INDEX(Settings!$J$4:$J$14,MATCH(AI246,Settings!$I$4:$I$14,0)),"N")="Y",1,0))</f>
        <v/>
      </c>
      <c r="AK246" s="32">
        <f>IFERROR(INT(IFERROR(IF(ISNUMBER(INDEX($A246:$Z246,MATCH(Settings!$L$10,$A$1:$Z$1,0))),INDEX($A246:$Z246,MATCH(Settings!$L$10,$A$1:$Z$1,0)),DATE(VALUE(LEFT(IFERROR(TRIM(INDEX($A246:$Z246,MATCH(Settings!$L$10,$A$1:$Z$1,0))&amp;""),""),4)),VALUE(MID(IFERROR(TRIM(INDEX($A246:$Z246,MATCH(Settings!$L$10,$A$1:$Z$1,0))&amp;""),""),6,2)),VALUE(MID(IFERROR(TRIM(INDEX($A246:$Z246,MATCH(Settings!$L$10,$A$1:$Z$1,0))&amp;""),""),9,2)))+TIME(VALUE(MID(IFERROR(TRIM(INDEX($A246:$Z246,MATCH(Settings!$L$10,$A$1:$Z$1,0))&amp;""),""),12,2)),VALUE(MID(IFERROR(TRIM(INDEX($A246:$Z246,MATCH(Settings!$L$10,$A$1:$Z$1,0))&amp;""),""),15,2)),VALUE(MID(IFERROR(TRIM(INDEX($A246:$Z246,MATCH(Settings!$L$10,$A$1:$Z$1,0))&amp;""),""),18,2)))),"")),"")</f>
        <v/>
      </c>
      <c r="AL246" s="32">
        <f>IF(AE246="","",IF(ISNUMBER(AK246),AK246,IFERROR(INT(IFERROR(IF(ISNUMBER(INDEX($A246:$Z246,MATCH(Settings!$L$11,$A$1:$Z$1,0))),INDEX($A246:$Z246,MATCH(Settings!$L$11,$A$1:$Z$1,0)),DATE(VALUE(LEFT(IFERROR(TRIM(INDEX($A246:$Z246,MATCH(Settings!$L$11,$A$1:$Z$1,0))&amp;""),""),4)),VALUE(MID(IFERROR(TRIM(INDEX($A246:$Z246,MATCH(Settings!$L$11,$A$1:$Z$1,0))&amp;""),""),6,2)),VALUE(MID(IFERROR(TRIM(INDEX($A246:$Z246,MATCH(Settings!$L$11,$A$1:$Z$1,0))&amp;""),""),9,2)))+TIME(VALUE(MID(IFERROR(TRIM(INDEX($A246:$Z246,MATCH(Settings!$L$11,$A$1:$Z$1,0))&amp;""),""),12,2)),VALUE(MID(IFERROR(TRIM(INDEX($A246:$Z246,MATCH(Settings!$L$11,$A$1:$Z$1,0))&amp;""),""),15,2)),VALUE(MID(IFERROR(TRIM(INDEX($A246:$Z246,MATCH(Settings!$L$11,$A$1:$Z$1,0))&amp;""),""),18,2)))),"")),"")))</f>
        <v/>
      </c>
      <c r="AM246" s="31">
        <f>IF(AE246="","",IF(ISNUMBER(IFERROR(INDEX(Settings!$G$4:$G$11,MATCH(AH246,Settings!$F$4:$F$11,0)),"")),INDEX(Settings!$G$4:$G$11,MATCH(AH246,Settings!$F$4:$F$11,0)),Settings!$D$5))</f>
        <v/>
      </c>
      <c r="AN246" s="32">
        <f>IF(OR(AE246="",NOT(ISNUMBER(AL246)),NOT(ISNUMBER(AM246))),"",IF(AM246&lt;=0,"",IF(ISNUMBER(Settings!$D$8),DATE(YEAR(AL246)+IF(DATE(YEAR(AL246),MONTH(Settings!$D$8),DAY(Settings!$D$8))&gt;AL246,0,1),MONTH(Settings!$D$8),DAY(Settings!$D$8)),MIN(DATE(YEAR(AL246),MONTH(AL246)+AM246,DAY(AL246)),DATE(YEAR(AL246),MONTH(AL246)+AM246+1,0)))))</f>
        <v/>
      </c>
      <c r="AO246" s="31">
        <f>IF(ISNUMBER(AN246),AN246-Settings!$D$4,"")</f>
        <v/>
      </c>
      <c r="AP246" s="31">
        <f>IF(ISNUMBER(AL246),AL246+0+ROW()/100000,"")</f>
        <v/>
      </c>
      <c r="AQ246" s="31">
        <f>IF(OR(AG246="",NOT(ISNUMBER(AP246))),0,IF(SUMPRODUCT(('Responses'!$AG$2:$AG$501=AG246)*('Responses'!$AJ$2:$AJ$501=1)*ISNUMBER('Responses'!$AP$2:$AP$501)*('Responses'!$AP$2:$AP$501&gt;AP246)) + SUMPRODUCT(('Paper sign-ups'!$K$2:$K$101=AG246)*('Paper sign-ups'!$N$2:$N$101=1)*ISNUMBER('Paper sign-ups'!$T$2:$T$101)*('Paper sign-ups'!$T$2:$T$101&gt;AP246))&gt;0,1,0))</f>
        <v/>
      </c>
      <c r="AR246" s="31">
        <f>IF(AE246="","",IF(AQ246=1,"Joined again",IF(AJ246=0,"Unpaid",IF(NOT(ISNUMBER(AL246)),"Add a join date",IF(AN246="","No reminder",IF(AO246&lt;0,"Lapsed",IF(AO246&lt;=Settings!$D$6,"Remind soon","Current")))))))</f>
        <v/>
      </c>
      <c r="AS246" s="33">
        <f>IF(AJ246=1,IFERROR(VALUE(IFERROR(TRIM(INDEX($A246:$Z246,MATCH(Settings!$L$8,$A$1:$Z$1,0))&amp;""),"")),0)-IFERROR(VALUE(IFERROR(TRIM(INDEX($A246:$Z246,MATCH(Settings!$L$9,$A$1:$Z$1,0))&amp;""),"")),0),0)</f>
        <v/>
      </c>
      <c r="AT246" s="31">
        <f>IF(AND(AE246&lt;&gt;"",AQ246=0),1,0)</f>
        <v/>
      </c>
      <c r="AU246" s="31">
        <f>IF(AT246=0,"",IF(ISNUMBER(AN246),AN246,100000)+0+ROW()/1000000)</f>
        <v/>
      </c>
      <c r="AV246" s="31">
        <f>IF(ISNUMBER(AU246),SUMPRODUCT(ISNUMBER('Responses'!$AU$2:$AU$501)*('Responses'!$AU$2:$AU$501&lt;AU246)) + SUMPRODUCT(ISNUMBER('Paper sign-ups'!$Y$2:$Y$101)*('Paper sign-ups'!$Y$2:$Y$101&lt;AU246))+1,"")</f>
        <v/>
      </c>
    </row>
    <row r="247">
      <c r="AA247" s="29" t="n"/>
      <c r="AB247" s="30" t="n"/>
      <c r="AC247" s="30" t="n"/>
      <c r="AD247" s="29" t="n"/>
      <c r="AE247" s="31">
        <f>IFERROR(TRIM(INDEX($A247:$Z247,MATCH(Settings!$L$4,$A$1:$Z$1,0))&amp;""),"")</f>
        <v/>
      </c>
      <c r="AF247" s="31">
        <f>IFERROR(TRIM(INDEX($A247:$Z247,MATCH(Settings!$L$5,$A$1:$Z$1,0))&amp;""),"")</f>
        <v/>
      </c>
      <c r="AG247" s="31">
        <f>IF(AE247="","",LOWER(IF(AF247&lt;&gt;"",AF247,AE247)))</f>
        <v/>
      </c>
      <c r="AH247" s="31">
        <f>IFERROR(TRIM(INDEX($A247:$Z247,MATCH(Settings!$L$6,$A$1:$Z$1,0))&amp;""),"")</f>
        <v/>
      </c>
      <c r="AI247" s="31">
        <f>IF(AE247="","",IF(UPPER(TRIM(AB247&amp;""))="Y","Paid another way",IF(IFERROR(TRIM(INDEX($A247:$Z247,MATCH(Settings!$L$7,$A$1:$Z$1,0))&amp;""),"")="","No payment status",IFERROR(TRIM(INDEX($A247:$Z247,MATCH(Settings!$L$7,$A$1:$Z$1,0))&amp;""),""))))</f>
        <v/>
      </c>
      <c r="AJ247" s="31">
        <f>IF(AE247="",0,IF(IFERROR(INDEX(Settings!$J$4:$J$14,MATCH(AI247,Settings!$I$4:$I$14,0)),"N")="Y",1,0))</f>
        <v/>
      </c>
      <c r="AK247" s="32">
        <f>IFERROR(INT(IFERROR(IF(ISNUMBER(INDEX($A247:$Z247,MATCH(Settings!$L$10,$A$1:$Z$1,0))),INDEX($A247:$Z247,MATCH(Settings!$L$10,$A$1:$Z$1,0)),DATE(VALUE(LEFT(IFERROR(TRIM(INDEX($A247:$Z247,MATCH(Settings!$L$10,$A$1:$Z$1,0))&amp;""),""),4)),VALUE(MID(IFERROR(TRIM(INDEX($A247:$Z247,MATCH(Settings!$L$10,$A$1:$Z$1,0))&amp;""),""),6,2)),VALUE(MID(IFERROR(TRIM(INDEX($A247:$Z247,MATCH(Settings!$L$10,$A$1:$Z$1,0))&amp;""),""),9,2)))+TIME(VALUE(MID(IFERROR(TRIM(INDEX($A247:$Z247,MATCH(Settings!$L$10,$A$1:$Z$1,0))&amp;""),""),12,2)),VALUE(MID(IFERROR(TRIM(INDEX($A247:$Z247,MATCH(Settings!$L$10,$A$1:$Z$1,0))&amp;""),""),15,2)),VALUE(MID(IFERROR(TRIM(INDEX($A247:$Z247,MATCH(Settings!$L$10,$A$1:$Z$1,0))&amp;""),""),18,2)))),"")),"")</f>
        <v/>
      </c>
      <c r="AL247" s="32">
        <f>IF(AE247="","",IF(ISNUMBER(AK247),AK247,IFERROR(INT(IFERROR(IF(ISNUMBER(INDEX($A247:$Z247,MATCH(Settings!$L$11,$A$1:$Z$1,0))),INDEX($A247:$Z247,MATCH(Settings!$L$11,$A$1:$Z$1,0)),DATE(VALUE(LEFT(IFERROR(TRIM(INDEX($A247:$Z247,MATCH(Settings!$L$11,$A$1:$Z$1,0))&amp;""),""),4)),VALUE(MID(IFERROR(TRIM(INDEX($A247:$Z247,MATCH(Settings!$L$11,$A$1:$Z$1,0))&amp;""),""),6,2)),VALUE(MID(IFERROR(TRIM(INDEX($A247:$Z247,MATCH(Settings!$L$11,$A$1:$Z$1,0))&amp;""),""),9,2)))+TIME(VALUE(MID(IFERROR(TRIM(INDEX($A247:$Z247,MATCH(Settings!$L$11,$A$1:$Z$1,0))&amp;""),""),12,2)),VALUE(MID(IFERROR(TRIM(INDEX($A247:$Z247,MATCH(Settings!$L$11,$A$1:$Z$1,0))&amp;""),""),15,2)),VALUE(MID(IFERROR(TRIM(INDEX($A247:$Z247,MATCH(Settings!$L$11,$A$1:$Z$1,0))&amp;""),""),18,2)))),"")),"")))</f>
        <v/>
      </c>
      <c r="AM247" s="31">
        <f>IF(AE247="","",IF(ISNUMBER(IFERROR(INDEX(Settings!$G$4:$G$11,MATCH(AH247,Settings!$F$4:$F$11,0)),"")),INDEX(Settings!$G$4:$G$11,MATCH(AH247,Settings!$F$4:$F$11,0)),Settings!$D$5))</f>
        <v/>
      </c>
      <c r="AN247" s="32">
        <f>IF(OR(AE247="",NOT(ISNUMBER(AL247)),NOT(ISNUMBER(AM247))),"",IF(AM247&lt;=0,"",IF(ISNUMBER(Settings!$D$8),DATE(YEAR(AL247)+IF(DATE(YEAR(AL247),MONTH(Settings!$D$8),DAY(Settings!$D$8))&gt;AL247,0,1),MONTH(Settings!$D$8),DAY(Settings!$D$8)),MIN(DATE(YEAR(AL247),MONTH(AL247)+AM247,DAY(AL247)),DATE(YEAR(AL247),MONTH(AL247)+AM247+1,0)))))</f>
        <v/>
      </c>
      <c r="AO247" s="31">
        <f>IF(ISNUMBER(AN247),AN247-Settings!$D$4,"")</f>
        <v/>
      </c>
      <c r="AP247" s="31">
        <f>IF(ISNUMBER(AL247),AL247+0+ROW()/100000,"")</f>
        <v/>
      </c>
      <c r="AQ247" s="31">
        <f>IF(OR(AG247="",NOT(ISNUMBER(AP247))),0,IF(SUMPRODUCT(('Responses'!$AG$2:$AG$501=AG247)*('Responses'!$AJ$2:$AJ$501=1)*ISNUMBER('Responses'!$AP$2:$AP$501)*('Responses'!$AP$2:$AP$501&gt;AP247)) + SUMPRODUCT(('Paper sign-ups'!$K$2:$K$101=AG247)*('Paper sign-ups'!$N$2:$N$101=1)*ISNUMBER('Paper sign-ups'!$T$2:$T$101)*('Paper sign-ups'!$T$2:$T$101&gt;AP247))&gt;0,1,0))</f>
        <v/>
      </c>
      <c r="AR247" s="31">
        <f>IF(AE247="","",IF(AQ247=1,"Joined again",IF(AJ247=0,"Unpaid",IF(NOT(ISNUMBER(AL247)),"Add a join date",IF(AN247="","No reminder",IF(AO247&lt;0,"Lapsed",IF(AO247&lt;=Settings!$D$6,"Remind soon","Current")))))))</f>
        <v/>
      </c>
      <c r="AS247" s="33">
        <f>IF(AJ247=1,IFERROR(VALUE(IFERROR(TRIM(INDEX($A247:$Z247,MATCH(Settings!$L$8,$A$1:$Z$1,0))&amp;""),"")),0)-IFERROR(VALUE(IFERROR(TRIM(INDEX($A247:$Z247,MATCH(Settings!$L$9,$A$1:$Z$1,0))&amp;""),"")),0),0)</f>
        <v/>
      </c>
      <c r="AT247" s="31">
        <f>IF(AND(AE247&lt;&gt;"",AQ247=0),1,0)</f>
        <v/>
      </c>
      <c r="AU247" s="31">
        <f>IF(AT247=0,"",IF(ISNUMBER(AN247),AN247,100000)+0+ROW()/1000000)</f>
        <v/>
      </c>
      <c r="AV247" s="31">
        <f>IF(ISNUMBER(AU247),SUMPRODUCT(ISNUMBER('Responses'!$AU$2:$AU$501)*('Responses'!$AU$2:$AU$501&lt;AU247)) + SUMPRODUCT(ISNUMBER('Paper sign-ups'!$Y$2:$Y$101)*('Paper sign-ups'!$Y$2:$Y$101&lt;AU247))+1,"")</f>
        <v/>
      </c>
    </row>
    <row r="248">
      <c r="AA248" s="29" t="n"/>
      <c r="AB248" s="30" t="n"/>
      <c r="AC248" s="30" t="n"/>
      <c r="AD248" s="29" t="n"/>
      <c r="AE248" s="31">
        <f>IFERROR(TRIM(INDEX($A248:$Z248,MATCH(Settings!$L$4,$A$1:$Z$1,0))&amp;""),"")</f>
        <v/>
      </c>
      <c r="AF248" s="31">
        <f>IFERROR(TRIM(INDEX($A248:$Z248,MATCH(Settings!$L$5,$A$1:$Z$1,0))&amp;""),"")</f>
        <v/>
      </c>
      <c r="AG248" s="31">
        <f>IF(AE248="","",LOWER(IF(AF248&lt;&gt;"",AF248,AE248)))</f>
        <v/>
      </c>
      <c r="AH248" s="31">
        <f>IFERROR(TRIM(INDEX($A248:$Z248,MATCH(Settings!$L$6,$A$1:$Z$1,0))&amp;""),"")</f>
        <v/>
      </c>
      <c r="AI248" s="31">
        <f>IF(AE248="","",IF(UPPER(TRIM(AB248&amp;""))="Y","Paid another way",IF(IFERROR(TRIM(INDEX($A248:$Z248,MATCH(Settings!$L$7,$A$1:$Z$1,0))&amp;""),"")="","No payment status",IFERROR(TRIM(INDEX($A248:$Z248,MATCH(Settings!$L$7,$A$1:$Z$1,0))&amp;""),""))))</f>
        <v/>
      </c>
      <c r="AJ248" s="31">
        <f>IF(AE248="",0,IF(IFERROR(INDEX(Settings!$J$4:$J$14,MATCH(AI248,Settings!$I$4:$I$14,0)),"N")="Y",1,0))</f>
        <v/>
      </c>
      <c r="AK248" s="32">
        <f>IFERROR(INT(IFERROR(IF(ISNUMBER(INDEX($A248:$Z248,MATCH(Settings!$L$10,$A$1:$Z$1,0))),INDEX($A248:$Z248,MATCH(Settings!$L$10,$A$1:$Z$1,0)),DATE(VALUE(LEFT(IFERROR(TRIM(INDEX($A248:$Z248,MATCH(Settings!$L$10,$A$1:$Z$1,0))&amp;""),""),4)),VALUE(MID(IFERROR(TRIM(INDEX($A248:$Z248,MATCH(Settings!$L$10,$A$1:$Z$1,0))&amp;""),""),6,2)),VALUE(MID(IFERROR(TRIM(INDEX($A248:$Z248,MATCH(Settings!$L$10,$A$1:$Z$1,0))&amp;""),""),9,2)))+TIME(VALUE(MID(IFERROR(TRIM(INDEX($A248:$Z248,MATCH(Settings!$L$10,$A$1:$Z$1,0))&amp;""),""),12,2)),VALUE(MID(IFERROR(TRIM(INDEX($A248:$Z248,MATCH(Settings!$L$10,$A$1:$Z$1,0))&amp;""),""),15,2)),VALUE(MID(IFERROR(TRIM(INDEX($A248:$Z248,MATCH(Settings!$L$10,$A$1:$Z$1,0))&amp;""),""),18,2)))),"")),"")</f>
        <v/>
      </c>
      <c r="AL248" s="32">
        <f>IF(AE248="","",IF(ISNUMBER(AK248),AK248,IFERROR(INT(IFERROR(IF(ISNUMBER(INDEX($A248:$Z248,MATCH(Settings!$L$11,$A$1:$Z$1,0))),INDEX($A248:$Z248,MATCH(Settings!$L$11,$A$1:$Z$1,0)),DATE(VALUE(LEFT(IFERROR(TRIM(INDEX($A248:$Z248,MATCH(Settings!$L$11,$A$1:$Z$1,0))&amp;""),""),4)),VALUE(MID(IFERROR(TRIM(INDEX($A248:$Z248,MATCH(Settings!$L$11,$A$1:$Z$1,0))&amp;""),""),6,2)),VALUE(MID(IFERROR(TRIM(INDEX($A248:$Z248,MATCH(Settings!$L$11,$A$1:$Z$1,0))&amp;""),""),9,2)))+TIME(VALUE(MID(IFERROR(TRIM(INDEX($A248:$Z248,MATCH(Settings!$L$11,$A$1:$Z$1,0))&amp;""),""),12,2)),VALUE(MID(IFERROR(TRIM(INDEX($A248:$Z248,MATCH(Settings!$L$11,$A$1:$Z$1,0))&amp;""),""),15,2)),VALUE(MID(IFERROR(TRIM(INDEX($A248:$Z248,MATCH(Settings!$L$11,$A$1:$Z$1,0))&amp;""),""),18,2)))),"")),"")))</f>
        <v/>
      </c>
      <c r="AM248" s="31">
        <f>IF(AE248="","",IF(ISNUMBER(IFERROR(INDEX(Settings!$G$4:$G$11,MATCH(AH248,Settings!$F$4:$F$11,0)),"")),INDEX(Settings!$G$4:$G$11,MATCH(AH248,Settings!$F$4:$F$11,0)),Settings!$D$5))</f>
        <v/>
      </c>
      <c r="AN248" s="32">
        <f>IF(OR(AE248="",NOT(ISNUMBER(AL248)),NOT(ISNUMBER(AM248))),"",IF(AM248&lt;=0,"",IF(ISNUMBER(Settings!$D$8),DATE(YEAR(AL248)+IF(DATE(YEAR(AL248),MONTH(Settings!$D$8),DAY(Settings!$D$8))&gt;AL248,0,1),MONTH(Settings!$D$8),DAY(Settings!$D$8)),MIN(DATE(YEAR(AL248),MONTH(AL248)+AM248,DAY(AL248)),DATE(YEAR(AL248),MONTH(AL248)+AM248+1,0)))))</f>
        <v/>
      </c>
      <c r="AO248" s="31">
        <f>IF(ISNUMBER(AN248),AN248-Settings!$D$4,"")</f>
        <v/>
      </c>
      <c r="AP248" s="31">
        <f>IF(ISNUMBER(AL248),AL248+0+ROW()/100000,"")</f>
        <v/>
      </c>
      <c r="AQ248" s="31">
        <f>IF(OR(AG248="",NOT(ISNUMBER(AP248))),0,IF(SUMPRODUCT(('Responses'!$AG$2:$AG$501=AG248)*('Responses'!$AJ$2:$AJ$501=1)*ISNUMBER('Responses'!$AP$2:$AP$501)*('Responses'!$AP$2:$AP$501&gt;AP248)) + SUMPRODUCT(('Paper sign-ups'!$K$2:$K$101=AG248)*('Paper sign-ups'!$N$2:$N$101=1)*ISNUMBER('Paper sign-ups'!$T$2:$T$101)*('Paper sign-ups'!$T$2:$T$101&gt;AP248))&gt;0,1,0))</f>
        <v/>
      </c>
      <c r="AR248" s="31">
        <f>IF(AE248="","",IF(AQ248=1,"Joined again",IF(AJ248=0,"Unpaid",IF(NOT(ISNUMBER(AL248)),"Add a join date",IF(AN248="","No reminder",IF(AO248&lt;0,"Lapsed",IF(AO248&lt;=Settings!$D$6,"Remind soon","Current")))))))</f>
        <v/>
      </c>
      <c r="AS248" s="33">
        <f>IF(AJ248=1,IFERROR(VALUE(IFERROR(TRIM(INDEX($A248:$Z248,MATCH(Settings!$L$8,$A$1:$Z$1,0))&amp;""),"")),0)-IFERROR(VALUE(IFERROR(TRIM(INDEX($A248:$Z248,MATCH(Settings!$L$9,$A$1:$Z$1,0))&amp;""),"")),0),0)</f>
        <v/>
      </c>
      <c r="AT248" s="31">
        <f>IF(AND(AE248&lt;&gt;"",AQ248=0),1,0)</f>
        <v/>
      </c>
      <c r="AU248" s="31">
        <f>IF(AT248=0,"",IF(ISNUMBER(AN248),AN248,100000)+0+ROW()/1000000)</f>
        <v/>
      </c>
      <c r="AV248" s="31">
        <f>IF(ISNUMBER(AU248),SUMPRODUCT(ISNUMBER('Responses'!$AU$2:$AU$501)*('Responses'!$AU$2:$AU$501&lt;AU248)) + SUMPRODUCT(ISNUMBER('Paper sign-ups'!$Y$2:$Y$101)*('Paper sign-ups'!$Y$2:$Y$101&lt;AU248))+1,"")</f>
        <v/>
      </c>
    </row>
    <row r="249">
      <c r="AA249" s="29" t="n"/>
      <c r="AB249" s="30" t="n"/>
      <c r="AC249" s="30" t="n"/>
      <c r="AD249" s="29" t="n"/>
      <c r="AE249" s="31">
        <f>IFERROR(TRIM(INDEX($A249:$Z249,MATCH(Settings!$L$4,$A$1:$Z$1,0))&amp;""),"")</f>
        <v/>
      </c>
      <c r="AF249" s="31">
        <f>IFERROR(TRIM(INDEX($A249:$Z249,MATCH(Settings!$L$5,$A$1:$Z$1,0))&amp;""),"")</f>
        <v/>
      </c>
      <c r="AG249" s="31">
        <f>IF(AE249="","",LOWER(IF(AF249&lt;&gt;"",AF249,AE249)))</f>
        <v/>
      </c>
      <c r="AH249" s="31">
        <f>IFERROR(TRIM(INDEX($A249:$Z249,MATCH(Settings!$L$6,$A$1:$Z$1,0))&amp;""),"")</f>
        <v/>
      </c>
      <c r="AI249" s="31">
        <f>IF(AE249="","",IF(UPPER(TRIM(AB249&amp;""))="Y","Paid another way",IF(IFERROR(TRIM(INDEX($A249:$Z249,MATCH(Settings!$L$7,$A$1:$Z$1,0))&amp;""),"")="","No payment status",IFERROR(TRIM(INDEX($A249:$Z249,MATCH(Settings!$L$7,$A$1:$Z$1,0))&amp;""),""))))</f>
        <v/>
      </c>
      <c r="AJ249" s="31">
        <f>IF(AE249="",0,IF(IFERROR(INDEX(Settings!$J$4:$J$14,MATCH(AI249,Settings!$I$4:$I$14,0)),"N")="Y",1,0))</f>
        <v/>
      </c>
      <c r="AK249" s="32">
        <f>IFERROR(INT(IFERROR(IF(ISNUMBER(INDEX($A249:$Z249,MATCH(Settings!$L$10,$A$1:$Z$1,0))),INDEX($A249:$Z249,MATCH(Settings!$L$10,$A$1:$Z$1,0)),DATE(VALUE(LEFT(IFERROR(TRIM(INDEX($A249:$Z249,MATCH(Settings!$L$10,$A$1:$Z$1,0))&amp;""),""),4)),VALUE(MID(IFERROR(TRIM(INDEX($A249:$Z249,MATCH(Settings!$L$10,$A$1:$Z$1,0))&amp;""),""),6,2)),VALUE(MID(IFERROR(TRIM(INDEX($A249:$Z249,MATCH(Settings!$L$10,$A$1:$Z$1,0))&amp;""),""),9,2)))+TIME(VALUE(MID(IFERROR(TRIM(INDEX($A249:$Z249,MATCH(Settings!$L$10,$A$1:$Z$1,0))&amp;""),""),12,2)),VALUE(MID(IFERROR(TRIM(INDEX($A249:$Z249,MATCH(Settings!$L$10,$A$1:$Z$1,0))&amp;""),""),15,2)),VALUE(MID(IFERROR(TRIM(INDEX($A249:$Z249,MATCH(Settings!$L$10,$A$1:$Z$1,0))&amp;""),""),18,2)))),"")),"")</f>
        <v/>
      </c>
      <c r="AL249" s="32">
        <f>IF(AE249="","",IF(ISNUMBER(AK249),AK249,IFERROR(INT(IFERROR(IF(ISNUMBER(INDEX($A249:$Z249,MATCH(Settings!$L$11,$A$1:$Z$1,0))),INDEX($A249:$Z249,MATCH(Settings!$L$11,$A$1:$Z$1,0)),DATE(VALUE(LEFT(IFERROR(TRIM(INDEX($A249:$Z249,MATCH(Settings!$L$11,$A$1:$Z$1,0))&amp;""),""),4)),VALUE(MID(IFERROR(TRIM(INDEX($A249:$Z249,MATCH(Settings!$L$11,$A$1:$Z$1,0))&amp;""),""),6,2)),VALUE(MID(IFERROR(TRIM(INDEX($A249:$Z249,MATCH(Settings!$L$11,$A$1:$Z$1,0))&amp;""),""),9,2)))+TIME(VALUE(MID(IFERROR(TRIM(INDEX($A249:$Z249,MATCH(Settings!$L$11,$A$1:$Z$1,0))&amp;""),""),12,2)),VALUE(MID(IFERROR(TRIM(INDEX($A249:$Z249,MATCH(Settings!$L$11,$A$1:$Z$1,0))&amp;""),""),15,2)),VALUE(MID(IFERROR(TRIM(INDEX($A249:$Z249,MATCH(Settings!$L$11,$A$1:$Z$1,0))&amp;""),""),18,2)))),"")),"")))</f>
        <v/>
      </c>
      <c r="AM249" s="31">
        <f>IF(AE249="","",IF(ISNUMBER(IFERROR(INDEX(Settings!$G$4:$G$11,MATCH(AH249,Settings!$F$4:$F$11,0)),"")),INDEX(Settings!$G$4:$G$11,MATCH(AH249,Settings!$F$4:$F$11,0)),Settings!$D$5))</f>
        <v/>
      </c>
      <c r="AN249" s="32">
        <f>IF(OR(AE249="",NOT(ISNUMBER(AL249)),NOT(ISNUMBER(AM249))),"",IF(AM249&lt;=0,"",IF(ISNUMBER(Settings!$D$8),DATE(YEAR(AL249)+IF(DATE(YEAR(AL249),MONTH(Settings!$D$8),DAY(Settings!$D$8))&gt;AL249,0,1),MONTH(Settings!$D$8),DAY(Settings!$D$8)),MIN(DATE(YEAR(AL249),MONTH(AL249)+AM249,DAY(AL249)),DATE(YEAR(AL249),MONTH(AL249)+AM249+1,0)))))</f>
        <v/>
      </c>
      <c r="AO249" s="31">
        <f>IF(ISNUMBER(AN249),AN249-Settings!$D$4,"")</f>
        <v/>
      </c>
      <c r="AP249" s="31">
        <f>IF(ISNUMBER(AL249),AL249+0+ROW()/100000,"")</f>
        <v/>
      </c>
      <c r="AQ249" s="31">
        <f>IF(OR(AG249="",NOT(ISNUMBER(AP249))),0,IF(SUMPRODUCT(('Responses'!$AG$2:$AG$501=AG249)*('Responses'!$AJ$2:$AJ$501=1)*ISNUMBER('Responses'!$AP$2:$AP$501)*('Responses'!$AP$2:$AP$501&gt;AP249)) + SUMPRODUCT(('Paper sign-ups'!$K$2:$K$101=AG249)*('Paper sign-ups'!$N$2:$N$101=1)*ISNUMBER('Paper sign-ups'!$T$2:$T$101)*('Paper sign-ups'!$T$2:$T$101&gt;AP249))&gt;0,1,0))</f>
        <v/>
      </c>
      <c r="AR249" s="31">
        <f>IF(AE249="","",IF(AQ249=1,"Joined again",IF(AJ249=0,"Unpaid",IF(NOT(ISNUMBER(AL249)),"Add a join date",IF(AN249="","No reminder",IF(AO249&lt;0,"Lapsed",IF(AO249&lt;=Settings!$D$6,"Remind soon","Current")))))))</f>
        <v/>
      </c>
      <c r="AS249" s="33">
        <f>IF(AJ249=1,IFERROR(VALUE(IFERROR(TRIM(INDEX($A249:$Z249,MATCH(Settings!$L$8,$A$1:$Z$1,0))&amp;""),"")),0)-IFERROR(VALUE(IFERROR(TRIM(INDEX($A249:$Z249,MATCH(Settings!$L$9,$A$1:$Z$1,0))&amp;""),"")),0),0)</f>
        <v/>
      </c>
      <c r="AT249" s="31">
        <f>IF(AND(AE249&lt;&gt;"",AQ249=0),1,0)</f>
        <v/>
      </c>
      <c r="AU249" s="31">
        <f>IF(AT249=0,"",IF(ISNUMBER(AN249),AN249,100000)+0+ROW()/1000000)</f>
        <v/>
      </c>
      <c r="AV249" s="31">
        <f>IF(ISNUMBER(AU249),SUMPRODUCT(ISNUMBER('Responses'!$AU$2:$AU$501)*('Responses'!$AU$2:$AU$501&lt;AU249)) + SUMPRODUCT(ISNUMBER('Paper sign-ups'!$Y$2:$Y$101)*('Paper sign-ups'!$Y$2:$Y$101&lt;AU249))+1,"")</f>
        <v/>
      </c>
    </row>
    <row r="250">
      <c r="AA250" s="29" t="n"/>
      <c r="AB250" s="30" t="n"/>
      <c r="AC250" s="30" t="n"/>
      <c r="AD250" s="29" t="n"/>
      <c r="AE250" s="31">
        <f>IFERROR(TRIM(INDEX($A250:$Z250,MATCH(Settings!$L$4,$A$1:$Z$1,0))&amp;""),"")</f>
        <v/>
      </c>
      <c r="AF250" s="31">
        <f>IFERROR(TRIM(INDEX($A250:$Z250,MATCH(Settings!$L$5,$A$1:$Z$1,0))&amp;""),"")</f>
        <v/>
      </c>
      <c r="AG250" s="31">
        <f>IF(AE250="","",LOWER(IF(AF250&lt;&gt;"",AF250,AE250)))</f>
        <v/>
      </c>
      <c r="AH250" s="31">
        <f>IFERROR(TRIM(INDEX($A250:$Z250,MATCH(Settings!$L$6,$A$1:$Z$1,0))&amp;""),"")</f>
        <v/>
      </c>
      <c r="AI250" s="31">
        <f>IF(AE250="","",IF(UPPER(TRIM(AB250&amp;""))="Y","Paid another way",IF(IFERROR(TRIM(INDEX($A250:$Z250,MATCH(Settings!$L$7,$A$1:$Z$1,0))&amp;""),"")="","No payment status",IFERROR(TRIM(INDEX($A250:$Z250,MATCH(Settings!$L$7,$A$1:$Z$1,0))&amp;""),""))))</f>
        <v/>
      </c>
      <c r="AJ250" s="31">
        <f>IF(AE250="",0,IF(IFERROR(INDEX(Settings!$J$4:$J$14,MATCH(AI250,Settings!$I$4:$I$14,0)),"N")="Y",1,0))</f>
        <v/>
      </c>
      <c r="AK250" s="32">
        <f>IFERROR(INT(IFERROR(IF(ISNUMBER(INDEX($A250:$Z250,MATCH(Settings!$L$10,$A$1:$Z$1,0))),INDEX($A250:$Z250,MATCH(Settings!$L$10,$A$1:$Z$1,0)),DATE(VALUE(LEFT(IFERROR(TRIM(INDEX($A250:$Z250,MATCH(Settings!$L$10,$A$1:$Z$1,0))&amp;""),""),4)),VALUE(MID(IFERROR(TRIM(INDEX($A250:$Z250,MATCH(Settings!$L$10,$A$1:$Z$1,0))&amp;""),""),6,2)),VALUE(MID(IFERROR(TRIM(INDEX($A250:$Z250,MATCH(Settings!$L$10,$A$1:$Z$1,0))&amp;""),""),9,2)))+TIME(VALUE(MID(IFERROR(TRIM(INDEX($A250:$Z250,MATCH(Settings!$L$10,$A$1:$Z$1,0))&amp;""),""),12,2)),VALUE(MID(IFERROR(TRIM(INDEX($A250:$Z250,MATCH(Settings!$L$10,$A$1:$Z$1,0))&amp;""),""),15,2)),VALUE(MID(IFERROR(TRIM(INDEX($A250:$Z250,MATCH(Settings!$L$10,$A$1:$Z$1,0))&amp;""),""),18,2)))),"")),"")</f>
        <v/>
      </c>
      <c r="AL250" s="32">
        <f>IF(AE250="","",IF(ISNUMBER(AK250),AK250,IFERROR(INT(IFERROR(IF(ISNUMBER(INDEX($A250:$Z250,MATCH(Settings!$L$11,$A$1:$Z$1,0))),INDEX($A250:$Z250,MATCH(Settings!$L$11,$A$1:$Z$1,0)),DATE(VALUE(LEFT(IFERROR(TRIM(INDEX($A250:$Z250,MATCH(Settings!$L$11,$A$1:$Z$1,0))&amp;""),""),4)),VALUE(MID(IFERROR(TRIM(INDEX($A250:$Z250,MATCH(Settings!$L$11,$A$1:$Z$1,0))&amp;""),""),6,2)),VALUE(MID(IFERROR(TRIM(INDEX($A250:$Z250,MATCH(Settings!$L$11,$A$1:$Z$1,0))&amp;""),""),9,2)))+TIME(VALUE(MID(IFERROR(TRIM(INDEX($A250:$Z250,MATCH(Settings!$L$11,$A$1:$Z$1,0))&amp;""),""),12,2)),VALUE(MID(IFERROR(TRIM(INDEX($A250:$Z250,MATCH(Settings!$L$11,$A$1:$Z$1,0))&amp;""),""),15,2)),VALUE(MID(IFERROR(TRIM(INDEX($A250:$Z250,MATCH(Settings!$L$11,$A$1:$Z$1,0))&amp;""),""),18,2)))),"")),"")))</f>
        <v/>
      </c>
      <c r="AM250" s="31">
        <f>IF(AE250="","",IF(ISNUMBER(IFERROR(INDEX(Settings!$G$4:$G$11,MATCH(AH250,Settings!$F$4:$F$11,0)),"")),INDEX(Settings!$G$4:$G$11,MATCH(AH250,Settings!$F$4:$F$11,0)),Settings!$D$5))</f>
        <v/>
      </c>
      <c r="AN250" s="32">
        <f>IF(OR(AE250="",NOT(ISNUMBER(AL250)),NOT(ISNUMBER(AM250))),"",IF(AM250&lt;=0,"",IF(ISNUMBER(Settings!$D$8),DATE(YEAR(AL250)+IF(DATE(YEAR(AL250),MONTH(Settings!$D$8),DAY(Settings!$D$8))&gt;AL250,0,1),MONTH(Settings!$D$8),DAY(Settings!$D$8)),MIN(DATE(YEAR(AL250),MONTH(AL250)+AM250,DAY(AL250)),DATE(YEAR(AL250),MONTH(AL250)+AM250+1,0)))))</f>
        <v/>
      </c>
      <c r="AO250" s="31">
        <f>IF(ISNUMBER(AN250),AN250-Settings!$D$4,"")</f>
        <v/>
      </c>
      <c r="AP250" s="31">
        <f>IF(ISNUMBER(AL250),AL250+0+ROW()/100000,"")</f>
        <v/>
      </c>
      <c r="AQ250" s="31">
        <f>IF(OR(AG250="",NOT(ISNUMBER(AP250))),0,IF(SUMPRODUCT(('Responses'!$AG$2:$AG$501=AG250)*('Responses'!$AJ$2:$AJ$501=1)*ISNUMBER('Responses'!$AP$2:$AP$501)*('Responses'!$AP$2:$AP$501&gt;AP250)) + SUMPRODUCT(('Paper sign-ups'!$K$2:$K$101=AG250)*('Paper sign-ups'!$N$2:$N$101=1)*ISNUMBER('Paper sign-ups'!$T$2:$T$101)*('Paper sign-ups'!$T$2:$T$101&gt;AP250))&gt;0,1,0))</f>
        <v/>
      </c>
      <c r="AR250" s="31">
        <f>IF(AE250="","",IF(AQ250=1,"Joined again",IF(AJ250=0,"Unpaid",IF(NOT(ISNUMBER(AL250)),"Add a join date",IF(AN250="","No reminder",IF(AO250&lt;0,"Lapsed",IF(AO250&lt;=Settings!$D$6,"Remind soon","Current")))))))</f>
        <v/>
      </c>
      <c r="AS250" s="33">
        <f>IF(AJ250=1,IFERROR(VALUE(IFERROR(TRIM(INDEX($A250:$Z250,MATCH(Settings!$L$8,$A$1:$Z$1,0))&amp;""),"")),0)-IFERROR(VALUE(IFERROR(TRIM(INDEX($A250:$Z250,MATCH(Settings!$L$9,$A$1:$Z$1,0))&amp;""),"")),0),0)</f>
        <v/>
      </c>
      <c r="AT250" s="31">
        <f>IF(AND(AE250&lt;&gt;"",AQ250=0),1,0)</f>
        <v/>
      </c>
      <c r="AU250" s="31">
        <f>IF(AT250=0,"",IF(ISNUMBER(AN250),AN250,100000)+0+ROW()/1000000)</f>
        <v/>
      </c>
      <c r="AV250" s="31">
        <f>IF(ISNUMBER(AU250),SUMPRODUCT(ISNUMBER('Responses'!$AU$2:$AU$501)*('Responses'!$AU$2:$AU$501&lt;AU250)) + SUMPRODUCT(ISNUMBER('Paper sign-ups'!$Y$2:$Y$101)*('Paper sign-ups'!$Y$2:$Y$101&lt;AU250))+1,"")</f>
        <v/>
      </c>
    </row>
    <row r="251">
      <c r="AA251" s="29" t="n"/>
      <c r="AB251" s="30" t="n"/>
      <c r="AC251" s="30" t="n"/>
      <c r="AD251" s="29" t="n"/>
      <c r="AE251" s="31">
        <f>IFERROR(TRIM(INDEX($A251:$Z251,MATCH(Settings!$L$4,$A$1:$Z$1,0))&amp;""),"")</f>
        <v/>
      </c>
      <c r="AF251" s="31">
        <f>IFERROR(TRIM(INDEX($A251:$Z251,MATCH(Settings!$L$5,$A$1:$Z$1,0))&amp;""),"")</f>
        <v/>
      </c>
      <c r="AG251" s="31">
        <f>IF(AE251="","",LOWER(IF(AF251&lt;&gt;"",AF251,AE251)))</f>
        <v/>
      </c>
      <c r="AH251" s="31">
        <f>IFERROR(TRIM(INDEX($A251:$Z251,MATCH(Settings!$L$6,$A$1:$Z$1,0))&amp;""),"")</f>
        <v/>
      </c>
      <c r="AI251" s="31">
        <f>IF(AE251="","",IF(UPPER(TRIM(AB251&amp;""))="Y","Paid another way",IF(IFERROR(TRIM(INDEX($A251:$Z251,MATCH(Settings!$L$7,$A$1:$Z$1,0))&amp;""),"")="","No payment status",IFERROR(TRIM(INDEX($A251:$Z251,MATCH(Settings!$L$7,$A$1:$Z$1,0))&amp;""),""))))</f>
        <v/>
      </c>
      <c r="AJ251" s="31">
        <f>IF(AE251="",0,IF(IFERROR(INDEX(Settings!$J$4:$J$14,MATCH(AI251,Settings!$I$4:$I$14,0)),"N")="Y",1,0))</f>
        <v/>
      </c>
      <c r="AK251" s="32">
        <f>IFERROR(INT(IFERROR(IF(ISNUMBER(INDEX($A251:$Z251,MATCH(Settings!$L$10,$A$1:$Z$1,0))),INDEX($A251:$Z251,MATCH(Settings!$L$10,$A$1:$Z$1,0)),DATE(VALUE(LEFT(IFERROR(TRIM(INDEX($A251:$Z251,MATCH(Settings!$L$10,$A$1:$Z$1,0))&amp;""),""),4)),VALUE(MID(IFERROR(TRIM(INDEX($A251:$Z251,MATCH(Settings!$L$10,$A$1:$Z$1,0))&amp;""),""),6,2)),VALUE(MID(IFERROR(TRIM(INDEX($A251:$Z251,MATCH(Settings!$L$10,$A$1:$Z$1,0))&amp;""),""),9,2)))+TIME(VALUE(MID(IFERROR(TRIM(INDEX($A251:$Z251,MATCH(Settings!$L$10,$A$1:$Z$1,0))&amp;""),""),12,2)),VALUE(MID(IFERROR(TRIM(INDEX($A251:$Z251,MATCH(Settings!$L$10,$A$1:$Z$1,0))&amp;""),""),15,2)),VALUE(MID(IFERROR(TRIM(INDEX($A251:$Z251,MATCH(Settings!$L$10,$A$1:$Z$1,0))&amp;""),""),18,2)))),"")),"")</f>
        <v/>
      </c>
      <c r="AL251" s="32">
        <f>IF(AE251="","",IF(ISNUMBER(AK251),AK251,IFERROR(INT(IFERROR(IF(ISNUMBER(INDEX($A251:$Z251,MATCH(Settings!$L$11,$A$1:$Z$1,0))),INDEX($A251:$Z251,MATCH(Settings!$L$11,$A$1:$Z$1,0)),DATE(VALUE(LEFT(IFERROR(TRIM(INDEX($A251:$Z251,MATCH(Settings!$L$11,$A$1:$Z$1,0))&amp;""),""),4)),VALUE(MID(IFERROR(TRIM(INDEX($A251:$Z251,MATCH(Settings!$L$11,$A$1:$Z$1,0))&amp;""),""),6,2)),VALUE(MID(IFERROR(TRIM(INDEX($A251:$Z251,MATCH(Settings!$L$11,$A$1:$Z$1,0))&amp;""),""),9,2)))+TIME(VALUE(MID(IFERROR(TRIM(INDEX($A251:$Z251,MATCH(Settings!$L$11,$A$1:$Z$1,0))&amp;""),""),12,2)),VALUE(MID(IFERROR(TRIM(INDEX($A251:$Z251,MATCH(Settings!$L$11,$A$1:$Z$1,0))&amp;""),""),15,2)),VALUE(MID(IFERROR(TRIM(INDEX($A251:$Z251,MATCH(Settings!$L$11,$A$1:$Z$1,0))&amp;""),""),18,2)))),"")),"")))</f>
        <v/>
      </c>
      <c r="AM251" s="31">
        <f>IF(AE251="","",IF(ISNUMBER(IFERROR(INDEX(Settings!$G$4:$G$11,MATCH(AH251,Settings!$F$4:$F$11,0)),"")),INDEX(Settings!$G$4:$G$11,MATCH(AH251,Settings!$F$4:$F$11,0)),Settings!$D$5))</f>
        <v/>
      </c>
      <c r="AN251" s="32">
        <f>IF(OR(AE251="",NOT(ISNUMBER(AL251)),NOT(ISNUMBER(AM251))),"",IF(AM251&lt;=0,"",IF(ISNUMBER(Settings!$D$8),DATE(YEAR(AL251)+IF(DATE(YEAR(AL251),MONTH(Settings!$D$8),DAY(Settings!$D$8))&gt;AL251,0,1),MONTH(Settings!$D$8),DAY(Settings!$D$8)),MIN(DATE(YEAR(AL251),MONTH(AL251)+AM251,DAY(AL251)),DATE(YEAR(AL251),MONTH(AL251)+AM251+1,0)))))</f>
        <v/>
      </c>
      <c r="AO251" s="31">
        <f>IF(ISNUMBER(AN251),AN251-Settings!$D$4,"")</f>
        <v/>
      </c>
      <c r="AP251" s="31">
        <f>IF(ISNUMBER(AL251),AL251+0+ROW()/100000,"")</f>
        <v/>
      </c>
      <c r="AQ251" s="31">
        <f>IF(OR(AG251="",NOT(ISNUMBER(AP251))),0,IF(SUMPRODUCT(('Responses'!$AG$2:$AG$501=AG251)*('Responses'!$AJ$2:$AJ$501=1)*ISNUMBER('Responses'!$AP$2:$AP$501)*('Responses'!$AP$2:$AP$501&gt;AP251)) + SUMPRODUCT(('Paper sign-ups'!$K$2:$K$101=AG251)*('Paper sign-ups'!$N$2:$N$101=1)*ISNUMBER('Paper sign-ups'!$T$2:$T$101)*('Paper sign-ups'!$T$2:$T$101&gt;AP251))&gt;0,1,0))</f>
        <v/>
      </c>
      <c r="AR251" s="31">
        <f>IF(AE251="","",IF(AQ251=1,"Joined again",IF(AJ251=0,"Unpaid",IF(NOT(ISNUMBER(AL251)),"Add a join date",IF(AN251="","No reminder",IF(AO251&lt;0,"Lapsed",IF(AO251&lt;=Settings!$D$6,"Remind soon","Current")))))))</f>
        <v/>
      </c>
      <c r="AS251" s="33">
        <f>IF(AJ251=1,IFERROR(VALUE(IFERROR(TRIM(INDEX($A251:$Z251,MATCH(Settings!$L$8,$A$1:$Z$1,0))&amp;""),"")),0)-IFERROR(VALUE(IFERROR(TRIM(INDEX($A251:$Z251,MATCH(Settings!$L$9,$A$1:$Z$1,0))&amp;""),"")),0),0)</f>
        <v/>
      </c>
      <c r="AT251" s="31">
        <f>IF(AND(AE251&lt;&gt;"",AQ251=0),1,0)</f>
        <v/>
      </c>
      <c r="AU251" s="31">
        <f>IF(AT251=0,"",IF(ISNUMBER(AN251),AN251,100000)+0+ROW()/1000000)</f>
        <v/>
      </c>
      <c r="AV251" s="31">
        <f>IF(ISNUMBER(AU251),SUMPRODUCT(ISNUMBER('Responses'!$AU$2:$AU$501)*('Responses'!$AU$2:$AU$501&lt;AU251)) + SUMPRODUCT(ISNUMBER('Paper sign-ups'!$Y$2:$Y$101)*('Paper sign-ups'!$Y$2:$Y$101&lt;AU251))+1,"")</f>
        <v/>
      </c>
    </row>
    <row r="252">
      <c r="AA252" s="29" t="n"/>
      <c r="AB252" s="30" t="n"/>
      <c r="AC252" s="30" t="n"/>
      <c r="AD252" s="29" t="n"/>
      <c r="AE252" s="31">
        <f>IFERROR(TRIM(INDEX($A252:$Z252,MATCH(Settings!$L$4,$A$1:$Z$1,0))&amp;""),"")</f>
        <v/>
      </c>
      <c r="AF252" s="31">
        <f>IFERROR(TRIM(INDEX($A252:$Z252,MATCH(Settings!$L$5,$A$1:$Z$1,0))&amp;""),"")</f>
        <v/>
      </c>
      <c r="AG252" s="31">
        <f>IF(AE252="","",LOWER(IF(AF252&lt;&gt;"",AF252,AE252)))</f>
        <v/>
      </c>
      <c r="AH252" s="31">
        <f>IFERROR(TRIM(INDEX($A252:$Z252,MATCH(Settings!$L$6,$A$1:$Z$1,0))&amp;""),"")</f>
        <v/>
      </c>
      <c r="AI252" s="31">
        <f>IF(AE252="","",IF(UPPER(TRIM(AB252&amp;""))="Y","Paid another way",IF(IFERROR(TRIM(INDEX($A252:$Z252,MATCH(Settings!$L$7,$A$1:$Z$1,0))&amp;""),"")="","No payment status",IFERROR(TRIM(INDEX($A252:$Z252,MATCH(Settings!$L$7,$A$1:$Z$1,0))&amp;""),""))))</f>
        <v/>
      </c>
      <c r="AJ252" s="31">
        <f>IF(AE252="",0,IF(IFERROR(INDEX(Settings!$J$4:$J$14,MATCH(AI252,Settings!$I$4:$I$14,0)),"N")="Y",1,0))</f>
        <v/>
      </c>
      <c r="AK252" s="32">
        <f>IFERROR(INT(IFERROR(IF(ISNUMBER(INDEX($A252:$Z252,MATCH(Settings!$L$10,$A$1:$Z$1,0))),INDEX($A252:$Z252,MATCH(Settings!$L$10,$A$1:$Z$1,0)),DATE(VALUE(LEFT(IFERROR(TRIM(INDEX($A252:$Z252,MATCH(Settings!$L$10,$A$1:$Z$1,0))&amp;""),""),4)),VALUE(MID(IFERROR(TRIM(INDEX($A252:$Z252,MATCH(Settings!$L$10,$A$1:$Z$1,0))&amp;""),""),6,2)),VALUE(MID(IFERROR(TRIM(INDEX($A252:$Z252,MATCH(Settings!$L$10,$A$1:$Z$1,0))&amp;""),""),9,2)))+TIME(VALUE(MID(IFERROR(TRIM(INDEX($A252:$Z252,MATCH(Settings!$L$10,$A$1:$Z$1,0))&amp;""),""),12,2)),VALUE(MID(IFERROR(TRIM(INDEX($A252:$Z252,MATCH(Settings!$L$10,$A$1:$Z$1,0))&amp;""),""),15,2)),VALUE(MID(IFERROR(TRIM(INDEX($A252:$Z252,MATCH(Settings!$L$10,$A$1:$Z$1,0))&amp;""),""),18,2)))),"")),"")</f>
        <v/>
      </c>
      <c r="AL252" s="32">
        <f>IF(AE252="","",IF(ISNUMBER(AK252),AK252,IFERROR(INT(IFERROR(IF(ISNUMBER(INDEX($A252:$Z252,MATCH(Settings!$L$11,$A$1:$Z$1,0))),INDEX($A252:$Z252,MATCH(Settings!$L$11,$A$1:$Z$1,0)),DATE(VALUE(LEFT(IFERROR(TRIM(INDEX($A252:$Z252,MATCH(Settings!$L$11,$A$1:$Z$1,0))&amp;""),""),4)),VALUE(MID(IFERROR(TRIM(INDEX($A252:$Z252,MATCH(Settings!$L$11,$A$1:$Z$1,0))&amp;""),""),6,2)),VALUE(MID(IFERROR(TRIM(INDEX($A252:$Z252,MATCH(Settings!$L$11,$A$1:$Z$1,0))&amp;""),""),9,2)))+TIME(VALUE(MID(IFERROR(TRIM(INDEX($A252:$Z252,MATCH(Settings!$L$11,$A$1:$Z$1,0))&amp;""),""),12,2)),VALUE(MID(IFERROR(TRIM(INDEX($A252:$Z252,MATCH(Settings!$L$11,$A$1:$Z$1,0))&amp;""),""),15,2)),VALUE(MID(IFERROR(TRIM(INDEX($A252:$Z252,MATCH(Settings!$L$11,$A$1:$Z$1,0))&amp;""),""),18,2)))),"")),"")))</f>
        <v/>
      </c>
      <c r="AM252" s="31">
        <f>IF(AE252="","",IF(ISNUMBER(IFERROR(INDEX(Settings!$G$4:$G$11,MATCH(AH252,Settings!$F$4:$F$11,0)),"")),INDEX(Settings!$G$4:$G$11,MATCH(AH252,Settings!$F$4:$F$11,0)),Settings!$D$5))</f>
        <v/>
      </c>
      <c r="AN252" s="32">
        <f>IF(OR(AE252="",NOT(ISNUMBER(AL252)),NOT(ISNUMBER(AM252))),"",IF(AM252&lt;=0,"",IF(ISNUMBER(Settings!$D$8),DATE(YEAR(AL252)+IF(DATE(YEAR(AL252),MONTH(Settings!$D$8),DAY(Settings!$D$8))&gt;AL252,0,1),MONTH(Settings!$D$8),DAY(Settings!$D$8)),MIN(DATE(YEAR(AL252),MONTH(AL252)+AM252,DAY(AL252)),DATE(YEAR(AL252),MONTH(AL252)+AM252+1,0)))))</f>
        <v/>
      </c>
      <c r="AO252" s="31">
        <f>IF(ISNUMBER(AN252),AN252-Settings!$D$4,"")</f>
        <v/>
      </c>
      <c r="AP252" s="31">
        <f>IF(ISNUMBER(AL252),AL252+0+ROW()/100000,"")</f>
        <v/>
      </c>
      <c r="AQ252" s="31">
        <f>IF(OR(AG252="",NOT(ISNUMBER(AP252))),0,IF(SUMPRODUCT(('Responses'!$AG$2:$AG$501=AG252)*('Responses'!$AJ$2:$AJ$501=1)*ISNUMBER('Responses'!$AP$2:$AP$501)*('Responses'!$AP$2:$AP$501&gt;AP252)) + SUMPRODUCT(('Paper sign-ups'!$K$2:$K$101=AG252)*('Paper sign-ups'!$N$2:$N$101=1)*ISNUMBER('Paper sign-ups'!$T$2:$T$101)*('Paper sign-ups'!$T$2:$T$101&gt;AP252))&gt;0,1,0))</f>
        <v/>
      </c>
      <c r="AR252" s="31">
        <f>IF(AE252="","",IF(AQ252=1,"Joined again",IF(AJ252=0,"Unpaid",IF(NOT(ISNUMBER(AL252)),"Add a join date",IF(AN252="","No reminder",IF(AO252&lt;0,"Lapsed",IF(AO252&lt;=Settings!$D$6,"Remind soon","Current")))))))</f>
        <v/>
      </c>
      <c r="AS252" s="33">
        <f>IF(AJ252=1,IFERROR(VALUE(IFERROR(TRIM(INDEX($A252:$Z252,MATCH(Settings!$L$8,$A$1:$Z$1,0))&amp;""),"")),0)-IFERROR(VALUE(IFERROR(TRIM(INDEX($A252:$Z252,MATCH(Settings!$L$9,$A$1:$Z$1,0))&amp;""),"")),0),0)</f>
        <v/>
      </c>
      <c r="AT252" s="31">
        <f>IF(AND(AE252&lt;&gt;"",AQ252=0),1,0)</f>
        <v/>
      </c>
      <c r="AU252" s="31">
        <f>IF(AT252=0,"",IF(ISNUMBER(AN252),AN252,100000)+0+ROW()/1000000)</f>
        <v/>
      </c>
      <c r="AV252" s="31">
        <f>IF(ISNUMBER(AU252),SUMPRODUCT(ISNUMBER('Responses'!$AU$2:$AU$501)*('Responses'!$AU$2:$AU$501&lt;AU252)) + SUMPRODUCT(ISNUMBER('Paper sign-ups'!$Y$2:$Y$101)*('Paper sign-ups'!$Y$2:$Y$101&lt;AU252))+1,"")</f>
        <v/>
      </c>
    </row>
    <row r="253">
      <c r="AA253" s="29" t="n"/>
      <c r="AB253" s="30" t="n"/>
      <c r="AC253" s="30" t="n"/>
      <c r="AD253" s="29" t="n"/>
      <c r="AE253" s="31">
        <f>IFERROR(TRIM(INDEX($A253:$Z253,MATCH(Settings!$L$4,$A$1:$Z$1,0))&amp;""),"")</f>
        <v/>
      </c>
      <c r="AF253" s="31">
        <f>IFERROR(TRIM(INDEX($A253:$Z253,MATCH(Settings!$L$5,$A$1:$Z$1,0))&amp;""),"")</f>
        <v/>
      </c>
      <c r="AG253" s="31">
        <f>IF(AE253="","",LOWER(IF(AF253&lt;&gt;"",AF253,AE253)))</f>
        <v/>
      </c>
      <c r="AH253" s="31">
        <f>IFERROR(TRIM(INDEX($A253:$Z253,MATCH(Settings!$L$6,$A$1:$Z$1,0))&amp;""),"")</f>
        <v/>
      </c>
      <c r="AI253" s="31">
        <f>IF(AE253="","",IF(UPPER(TRIM(AB253&amp;""))="Y","Paid another way",IF(IFERROR(TRIM(INDEX($A253:$Z253,MATCH(Settings!$L$7,$A$1:$Z$1,0))&amp;""),"")="","No payment status",IFERROR(TRIM(INDEX($A253:$Z253,MATCH(Settings!$L$7,$A$1:$Z$1,0))&amp;""),""))))</f>
        <v/>
      </c>
      <c r="AJ253" s="31">
        <f>IF(AE253="",0,IF(IFERROR(INDEX(Settings!$J$4:$J$14,MATCH(AI253,Settings!$I$4:$I$14,0)),"N")="Y",1,0))</f>
        <v/>
      </c>
      <c r="AK253" s="32">
        <f>IFERROR(INT(IFERROR(IF(ISNUMBER(INDEX($A253:$Z253,MATCH(Settings!$L$10,$A$1:$Z$1,0))),INDEX($A253:$Z253,MATCH(Settings!$L$10,$A$1:$Z$1,0)),DATE(VALUE(LEFT(IFERROR(TRIM(INDEX($A253:$Z253,MATCH(Settings!$L$10,$A$1:$Z$1,0))&amp;""),""),4)),VALUE(MID(IFERROR(TRIM(INDEX($A253:$Z253,MATCH(Settings!$L$10,$A$1:$Z$1,0))&amp;""),""),6,2)),VALUE(MID(IFERROR(TRIM(INDEX($A253:$Z253,MATCH(Settings!$L$10,$A$1:$Z$1,0))&amp;""),""),9,2)))+TIME(VALUE(MID(IFERROR(TRIM(INDEX($A253:$Z253,MATCH(Settings!$L$10,$A$1:$Z$1,0))&amp;""),""),12,2)),VALUE(MID(IFERROR(TRIM(INDEX($A253:$Z253,MATCH(Settings!$L$10,$A$1:$Z$1,0))&amp;""),""),15,2)),VALUE(MID(IFERROR(TRIM(INDEX($A253:$Z253,MATCH(Settings!$L$10,$A$1:$Z$1,0))&amp;""),""),18,2)))),"")),"")</f>
        <v/>
      </c>
      <c r="AL253" s="32">
        <f>IF(AE253="","",IF(ISNUMBER(AK253),AK253,IFERROR(INT(IFERROR(IF(ISNUMBER(INDEX($A253:$Z253,MATCH(Settings!$L$11,$A$1:$Z$1,0))),INDEX($A253:$Z253,MATCH(Settings!$L$11,$A$1:$Z$1,0)),DATE(VALUE(LEFT(IFERROR(TRIM(INDEX($A253:$Z253,MATCH(Settings!$L$11,$A$1:$Z$1,0))&amp;""),""),4)),VALUE(MID(IFERROR(TRIM(INDEX($A253:$Z253,MATCH(Settings!$L$11,$A$1:$Z$1,0))&amp;""),""),6,2)),VALUE(MID(IFERROR(TRIM(INDEX($A253:$Z253,MATCH(Settings!$L$11,$A$1:$Z$1,0))&amp;""),""),9,2)))+TIME(VALUE(MID(IFERROR(TRIM(INDEX($A253:$Z253,MATCH(Settings!$L$11,$A$1:$Z$1,0))&amp;""),""),12,2)),VALUE(MID(IFERROR(TRIM(INDEX($A253:$Z253,MATCH(Settings!$L$11,$A$1:$Z$1,0))&amp;""),""),15,2)),VALUE(MID(IFERROR(TRIM(INDEX($A253:$Z253,MATCH(Settings!$L$11,$A$1:$Z$1,0))&amp;""),""),18,2)))),"")),"")))</f>
        <v/>
      </c>
      <c r="AM253" s="31">
        <f>IF(AE253="","",IF(ISNUMBER(IFERROR(INDEX(Settings!$G$4:$G$11,MATCH(AH253,Settings!$F$4:$F$11,0)),"")),INDEX(Settings!$G$4:$G$11,MATCH(AH253,Settings!$F$4:$F$11,0)),Settings!$D$5))</f>
        <v/>
      </c>
      <c r="AN253" s="32">
        <f>IF(OR(AE253="",NOT(ISNUMBER(AL253)),NOT(ISNUMBER(AM253))),"",IF(AM253&lt;=0,"",IF(ISNUMBER(Settings!$D$8),DATE(YEAR(AL253)+IF(DATE(YEAR(AL253),MONTH(Settings!$D$8),DAY(Settings!$D$8))&gt;AL253,0,1),MONTH(Settings!$D$8),DAY(Settings!$D$8)),MIN(DATE(YEAR(AL253),MONTH(AL253)+AM253,DAY(AL253)),DATE(YEAR(AL253),MONTH(AL253)+AM253+1,0)))))</f>
        <v/>
      </c>
      <c r="AO253" s="31">
        <f>IF(ISNUMBER(AN253),AN253-Settings!$D$4,"")</f>
        <v/>
      </c>
      <c r="AP253" s="31">
        <f>IF(ISNUMBER(AL253),AL253+0+ROW()/100000,"")</f>
        <v/>
      </c>
      <c r="AQ253" s="31">
        <f>IF(OR(AG253="",NOT(ISNUMBER(AP253))),0,IF(SUMPRODUCT(('Responses'!$AG$2:$AG$501=AG253)*('Responses'!$AJ$2:$AJ$501=1)*ISNUMBER('Responses'!$AP$2:$AP$501)*('Responses'!$AP$2:$AP$501&gt;AP253)) + SUMPRODUCT(('Paper sign-ups'!$K$2:$K$101=AG253)*('Paper sign-ups'!$N$2:$N$101=1)*ISNUMBER('Paper sign-ups'!$T$2:$T$101)*('Paper sign-ups'!$T$2:$T$101&gt;AP253))&gt;0,1,0))</f>
        <v/>
      </c>
      <c r="AR253" s="31">
        <f>IF(AE253="","",IF(AQ253=1,"Joined again",IF(AJ253=0,"Unpaid",IF(NOT(ISNUMBER(AL253)),"Add a join date",IF(AN253="","No reminder",IF(AO253&lt;0,"Lapsed",IF(AO253&lt;=Settings!$D$6,"Remind soon","Current")))))))</f>
        <v/>
      </c>
      <c r="AS253" s="33">
        <f>IF(AJ253=1,IFERROR(VALUE(IFERROR(TRIM(INDEX($A253:$Z253,MATCH(Settings!$L$8,$A$1:$Z$1,0))&amp;""),"")),0)-IFERROR(VALUE(IFERROR(TRIM(INDEX($A253:$Z253,MATCH(Settings!$L$9,$A$1:$Z$1,0))&amp;""),"")),0),0)</f>
        <v/>
      </c>
      <c r="AT253" s="31">
        <f>IF(AND(AE253&lt;&gt;"",AQ253=0),1,0)</f>
        <v/>
      </c>
      <c r="AU253" s="31">
        <f>IF(AT253=0,"",IF(ISNUMBER(AN253),AN253,100000)+0+ROW()/1000000)</f>
        <v/>
      </c>
      <c r="AV253" s="31">
        <f>IF(ISNUMBER(AU253),SUMPRODUCT(ISNUMBER('Responses'!$AU$2:$AU$501)*('Responses'!$AU$2:$AU$501&lt;AU253)) + SUMPRODUCT(ISNUMBER('Paper sign-ups'!$Y$2:$Y$101)*('Paper sign-ups'!$Y$2:$Y$101&lt;AU253))+1,"")</f>
        <v/>
      </c>
    </row>
    <row r="254">
      <c r="AA254" s="29" t="n"/>
      <c r="AB254" s="30" t="n"/>
      <c r="AC254" s="30" t="n"/>
      <c r="AD254" s="29" t="n"/>
      <c r="AE254" s="31">
        <f>IFERROR(TRIM(INDEX($A254:$Z254,MATCH(Settings!$L$4,$A$1:$Z$1,0))&amp;""),"")</f>
        <v/>
      </c>
      <c r="AF254" s="31">
        <f>IFERROR(TRIM(INDEX($A254:$Z254,MATCH(Settings!$L$5,$A$1:$Z$1,0))&amp;""),"")</f>
        <v/>
      </c>
      <c r="AG254" s="31">
        <f>IF(AE254="","",LOWER(IF(AF254&lt;&gt;"",AF254,AE254)))</f>
        <v/>
      </c>
      <c r="AH254" s="31">
        <f>IFERROR(TRIM(INDEX($A254:$Z254,MATCH(Settings!$L$6,$A$1:$Z$1,0))&amp;""),"")</f>
        <v/>
      </c>
      <c r="AI254" s="31">
        <f>IF(AE254="","",IF(UPPER(TRIM(AB254&amp;""))="Y","Paid another way",IF(IFERROR(TRIM(INDEX($A254:$Z254,MATCH(Settings!$L$7,$A$1:$Z$1,0))&amp;""),"")="","No payment status",IFERROR(TRIM(INDEX($A254:$Z254,MATCH(Settings!$L$7,$A$1:$Z$1,0))&amp;""),""))))</f>
        <v/>
      </c>
      <c r="AJ254" s="31">
        <f>IF(AE254="",0,IF(IFERROR(INDEX(Settings!$J$4:$J$14,MATCH(AI254,Settings!$I$4:$I$14,0)),"N")="Y",1,0))</f>
        <v/>
      </c>
      <c r="AK254" s="32">
        <f>IFERROR(INT(IFERROR(IF(ISNUMBER(INDEX($A254:$Z254,MATCH(Settings!$L$10,$A$1:$Z$1,0))),INDEX($A254:$Z254,MATCH(Settings!$L$10,$A$1:$Z$1,0)),DATE(VALUE(LEFT(IFERROR(TRIM(INDEX($A254:$Z254,MATCH(Settings!$L$10,$A$1:$Z$1,0))&amp;""),""),4)),VALUE(MID(IFERROR(TRIM(INDEX($A254:$Z254,MATCH(Settings!$L$10,$A$1:$Z$1,0))&amp;""),""),6,2)),VALUE(MID(IFERROR(TRIM(INDEX($A254:$Z254,MATCH(Settings!$L$10,$A$1:$Z$1,0))&amp;""),""),9,2)))+TIME(VALUE(MID(IFERROR(TRIM(INDEX($A254:$Z254,MATCH(Settings!$L$10,$A$1:$Z$1,0))&amp;""),""),12,2)),VALUE(MID(IFERROR(TRIM(INDEX($A254:$Z254,MATCH(Settings!$L$10,$A$1:$Z$1,0))&amp;""),""),15,2)),VALUE(MID(IFERROR(TRIM(INDEX($A254:$Z254,MATCH(Settings!$L$10,$A$1:$Z$1,0))&amp;""),""),18,2)))),"")),"")</f>
        <v/>
      </c>
      <c r="AL254" s="32">
        <f>IF(AE254="","",IF(ISNUMBER(AK254),AK254,IFERROR(INT(IFERROR(IF(ISNUMBER(INDEX($A254:$Z254,MATCH(Settings!$L$11,$A$1:$Z$1,0))),INDEX($A254:$Z254,MATCH(Settings!$L$11,$A$1:$Z$1,0)),DATE(VALUE(LEFT(IFERROR(TRIM(INDEX($A254:$Z254,MATCH(Settings!$L$11,$A$1:$Z$1,0))&amp;""),""),4)),VALUE(MID(IFERROR(TRIM(INDEX($A254:$Z254,MATCH(Settings!$L$11,$A$1:$Z$1,0))&amp;""),""),6,2)),VALUE(MID(IFERROR(TRIM(INDEX($A254:$Z254,MATCH(Settings!$L$11,$A$1:$Z$1,0))&amp;""),""),9,2)))+TIME(VALUE(MID(IFERROR(TRIM(INDEX($A254:$Z254,MATCH(Settings!$L$11,$A$1:$Z$1,0))&amp;""),""),12,2)),VALUE(MID(IFERROR(TRIM(INDEX($A254:$Z254,MATCH(Settings!$L$11,$A$1:$Z$1,0))&amp;""),""),15,2)),VALUE(MID(IFERROR(TRIM(INDEX($A254:$Z254,MATCH(Settings!$L$11,$A$1:$Z$1,0))&amp;""),""),18,2)))),"")),"")))</f>
        <v/>
      </c>
      <c r="AM254" s="31">
        <f>IF(AE254="","",IF(ISNUMBER(IFERROR(INDEX(Settings!$G$4:$G$11,MATCH(AH254,Settings!$F$4:$F$11,0)),"")),INDEX(Settings!$G$4:$G$11,MATCH(AH254,Settings!$F$4:$F$11,0)),Settings!$D$5))</f>
        <v/>
      </c>
      <c r="AN254" s="32">
        <f>IF(OR(AE254="",NOT(ISNUMBER(AL254)),NOT(ISNUMBER(AM254))),"",IF(AM254&lt;=0,"",IF(ISNUMBER(Settings!$D$8),DATE(YEAR(AL254)+IF(DATE(YEAR(AL254),MONTH(Settings!$D$8),DAY(Settings!$D$8))&gt;AL254,0,1),MONTH(Settings!$D$8),DAY(Settings!$D$8)),MIN(DATE(YEAR(AL254),MONTH(AL254)+AM254,DAY(AL254)),DATE(YEAR(AL254),MONTH(AL254)+AM254+1,0)))))</f>
        <v/>
      </c>
      <c r="AO254" s="31">
        <f>IF(ISNUMBER(AN254),AN254-Settings!$D$4,"")</f>
        <v/>
      </c>
      <c r="AP254" s="31">
        <f>IF(ISNUMBER(AL254),AL254+0+ROW()/100000,"")</f>
        <v/>
      </c>
      <c r="AQ254" s="31">
        <f>IF(OR(AG254="",NOT(ISNUMBER(AP254))),0,IF(SUMPRODUCT(('Responses'!$AG$2:$AG$501=AG254)*('Responses'!$AJ$2:$AJ$501=1)*ISNUMBER('Responses'!$AP$2:$AP$501)*('Responses'!$AP$2:$AP$501&gt;AP254)) + SUMPRODUCT(('Paper sign-ups'!$K$2:$K$101=AG254)*('Paper sign-ups'!$N$2:$N$101=1)*ISNUMBER('Paper sign-ups'!$T$2:$T$101)*('Paper sign-ups'!$T$2:$T$101&gt;AP254))&gt;0,1,0))</f>
        <v/>
      </c>
      <c r="AR254" s="31">
        <f>IF(AE254="","",IF(AQ254=1,"Joined again",IF(AJ254=0,"Unpaid",IF(NOT(ISNUMBER(AL254)),"Add a join date",IF(AN254="","No reminder",IF(AO254&lt;0,"Lapsed",IF(AO254&lt;=Settings!$D$6,"Remind soon","Current")))))))</f>
        <v/>
      </c>
      <c r="AS254" s="33">
        <f>IF(AJ254=1,IFERROR(VALUE(IFERROR(TRIM(INDEX($A254:$Z254,MATCH(Settings!$L$8,$A$1:$Z$1,0))&amp;""),"")),0)-IFERROR(VALUE(IFERROR(TRIM(INDEX($A254:$Z254,MATCH(Settings!$L$9,$A$1:$Z$1,0))&amp;""),"")),0),0)</f>
        <v/>
      </c>
      <c r="AT254" s="31">
        <f>IF(AND(AE254&lt;&gt;"",AQ254=0),1,0)</f>
        <v/>
      </c>
      <c r="AU254" s="31">
        <f>IF(AT254=0,"",IF(ISNUMBER(AN254),AN254,100000)+0+ROW()/1000000)</f>
        <v/>
      </c>
      <c r="AV254" s="31">
        <f>IF(ISNUMBER(AU254),SUMPRODUCT(ISNUMBER('Responses'!$AU$2:$AU$501)*('Responses'!$AU$2:$AU$501&lt;AU254)) + SUMPRODUCT(ISNUMBER('Paper sign-ups'!$Y$2:$Y$101)*('Paper sign-ups'!$Y$2:$Y$101&lt;AU254))+1,"")</f>
        <v/>
      </c>
    </row>
    <row r="255">
      <c r="AA255" s="29" t="n"/>
      <c r="AB255" s="30" t="n"/>
      <c r="AC255" s="30" t="n"/>
      <c r="AD255" s="29" t="n"/>
      <c r="AE255" s="31">
        <f>IFERROR(TRIM(INDEX($A255:$Z255,MATCH(Settings!$L$4,$A$1:$Z$1,0))&amp;""),"")</f>
        <v/>
      </c>
      <c r="AF255" s="31">
        <f>IFERROR(TRIM(INDEX($A255:$Z255,MATCH(Settings!$L$5,$A$1:$Z$1,0))&amp;""),"")</f>
        <v/>
      </c>
      <c r="AG255" s="31">
        <f>IF(AE255="","",LOWER(IF(AF255&lt;&gt;"",AF255,AE255)))</f>
        <v/>
      </c>
      <c r="AH255" s="31">
        <f>IFERROR(TRIM(INDEX($A255:$Z255,MATCH(Settings!$L$6,$A$1:$Z$1,0))&amp;""),"")</f>
        <v/>
      </c>
      <c r="AI255" s="31">
        <f>IF(AE255="","",IF(UPPER(TRIM(AB255&amp;""))="Y","Paid another way",IF(IFERROR(TRIM(INDEX($A255:$Z255,MATCH(Settings!$L$7,$A$1:$Z$1,0))&amp;""),"")="","No payment status",IFERROR(TRIM(INDEX($A255:$Z255,MATCH(Settings!$L$7,$A$1:$Z$1,0))&amp;""),""))))</f>
        <v/>
      </c>
      <c r="AJ255" s="31">
        <f>IF(AE255="",0,IF(IFERROR(INDEX(Settings!$J$4:$J$14,MATCH(AI255,Settings!$I$4:$I$14,0)),"N")="Y",1,0))</f>
        <v/>
      </c>
      <c r="AK255" s="32">
        <f>IFERROR(INT(IFERROR(IF(ISNUMBER(INDEX($A255:$Z255,MATCH(Settings!$L$10,$A$1:$Z$1,0))),INDEX($A255:$Z255,MATCH(Settings!$L$10,$A$1:$Z$1,0)),DATE(VALUE(LEFT(IFERROR(TRIM(INDEX($A255:$Z255,MATCH(Settings!$L$10,$A$1:$Z$1,0))&amp;""),""),4)),VALUE(MID(IFERROR(TRIM(INDEX($A255:$Z255,MATCH(Settings!$L$10,$A$1:$Z$1,0))&amp;""),""),6,2)),VALUE(MID(IFERROR(TRIM(INDEX($A255:$Z255,MATCH(Settings!$L$10,$A$1:$Z$1,0))&amp;""),""),9,2)))+TIME(VALUE(MID(IFERROR(TRIM(INDEX($A255:$Z255,MATCH(Settings!$L$10,$A$1:$Z$1,0))&amp;""),""),12,2)),VALUE(MID(IFERROR(TRIM(INDEX($A255:$Z255,MATCH(Settings!$L$10,$A$1:$Z$1,0))&amp;""),""),15,2)),VALUE(MID(IFERROR(TRIM(INDEX($A255:$Z255,MATCH(Settings!$L$10,$A$1:$Z$1,0))&amp;""),""),18,2)))),"")),"")</f>
        <v/>
      </c>
      <c r="AL255" s="32">
        <f>IF(AE255="","",IF(ISNUMBER(AK255),AK255,IFERROR(INT(IFERROR(IF(ISNUMBER(INDEX($A255:$Z255,MATCH(Settings!$L$11,$A$1:$Z$1,0))),INDEX($A255:$Z255,MATCH(Settings!$L$11,$A$1:$Z$1,0)),DATE(VALUE(LEFT(IFERROR(TRIM(INDEX($A255:$Z255,MATCH(Settings!$L$11,$A$1:$Z$1,0))&amp;""),""),4)),VALUE(MID(IFERROR(TRIM(INDEX($A255:$Z255,MATCH(Settings!$L$11,$A$1:$Z$1,0))&amp;""),""),6,2)),VALUE(MID(IFERROR(TRIM(INDEX($A255:$Z255,MATCH(Settings!$L$11,$A$1:$Z$1,0))&amp;""),""),9,2)))+TIME(VALUE(MID(IFERROR(TRIM(INDEX($A255:$Z255,MATCH(Settings!$L$11,$A$1:$Z$1,0))&amp;""),""),12,2)),VALUE(MID(IFERROR(TRIM(INDEX($A255:$Z255,MATCH(Settings!$L$11,$A$1:$Z$1,0))&amp;""),""),15,2)),VALUE(MID(IFERROR(TRIM(INDEX($A255:$Z255,MATCH(Settings!$L$11,$A$1:$Z$1,0))&amp;""),""),18,2)))),"")),"")))</f>
        <v/>
      </c>
      <c r="AM255" s="31">
        <f>IF(AE255="","",IF(ISNUMBER(IFERROR(INDEX(Settings!$G$4:$G$11,MATCH(AH255,Settings!$F$4:$F$11,0)),"")),INDEX(Settings!$G$4:$G$11,MATCH(AH255,Settings!$F$4:$F$11,0)),Settings!$D$5))</f>
        <v/>
      </c>
      <c r="AN255" s="32">
        <f>IF(OR(AE255="",NOT(ISNUMBER(AL255)),NOT(ISNUMBER(AM255))),"",IF(AM255&lt;=0,"",IF(ISNUMBER(Settings!$D$8),DATE(YEAR(AL255)+IF(DATE(YEAR(AL255),MONTH(Settings!$D$8),DAY(Settings!$D$8))&gt;AL255,0,1),MONTH(Settings!$D$8),DAY(Settings!$D$8)),MIN(DATE(YEAR(AL255),MONTH(AL255)+AM255,DAY(AL255)),DATE(YEAR(AL255),MONTH(AL255)+AM255+1,0)))))</f>
        <v/>
      </c>
      <c r="AO255" s="31">
        <f>IF(ISNUMBER(AN255),AN255-Settings!$D$4,"")</f>
        <v/>
      </c>
      <c r="AP255" s="31">
        <f>IF(ISNUMBER(AL255),AL255+0+ROW()/100000,"")</f>
        <v/>
      </c>
      <c r="AQ255" s="31">
        <f>IF(OR(AG255="",NOT(ISNUMBER(AP255))),0,IF(SUMPRODUCT(('Responses'!$AG$2:$AG$501=AG255)*('Responses'!$AJ$2:$AJ$501=1)*ISNUMBER('Responses'!$AP$2:$AP$501)*('Responses'!$AP$2:$AP$501&gt;AP255)) + SUMPRODUCT(('Paper sign-ups'!$K$2:$K$101=AG255)*('Paper sign-ups'!$N$2:$N$101=1)*ISNUMBER('Paper sign-ups'!$T$2:$T$101)*('Paper sign-ups'!$T$2:$T$101&gt;AP255))&gt;0,1,0))</f>
        <v/>
      </c>
      <c r="AR255" s="31">
        <f>IF(AE255="","",IF(AQ255=1,"Joined again",IF(AJ255=0,"Unpaid",IF(NOT(ISNUMBER(AL255)),"Add a join date",IF(AN255="","No reminder",IF(AO255&lt;0,"Lapsed",IF(AO255&lt;=Settings!$D$6,"Remind soon","Current")))))))</f>
        <v/>
      </c>
      <c r="AS255" s="33">
        <f>IF(AJ255=1,IFERROR(VALUE(IFERROR(TRIM(INDEX($A255:$Z255,MATCH(Settings!$L$8,$A$1:$Z$1,0))&amp;""),"")),0)-IFERROR(VALUE(IFERROR(TRIM(INDEX($A255:$Z255,MATCH(Settings!$L$9,$A$1:$Z$1,0))&amp;""),"")),0),0)</f>
        <v/>
      </c>
      <c r="AT255" s="31">
        <f>IF(AND(AE255&lt;&gt;"",AQ255=0),1,0)</f>
        <v/>
      </c>
      <c r="AU255" s="31">
        <f>IF(AT255=0,"",IF(ISNUMBER(AN255),AN255,100000)+0+ROW()/1000000)</f>
        <v/>
      </c>
      <c r="AV255" s="31">
        <f>IF(ISNUMBER(AU255),SUMPRODUCT(ISNUMBER('Responses'!$AU$2:$AU$501)*('Responses'!$AU$2:$AU$501&lt;AU255)) + SUMPRODUCT(ISNUMBER('Paper sign-ups'!$Y$2:$Y$101)*('Paper sign-ups'!$Y$2:$Y$101&lt;AU255))+1,"")</f>
        <v/>
      </c>
    </row>
    <row r="256">
      <c r="AA256" s="29" t="n"/>
      <c r="AB256" s="30" t="n"/>
      <c r="AC256" s="30" t="n"/>
      <c r="AD256" s="29" t="n"/>
      <c r="AE256" s="31">
        <f>IFERROR(TRIM(INDEX($A256:$Z256,MATCH(Settings!$L$4,$A$1:$Z$1,0))&amp;""),"")</f>
        <v/>
      </c>
      <c r="AF256" s="31">
        <f>IFERROR(TRIM(INDEX($A256:$Z256,MATCH(Settings!$L$5,$A$1:$Z$1,0))&amp;""),"")</f>
        <v/>
      </c>
      <c r="AG256" s="31">
        <f>IF(AE256="","",LOWER(IF(AF256&lt;&gt;"",AF256,AE256)))</f>
        <v/>
      </c>
      <c r="AH256" s="31">
        <f>IFERROR(TRIM(INDEX($A256:$Z256,MATCH(Settings!$L$6,$A$1:$Z$1,0))&amp;""),"")</f>
        <v/>
      </c>
      <c r="AI256" s="31">
        <f>IF(AE256="","",IF(UPPER(TRIM(AB256&amp;""))="Y","Paid another way",IF(IFERROR(TRIM(INDEX($A256:$Z256,MATCH(Settings!$L$7,$A$1:$Z$1,0))&amp;""),"")="","No payment status",IFERROR(TRIM(INDEX($A256:$Z256,MATCH(Settings!$L$7,$A$1:$Z$1,0))&amp;""),""))))</f>
        <v/>
      </c>
      <c r="AJ256" s="31">
        <f>IF(AE256="",0,IF(IFERROR(INDEX(Settings!$J$4:$J$14,MATCH(AI256,Settings!$I$4:$I$14,0)),"N")="Y",1,0))</f>
        <v/>
      </c>
      <c r="AK256" s="32">
        <f>IFERROR(INT(IFERROR(IF(ISNUMBER(INDEX($A256:$Z256,MATCH(Settings!$L$10,$A$1:$Z$1,0))),INDEX($A256:$Z256,MATCH(Settings!$L$10,$A$1:$Z$1,0)),DATE(VALUE(LEFT(IFERROR(TRIM(INDEX($A256:$Z256,MATCH(Settings!$L$10,$A$1:$Z$1,0))&amp;""),""),4)),VALUE(MID(IFERROR(TRIM(INDEX($A256:$Z256,MATCH(Settings!$L$10,$A$1:$Z$1,0))&amp;""),""),6,2)),VALUE(MID(IFERROR(TRIM(INDEX($A256:$Z256,MATCH(Settings!$L$10,$A$1:$Z$1,0))&amp;""),""),9,2)))+TIME(VALUE(MID(IFERROR(TRIM(INDEX($A256:$Z256,MATCH(Settings!$L$10,$A$1:$Z$1,0))&amp;""),""),12,2)),VALUE(MID(IFERROR(TRIM(INDEX($A256:$Z256,MATCH(Settings!$L$10,$A$1:$Z$1,0))&amp;""),""),15,2)),VALUE(MID(IFERROR(TRIM(INDEX($A256:$Z256,MATCH(Settings!$L$10,$A$1:$Z$1,0))&amp;""),""),18,2)))),"")),"")</f>
        <v/>
      </c>
      <c r="AL256" s="32">
        <f>IF(AE256="","",IF(ISNUMBER(AK256),AK256,IFERROR(INT(IFERROR(IF(ISNUMBER(INDEX($A256:$Z256,MATCH(Settings!$L$11,$A$1:$Z$1,0))),INDEX($A256:$Z256,MATCH(Settings!$L$11,$A$1:$Z$1,0)),DATE(VALUE(LEFT(IFERROR(TRIM(INDEX($A256:$Z256,MATCH(Settings!$L$11,$A$1:$Z$1,0))&amp;""),""),4)),VALUE(MID(IFERROR(TRIM(INDEX($A256:$Z256,MATCH(Settings!$L$11,$A$1:$Z$1,0))&amp;""),""),6,2)),VALUE(MID(IFERROR(TRIM(INDEX($A256:$Z256,MATCH(Settings!$L$11,$A$1:$Z$1,0))&amp;""),""),9,2)))+TIME(VALUE(MID(IFERROR(TRIM(INDEX($A256:$Z256,MATCH(Settings!$L$11,$A$1:$Z$1,0))&amp;""),""),12,2)),VALUE(MID(IFERROR(TRIM(INDEX($A256:$Z256,MATCH(Settings!$L$11,$A$1:$Z$1,0))&amp;""),""),15,2)),VALUE(MID(IFERROR(TRIM(INDEX($A256:$Z256,MATCH(Settings!$L$11,$A$1:$Z$1,0))&amp;""),""),18,2)))),"")),"")))</f>
        <v/>
      </c>
      <c r="AM256" s="31">
        <f>IF(AE256="","",IF(ISNUMBER(IFERROR(INDEX(Settings!$G$4:$G$11,MATCH(AH256,Settings!$F$4:$F$11,0)),"")),INDEX(Settings!$G$4:$G$11,MATCH(AH256,Settings!$F$4:$F$11,0)),Settings!$D$5))</f>
        <v/>
      </c>
      <c r="AN256" s="32">
        <f>IF(OR(AE256="",NOT(ISNUMBER(AL256)),NOT(ISNUMBER(AM256))),"",IF(AM256&lt;=0,"",IF(ISNUMBER(Settings!$D$8),DATE(YEAR(AL256)+IF(DATE(YEAR(AL256),MONTH(Settings!$D$8),DAY(Settings!$D$8))&gt;AL256,0,1),MONTH(Settings!$D$8),DAY(Settings!$D$8)),MIN(DATE(YEAR(AL256),MONTH(AL256)+AM256,DAY(AL256)),DATE(YEAR(AL256),MONTH(AL256)+AM256+1,0)))))</f>
        <v/>
      </c>
      <c r="AO256" s="31">
        <f>IF(ISNUMBER(AN256),AN256-Settings!$D$4,"")</f>
        <v/>
      </c>
      <c r="AP256" s="31">
        <f>IF(ISNUMBER(AL256),AL256+0+ROW()/100000,"")</f>
        <v/>
      </c>
      <c r="AQ256" s="31">
        <f>IF(OR(AG256="",NOT(ISNUMBER(AP256))),0,IF(SUMPRODUCT(('Responses'!$AG$2:$AG$501=AG256)*('Responses'!$AJ$2:$AJ$501=1)*ISNUMBER('Responses'!$AP$2:$AP$501)*('Responses'!$AP$2:$AP$501&gt;AP256)) + SUMPRODUCT(('Paper sign-ups'!$K$2:$K$101=AG256)*('Paper sign-ups'!$N$2:$N$101=1)*ISNUMBER('Paper sign-ups'!$T$2:$T$101)*('Paper sign-ups'!$T$2:$T$101&gt;AP256))&gt;0,1,0))</f>
        <v/>
      </c>
      <c r="AR256" s="31">
        <f>IF(AE256="","",IF(AQ256=1,"Joined again",IF(AJ256=0,"Unpaid",IF(NOT(ISNUMBER(AL256)),"Add a join date",IF(AN256="","No reminder",IF(AO256&lt;0,"Lapsed",IF(AO256&lt;=Settings!$D$6,"Remind soon","Current")))))))</f>
        <v/>
      </c>
      <c r="AS256" s="33">
        <f>IF(AJ256=1,IFERROR(VALUE(IFERROR(TRIM(INDEX($A256:$Z256,MATCH(Settings!$L$8,$A$1:$Z$1,0))&amp;""),"")),0)-IFERROR(VALUE(IFERROR(TRIM(INDEX($A256:$Z256,MATCH(Settings!$L$9,$A$1:$Z$1,0))&amp;""),"")),0),0)</f>
        <v/>
      </c>
      <c r="AT256" s="31">
        <f>IF(AND(AE256&lt;&gt;"",AQ256=0),1,0)</f>
        <v/>
      </c>
      <c r="AU256" s="31">
        <f>IF(AT256=0,"",IF(ISNUMBER(AN256),AN256,100000)+0+ROW()/1000000)</f>
        <v/>
      </c>
      <c r="AV256" s="31">
        <f>IF(ISNUMBER(AU256),SUMPRODUCT(ISNUMBER('Responses'!$AU$2:$AU$501)*('Responses'!$AU$2:$AU$501&lt;AU256)) + SUMPRODUCT(ISNUMBER('Paper sign-ups'!$Y$2:$Y$101)*('Paper sign-ups'!$Y$2:$Y$101&lt;AU256))+1,"")</f>
        <v/>
      </c>
    </row>
    <row r="257">
      <c r="AA257" s="29" t="n"/>
      <c r="AB257" s="30" t="n"/>
      <c r="AC257" s="30" t="n"/>
      <c r="AD257" s="29" t="n"/>
      <c r="AE257" s="31">
        <f>IFERROR(TRIM(INDEX($A257:$Z257,MATCH(Settings!$L$4,$A$1:$Z$1,0))&amp;""),"")</f>
        <v/>
      </c>
      <c r="AF257" s="31">
        <f>IFERROR(TRIM(INDEX($A257:$Z257,MATCH(Settings!$L$5,$A$1:$Z$1,0))&amp;""),"")</f>
        <v/>
      </c>
      <c r="AG257" s="31">
        <f>IF(AE257="","",LOWER(IF(AF257&lt;&gt;"",AF257,AE257)))</f>
        <v/>
      </c>
      <c r="AH257" s="31">
        <f>IFERROR(TRIM(INDEX($A257:$Z257,MATCH(Settings!$L$6,$A$1:$Z$1,0))&amp;""),"")</f>
        <v/>
      </c>
      <c r="AI257" s="31">
        <f>IF(AE257="","",IF(UPPER(TRIM(AB257&amp;""))="Y","Paid another way",IF(IFERROR(TRIM(INDEX($A257:$Z257,MATCH(Settings!$L$7,$A$1:$Z$1,0))&amp;""),"")="","No payment status",IFERROR(TRIM(INDEX($A257:$Z257,MATCH(Settings!$L$7,$A$1:$Z$1,0))&amp;""),""))))</f>
        <v/>
      </c>
      <c r="AJ257" s="31">
        <f>IF(AE257="",0,IF(IFERROR(INDEX(Settings!$J$4:$J$14,MATCH(AI257,Settings!$I$4:$I$14,0)),"N")="Y",1,0))</f>
        <v/>
      </c>
      <c r="AK257" s="32">
        <f>IFERROR(INT(IFERROR(IF(ISNUMBER(INDEX($A257:$Z257,MATCH(Settings!$L$10,$A$1:$Z$1,0))),INDEX($A257:$Z257,MATCH(Settings!$L$10,$A$1:$Z$1,0)),DATE(VALUE(LEFT(IFERROR(TRIM(INDEX($A257:$Z257,MATCH(Settings!$L$10,$A$1:$Z$1,0))&amp;""),""),4)),VALUE(MID(IFERROR(TRIM(INDEX($A257:$Z257,MATCH(Settings!$L$10,$A$1:$Z$1,0))&amp;""),""),6,2)),VALUE(MID(IFERROR(TRIM(INDEX($A257:$Z257,MATCH(Settings!$L$10,$A$1:$Z$1,0))&amp;""),""),9,2)))+TIME(VALUE(MID(IFERROR(TRIM(INDEX($A257:$Z257,MATCH(Settings!$L$10,$A$1:$Z$1,0))&amp;""),""),12,2)),VALUE(MID(IFERROR(TRIM(INDEX($A257:$Z257,MATCH(Settings!$L$10,$A$1:$Z$1,0))&amp;""),""),15,2)),VALUE(MID(IFERROR(TRIM(INDEX($A257:$Z257,MATCH(Settings!$L$10,$A$1:$Z$1,0))&amp;""),""),18,2)))),"")),"")</f>
        <v/>
      </c>
      <c r="AL257" s="32">
        <f>IF(AE257="","",IF(ISNUMBER(AK257),AK257,IFERROR(INT(IFERROR(IF(ISNUMBER(INDEX($A257:$Z257,MATCH(Settings!$L$11,$A$1:$Z$1,0))),INDEX($A257:$Z257,MATCH(Settings!$L$11,$A$1:$Z$1,0)),DATE(VALUE(LEFT(IFERROR(TRIM(INDEX($A257:$Z257,MATCH(Settings!$L$11,$A$1:$Z$1,0))&amp;""),""),4)),VALUE(MID(IFERROR(TRIM(INDEX($A257:$Z257,MATCH(Settings!$L$11,$A$1:$Z$1,0))&amp;""),""),6,2)),VALUE(MID(IFERROR(TRIM(INDEX($A257:$Z257,MATCH(Settings!$L$11,$A$1:$Z$1,0))&amp;""),""),9,2)))+TIME(VALUE(MID(IFERROR(TRIM(INDEX($A257:$Z257,MATCH(Settings!$L$11,$A$1:$Z$1,0))&amp;""),""),12,2)),VALUE(MID(IFERROR(TRIM(INDEX($A257:$Z257,MATCH(Settings!$L$11,$A$1:$Z$1,0))&amp;""),""),15,2)),VALUE(MID(IFERROR(TRIM(INDEX($A257:$Z257,MATCH(Settings!$L$11,$A$1:$Z$1,0))&amp;""),""),18,2)))),"")),"")))</f>
        <v/>
      </c>
      <c r="AM257" s="31">
        <f>IF(AE257="","",IF(ISNUMBER(IFERROR(INDEX(Settings!$G$4:$G$11,MATCH(AH257,Settings!$F$4:$F$11,0)),"")),INDEX(Settings!$G$4:$G$11,MATCH(AH257,Settings!$F$4:$F$11,0)),Settings!$D$5))</f>
        <v/>
      </c>
      <c r="AN257" s="32">
        <f>IF(OR(AE257="",NOT(ISNUMBER(AL257)),NOT(ISNUMBER(AM257))),"",IF(AM257&lt;=0,"",IF(ISNUMBER(Settings!$D$8),DATE(YEAR(AL257)+IF(DATE(YEAR(AL257),MONTH(Settings!$D$8),DAY(Settings!$D$8))&gt;AL257,0,1),MONTH(Settings!$D$8),DAY(Settings!$D$8)),MIN(DATE(YEAR(AL257),MONTH(AL257)+AM257,DAY(AL257)),DATE(YEAR(AL257),MONTH(AL257)+AM257+1,0)))))</f>
        <v/>
      </c>
      <c r="AO257" s="31">
        <f>IF(ISNUMBER(AN257),AN257-Settings!$D$4,"")</f>
        <v/>
      </c>
      <c r="AP257" s="31">
        <f>IF(ISNUMBER(AL257),AL257+0+ROW()/100000,"")</f>
        <v/>
      </c>
      <c r="AQ257" s="31">
        <f>IF(OR(AG257="",NOT(ISNUMBER(AP257))),0,IF(SUMPRODUCT(('Responses'!$AG$2:$AG$501=AG257)*('Responses'!$AJ$2:$AJ$501=1)*ISNUMBER('Responses'!$AP$2:$AP$501)*('Responses'!$AP$2:$AP$501&gt;AP257)) + SUMPRODUCT(('Paper sign-ups'!$K$2:$K$101=AG257)*('Paper sign-ups'!$N$2:$N$101=1)*ISNUMBER('Paper sign-ups'!$T$2:$T$101)*('Paper sign-ups'!$T$2:$T$101&gt;AP257))&gt;0,1,0))</f>
        <v/>
      </c>
      <c r="AR257" s="31">
        <f>IF(AE257="","",IF(AQ257=1,"Joined again",IF(AJ257=0,"Unpaid",IF(NOT(ISNUMBER(AL257)),"Add a join date",IF(AN257="","No reminder",IF(AO257&lt;0,"Lapsed",IF(AO257&lt;=Settings!$D$6,"Remind soon","Current")))))))</f>
        <v/>
      </c>
      <c r="AS257" s="33">
        <f>IF(AJ257=1,IFERROR(VALUE(IFERROR(TRIM(INDEX($A257:$Z257,MATCH(Settings!$L$8,$A$1:$Z$1,0))&amp;""),"")),0)-IFERROR(VALUE(IFERROR(TRIM(INDEX($A257:$Z257,MATCH(Settings!$L$9,$A$1:$Z$1,0))&amp;""),"")),0),0)</f>
        <v/>
      </c>
      <c r="AT257" s="31">
        <f>IF(AND(AE257&lt;&gt;"",AQ257=0),1,0)</f>
        <v/>
      </c>
      <c r="AU257" s="31">
        <f>IF(AT257=0,"",IF(ISNUMBER(AN257),AN257,100000)+0+ROW()/1000000)</f>
        <v/>
      </c>
      <c r="AV257" s="31">
        <f>IF(ISNUMBER(AU257),SUMPRODUCT(ISNUMBER('Responses'!$AU$2:$AU$501)*('Responses'!$AU$2:$AU$501&lt;AU257)) + SUMPRODUCT(ISNUMBER('Paper sign-ups'!$Y$2:$Y$101)*('Paper sign-ups'!$Y$2:$Y$101&lt;AU257))+1,"")</f>
        <v/>
      </c>
    </row>
    <row r="258">
      <c r="AA258" s="29" t="n"/>
      <c r="AB258" s="30" t="n"/>
      <c r="AC258" s="30" t="n"/>
      <c r="AD258" s="29" t="n"/>
      <c r="AE258" s="31">
        <f>IFERROR(TRIM(INDEX($A258:$Z258,MATCH(Settings!$L$4,$A$1:$Z$1,0))&amp;""),"")</f>
        <v/>
      </c>
      <c r="AF258" s="31">
        <f>IFERROR(TRIM(INDEX($A258:$Z258,MATCH(Settings!$L$5,$A$1:$Z$1,0))&amp;""),"")</f>
        <v/>
      </c>
      <c r="AG258" s="31">
        <f>IF(AE258="","",LOWER(IF(AF258&lt;&gt;"",AF258,AE258)))</f>
        <v/>
      </c>
      <c r="AH258" s="31">
        <f>IFERROR(TRIM(INDEX($A258:$Z258,MATCH(Settings!$L$6,$A$1:$Z$1,0))&amp;""),"")</f>
        <v/>
      </c>
      <c r="AI258" s="31">
        <f>IF(AE258="","",IF(UPPER(TRIM(AB258&amp;""))="Y","Paid another way",IF(IFERROR(TRIM(INDEX($A258:$Z258,MATCH(Settings!$L$7,$A$1:$Z$1,0))&amp;""),"")="","No payment status",IFERROR(TRIM(INDEX($A258:$Z258,MATCH(Settings!$L$7,$A$1:$Z$1,0))&amp;""),""))))</f>
        <v/>
      </c>
      <c r="AJ258" s="31">
        <f>IF(AE258="",0,IF(IFERROR(INDEX(Settings!$J$4:$J$14,MATCH(AI258,Settings!$I$4:$I$14,0)),"N")="Y",1,0))</f>
        <v/>
      </c>
      <c r="AK258" s="32">
        <f>IFERROR(INT(IFERROR(IF(ISNUMBER(INDEX($A258:$Z258,MATCH(Settings!$L$10,$A$1:$Z$1,0))),INDEX($A258:$Z258,MATCH(Settings!$L$10,$A$1:$Z$1,0)),DATE(VALUE(LEFT(IFERROR(TRIM(INDEX($A258:$Z258,MATCH(Settings!$L$10,$A$1:$Z$1,0))&amp;""),""),4)),VALUE(MID(IFERROR(TRIM(INDEX($A258:$Z258,MATCH(Settings!$L$10,$A$1:$Z$1,0))&amp;""),""),6,2)),VALUE(MID(IFERROR(TRIM(INDEX($A258:$Z258,MATCH(Settings!$L$10,$A$1:$Z$1,0))&amp;""),""),9,2)))+TIME(VALUE(MID(IFERROR(TRIM(INDEX($A258:$Z258,MATCH(Settings!$L$10,$A$1:$Z$1,0))&amp;""),""),12,2)),VALUE(MID(IFERROR(TRIM(INDEX($A258:$Z258,MATCH(Settings!$L$10,$A$1:$Z$1,0))&amp;""),""),15,2)),VALUE(MID(IFERROR(TRIM(INDEX($A258:$Z258,MATCH(Settings!$L$10,$A$1:$Z$1,0))&amp;""),""),18,2)))),"")),"")</f>
        <v/>
      </c>
      <c r="AL258" s="32">
        <f>IF(AE258="","",IF(ISNUMBER(AK258),AK258,IFERROR(INT(IFERROR(IF(ISNUMBER(INDEX($A258:$Z258,MATCH(Settings!$L$11,$A$1:$Z$1,0))),INDEX($A258:$Z258,MATCH(Settings!$L$11,$A$1:$Z$1,0)),DATE(VALUE(LEFT(IFERROR(TRIM(INDEX($A258:$Z258,MATCH(Settings!$L$11,$A$1:$Z$1,0))&amp;""),""),4)),VALUE(MID(IFERROR(TRIM(INDEX($A258:$Z258,MATCH(Settings!$L$11,$A$1:$Z$1,0))&amp;""),""),6,2)),VALUE(MID(IFERROR(TRIM(INDEX($A258:$Z258,MATCH(Settings!$L$11,$A$1:$Z$1,0))&amp;""),""),9,2)))+TIME(VALUE(MID(IFERROR(TRIM(INDEX($A258:$Z258,MATCH(Settings!$L$11,$A$1:$Z$1,0))&amp;""),""),12,2)),VALUE(MID(IFERROR(TRIM(INDEX($A258:$Z258,MATCH(Settings!$L$11,$A$1:$Z$1,0))&amp;""),""),15,2)),VALUE(MID(IFERROR(TRIM(INDEX($A258:$Z258,MATCH(Settings!$L$11,$A$1:$Z$1,0))&amp;""),""),18,2)))),"")),"")))</f>
        <v/>
      </c>
      <c r="AM258" s="31">
        <f>IF(AE258="","",IF(ISNUMBER(IFERROR(INDEX(Settings!$G$4:$G$11,MATCH(AH258,Settings!$F$4:$F$11,0)),"")),INDEX(Settings!$G$4:$G$11,MATCH(AH258,Settings!$F$4:$F$11,0)),Settings!$D$5))</f>
        <v/>
      </c>
      <c r="AN258" s="32">
        <f>IF(OR(AE258="",NOT(ISNUMBER(AL258)),NOT(ISNUMBER(AM258))),"",IF(AM258&lt;=0,"",IF(ISNUMBER(Settings!$D$8),DATE(YEAR(AL258)+IF(DATE(YEAR(AL258),MONTH(Settings!$D$8),DAY(Settings!$D$8))&gt;AL258,0,1),MONTH(Settings!$D$8),DAY(Settings!$D$8)),MIN(DATE(YEAR(AL258),MONTH(AL258)+AM258,DAY(AL258)),DATE(YEAR(AL258),MONTH(AL258)+AM258+1,0)))))</f>
        <v/>
      </c>
      <c r="AO258" s="31">
        <f>IF(ISNUMBER(AN258),AN258-Settings!$D$4,"")</f>
        <v/>
      </c>
      <c r="AP258" s="31">
        <f>IF(ISNUMBER(AL258),AL258+0+ROW()/100000,"")</f>
        <v/>
      </c>
      <c r="AQ258" s="31">
        <f>IF(OR(AG258="",NOT(ISNUMBER(AP258))),0,IF(SUMPRODUCT(('Responses'!$AG$2:$AG$501=AG258)*('Responses'!$AJ$2:$AJ$501=1)*ISNUMBER('Responses'!$AP$2:$AP$501)*('Responses'!$AP$2:$AP$501&gt;AP258)) + SUMPRODUCT(('Paper sign-ups'!$K$2:$K$101=AG258)*('Paper sign-ups'!$N$2:$N$101=1)*ISNUMBER('Paper sign-ups'!$T$2:$T$101)*('Paper sign-ups'!$T$2:$T$101&gt;AP258))&gt;0,1,0))</f>
        <v/>
      </c>
      <c r="AR258" s="31">
        <f>IF(AE258="","",IF(AQ258=1,"Joined again",IF(AJ258=0,"Unpaid",IF(NOT(ISNUMBER(AL258)),"Add a join date",IF(AN258="","No reminder",IF(AO258&lt;0,"Lapsed",IF(AO258&lt;=Settings!$D$6,"Remind soon","Current")))))))</f>
        <v/>
      </c>
      <c r="AS258" s="33">
        <f>IF(AJ258=1,IFERROR(VALUE(IFERROR(TRIM(INDEX($A258:$Z258,MATCH(Settings!$L$8,$A$1:$Z$1,0))&amp;""),"")),0)-IFERROR(VALUE(IFERROR(TRIM(INDEX($A258:$Z258,MATCH(Settings!$L$9,$A$1:$Z$1,0))&amp;""),"")),0),0)</f>
        <v/>
      </c>
      <c r="AT258" s="31">
        <f>IF(AND(AE258&lt;&gt;"",AQ258=0),1,0)</f>
        <v/>
      </c>
      <c r="AU258" s="31">
        <f>IF(AT258=0,"",IF(ISNUMBER(AN258),AN258,100000)+0+ROW()/1000000)</f>
        <v/>
      </c>
      <c r="AV258" s="31">
        <f>IF(ISNUMBER(AU258),SUMPRODUCT(ISNUMBER('Responses'!$AU$2:$AU$501)*('Responses'!$AU$2:$AU$501&lt;AU258)) + SUMPRODUCT(ISNUMBER('Paper sign-ups'!$Y$2:$Y$101)*('Paper sign-ups'!$Y$2:$Y$101&lt;AU258))+1,"")</f>
        <v/>
      </c>
    </row>
    <row r="259">
      <c r="AA259" s="29" t="n"/>
      <c r="AB259" s="30" t="n"/>
      <c r="AC259" s="30" t="n"/>
      <c r="AD259" s="29" t="n"/>
      <c r="AE259" s="31">
        <f>IFERROR(TRIM(INDEX($A259:$Z259,MATCH(Settings!$L$4,$A$1:$Z$1,0))&amp;""),"")</f>
        <v/>
      </c>
      <c r="AF259" s="31">
        <f>IFERROR(TRIM(INDEX($A259:$Z259,MATCH(Settings!$L$5,$A$1:$Z$1,0))&amp;""),"")</f>
        <v/>
      </c>
      <c r="AG259" s="31">
        <f>IF(AE259="","",LOWER(IF(AF259&lt;&gt;"",AF259,AE259)))</f>
        <v/>
      </c>
      <c r="AH259" s="31">
        <f>IFERROR(TRIM(INDEX($A259:$Z259,MATCH(Settings!$L$6,$A$1:$Z$1,0))&amp;""),"")</f>
        <v/>
      </c>
      <c r="AI259" s="31">
        <f>IF(AE259="","",IF(UPPER(TRIM(AB259&amp;""))="Y","Paid another way",IF(IFERROR(TRIM(INDEX($A259:$Z259,MATCH(Settings!$L$7,$A$1:$Z$1,0))&amp;""),"")="","No payment status",IFERROR(TRIM(INDEX($A259:$Z259,MATCH(Settings!$L$7,$A$1:$Z$1,0))&amp;""),""))))</f>
        <v/>
      </c>
      <c r="AJ259" s="31">
        <f>IF(AE259="",0,IF(IFERROR(INDEX(Settings!$J$4:$J$14,MATCH(AI259,Settings!$I$4:$I$14,0)),"N")="Y",1,0))</f>
        <v/>
      </c>
      <c r="AK259" s="32">
        <f>IFERROR(INT(IFERROR(IF(ISNUMBER(INDEX($A259:$Z259,MATCH(Settings!$L$10,$A$1:$Z$1,0))),INDEX($A259:$Z259,MATCH(Settings!$L$10,$A$1:$Z$1,0)),DATE(VALUE(LEFT(IFERROR(TRIM(INDEX($A259:$Z259,MATCH(Settings!$L$10,$A$1:$Z$1,0))&amp;""),""),4)),VALUE(MID(IFERROR(TRIM(INDEX($A259:$Z259,MATCH(Settings!$L$10,$A$1:$Z$1,0))&amp;""),""),6,2)),VALUE(MID(IFERROR(TRIM(INDEX($A259:$Z259,MATCH(Settings!$L$10,$A$1:$Z$1,0))&amp;""),""),9,2)))+TIME(VALUE(MID(IFERROR(TRIM(INDEX($A259:$Z259,MATCH(Settings!$L$10,$A$1:$Z$1,0))&amp;""),""),12,2)),VALUE(MID(IFERROR(TRIM(INDEX($A259:$Z259,MATCH(Settings!$L$10,$A$1:$Z$1,0))&amp;""),""),15,2)),VALUE(MID(IFERROR(TRIM(INDEX($A259:$Z259,MATCH(Settings!$L$10,$A$1:$Z$1,0))&amp;""),""),18,2)))),"")),"")</f>
        <v/>
      </c>
      <c r="AL259" s="32">
        <f>IF(AE259="","",IF(ISNUMBER(AK259),AK259,IFERROR(INT(IFERROR(IF(ISNUMBER(INDEX($A259:$Z259,MATCH(Settings!$L$11,$A$1:$Z$1,0))),INDEX($A259:$Z259,MATCH(Settings!$L$11,$A$1:$Z$1,0)),DATE(VALUE(LEFT(IFERROR(TRIM(INDEX($A259:$Z259,MATCH(Settings!$L$11,$A$1:$Z$1,0))&amp;""),""),4)),VALUE(MID(IFERROR(TRIM(INDEX($A259:$Z259,MATCH(Settings!$L$11,$A$1:$Z$1,0))&amp;""),""),6,2)),VALUE(MID(IFERROR(TRIM(INDEX($A259:$Z259,MATCH(Settings!$L$11,$A$1:$Z$1,0))&amp;""),""),9,2)))+TIME(VALUE(MID(IFERROR(TRIM(INDEX($A259:$Z259,MATCH(Settings!$L$11,$A$1:$Z$1,0))&amp;""),""),12,2)),VALUE(MID(IFERROR(TRIM(INDEX($A259:$Z259,MATCH(Settings!$L$11,$A$1:$Z$1,0))&amp;""),""),15,2)),VALUE(MID(IFERROR(TRIM(INDEX($A259:$Z259,MATCH(Settings!$L$11,$A$1:$Z$1,0))&amp;""),""),18,2)))),"")),"")))</f>
        <v/>
      </c>
      <c r="AM259" s="31">
        <f>IF(AE259="","",IF(ISNUMBER(IFERROR(INDEX(Settings!$G$4:$G$11,MATCH(AH259,Settings!$F$4:$F$11,0)),"")),INDEX(Settings!$G$4:$G$11,MATCH(AH259,Settings!$F$4:$F$11,0)),Settings!$D$5))</f>
        <v/>
      </c>
      <c r="AN259" s="32">
        <f>IF(OR(AE259="",NOT(ISNUMBER(AL259)),NOT(ISNUMBER(AM259))),"",IF(AM259&lt;=0,"",IF(ISNUMBER(Settings!$D$8),DATE(YEAR(AL259)+IF(DATE(YEAR(AL259),MONTH(Settings!$D$8),DAY(Settings!$D$8))&gt;AL259,0,1),MONTH(Settings!$D$8),DAY(Settings!$D$8)),MIN(DATE(YEAR(AL259),MONTH(AL259)+AM259,DAY(AL259)),DATE(YEAR(AL259),MONTH(AL259)+AM259+1,0)))))</f>
        <v/>
      </c>
      <c r="AO259" s="31">
        <f>IF(ISNUMBER(AN259),AN259-Settings!$D$4,"")</f>
        <v/>
      </c>
      <c r="AP259" s="31">
        <f>IF(ISNUMBER(AL259),AL259+0+ROW()/100000,"")</f>
        <v/>
      </c>
      <c r="AQ259" s="31">
        <f>IF(OR(AG259="",NOT(ISNUMBER(AP259))),0,IF(SUMPRODUCT(('Responses'!$AG$2:$AG$501=AG259)*('Responses'!$AJ$2:$AJ$501=1)*ISNUMBER('Responses'!$AP$2:$AP$501)*('Responses'!$AP$2:$AP$501&gt;AP259)) + SUMPRODUCT(('Paper sign-ups'!$K$2:$K$101=AG259)*('Paper sign-ups'!$N$2:$N$101=1)*ISNUMBER('Paper sign-ups'!$T$2:$T$101)*('Paper sign-ups'!$T$2:$T$101&gt;AP259))&gt;0,1,0))</f>
        <v/>
      </c>
      <c r="AR259" s="31">
        <f>IF(AE259="","",IF(AQ259=1,"Joined again",IF(AJ259=0,"Unpaid",IF(NOT(ISNUMBER(AL259)),"Add a join date",IF(AN259="","No reminder",IF(AO259&lt;0,"Lapsed",IF(AO259&lt;=Settings!$D$6,"Remind soon","Current")))))))</f>
        <v/>
      </c>
      <c r="AS259" s="33">
        <f>IF(AJ259=1,IFERROR(VALUE(IFERROR(TRIM(INDEX($A259:$Z259,MATCH(Settings!$L$8,$A$1:$Z$1,0))&amp;""),"")),0)-IFERROR(VALUE(IFERROR(TRIM(INDEX($A259:$Z259,MATCH(Settings!$L$9,$A$1:$Z$1,0))&amp;""),"")),0),0)</f>
        <v/>
      </c>
      <c r="AT259" s="31">
        <f>IF(AND(AE259&lt;&gt;"",AQ259=0),1,0)</f>
        <v/>
      </c>
      <c r="AU259" s="31">
        <f>IF(AT259=0,"",IF(ISNUMBER(AN259),AN259,100000)+0+ROW()/1000000)</f>
        <v/>
      </c>
      <c r="AV259" s="31">
        <f>IF(ISNUMBER(AU259),SUMPRODUCT(ISNUMBER('Responses'!$AU$2:$AU$501)*('Responses'!$AU$2:$AU$501&lt;AU259)) + SUMPRODUCT(ISNUMBER('Paper sign-ups'!$Y$2:$Y$101)*('Paper sign-ups'!$Y$2:$Y$101&lt;AU259))+1,"")</f>
        <v/>
      </c>
    </row>
    <row r="260">
      <c r="AA260" s="29" t="n"/>
      <c r="AB260" s="30" t="n"/>
      <c r="AC260" s="30" t="n"/>
      <c r="AD260" s="29" t="n"/>
      <c r="AE260" s="31">
        <f>IFERROR(TRIM(INDEX($A260:$Z260,MATCH(Settings!$L$4,$A$1:$Z$1,0))&amp;""),"")</f>
        <v/>
      </c>
      <c r="AF260" s="31">
        <f>IFERROR(TRIM(INDEX($A260:$Z260,MATCH(Settings!$L$5,$A$1:$Z$1,0))&amp;""),"")</f>
        <v/>
      </c>
      <c r="AG260" s="31">
        <f>IF(AE260="","",LOWER(IF(AF260&lt;&gt;"",AF260,AE260)))</f>
        <v/>
      </c>
      <c r="AH260" s="31">
        <f>IFERROR(TRIM(INDEX($A260:$Z260,MATCH(Settings!$L$6,$A$1:$Z$1,0))&amp;""),"")</f>
        <v/>
      </c>
      <c r="AI260" s="31">
        <f>IF(AE260="","",IF(UPPER(TRIM(AB260&amp;""))="Y","Paid another way",IF(IFERROR(TRIM(INDEX($A260:$Z260,MATCH(Settings!$L$7,$A$1:$Z$1,0))&amp;""),"")="","No payment status",IFERROR(TRIM(INDEX($A260:$Z260,MATCH(Settings!$L$7,$A$1:$Z$1,0))&amp;""),""))))</f>
        <v/>
      </c>
      <c r="AJ260" s="31">
        <f>IF(AE260="",0,IF(IFERROR(INDEX(Settings!$J$4:$J$14,MATCH(AI260,Settings!$I$4:$I$14,0)),"N")="Y",1,0))</f>
        <v/>
      </c>
      <c r="AK260" s="32">
        <f>IFERROR(INT(IFERROR(IF(ISNUMBER(INDEX($A260:$Z260,MATCH(Settings!$L$10,$A$1:$Z$1,0))),INDEX($A260:$Z260,MATCH(Settings!$L$10,$A$1:$Z$1,0)),DATE(VALUE(LEFT(IFERROR(TRIM(INDEX($A260:$Z260,MATCH(Settings!$L$10,$A$1:$Z$1,0))&amp;""),""),4)),VALUE(MID(IFERROR(TRIM(INDEX($A260:$Z260,MATCH(Settings!$L$10,$A$1:$Z$1,0))&amp;""),""),6,2)),VALUE(MID(IFERROR(TRIM(INDEX($A260:$Z260,MATCH(Settings!$L$10,$A$1:$Z$1,0))&amp;""),""),9,2)))+TIME(VALUE(MID(IFERROR(TRIM(INDEX($A260:$Z260,MATCH(Settings!$L$10,$A$1:$Z$1,0))&amp;""),""),12,2)),VALUE(MID(IFERROR(TRIM(INDEX($A260:$Z260,MATCH(Settings!$L$10,$A$1:$Z$1,0))&amp;""),""),15,2)),VALUE(MID(IFERROR(TRIM(INDEX($A260:$Z260,MATCH(Settings!$L$10,$A$1:$Z$1,0))&amp;""),""),18,2)))),"")),"")</f>
        <v/>
      </c>
      <c r="AL260" s="32">
        <f>IF(AE260="","",IF(ISNUMBER(AK260),AK260,IFERROR(INT(IFERROR(IF(ISNUMBER(INDEX($A260:$Z260,MATCH(Settings!$L$11,$A$1:$Z$1,0))),INDEX($A260:$Z260,MATCH(Settings!$L$11,$A$1:$Z$1,0)),DATE(VALUE(LEFT(IFERROR(TRIM(INDEX($A260:$Z260,MATCH(Settings!$L$11,$A$1:$Z$1,0))&amp;""),""),4)),VALUE(MID(IFERROR(TRIM(INDEX($A260:$Z260,MATCH(Settings!$L$11,$A$1:$Z$1,0))&amp;""),""),6,2)),VALUE(MID(IFERROR(TRIM(INDEX($A260:$Z260,MATCH(Settings!$L$11,$A$1:$Z$1,0))&amp;""),""),9,2)))+TIME(VALUE(MID(IFERROR(TRIM(INDEX($A260:$Z260,MATCH(Settings!$L$11,$A$1:$Z$1,0))&amp;""),""),12,2)),VALUE(MID(IFERROR(TRIM(INDEX($A260:$Z260,MATCH(Settings!$L$11,$A$1:$Z$1,0))&amp;""),""),15,2)),VALUE(MID(IFERROR(TRIM(INDEX($A260:$Z260,MATCH(Settings!$L$11,$A$1:$Z$1,0))&amp;""),""),18,2)))),"")),"")))</f>
        <v/>
      </c>
      <c r="AM260" s="31">
        <f>IF(AE260="","",IF(ISNUMBER(IFERROR(INDEX(Settings!$G$4:$G$11,MATCH(AH260,Settings!$F$4:$F$11,0)),"")),INDEX(Settings!$G$4:$G$11,MATCH(AH260,Settings!$F$4:$F$11,0)),Settings!$D$5))</f>
        <v/>
      </c>
      <c r="AN260" s="32">
        <f>IF(OR(AE260="",NOT(ISNUMBER(AL260)),NOT(ISNUMBER(AM260))),"",IF(AM260&lt;=0,"",IF(ISNUMBER(Settings!$D$8),DATE(YEAR(AL260)+IF(DATE(YEAR(AL260),MONTH(Settings!$D$8),DAY(Settings!$D$8))&gt;AL260,0,1),MONTH(Settings!$D$8),DAY(Settings!$D$8)),MIN(DATE(YEAR(AL260),MONTH(AL260)+AM260,DAY(AL260)),DATE(YEAR(AL260),MONTH(AL260)+AM260+1,0)))))</f>
        <v/>
      </c>
      <c r="AO260" s="31">
        <f>IF(ISNUMBER(AN260),AN260-Settings!$D$4,"")</f>
        <v/>
      </c>
      <c r="AP260" s="31">
        <f>IF(ISNUMBER(AL260),AL260+0+ROW()/100000,"")</f>
        <v/>
      </c>
      <c r="AQ260" s="31">
        <f>IF(OR(AG260="",NOT(ISNUMBER(AP260))),0,IF(SUMPRODUCT(('Responses'!$AG$2:$AG$501=AG260)*('Responses'!$AJ$2:$AJ$501=1)*ISNUMBER('Responses'!$AP$2:$AP$501)*('Responses'!$AP$2:$AP$501&gt;AP260)) + SUMPRODUCT(('Paper sign-ups'!$K$2:$K$101=AG260)*('Paper sign-ups'!$N$2:$N$101=1)*ISNUMBER('Paper sign-ups'!$T$2:$T$101)*('Paper sign-ups'!$T$2:$T$101&gt;AP260))&gt;0,1,0))</f>
        <v/>
      </c>
      <c r="AR260" s="31">
        <f>IF(AE260="","",IF(AQ260=1,"Joined again",IF(AJ260=0,"Unpaid",IF(NOT(ISNUMBER(AL260)),"Add a join date",IF(AN260="","No reminder",IF(AO260&lt;0,"Lapsed",IF(AO260&lt;=Settings!$D$6,"Remind soon","Current")))))))</f>
        <v/>
      </c>
      <c r="AS260" s="33">
        <f>IF(AJ260=1,IFERROR(VALUE(IFERROR(TRIM(INDEX($A260:$Z260,MATCH(Settings!$L$8,$A$1:$Z$1,0))&amp;""),"")),0)-IFERROR(VALUE(IFERROR(TRIM(INDEX($A260:$Z260,MATCH(Settings!$L$9,$A$1:$Z$1,0))&amp;""),"")),0),0)</f>
        <v/>
      </c>
      <c r="AT260" s="31">
        <f>IF(AND(AE260&lt;&gt;"",AQ260=0),1,0)</f>
        <v/>
      </c>
      <c r="AU260" s="31">
        <f>IF(AT260=0,"",IF(ISNUMBER(AN260),AN260,100000)+0+ROW()/1000000)</f>
        <v/>
      </c>
      <c r="AV260" s="31">
        <f>IF(ISNUMBER(AU260),SUMPRODUCT(ISNUMBER('Responses'!$AU$2:$AU$501)*('Responses'!$AU$2:$AU$501&lt;AU260)) + SUMPRODUCT(ISNUMBER('Paper sign-ups'!$Y$2:$Y$101)*('Paper sign-ups'!$Y$2:$Y$101&lt;AU260))+1,"")</f>
        <v/>
      </c>
    </row>
    <row r="261">
      <c r="AA261" s="29" t="n"/>
      <c r="AB261" s="30" t="n"/>
      <c r="AC261" s="30" t="n"/>
      <c r="AD261" s="29" t="n"/>
      <c r="AE261" s="31">
        <f>IFERROR(TRIM(INDEX($A261:$Z261,MATCH(Settings!$L$4,$A$1:$Z$1,0))&amp;""),"")</f>
        <v/>
      </c>
      <c r="AF261" s="31">
        <f>IFERROR(TRIM(INDEX($A261:$Z261,MATCH(Settings!$L$5,$A$1:$Z$1,0))&amp;""),"")</f>
        <v/>
      </c>
      <c r="AG261" s="31">
        <f>IF(AE261="","",LOWER(IF(AF261&lt;&gt;"",AF261,AE261)))</f>
        <v/>
      </c>
      <c r="AH261" s="31">
        <f>IFERROR(TRIM(INDEX($A261:$Z261,MATCH(Settings!$L$6,$A$1:$Z$1,0))&amp;""),"")</f>
        <v/>
      </c>
      <c r="AI261" s="31">
        <f>IF(AE261="","",IF(UPPER(TRIM(AB261&amp;""))="Y","Paid another way",IF(IFERROR(TRIM(INDEX($A261:$Z261,MATCH(Settings!$L$7,$A$1:$Z$1,0))&amp;""),"")="","No payment status",IFERROR(TRIM(INDEX($A261:$Z261,MATCH(Settings!$L$7,$A$1:$Z$1,0))&amp;""),""))))</f>
        <v/>
      </c>
      <c r="AJ261" s="31">
        <f>IF(AE261="",0,IF(IFERROR(INDEX(Settings!$J$4:$J$14,MATCH(AI261,Settings!$I$4:$I$14,0)),"N")="Y",1,0))</f>
        <v/>
      </c>
      <c r="AK261" s="32">
        <f>IFERROR(INT(IFERROR(IF(ISNUMBER(INDEX($A261:$Z261,MATCH(Settings!$L$10,$A$1:$Z$1,0))),INDEX($A261:$Z261,MATCH(Settings!$L$10,$A$1:$Z$1,0)),DATE(VALUE(LEFT(IFERROR(TRIM(INDEX($A261:$Z261,MATCH(Settings!$L$10,$A$1:$Z$1,0))&amp;""),""),4)),VALUE(MID(IFERROR(TRIM(INDEX($A261:$Z261,MATCH(Settings!$L$10,$A$1:$Z$1,0))&amp;""),""),6,2)),VALUE(MID(IFERROR(TRIM(INDEX($A261:$Z261,MATCH(Settings!$L$10,$A$1:$Z$1,0))&amp;""),""),9,2)))+TIME(VALUE(MID(IFERROR(TRIM(INDEX($A261:$Z261,MATCH(Settings!$L$10,$A$1:$Z$1,0))&amp;""),""),12,2)),VALUE(MID(IFERROR(TRIM(INDEX($A261:$Z261,MATCH(Settings!$L$10,$A$1:$Z$1,0))&amp;""),""),15,2)),VALUE(MID(IFERROR(TRIM(INDEX($A261:$Z261,MATCH(Settings!$L$10,$A$1:$Z$1,0))&amp;""),""),18,2)))),"")),"")</f>
        <v/>
      </c>
      <c r="AL261" s="32">
        <f>IF(AE261="","",IF(ISNUMBER(AK261),AK261,IFERROR(INT(IFERROR(IF(ISNUMBER(INDEX($A261:$Z261,MATCH(Settings!$L$11,$A$1:$Z$1,0))),INDEX($A261:$Z261,MATCH(Settings!$L$11,$A$1:$Z$1,0)),DATE(VALUE(LEFT(IFERROR(TRIM(INDEX($A261:$Z261,MATCH(Settings!$L$11,$A$1:$Z$1,0))&amp;""),""),4)),VALUE(MID(IFERROR(TRIM(INDEX($A261:$Z261,MATCH(Settings!$L$11,$A$1:$Z$1,0))&amp;""),""),6,2)),VALUE(MID(IFERROR(TRIM(INDEX($A261:$Z261,MATCH(Settings!$L$11,$A$1:$Z$1,0))&amp;""),""),9,2)))+TIME(VALUE(MID(IFERROR(TRIM(INDEX($A261:$Z261,MATCH(Settings!$L$11,$A$1:$Z$1,0))&amp;""),""),12,2)),VALUE(MID(IFERROR(TRIM(INDEX($A261:$Z261,MATCH(Settings!$L$11,$A$1:$Z$1,0))&amp;""),""),15,2)),VALUE(MID(IFERROR(TRIM(INDEX($A261:$Z261,MATCH(Settings!$L$11,$A$1:$Z$1,0))&amp;""),""),18,2)))),"")),"")))</f>
        <v/>
      </c>
      <c r="AM261" s="31">
        <f>IF(AE261="","",IF(ISNUMBER(IFERROR(INDEX(Settings!$G$4:$G$11,MATCH(AH261,Settings!$F$4:$F$11,0)),"")),INDEX(Settings!$G$4:$G$11,MATCH(AH261,Settings!$F$4:$F$11,0)),Settings!$D$5))</f>
        <v/>
      </c>
      <c r="AN261" s="32">
        <f>IF(OR(AE261="",NOT(ISNUMBER(AL261)),NOT(ISNUMBER(AM261))),"",IF(AM261&lt;=0,"",IF(ISNUMBER(Settings!$D$8),DATE(YEAR(AL261)+IF(DATE(YEAR(AL261),MONTH(Settings!$D$8),DAY(Settings!$D$8))&gt;AL261,0,1),MONTH(Settings!$D$8),DAY(Settings!$D$8)),MIN(DATE(YEAR(AL261),MONTH(AL261)+AM261,DAY(AL261)),DATE(YEAR(AL261),MONTH(AL261)+AM261+1,0)))))</f>
        <v/>
      </c>
      <c r="AO261" s="31">
        <f>IF(ISNUMBER(AN261),AN261-Settings!$D$4,"")</f>
        <v/>
      </c>
      <c r="AP261" s="31">
        <f>IF(ISNUMBER(AL261),AL261+0+ROW()/100000,"")</f>
        <v/>
      </c>
      <c r="AQ261" s="31">
        <f>IF(OR(AG261="",NOT(ISNUMBER(AP261))),0,IF(SUMPRODUCT(('Responses'!$AG$2:$AG$501=AG261)*('Responses'!$AJ$2:$AJ$501=1)*ISNUMBER('Responses'!$AP$2:$AP$501)*('Responses'!$AP$2:$AP$501&gt;AP261)) + SUMPRODUCT(('Paper sign-ups'!$K$2:$K$101=AG261)*('Paper sign-ups'!$N$2:$N$101=1)*ISNUMBER('Paper sign-ups'!$T$2:$T$101)*('Paper sign-ups'!$T$2:$T$101&gt;AP261))&gt;0,1,0))</f>
        <v/>
      </c>
      <c r="AR261" s="31">
        <f>IF(AE261="","",IF(AQ261=1,"Joined again",IF(AJ261=0,"Unpaid",IF(NOT(ISNUMBER(AL261)),"Add a join date",IF(AN261="","No reminder",IF(AO261&lt;0,"Lapsed",IF(AO261&lt;=Settings!$D$6,"Remind soon","Current")))))))</f>
        <v/>
      </c>
      <c r="AS261" s="33">
        <f>IF(AJ261=1,IFERROR(VALUE(IFERROR(TRIM(INDEX($A261:$Z261,MATCH(Settings!$L$8,$A$1:$Z$1,0))&amp;""),"")),0)-IFERROR(VALUE(IFERROR(TRIM(INDEX($A261:$Z261,MATCH(Settings!$L$9,$A$1:$Z$1,0))&amp;""),"")),0),0)</f>
        <v/>
      </c>
      <c r="AT261" s="31">
        <f>IF(AND(AE261&lt;&gt;"",AQ261=0),1,0)</f>
        <v/>
      </c>
      <c r="AU261" s="31">
        <f>IF(AT261=0,"",IF(ISNUMBER(AN261),AN261,100000)+0+ROW()/1000000)</f>
        <v/>
      </c>
      <c r="AV261" s="31">
        <f>IF(ISNUMBER(AU261),SUMPRODUCT(ISNUMBER('Responses'!$AU$2:$AU$501)*('Responses'!$AU$2:$AU$501&lt;AU261)) + SUMPRODUCT(ISNUMBER('Paper sign-ups'!$Y$2:$Y$101)*('Paper sign-ups'!$Y$2:$Y$101&lt;AU261))+1,"")</f>
        <v/>
      </c>
    </row>
    <row r="262">
      <c r="AA262" s="29" t="n"/>
      <c r="AB262" s="30" t="n"/>
      <c r="AC262" s="30" t="n"/>
      <c r="AD262" s="29" t="n"/>
      <c r="AE262" s="31">
        <f>IFERROR(TRIM(INDEX($A262:$Z262,MATCH(Settings!$L$4,$A$1:$Z$1,0))&amp;""),"")</f>
        <v/>
      </c>
      <c r="AF262" s="31">
        <f>IFERROR(TRIM(INDEX($A262:$Z262,MATCH(Settings!$L$5,$A$1:$Z$1,0))&amp;""),"")</f>
        <v/>
      </c>
      <c r="AG262" s="31">
        <f>IF(AE262="","",LOWER(IF(AF262&lt;&gt;"",AF262,AE262)))</f>
        <v/>
      </c>
      <c r="AH262" s="31">
        <f>IFERROR(TRIM(INDEX($A262:$Z262,MATCH(Settings!$L$6,$A$1:$Z$1,0))&amp;""),"")</f>
        <v/>
      </c>
      <c r="AI262" s="31">
        <f>IF(AE262="","",IF(UPPER(TRIM(AB262&amp;""))="Y","Paid another way",IF(IFERROR(TRIM(INDEX($A262:$Z262,MATCH(Settings!$L$7,$A$1:$Z$1,0))&amp;""),"")="","No payment status",IFERROR(TRIM(INDEX($A262:$Z262,MATCH(Settings!$L$7,$A$1:$Z$1,0))&amp;""),""))))</f>
        <v/>
      </c>
      <c r="AJ262" s="31">
        <f>IF(AE262="",0,IF(IFERROR(INDEX(Settings!$J$4:$J$14,MATCH(AI262,Settings!$I$4:$I$14,0)),"N")="Y",1,0))</f>
        <v/>
      </c>
      <c r="AK262" s="32">
        <f>IFERROR(INT(IFERROR(IF(ISNUMBER(INDEX($A262:$Z262,MATCH(Settings!$L$10,$A$1:$Z$1,0))),INDEX($A262:$Z262,MATCH(Settings!$L$10,$A$1:$Z$1,0)),DATE(VALUE(LEFT(IFERROR(TRIM(INDEX($A262:$Z262,MATCH(Settings!$L$10,$A$1:$Z$1,0))&amp;""),""),4)),VALUE(MID(IFERROR(TRIM(INDEX($A262:$Z262,MATCH(Settings!$L$10,$A$1:$Z$1,0))&amp;""),""),6,2)),VALUE(MID(IFERROR(TRIM(INDEX($A262:$Z262,MATCH(Settings!$L$10,$A$1:$Z$1,0))&amp;""),""),9,2)))+TIME(VALUE(MID(IFERROR(TRIM(INDEX($A262:$Z262,MATCH(Settings!$L$10,$A$1:$Z$1,0))&amp;""),""),12,2)),VALUE(MID(IFERROR(TRIM(INDEX($A262:$Z262,MATCH(Settings!$L$10,$A$1:$Z$1,0))&amp;""),""),15,2)),VALUE(MID(IFERROR(TRIM(INDEX($A262:$Z262,MATCH(Settings!$L$10,$A$1:$Z$1,0))&amp;""),""),18,2)))),"")),"")</f>
        <v/>
      </c>
      <c r="AL262" s="32">
        <f>IF(AE262="","",IF(ISNUMBER(AK262),AK262,IFERROR(INT(IFERROR(IF(ISNUMBER(INDEX($A262:$Z262,MATCH(Settings!$L$11,$A$1:$Z$1,0))),INDEX($A262:$Z262,MATCH(Settings!$L$11,$A$1:$Z$1,0)),DATE(VALUE(LEFT(IFERROR(TRIM(INDEX($A262:$Z262,MATCH(Settings!$L$11,$A$1:$Z$1,0))&amp;""),""),4)),VALUE(MID(IFERROR(TRIM(INDEX($A262:$Z262,MATCH(Settings!$L$11,$A$1:$Z$1,0))&amp;""),""),6,2)),VALUE(MID(IFERROR(TRIM(INDEX($A262:$Z262,MATCH(Settings!$L$11,$A$1:$Z$1,0))&amp;""),""),9,2)))+TIME(VALUE(MID(IFERROR(TRIM(INDEX($A262:$Z262,MATCH(Settings!$L$11,$A$1:$Z$1,0))&amp;""),""),12,2)),VALUE(MID(IFERROR(TRIM(INDEX($A262:$Z262,MATCH(Settings!$L$11,$A$1:$Z$1,0))&amp;""),""),15,2)),VALUE(MID(IFERROR(TRIM(INDEX($A262:$Z262,MATCH(Settings!$L$11,$A$1:$Z$1,0))&amp;""),""),18,2)))),"")),"")))</f>
        <v/>
      </c>
      <c r="AM262" s="31">
        <f>IF(AE262="","",IF(ISNUMBER(IFERROR(INDEX(Settings!$G$4:$G$11,MATCH(AH262,Settings!$F$4:$F$11,0)),"")),INDEX(Settings!$G$4:$G$11,MATCH(AH262,Settings!$F$4:$F$11,0)),Settings!$D$5))</f>
        <v/>
      </c>
      <c r="AN262" s="32">
        <f>IF(OR(AE262="",NOT(ISNUMBER(AL262)),NOT(ISNUMBER(AM262))),"",IF(AM262&lt;=0,"",IF(ISNUMBER(Settings!$D$8),DATE(YEAR(AL262)+IF(DATE(YEAR(AL262),MONTH(Settings!$D$8),DAY(Settings!$D$8))&gt;AL262,0,1),MONTH(Settings!$D$8),DAY(Settings!$D$8)),MIN(DATE(YEAR(AL262),MONTH(AL262)+AM262,DAY(AL262)),DATE(YEAR(AL262),MONTH(AL262)+AM262+1,0)))))</f>
        <v/>
      </c>
      <c r="AO262" s="31">
        <f>IF(ISNUMBER(AN262),AN262-Settings!$D$4,"")</f>
        <v/>
      </c>
      <c r="AP262" s="31">
        <f>IF(ISNUMBER(AL262),AL262+0+ROW()/100000,"")</f>
        <v/>
      </c>
      <c r="AQ262" s="31">
        <f>IF(OR(AG262="",NOT(ISNUMBER(AP262))),0,IF(SUMPRODUCT(('Responses'!$AG$2:$AG$501=AG262)*('Responses'!$AJ$2:$AJ$501=1)*ISNUMBER('Responses'!$AP$2:$AP$501)*('Responses'!$AP$2:$AP$501&gt;AP262)) + SUMPRODUCT(('Paper sign-ups'!$K$2:$K$101=AG262)*('Paper sign-ups'!$N$2:$N$101=1)*ISNUMBER('Paper sign-ups'!$T$2:$T$101)*('Paper sign-ups'!$T$2:$T$101&gt;AP262))&gt;0,1,0))</f>
        <v/>
      </c>
      <c r="AR262" s="31">
        <f>IF(AE262="","",IF(AQ262=1,"Joined again",IF(AJ262=0,"Unpaid",IF(NOT(ISNUMBER(AL262)),"Add a join date",IF(AN262="","No reminder",IF(AO262&lt;0,"Lapsed",IF(AO262&lt;=Settings!$D$6,"Remind soon","Current")))))))</f>
        <v/>
      </c>
      <c r="AS262" s="33">
        <f>IF(AJ262=1,IFERROR(VALUE(IFERROR(TRIM(INDEX($A262:$Z262,MATCH(Settings!$L$8,$A$1:$Z$1,0))&amp;""),"")),0)-IFERROR(VALUE(IFERROR(TRIM(INDEX($A262:$Z262,MATCH(Settings!$L$9,$A$1:$Z$1,0))&amp;""),"")),0),0)</f>
        <v/>
      </c>
      <c r="AT262" s="31">
        <f>IF(AND(AE262&lt;&gt;"",AQ262=0),1,0)</f>
        <v/>
      </c>
      <c r="AU262" s="31">
        <f>IF(AT262=0,"",IF(ISNUMBER(AN262),AN262,100000)+0+ROW()/1000000)</f>
        <v/>
      </c>
      <c r="AV262" s="31">
        <f>IF(ISNUMBER(AU262),SUMPRODUCT(ISNUMBER('Responses'!$AU$2:$AU$501)*('Responses'!$AU$2:$AU$501&lt;AU262)) + SUMPRODUCT(ISNUMBER('Paper sign-ups'!$Y$2:$Y$101)*('Paper sign-ups'!$Y$2:$Y$101&lt;AU262))+1,"")</f>
        <v/>
      </c>
    </row>
    <row r="263">
      <c r="AA263" s="29" t="n"/>
      <c r="AB263" s="30" t="n"/>
      <c r="AC263" s="30" t="n"/>
      <c r="AD263" s="29" t="n"/>
      <c r="AE263" s="31">
        <f>IFERROR(TRIM(INDEX($A263:$Z263,MATCH(Settings!$L$4,$A$1:$Z$1,0))&amp;""),"")</f>
        <v/>
      </c>
      <c r="AF263" s="31">
        <f>IFERROR(TRIM(INDEX($A263:$Z263,MATCH(Settings!$L$5,$A$1:$Z$1,0))&amp;""),"")</f>
        <v/>
      </c>
      <c r="AG263" s="31">
        <f>IF(AE263="","",LOWER(IF(AF263&lt;&gt;"",AF263,AE263)))</f>
        <v/>
      </c>
      <c r="AH263" s="31">
        <f>IFERROR(TRIM(INDEX($A263:$Z263,MATCH(Settings!$L$6,$A$1:$Z$1,0))&amp;""),"")</f>
        <v/>
      </c>
      <c r="AI263" s="31">
        <f>IF(AE263="","",IF(UPPER(TRIM(AB263&amp;""))="Y","Paid another way",IF(IFERROR(TRIM(INDEX($A263:$Z263,MATCH(Settings!$L$7,$A$1:$Z$1,0))&amp;""),"")="","No payment status",IFERROR(TRIM(INDEX($A263:$Z263,MATCH(Settings!$L$7,$A$1:$Z$1,0))&amp;""),""))))</f>
        <v/>
      </c>
      <c r="AJ263" s="31">
        <f>IF(AE263="",0,IF(IFERROR(INDEX(Settings!$J$4:$J$14,MATCH(AI263,Settings!$I$4:$I$14,0)),"N")="Y",1,0))</f>
        <v/>
      </c>
      <c r="AK263" s="32">
        <f>IFERROR(INT(IFERROR(IF(ISNUMBER(INDEX($A263:$Z263,MATCH(Settings!$L$10,$A$1:$Z$1,0))),INDEX($A263:$Z263,MATCH(Settings!$L$10,$A$1:$Z$1,0)),DATE(VALUE(LEFT(IFERROR(TRIM(INDEX($A263:$Z263,MATCH(Settings!$L$10,$A$1:$Z$1,0))&amp;""),""),4)),VALUE(MID(IFERROR(TRIM(INDEX($A263:$Z263,MATCH(Settings!$L$10,$A$1:$Z$1,0))&amp;""),""),6,2)),VALUE(MID(IFERROR(TRIM(INDEX($A263:$Z263,MATCH(Settings!$L$10,$A$1:$Z$1,0))&amp;""),""),9,2)))+TIME(VALUE(MID(IFERROR(TRIM(INDEX($A263:$Z263,MATCH(Settings!$L$10,$A$1:$Z$1,0))&amp;""),""),12,2)),VALUE(MID(IFERROR(TRIM(INDEX($A263:$Z263,MATCH(Settings!$L$10,$A$1:$Z$1,0))&amp;""),""),15,2)),VALUE(MID(IFERROR(TRIM(INDEX($A263:$Z263,MATCH(Settings!$L$10,$A$1:$Z$1,0))&amp;""),""),18,2)))),"")),"")</f>
        <v/>
      </c>
      <c r="AL263" s="32">
        <f>IF(AE263="","",IF(ISNUMBER(AK263),AK263,IFERROR(INT(IFERROR(IF(ISNUMBER(INDEX($A263:$Z263,MATCH(Settings!$L$11,$A$1:$Z$1,0))),INDEX($A263:$Z263,MATCH(Settings!$L$11,$A$1:$Z$1,0)),DATE(VALUE(LEFT(IFERROR(TRIM(INDEX($A263:$Z263,MATCH(Settings!$L$11,$A$1:$Z$1,0))&amp;""),""),4)),VALUE(MID(IFERROR(TRIM(INDEX($A263:$Z263,MATCH(Settings!$L$11,$A$1:$Z$1,0))&amp;""),""),6,2)),VALUE(MID(IFERROR(TRIM(INDEX($A263:$Z263,MATCH(Settings!$L$11,$A$1:$Z$1,0))&amp;""),""),9,2)))+TIME(VALUE(MID(IFERROR(TRIM(INDEX($A263:$Z263,MATCH(Settings!$L$11,$A$1:$Z$1,0))&amp;""),""),12,2)),VALUE(MID(IFERROR(TRIM(INDEX($A263:$Z263,MATCH(Settings!$L$11,$A$1:$Z$1,0))&amp;""),""),15,2)),VALUE(MID(IFERROR(TRIM(INDEX($A263:$Z263,MATCH(Settings!$L$11,$A$1:$Z$1,0))&amp;""),""),18,2)))),"")),"")))</f>
        <v/>
      </c>
      <c r="AM263" s="31">
        <f>IF(AE263="","",IF(ISNUMBER(IFERROR(INDEX(Settings!$G$4:$G$11,MATCH(AH263,Settings!$F$4:$F$11,0)),"")),INDEX(Settings!$G$4:$G$11,MATCH(AH263,Settings!$F$4:$F$11,0)),Settings!$D$5))</f>
        <v/>
      </c>
      <c r="AN263" s="32">
        <f>IF(OR(AE263="",NOT(ISNUMBER(AL263)),NOT(ISNUMBER(AM263))),"",IF(AM263&lt;=0,"",IF(ISNUMBER(Settings!$D$8),DATE(YEAR(AL263)+IF(DATE(YEAR(AL263),MONTH(Settings!$D$8),DAY(Settings!$D$8))&gt;AL263,0,1),MONTH(Settings!$D$8),DAY(Settings!$D$8)),MIN(DATE(YEAR(AL263),MONTH(AL263)+AM263,DAY(AL263)),DATE(YEAR(AL263),MONTH(AL263)+AM263+1,0)))))</f>
        <v/>
      </c>
      <c r="AO263" s="31">
        <f>IF(ISNUMBER(AN263),AN263-Settings!$D$4,"")</f>
        <v/>
      </c>
      <c r="AP263" s="31">
        <f>IF(ISNUMBER(AL263),AL263+0+ROW()/100000,"")</f>
        <v/>
      </c>
      <c r="AQ263" s="31">
        <f>IF(OR(AG263="",NOT(ISNUMBER(AP263))),0,IF(SUMPRODUCT(('Responses'!$AG$2:$AG$501=AG263)*('Responses'!$AJ$2:$AJ$501=1)*ISNUMBER('Responses'!$AP$2:$AP$501)*('Responses'!$AP$2:$AP$501&gt;AP263)) + SUMPRODUCT(('Paper sign-ups'!$K$2:$K$101=AG263)*('Paper sign-ups'!$N$2:$N$101=1)*ISNUMBER('Paper sign-ups'!$T$2:$T$101)*('Paper sign-ups'!$T$2:$T$101&gt;AP263))&gt;0,1,0))</f>
        <v/>
      </c>
      <c r="AR263" s="31">
        <f>IF(AE263="","",IF(AQ263=1,"Joined again",IF(AJ263=0,"Unpaid",IF(NOT(ISNUMBER(AL263)),"Add a join date",IF(AN263="","No reminder",IF(AO263&lt;0,"Lapsed",IF(AO263&lt;=Settings!$D$6,"Remind soon","Current")))))))</f>
        <v/>
      </c>
      <c r="AS263" s="33">
        <f>IF(AJ263=1,IFERROR(VALUE(IFERROR(TRIM(INDEX($A263:$Z263,MATCH(Settings!$L$8,$A$1:$Z$1,0))&amp;""),"")),0)-IFERROR(VALUE(IFERROR(TRIM(INDEX($A263:$Z263,MATCH(Settings!$L$9,$A$1:$Z$1,0))&amp;""),"")),0),0)</f>
        <v/>
      </c>
      <c r="AT263" s="31">
        <f>IF(AND(AE263&lt;&gt;"",AQ263=0),1,0)</f>
        <v/>
      </c>
      <c r="AU263" s="31">
        <f>IF(AT263=0,"",IF(ISNUMBER(AN263),AN263,100000)+0+ROW()/1000000)</f>
        <v/>
      </c>
      <c r="AV263" s="31">
        <f>IF(ISNUMBER(AU263),SUMPRODUCT(ISNUMBER('Responses'!$AU$2:$AU$501)*('Responses'!$AU$2:$AU$501&lt;AU263)) + SUMPRODUCT(ISNUMBER('Paper sign-ups'!$Y$2:$Y$101)*('Paper sign-ups'!$Y$2:$Y$101&lt;AU263))+1,"")</f>
        <v/>
      </c>
    </row>
    <row r="264">
      <c r="AA264" s="29" t="n"/>
      <c r="AB264" s="30" t="n"/>
      <c r="AC264" s="30" t="n"/>
      <c r="AD264" s="29" t="n"/>
      <c r="AE264" s="31">
        <f>IFERROR(TRIM(INDEX($A264:$Z264,MATCH(Settings!$L$4,$A$1:$Z$1,0))&amp;""),"")</f>
        <v/>
      </c>
      <c r="AF264" s="31">
        <f>IFERROR(TRIM(INDEX($A264:$Z264,MATCH(Settings!$L$5,$A$1:$Z$1,0))&amp;""),"")</f>
        <v/>
      </c>
      <c r="AG264" s="31">
        <f>IF(AE264="","",LOWER(IF(AF264&lt;&gt;"",AF264,AE264)))</f>
        <v/>
      </c>
      <c r="AH264" s="31">
        <f>IFERROR(TRIM(INDEX($A264:$Z264,MATCH(Settings!$L$6,$A$1:$Z$1,0))&amp;""),"")</f>
        <v/>
      </c>
      <c r="AI264" s="31">
        <f>IF(AE264="","",IF(UPPER(TRIM(AB264&amp;""))="Y","Paid another way",IF(IFERROR(TRIM(INDEX($A264:$Z264,MATCH(Settings!$L$7,$A$1:$Z$1,0))&amp;""),"")="","No payment status",IFERROR(TRIM(INDEX($A264:$Z264,MATCH(Settings!$L$7,$A$1:$Z$1,0))&amp;""),""))))</f>
        <v/>
      </c>
      <c r="AJ264" s="31">
        <f>IF(AE264="",0,IF(IFERROR(INDEX(Settings!$J$4:$J$14,MATCH(AI264,Settings!$I$4:$I$14,0)),"N")="Y",1,0))</f>
        <v/>
      </c>
      <c r="AK264" s="32">
        <f>IFERROR(INT(IFERROR(IF(ISNUMBER(INDEX($A264:$Z264,MATCH(Settings!$L$10,$A$1:$Z$1,0))),INDEX($A264:$Z264,MATCH(Settings!$L$10,$A$1:$Z$1,0)),DATE(VALUE(LEFT(IFERROR(TRIM(INDEX($A264:$Z264,MATCH(Settings!$L$10,$A$1:$Z$1,0))&amp;""),""),4)),VALUE(MID(IFERROR(TRIM(INDEX($A264:$Z264,MATCH(Settings!$L$10,$A$1:$Z$1,0))&amp;""),""),6,2)),VALUE(MID(IFERROR(TRIM(INDEX($A264:$Z264,MATCH(Settings!$L$10,$A$1:$Z$1,0))&amp;""),""),9,2)))+TIME(VALUE(MID(IFERROR(TRIM(INDEX($A264:$Z264,MATCH(Settings!$L$10,$A$1:$Z$1,0))&amp;""),""),12,2)),VALUE(MID(IFERROR(TRIM(INDEX($A264:$Z264,MATCH(Settings!$L$10,$A$1:$Z$1,0))&amp;""),""),15,2)),VALUE(MID(IFERROR(TRIM(INDEX($A264:$Z264,MATCH(Settings!$L$10,$A$1:$Z$1,0))&amp;""),""),18,2)))),"")),"")</f>
        <v/>
      </c>
      <c r="AL264" s="32">
        <f>IF(AE264="","",IF(ISNUMBER(AK264),AK264,IFERROR(INT(IFERROR(IF(ISNUMBER(INDEX($A264:$Z264,MATCH(Settings!$L$11,$A$1:$Z$1,0))),INDEX($A264:$Z264,MATCH(Settings!$L$11,$A$1:$Z$1,0)),DATE(VALUE(LEFT(IFERROR(TRIM(INDEX($A264:$Z264,MATCH(Settings!$L$11,$A$1:$Z$1,0))&amp;""),""),4)),VALUE(MID(IFERROR(TRIM(INDEX($A264:$Z264,MATCH(Settings!$L$11,$A$1:$Z$1,0))&amp;""),""),6,2)),VALUE(MID(IFERROR(TRIM(INDEX($A264:$Z264,MATCH(Settings!$L$11,$A$1:$Z$1,0))&amp;""),""),9,2)))+TIME(VALUE(MID(IFERROR(TRIM(INDEX($A264:$Z264,MATCH(Settings!$L$11,$A$1:$Z$1,0))&amp;""),""),12,2)),VALUE(MID(IFERROR(TRIM(INDEX($A264:$Z264,MATCH(Settings!$L$11,$A$1:$Z$1,0))&amp;""),""),15,2)),VALUE(MID(IFERROR(TRIM(INDEX($A264:$Z264,MATCH(Settings!$L$11,$A$1:$Z$1,0))&amp;""),""),18,2)))),"")),"")))</f>
        <v/>
      </c>
      <c r="AM264" s="31">
        <f>IF(AE264="","",IF(ISNUMBER(IFERROR(INDEX(Settings!$G$4:$G$11,MATCH(AH264,Settings!$F$4:$F$11,0)),"")),INDEX(Settings!$G$4:$G$11,MATCH(AH264,Settings!$F$4:$F$11,0)),Settings!$D$5))</f>
        <v/>
      </c>
      <c r="AN264" s="32">
        <f>IF(OR(AE264="",NOT(ISNUMBER(AL264)),NOT(ISNUMBER(AM264))),"",IF(AM264&lt;=0,"",IF(ISNUMBER(Settings!$D$8),DATE(YEAR(AL264)+IF(DATE(YEAR(AL264),MONTH(Settings!$D$8),DAY(Settings!$D$8))&gt;AL264,0,1),MONTH(Settings!$D$8),DAY(Settings!$D$8)),MIN(DATE(YEAR(AL264),MONTH(AL264)+AM264,DAY(AL264)),DATE(YEAR(AL264),MONTH(AL264)+AM264+1,0)))))</f>
        <v/>
      </c>
      <c r="AO264" s="31">
        <f>IF(ISNUMBER(AN264),AN264-Settings!$D$4,"")</f>
        <v/>
      </c>
      <c r="AP264" s="31">
        <f>IF(ISNUMBER(AL264),AL264+0+ROW()/100000,"")</f>
        <v/>
      </c>
      <c r="AQ264" s="31">
        <f>IF(OR(AG264="",NOT(ISNUMBER(AP264))),0,IF(SUMPRODUCT(('Responses'!$AG$2:$AG$501=AG264)*('Responses'!$AJ$2:$AJ$501=1)*ISNUMBER('Responses'!$AP$2:$AP$501)*('Responses'!$AP$2:$AP$501&gt;AP264)) + SUMPRODUCT(('Paper sign-ups'!$K$2:$K$101=AG264)*('Paper sign-ups'!$N$2:$N$101=1)*ISNUMBER('Paper sign-ups'!$T$2:$T$101)*('Paper sign-ups'!$T$2:$T$101&gt;AP264))&gt;0,1,0))</f>
        <v/>
      </c>
      <c r="AR264" s="31">
        <f>IF(AE264="","",IF(AQ264=1,"Joined again",IF(AJ264=0,"Unpaid",IF(NOT(ISNUMBER(AL264)),"Add a join date",IF(AN264="","No reminder",IF(AO264&lt;0,"Lapsed",IF(AO264&lt;=Settings!$D$6,"Remind soon","Current")))))))</f>
        <v/>
      </c>
      <c r="AS264" s="33">
        <f>IF(AJ264=1,IFERROR(VALUE(IFERROR(TRIM(INDEX($A264:$Z264,MATCH(Settings!$L$8,$A$1:$Z$1,0))&amp;""),"")),0)-IFERROR(VALUE(IFERROR(TRIM(INDEX($A264:$Z264,MATCH(Settings!$L$9,$A$1:$Z$1,0))&amp;""),"")),0),0)</f>
        <v/>
      </c>
      <c r="AT264" s="31">
        <f>IF(AND(AE264&lt;&gt;"",AQ264=0),1,0)</f>
        <v/>
      </c>
      <c r="AU264" s="31">
        <f>IF(AT264=0,"",IF(ISNUMBER(AN264),AN264,100000)+0+ROW()/1000000)</f>
        <v/>
      </c>
      <c r="AV264" s="31">
        <f>IF(ISNUMBER(AU264),SUMPRODUCT(ISNUMBER('Responses'!$AU$2:$AU$501)*('Responses'!$AU$2:$AU$501&lt;AU264)) + SUMPRODUCT(ISNUMBER('Paper sign-ups'!$Y$2:$Y$101)*('Paper sign-ups'!$Y$2:$Y$101&lt;AU264))+1,"")</f>
        <v/>
      </c>
    </row>
    <row r="265">
      <c r="AA265" s="29" t="n"/>
      <c r="AB265" s="30" t="n"/>
      <c r="AC265" s="30" t="n"/>
      <c r="AD265" s="29" t="n"/>
      <c r="AE265" s="31">
        <f>IFERROR(TRIM(INDEX($A265:$Z265,MATCH(Settings!$L$4,$A$1:$Z$1,0))&amp;""),"")</f>
        <v/>
      </c>
      <c r="AF265" s="31">
        <f>IFERROR(TRIM(INDEX($A265:$Z265,MATCH(Settings!$L$5,$A$1:$Z$1,0))&amp;""),"")</f>
        <v/>
      </c>
      <c r="AG265" s="31">
        <f>IF(AE265="","",LOWER(IF(AF265&lt;&gt;"",AF265,AE265)))</f>
        <v/>
      </c>
      <c r="AH265" s="31">
        <f>IFERROR(TRIM(INDEX($A265:$Z265,MATCH(Settings!$L$6,$A$1:$Z$1,0))&amp;""),"")</f>
        <v/>
      </c>
      <c r="AI265" s="31">
        <f>IF(AE265="","",IF(UPPER(TRIM(AB265&amp;""))="Y","Paid another way",IF(IFERROR(TRIM(INDEX($A265:$Z265,MATCH(Settings!$L$7,$A$1:$Z$1,0))&amp;""),"")="","No payment status",IFERROR(TRIM(INDEX($A265:$Z265,MATCH(Settings!$L$7,$A$1:$Z$1,0))&amp;""),""))))</f>
        <v/>
      </c>
      <c r="AJ265" s="31">
        <f>IF(AE265="",0,IF(IFERROR(INDEX(Settings!$J$4:$J$14,MATCH(AI265,Settings!$I$4:$I$14,0)),"N")="Y",1,0))</f>
        <v/>
      </c>
      <c r="AK265" s="32">
        <f>IFERROR(INT(IFERROR(IF(ISNUMBER(INDEX($A265:$Z265,MATCH(Settings!$L$10,$A$1:$Z$1,0))),INDEX($A265:$Z265,MATCH(Settings!$L$10,$A$1:$Z$1,0)),DATE(VALUE(LEFT(IFERROR(TRIM(INDEX($A265:$Z265,MATCH(Settings!$L$10,$A$1:$Z$1,0))&amp;""),""),4)),VALUE(MID(IFERROR(TRIM(INDEX($A265:$Z265,MATCH(Settings!$L$10,$A$1:$Z$1,0))&amp;""),""),6,2)),VALUE(MID(IFERROR(TRIM(INDEX($A265:$Z265,MATCH(Settings!$L$10,$A$1:$Z$1,0))&amp;""),""),9,2)))+TIME(VALUE(MID(IFERROR(TRIM(INDEX($A265:$Z265,MATCH(Settings!$L$10,$A$1:$Z$1,0))&amp;""),""),12,2)),VALUE(MID(IFERROR(TRIM(INDEX($A265:$Z265,MATCH(Settings!$L$10,$A$1:$Z$1,0))&amp;""),""),15,2)),VALUE(MID(IFERROR(TRIM(INDEX($A265:$Z265,MATCH(Settings!$L$10,$A$1:$Z$1,0))&amp;""),""),18,2)))),"")),"")</f>
        <v/>
      </c>
      <c r="AL265" s="32">
        <f>IF(AE265="","",IF(ISNUMBER(AK265),AK265,IFERROR(INT(IFERROR(IF(ISNUMBER(INDEX($A265:$Z265,MATCH(Settings!$L$11,$A$1:$Z$1,0))),INDEX($A265:$Z265,MATCH(Settings!$L$11,$A$1:$Z$1,0)),DATE(VALUE(LEFT(IFERROR(TRIM(INDEX($A265:$Z265,MATCH(Settings!$L$11,$A$1:$Z$1,0))&amp;""),""),4)),VALUE(MID(IFERROR(TRIM(INDEX($A265:$Z265,MATCH(Settings!$L$11,$A$1:$Z$1,0))&amp;""),""),6,2)),VALUE(MID(IFERROR(TRIM(INDEX($A265:$Z265,MATCH(Settings!$L$11,$A$1:$Z$1,0))&amp;""),""),9,2)))+TIME(VALUE(MID(IFERROR(TRIM(INDEX($A265:$Z265,MATCH(Settings!$L$11,$A$1:$Z$1,0))&amp;""),""),12,2)),VALUE(MID(IFERROR(TRIM(INDEX($A265:$Z265,MATCH(Settings!$L$11,$A$1:$Z$1,0))&amp;""),""),15,2)),VALUE(MID(IFERROR(TRIM(INDEX($A265:$Z265,MATCH(Settings!$L$11,$A$1:$Z$1,0))&amp;""),""),18,2)))),"")),"")))</f>
        <v/>
      </c>
      <c r="AM265" s="31">
        <f>IF(AE265="","",IF(ISNUMBER(IFERROR(INDEX(Settings!$G$4:$G$11,MATCH(AH265,Settings!$F$4:$F$11,0)),"")),INDEX(Settings!$G$4:$G$11,MATCH(AH265,Settings!$F$4:$F$11,0)),Settings!$D$5))</f>
        <v/>
      </c>
      <c r="AN265" s="32">
        <f>IF(OR(AE265="",NOT(ISNUMBER(AL265)),NOT(ISNUMBER(AM265))),"",IF(AM265&lt;=0,"",IF(ISNUMBER(Settings!$D$8),DATE(YEAR(AL265)+IF(DATE(YEAR(AL265),MONTH(Settings!$D$8),DAY(Settings!$D$8))&gt;AL265,0,1),MONTH(Settings!$D$8),DAY(Settings!$D$8)),MIN(DATE(YEAR(AL265),MONTH(AL265)+AM265,DAY(AL265)),DATE(YEAR(AL265),MONTH(AL265)+AM265+1,0)))))</f>
        <v/>
      </c>
      <c r="AO265" s="31">
        <f>IF(ISNUMBER(AN265),AN265-Settings!$D$4,"")</f>
        <v/>
      </c>
      <c r="AP265" s="31">
        <f>IF(ISNUMBER(AL265),AL265+0+ROW()/100000,"")</f>
        <v/>
      </c>
      <c r="AQ265" s="31">
        <f>IF(OR(AG265="",NOT(ISNUMBER(AP265))),0,IF(SUMPRODUCT(('Responses'!$AG$2:$AG$501=AG265)*('Responses'!$AJ$2:$AJ$501=1)*ISNUMBER('Responses'!$AP$2:$AP$501)*('Responses'!$AP$2:$AP$501&gt;AP265)) + SUMPRODUCT(('Paper sign-ups'!$K$2:$K$101=AG265)*('Paper sign-ups'!$N$2:$N$101=1)*ISNUMBER('Paper sign-ups'!$T$2:$T$101)*('Paper sign-ups'!$T$2:$T$101&gt;AP265))&gt;0,1,0))</f>
        <v/>
      </c>
      <c r="AR265" s="31">
        <f>IF(AE265="","",IF(AQ265=1,"Joined again",IF(AJ265=0,"Unpaid",IF(NOT(ISNUMBER(AL265)),"Add a join date",IF(AN265="","No reminder",IF(AO265&lt;0,"Lapsed",IF(AO265&lt;=Settings!$D$6,"Remind soon","Current")))))))</f>
        <v/>
      </c>
      <c r="AS265" s="33">
        <f>IF(AJ265=1,IFERROR(VALUE(IFERROR(TRIM(INDEX($A265:$Z265,MATCH(Settings!$L$8,$A$1:$Z$1,0))&amp;""),"")),0)-IFERROR(VALUE(IFERROR(TRIM(INDEX($A265:$Z265,MATCH(Settings!$L$9,$A$1:$Z$1,0))&amp;""),"")),0),0)</f>
        <v/>
      </c>
      <c r="AT265" s="31">
        <f>IF(AND(AE265&lt;&gt;"",AQ265=0),1,0)</f>
        <v/>
      </c>
      <c r="AU265" s="31">
        <f>IF(AT265=0,"",IF(ISNUMBER(AN265),AN265,100000)+0+ROW()/1000000)</f>
        <v/>
      </c>
      <c r="AV265" s="31">
        <f>IF(ISNUMBER(AU265),SUMPRODUCT(ISNUMBER('Responses'!$AU$2:$AU$501)*('Responses'!$AU$2:$AU$501&lt;AU265)) + SUMPRODUCT(ISNUMBER('Paper sign-ups'!$Y$2:$Y$101)*('Paper sign-ups'!$Y$2:$Y$101&lt;AU265))+1,"")</f>
        <v/>
      </c>
    </row>
    <row r="266">
      <c r="AA266" s="29" t="n"/>
      <c r="AB266" s="30" t="n"/>
      <c r="AC266" s="30" t="n"/>
      <c r="AD266" s="29" t="n"/>
      <c r="AE266" s="31">
        <f>IFERROR(TRIM(INDEX($A266:$Z266,MATCH(Settings!$L$4,$A$1:$Z$1,0))&amp;""),"")</f>
        <v/>
      </c>
      <c r="AF266" s="31">
        <f>IFERROR(TRIM(INDEX($A266:$Z266,MATCH(Settings!$L$5,$A$1:$Z$1,0))&amp;""),"")</f>
        <v/>
      </c>
      <c r="AG266" s="31">
        <f>IF(AE266="","",LOWER(IF(AF266&lt;&gt;"",AF266,AE266)))</f>
        <v/>
      </c>
      <c r="AH266" s="31">
        <f>IFERROR(TRIM(INDEX($A266:$Z266,MATCH(Settings!$L$6,$A$1:$Z$1,0))&amp;""),"")</f>
        <v/>
      </c>
      <c r="AI266" s="31">
        <f>IF(AE266="","",IF(UPPER(TRIM(AB266&amp;""))="Y","Paid another way",IF(IFERROR(TRIM(INDEX($A266:$Z266,MATCH(Settings!$L$7,$A$1:$Z$1,0))&amp;""),"")="","No payment status",IFERROR(TRIM(INDEX($A266:$Z266,MATCH(Settings!$L$7,$A$1:$Z$1,0))&amp;""),""))))</f>
        <v/>
      </c>
      <c r="AJ266" s="31">
        <f>IF(AE266="",0,IF(IFERROR(INDEX(Settings!$J$4:$J$14,MATCH(AI266,Settings!$I$4:$I$14,0)),"N")="Y",1,0))</f>
        <v/>
      </c>
      <c r="AK266" s="32">
        <f>IFERROR(INT(IFERROR(IF(ISNUMBER(INDEX($A266:$Z266,MATCH(Settings!$L$10,$A$1:$Z$1,0))),INDEX($A266:$Z266,MATCH(Settings!$L$10,$A$1:$Z$1,0)),DATE(VALUE(LEFT(IFERROR(TRIM(INDEX($A266:$Z266,MATCH(Settings!$L$10,$A$1:$Z$1,0))&amp;""),""),4)),VALUE(MID(IFERROR(TRIM(INDEX($A266:$Z266,MATCH(Settings!$L$10,$A$1:$Z$1,0))&amp;""),""),6,2)),VALUE(MID(IFERROR(TRIM(INDEX($A266:$Z266,MATCH(Settings!$L$10,$A$1:$Z$1,0))&amp;""),""),9,2)))+TIME(VALUE(MID(IFERROR(TRIM(INDEX($A266:$Z266,MATCH(Settings!$L$10,$A$1:$Z$1,0))&amp;""),""),12,2)),VALUE(MID(IFERROR(TRIM(INDEX($A266:$Z266,MATCH(Settings!$L$10,$A$1:$Z$1,0))&amp;""),""),15,2)),VALUE(MID(IFERROR(TRIM(INDEX($A266:$Z266,MATCH(Settings!$L$10,$A$1:$Z$1,0))&amp;""),""),18,2)))),"")),"")</f>
        <v/>
      </c>
      <c r="AL266" s="32">
        <f>IF(AE266="","",IF(ISNUMBER(AK266),AK266,IFERROR(INT(IFERROR(IF(ISNUMBER(INDEX($A266:$Z266,MATCH(Settings!$L$11,$A$1:$Z$1,0))),INDEX($A266:$Z266,MATCH(Settings!$L$11,$A$1:$Z$1,0)),DATE(VALUE(LEFT(IFERROR(TRIM(INDEX($A266:$Z266,MATCH(Settings!$L$11,$A$1:$Z$1,0))&amp;""),""),4)),VALUE(MID(IFERROR(TRIM(INDEX($A266:$Z266,MATCH(Settings!$L$11,$A$1:$Z$1,0))&amp;""),""),6,2)),VALUE(MID(IFERROR(TRIM(INDEX($A266:$Z266,MATCH(Settings!$L$11,$A$1:$Z$1,0))&amp;""),""),9,2)))+TIME(VALUE(MID(IFERROR(TRIM(INDEX($A266:$Z266,MATCH(Settings!$L$11,$A$1:$Z$1,0))&amp;""),""),12,2)),VALUE(MID(IFERROR(TRIM(INDEX($A266:$Z266,MATCH(Settings!$L$11,$A$1:$Z$1,0))&amp;""),""),15,2)),VALUE(MID(IFERROR(TRIM(INDEX($A266:$Z266,MATCH(Settings!$L$11,$A$1:$Z$1,0))&amp;""),""),18,2)))),"")),"")))</f>
        <v/>
      </c>
      <c r="AM266" s="31">
        <f>IF(AE266="","",IF(ISNUMBER(IFERROR(INDEX(Settings!$G$4:$G$11,MATCH(AH266,Settings!$F$4:$F$11,0)),"")),INDEX(Settings!$G$4:$G$11,MATCH(AH266,Settings!$F$4:$F$11,0)),Settings!$D$5))</f>
        <v/>
      </c>
      <c r="AN266" s="32">
        <f>IF(OR(AE266="",NOT(ISNUMBER(AL266)),NOT(ISNUMBER(AM266))),"",IF(AM266&lt;=0,"",IF(ISNUMBER(Settings!$D$8),DATE(YEAR(AL266)+IF(DATE(YEAR(AL266),MONTH(Settings!$D$8),DAY(Settings!$D$8))&gt;AL266,0,1),MONTH(Settings!$D$8),DAY(Settings!$D$8)),MIN(DATE(YEAR(AL266),MONTH(AL266)+AM266,DAY(AL266)),DATE(YEAR(AL266),MONTH(AL266)+AM266+1,0)))))</f>
        <v/>
      </c>
      <c r="AO266" s="31">
        <f>IF(ISNUMBER(AN266),AN266-Settings!$D$4,"")</f>
        <v/>
      </c>
      <c r="AP266" s="31">
        <f>IF(ISNUMBER(AL266),AL266+0+ROW()/100000,"")</f>
        <v/>
      </c>
      <c r="AQ266" s="31">
        <f>IF(OR(AG266="",NOT(ISNUMBER(AP266))),0,IF(SUMPRODUCT(('Responses'!$AG$2:$AG$501=AG266)*('Responses'!$AJ$2:$AJ$501=1)*ISNUMBER('Responses'!$AP$2:$AP$501)*('Responses'!$AP$2:$AP$501&gt;AP266)) + SUMPRODUCT(('Paper sign-ups'!$K$2:$K$101=AG266)*('Paper sign-ups'!$N$2:$N$101=1)*ISNUMBER('Paper sign-ups'!$T$2:$T$101)*('Paper sign-ups'!$T$2:$T$101&gt;AP266))&gt;0,1,0))</f>
        <v/>
      </c>
      <c r="AR266" s="31">
        <f>IF(AE266="","",IF(AQ266=1,"Joined again",IF(AJ266=0,"Unpaid",IF(NOT(ISNUMBER(AL266)),"Add a join date",IF(AN266="","No reminder",IF(AO266&lt;0,"Lapsed",IF(AO266&lt;=Settings!$D$6,"Remind soon","Current")))))))</f>
        <v/>
      </c>
      <c r="AS266" s="33">
        <f>IF(AJ266=1,IFERROR(VALUE(IFERROR(TRIM(INDEX($A266:$Z266,MATCH(Settings!$L$8,$A$1:$Z$1,0))&amp;""),"")),0)-IFERROR(VALUE(IFERROR(TRIM(INDEX($A266:$Z266,MATCH(Settings!$L$9,$A$1:$Z$1,0))&amp;""),"")),0),0)</f>
        <v/>
      </c>
      <c r="AT266" s="31">
        <f>IF(AND(AE266&lt;&gt;"",AQ266=0),1,0)</f>
        <v/>
      </c>
      <c r="AU266" s="31">
        <f>IF(AT266=0,"",IF(ISNUMBER(AN266),AN266,100000)+0+ROW()/1000000)</f>
        <v/>
      </c>
      <c r="AV266" s="31">
        <f>IF(ISNUMBER(AU266),SUMPRODUCT(ISNUMBER('Responses'!$AU$2:$AU$501)*('Responses'!$AU$2:$AU$501&lt;AU266)) + SUMPRODUCT(ISNUMBER('Paper sign-ups'!$Y$2:$Y$101)*('Paper sign-ups'!$Y$2:$Y$101&lt;AU266))+1,"")</f>
        <v/>
      </c>
    </row>
    <row r="267">
      <c r="AA267" s="29" t="n"/>
      <c r="AB267" s="30" t="n"/>
      <c r="AC267" s="30" t="n"/>
      <c r="AD267" s="29" t="n"/>
      <c r="AE267" s="31">
        <f>IFERROR(TRIM(INDEX($A267:$Z267,MATCH(Settings!$L$4,$A$1:$Z$1,0))&amp;""),"")</f>
        <v/>
      </c>
      <c r="AF267" s="31">
        <f>IFERROR(TRIM(INDEX($A267:$Z267,MATCH(Settings!$L$5,$A$1:$Z$1,0))&amp;""),"")</f>
        <v/>
      </c>
      <c r="AG267" s="31">
        <f>IF(AE267="","",LOWER(IF(AF267&lt;&gt;"",AF267,AE267)))</f>
        <v/>
      </c>
      <c r="AH267" s="31">
        <f>IFERROR(TRIM(INDEX($A267:$Z267,MATCH(Settings!$L$6,$A$1:$Z$1,0))&amp;""),"")</f>
        <v/>
      </c>
      <c r="AI267" s="31">
        <f>IF(AE267="","",IF(UPPER(TRIM(AB267&amp;""))="Y","Paid another way",IF(IFERROR(TRIM(INDEX($A267:$Z267,MATCH(Settings!$L$7,$A$1:$Z$1,0))&amp;""),"")="","No payment status",IFERROR(TRIM(INDEX($A267:$Z267,MATCH(Settings!$L$7,$A$1:$Z$1,0))&amp;""),""))))</f>
        <v/>
      </c>
      <c r="AJ267" s="31">
        <f>IF(AE267="",0,IF(IFERROR(INDEX(Settings!$J$4:$J$14,MATCH(AI267,Settings!$I$4:$I$14,0)),"N")="Y",1,0))</f>
        <v/>
      </c>
      <c r="AK267" s="32">
        <f>IFERROR(INT(IFERROR(IF(ISNUMBER(INDEX($A267:$Z267,MATCH(Settings!$L$10,$A$1:$Z$1,0))),INDEX($A267:$Z267,MATCH(Settings!$L$10,$A$1:$Z$1,0)),DATE(VALUE(LEFT(IFERROR(TRIM(INDEX($A267:$Z267,MATCH(Settings!$L$10,$A$1:$Z$1,0))&amp;""),""),4)),VALUE(MID(IFERROR(TRIM(INDEX($A267:$Z267,MATCH(Settings!$L$10,$A$1:$Z$1,0))&amp;""),""),6,2)),VALUE(MID(IFERROR(TRIM(INDEX($A267:$Z267,MATCH(Settings!$L$10,$A$1:$Z$1,0))&amp;""),""),9,2)))+TIME(VALUE(MID(IFERROR(TRIM(INDEX($A267:$Z267,MATCH(Settings!$L$10,$A$1:$Z$1,0))&amp;""),""),12,2)),VALUE(MID(IFERROR(TRIM(INDEX($A267:$Z267,MATCH(Settings!$L$10,$A$1:$Z$1,0))&amp;""),""),15,2)),VALUE(MID(IFERROR(TRIM(INDEX($A267:$Z267,MATCH(Settings!$L$10,$A$1:$Z$1,0))&amp;""),""),18,2)))),"")),"")</f>
        <v/>
      </c>
      <c r="AL267" s="32">
        <f>IF(AE267="","",IF(ISNUMBER(AK267),AK267,IFERROR(INT(IFERROR(IF(ISNUMBER(INDEX($A267:$Z267,MATCH(Settings!$L$11,$A$1:$Z$1,0))),INDEX($A267:$Z267,MATCH(Settings!$L$11,$A$1:$Z$1,0)),DATE(VALUE(LEFT(IFERROR(TRIM(INDEX($A267:$Z267,MATCH(Settings!$L$11,$A$1:$Z$1,0))&amp;""),""),4)),VALUE(MID(IFERROR(TRIM(INDEX($A267:$Z267,MATCH(Settings!$L$11,$A$1:$Z$1,0))&amp;""),""),6,2)),VALUE(MID(IFERROR(TRIM(INDEX($A267:$Z267,MATCH(Settings!$L$11,$A$1:$Z$1,0))&amp;""),""),9,2)))+TIME(VALUE(MID(IFERROR(TRIM(INDEX($A267:$Z267,MATCH(Settings!$L$11,$A$1:$Z$1,0))&amp;""),""),12,2)),VALUE(MID(IFERROR(TRIM(INDEX($A267:$Z267,MATCH(Settings!$L$11,$A$1:$Z$1,0))&amp;""),""),15,2)),VALUE(MID(IFERROR(TRIM(INDEX($A267:$Z267,MATCH(Settings!$L$11,$A$1:$Z$1,0))&amp;""),""),18,2)))),"")),"")))</f>
        <v/>
      </c>
      <c r="AM267" s="31">
        <f>IF(AE267="","",IF(ISNUMBER(IFERROR(INDEX(Settings!$G$4:$G$11,MATCH(AH267,Settings!$F$4:$F$11,0)),"")),INDEX(Settings!$G$4:$G$11,MATCH(AH267,Settings!$F$4:$F$11,0)),Settings!$D$5))</f>
        <v/>
      </c>
      <c r="AN267" s="32">
        <f>IF(OR(AE267="",NOT(ISNUMBER(AL267)),NOT(ISNUMBER(AM267))),"",IF(AM267&lt;=0,"",IF(ISNUMBER(Settings!$D$8),DATE(YEAR(AL267)+IF(DATE(YEAR(AL267),MONTH(Settings!$D$8),DAY(Settings!$D$8))&gt;AL267,0,1),MONTH(Settings!$D$8),DAY(Settings!$D$8)),MIN(DATE(YEAR(AL267),MONTH(AL267)+AM267,DAY(AL267)),DATE(YEAR(AL267),MONTH(AL267)+AM267+1,0)))))</f>
        <v/>
      </c>
      <c r="AO267" s="31">
        <f>IF(ISNUMBER(AN267),AN267-Settings!$D$4,"")</f>
        <v/>
      </c>
      <c r="AP267" s="31">
        <f>IF(ISNUMBER(AL267),AL267+0+ROW()/100000,"")</f>
        <v/>
      </c>
      <c r="AQ267" s="31">
        <f>IF(OR(AG267="",NOT(ISNUMBER(AP267))),0,IF(SUMPRODUCT(('Responses'!$AG$2:$AG$501=AG267)*('Responses'!$AJ$2:$AJ$501=1)*ISNUMBER('Responses'!$AP$2:$AP$501)*('Responses'!$AP$2:$AP$501&gt;AP267)) + SUMPRODUCT(('Paper sign-ups'!$K$2:$K$101=AG267)*('Paper sign-ups'!$N$2:$N$101=1)*ISNUMBER('Paper sign-ups'!$T$2:$T$101)*('Paper sign-ups'!$T$2:$T$101&gt;AP267))&gt;0,1,0))</f>
        <v/>
      </c>
      <c r="AR267" s="31">
        <f>IF(AE267="","",IF(AQ267=1,"Joined again",IF(AJ267=0,"Unpaid",IF(NOT(ISNUMBER(AL267)),"Add a join date",IF(AN267="","No reminder",IF(AO267&lt;0,"Lapsed",IF(AO267&lt;=Settings!$D$6,"Remind soon","Current")))))))</f>
        <v/>
      </c>
      <c r="AS267" s="33">
        <f>IF(AJ267=1,IFERROR(VALUE(IFERROR(TRIM(INDEX($A267:$Z267,MATCH(Settings!$L$8,$A$1:$Z$1,0))&amp;""),"")),0)-IFERROR(VALUE(IFERROR(TRIM(INDEX($A267:$Z267,MATCH(Settings!$L$9,$A$1:$Z$1,0))&amp;""),"")),0),0)</f>
        <v/>
      </c>
      <c r="AT267" s="31">
        <f>IF(AND(AE267&lt;&gt;"",AQ267=0),1,0)</f>
        <v/>
      </c>
      <c r="AU267" s="31">
        <f>IF(AT267=0,"",IF(ISNUMBER(AN267),AN267,100000)+0+ROW()/1000000)</f>
        <v/>
      </c>
      <c r="AV267" s="31">
        <f>IF(ISNUMBER(AU267),SUMPRODUCT(ISNUMBER('Responses'!$AU$2:$AU$501)*('Responses'!$AU$2:$AU$501&lt;AU267)) + SUMPRODUCT(ISNUMBER('Paper sign-ups'!$Y$2:$Y$101)*('Paper sign-ups'!$Y$2:$Y$101&lt;AU267))+1,"")</f>
        <v/>
      </c>
    </row>
    <row r="268">
      <c r="AA268" s="29" t="n"/>
      <c r="AB268" s="30" t="n"/>
      <c r="AC268" s="30" t="n"/>
      <c r="AD268" s="29" t="n"/>
      <c r="AE268" s="31">
        <f>IFERROR(TRIM(INDEX($A268:$Z268,MATCH(Settings!$L$4,$A$1:$Z$1,0))&amp;""),"")</f>
        <v/>
      </c>
      <c r="AF268" s="31">
        <f>IFERROR(TRIM(INDEX($A268:$Z268,MATCH(Settings!$L$5,$A$1:$Z$1,0))&amp;""),"")</f>
        <v/>
      </c>
      <c r="AG268" s="31">
        <f>IF(AE268="","",LOWER(IF(AF268&lt;&gt;"",AF268,AE268)))</f>
        <v/>
      </c>
      <c r="AH268" s="31">
        <f>IFERROR(TRIM(INDEX($A268:$Z268,MATCH(Settings!$L$6,$A$1:$Z$1,0))&amp;""),"")</f>
        <v/>
      </c>
      <c r="AI268" s="31">
        <f>IF(AE268="","",IF(UPPER(TRIM(AB268&amp;""))="Y","Paid another way",IF(IFERROR(TRIM(INDEX($A268:$Z268,MATCH(Settings!$L$7,$A$1:$Z$1,0))&amp;""),"")="","No payment status",IFERROR(TRIM(INDEX($A268:$Z268,MATCH(Settings!$L$7,$A$1:$Z$1,0))&amp;""),""))))</f>
        <v/>
      </c>
      <c r="AJ268" s="31">
        <f>IF(AE268="",0,IF(IFERROR(INDEX(Settings!$J$4:$J$14,MATCH(AI268,Settings!$I$4:$I$14,0)),"N")="Y",1,0))</f>
        <v/>
      </c>
      <c r="AK268" s="32">
        <f>IFERROR(INT(IFERROR(IF(ISNUMBER(INDEX($A268:$Z268,MATCH(Settings!$L$10,$A$1:$Z$1,0))),INDEX($A268:$Z268,MATCH(Settings!$L$10,$A$1:$Z$1,0)),DATE(VALUE(LEFT(IFERROR(TRIM(INDEX($A268:$Z268,MATCH(Settings!$L$10,$A$1:$Z$1,0))&amp;""),""),4)),VALUE(MID(IFERROR(TRIM(INDEX($A268:$Z268,MATCH(Settings!$L$10,$A$1:$Z$1,0))&amp;""),""),6,2)),VALUE(MID(IFERROR(TRIM(INDEX($A268:$Z268,MATCH(Settings!$L$10,$A$1:$Z$1,0))&amp;""),""),9,2)))+TIME(VALUE(MID(IFERROR(TRIM(INDEX($A268:$Z268,MATCH(Settings!$L$10,$A$1:$Z$1,0))&amp;""),""),12,2)),VALUE(MID(IFERROR(TRIM(INDEX($A268:$Z268,MATCH(Settings!$L$10,$A$1:$Z$1,0))&amp;""),""),15,2)),VALUE(MID(IFERROR(TRIM(INDEX($A268:$Z268,MATCH(Settings!$L$10,$A$1:$Z$1,0))&amp;""),""),18,2)))),"")),"")</f>
        <v/>
      </c>
      <c r="AL268" s="32">
        <f>IF(AE268="","",IF(ISNUMBER(AK268),AK268,IFERROR(INT(IFERROR(IF(ISNUMBER(INDEX($A268:$Z268,MATCH(Settings!$L$11,$A$1:$Z$1,0))),INDEX($A268:$Z268,MATCH(Settings!$L$11,$A$1:$Z$1,0)),DATE(VALUE(LEFT(IFERROR(TRIM(INDEX($A268:$Z268,MATCH(Settings!$L$11,$A$1:$Z$1,0))&amp;""),""),4)),VALUE(MID(IFERROR(TRIM(INDEX($A268:$Z268,MATCH(Settings!$L$11,$A$1:$Z$1,0))&amp;""),""),6,2)),VALUE(MID(IFERROR(TRIM(INDEX($A268:$Z268,MATCH(Settings!$L$11,$A$1:$Z$1,0))&amp;""),""),9,2)))+TIME(VALUE(MID(IFERROR(TRIM(INDEX($A268:$Z268,MATCH(Settings!$L$11,$A$1:$Z$1,0))&amp;""),""),12,2)),VALUE(MID(IFERROR(TRIM(INDEX($A268:$Z268,MATCH(Settings!$L$11,$A$1:$Z$1,0))&amp;""),""),15,2)),VALUE(MID(IFERROR(TRIM(INDEX($A268:$Z268,MATCH(Settings!$L$11,$A$1:$Z$1,0))&amp;""),""),18,2)))),"")),"")))</f>
        <v/>
      </c>
      <c r="AM268" s="31">
        <f>IF(AE268="","",IF(ISNUMBER(IFERROR(INDEX(Settings!$G$4:$G$11,MATCH(AH268,Settings!$F$4:$F$11,0)),"")),INDEX(Settings!$G$4:$G$11,MATCH(AH268,Settings!$F$4:$F$11,0)),Settings!$D$5))</f>
        <v/>
      </c>
      <c r="AN268" s="32">
        <f>IF(OR(AE268="",NOT(ISNUMBER(AL268)),NOT(ISNUMBER(AM268))),"",IF(AM268&lt;=0,"",IF(ISNUMBER(Settings!$D$8),DATE(YEAR(AL268)+IF(DATE(YEAR(AL268),MONTH(Settings!$D$8),DAY(Settings!$D$8))&gt;AL268,0,1),MONTH(Settings!$D$8),DAY(Settings!$D$8)),MIN(DATE(YEAR(AL268),MONTH(AL268)+AM268,DAY(AL268)),DATE(YEAR(AL268),MONTH(AL268)+AM268+1,0)))))</f>
        <v/>
      </c>
      <c r="AO268" s="31">
        <f>IF(ISNUMBER(AN268),AN268-Settings!$D$4,"")</f>
        <v/>
      </c>
      <c r="AP268" s="31">
        <f>IF(ISNUMBER(AL268),AL268+0+ROW()/100000,"")</f>
        <v/>
      </c>
      <c r="AQ268" s="31">
        <f>IF(OR(AG268="",NOT(ISNUMBER(AP268))),0,IF(SUMPRODUCT(('Responses'!$AG$2:$AG$501=AG268)*('Responses'!$AJ$2:$AJ$501=1)*ISNUMBER('Responses'!$AP$2:$AP$501)*('Responses'!$AP$2:$AP$501&gt;AP268)) + SUMPRODUCT(('Paper sign-ups'!$K$2:$K$101=AG268)*('Paper sign-ups'!$N$2:$N$101=1)*ISNUMBER('Paper sign-ups'!$T$2:$T$101)*('Paper sign-ups'!$T$2:$T$101&gt;AP268))&gt;0,1,0))</f>
        <v/>
      </c>
      <c r="AR268" s="31">
        <f>IF(AE268="","",IF(AQ268=1,"Joined again",IF(AJ268=0,"Unpaid",IF(NOT(ISNUMBER(AL268)),"Add a join date",IF(AN268="","No reminder",IF(AO268&lt;0,"Lapsed",IF(AO268&lt;=Settings!$D$6,"Remind soon","Current")))))))</f>
        <v/>
      </c>
      <c r="AS268" s="33">
        <f>IF(AJ268=1,IFERROR(VALUE(IFERROR(TRIM(INDEX($A268:$Z268,MATCH(Settings!$L$8,$A$1:$Z$1,0))&amp;""),"")),0)-IFERROR(VALUE(IFERROR(TRIM(INDEX($A268:$Z268,MATCH(Settings!$L$9,$A$1:$Z$1,0))&amp;""),"")),0),0)</f>
        <v/>
      </c>
      <c r="AT268" s="31">
        <f>IF(AND(AE268&lt;&gt;"",AQ268=0),1,0)</f>
        <v/>
      </c>
      <c r="AU268" s="31">
        <f>IF(AT268=0,"",IF(ISNUMBER(AN268),AN268,100000)+0+ROW()/1000000)</f>
        <v/>
      </c>
      <c r="AV268" s="31">
        <f>IF(ISNUMBER(AU268),SUMPRODUCT(ISNUMBER('Responses'!$AU$2:$AU$501)*('Responses'!$AU$2:$AU$501&lt;AU268)) + SUMPRODUCT(ISNUMBER('Paper sign-ups'!$Y$2:$Y$101)*('Paper sign-ups'!$Y$2:$Y$101&lt;AU268))+1,"")</f>
        <v/>
      </c>
    </row>
    <row r="269">
      <c r="AA269" s="29" t="n"/>
      <c r="AB269" s="30" t="n"/>
      <c r="AC269" s="30" t="n"/>
      <c r="AD269" s="29" t="n"/>
      <c r="AE269" s="31">
        <f>IFERROR(TRIM(INDEX($A269:$Z269,MATCH(Settings!$L$4,$A$1:$Z$1,0))&amp;""),"")</f>
        <v/>
      </c>
      <c r="AF269" s="31">
        <f>IFERROR(TRIM(INDEX($A269:$Z269,MATCH(Settings!$L$5,$A$1:$Z$1,0))&amp;""),"")</f>
        <v/>
      </c>
      <c r="AG269" s="31">
        <f>IF(AE269="","",LOWER(IF(AF269&lt;&gt;"",AF269,AE269)))</f>
        <v/>
      </c>
      <c r="AH269" s="31">
        <f>IFERROR(TRIM(INDEX($A269:$Z269,MATCH(Settings!$L$6,$A$1:$Z$1,0))&amp;""),"")</f>
        <v/>
      </c>
      <c r="AI269" s="31">
        <f>IF(AE269="","",IF(UPPER(TRIM(AB269&amp;""))="Y","Paid another way",IF(IFERROR(TRIM(INDEX($A269:$Z269,MATCH(Settings!$L$7,$A$1:$Z$1,0))&amp;""),"")="","No payment status",IFERROR(TRIM(INDEX($A269:$Z269,MATCH(Settings!$L$7,$A$1:$Z$1,0))&amp;""),""))))</f>
        <v/>
      </c>
      <c r="AJ269" s="31">
        <f>IF(AE269="",0,IF(IFERROR(INDEX(Settings!$J$4:$J$14,MATCH(AI269,Settings!$I$4:$I$14,0)),"N")="Y",1,0))</f>
        <v/>
      </c>
      <c r="AK269" s="32">
        <f>IFERROR(INT(IFERROR(IF(ISNUMBER(INDEX($A269:$Z269,MATCH(Settings!$L$10,$A$1:$Z$1,0))),INDEX($A269:$Z269,MATCH(Settings!$L$10,$A$1:$Z$1,0)),DATE(VALUE(LEFT(IFERROR(TRIM(INDEX($A269:$Z269,MATCH(Settings!$L$10,$A$1:$Z$1,0))&amp;""),""),4)),VALUE(MID(IFERROR(TRIM(INDEX($A269:$Z269,MATCH(Settings!$L$10,$A$1:$Z$1,0))&amp;""),""),6,2)),VALUE(MID(IFERROR(TRIM(INDEX($A269:$Z269,MATCH(Settings!$L$10,$A$1:$Z$1,0))&amp;""),""),9,2)))+TIME(VALUE(MID(IFERROR(TRIM(INDEX($A269:$Z269,MATCH(Settings!$L$10,$A$1:$Z$1,0))&amp;""),""),12,2)),VALUE(MID(IFERROR(TRIM(INDEX($A269:$Z269,MATCH(Settings!$L$10,$A$1:$Z$1,0))&amp;""),""),15,2)),VALUE(MID(IFERROR(TRIM(INDEX($A269:$Z269,MATCH(Settings!$L$10,$A$1:$Z$1,0))&amp;""),""),18,2)))),"")),"")</f>
        <v/>
      </c>
      <c r="AL269" s="32">
        <f>IF(AE269="","",IF(ISNUMBER(AK269),AK269,IFERROR(INT(IFERROR(IF(ISNUMBER(INDEX($A269:$Z269,MATCH(Settings!$L$11,$A$1:$Z$1,0))),INDEX($A269:$Z269,MATCH(Settings!$L$11,$A$1:$Z$1,0)),DATE(VALUE(LEFT(IFERROR(TRIM(INDEX($A269:$Z269,MATCH(Settings!$L$11,$A$1:$Z$1,0))&amp;""),""),4)),VALUE(MID(IFERROR(TRIM(INDEX($A269:$Z269,MATCH(Settings!$L$11,$A$1:$Z$1,0))&amp;""),""),6,2)),VALUE(MID(IFERROR(TRIM(INDEX($A269:$Z269,MATCH(Settings!$L$11,$A$1:$Z$1,0))&amp;""),""),9,2)))+TIME(VALUE(MID(IFERROR(TRIM(INDEX($A269:$Z269,MATCH(Settings!$L$11,$A$1:$Z$1,0))&amp;""),""),12,2)),VALUE(MID(IFERROR(TRIM(INDEX($A269:$Z269,MATCH(Settings!$L$11,$A$1:$Z$1,0))&amp;""),""),15,2)),VALUE(MID(IFERROR(TRIM(INDEX($A269:$Z269,MATCH(Settings!$L$11,$A$1:$Z$1,0))&amp;""),""),18,2)))),"")),"")))</f>
        <v/>
      </c>
      <c r="AM269" s="31">
        <f>IF(AE269="","",IF(ISNUMBER(IFERROR(INDEX(Settings!$G$4:$G$11,MATCH(AH269,Settings!$F$4:$F$11,0)),"")),INDEX(Settings!$G$4:$G$11,MATCH(AH269,Settings!$F$4:$F$11,0)),Settings!$D$5))</f>
        <v/>
      </c>
      <c r="AN269" s="32">
        <f>IF(OR(AE269="",NOT(ISNUMBER(AL269)),NOT(ISNUMBER(AM269))),"",IF(AM269&lt;=0,"",IF(ISNUMBER(Settings!$D$8),DATE(YEAR(AL269)+IF(DATE(YEAR(AL269),MONTH(Settings!$D$8),DAY(Settings!$D$8))&gt;AL269,0,1),MONTH(Settings!$D$8),DAY(Settings!$D$8)),MIN(DATE(YEAR(AL269),MONTH(AL269)+AM269,DAY(AL269)),DATE(YEAR(AL269),MONTH(AL269)+AM269+1,0)))))</f>
        <v/>
      </c>
      <c r="AO269" s="31">
        <f>IF(ISNUMBER(AN269),AN269-Settings!$D$4,"")</f>
        <v/>
      </c>
      <c r="AP269" s="31">
        <f>IF(ISNUMBER(AL269),AL269+0+ROW()/100000,"")</f>
        <v/>
      </c>
      <c r="AQ269" s="31">
        <f>IF(OR(AG269="",NOT(ISNUMBER(AP269))),0,IF(SUMPRODUCT(('Responses'!$AG$2:$AG$501=AG269)*('Responses'!$AJ$2:$AJ$501=1)*ISNUMBER('Responses'!$AP$2:$AP$501)*('Responses'!$AP$2:$AP$501&gt;AP269)) + SUMPRODUCT(('Paper sign-ups'!$K$2:$K$101=AG269)*('Paper sign-ups'!$N$2:$N$101=1)*ISNUMBER('Paper sign-ups'!$T$2:$T$101)*('Paper sign-ups'!$T$2:$T$101&gt;AP269))&gt;0,1,0))</f>
        <v/>
      </c>
      <c r="AR269" s="31">
        <f>IF(AE269="","",IF(AQ269=1,"Joined again",IF(AJ269=0,"Unpaid",IF(NOT(ISNUMBER(AL269)),"Add a join date",IF(AN269="","No reminder",IF(AO269&lt;0,"Lapsed",IF(AO269&lt;=Settings!$D$6,"Remind soon","Current")))))))</f>
        <v/>
      </c>
      <c r="AS269" s="33">
        <f>IF(AJ269=1,IFERROR(VALUE(IFERROR(TRIM(INDEX($A269:$Z269,MATCH(Settings!$L$8,$A$1:$Z$1,0))&amp;""),"")),0)-IFERROR(VALUE(IFERROR(TRIM(INDEX($A269:$Z269,MATCH(Settings!$L$9,$A$1:$Z$1,0))&amp;""),"")),0),0)</f>
        <v/>
      </c>
      <c r="AT269" s="31">
        <f>IF(AND(AE269&lt;&gt;"",AQ269=0),1,0)</f>
        <v/>
      </c>
      <c r="AU269" s="31">
        <f>IF(AT269=0,"",IF(ISNUMBER(AN269),AN269,100000)+0+ROW()/1000000)</f>
        <v/>
      </c>
      <c r="AV269" s="31">
        <f>IF(ISNUMBER(AU269),SUMPRODUCT(ISNUMBER('Responses'!$AU$2:$AU$501)*('Responses'!$AU$2:$AU$501&lt;AU269)) + SUMPRODUCT(ISNUMBER('Paper sign-ups'!$Y$2:$Y$101)*('Paper sign-ups'!$Y$2:$Y$101&lt;AU269))+1,"")</f>
        <v/>
      </c>
    </row>
    <row r="270">
      <c r="AA270" s="29" t="n"/>
      <c r="AB270" s="30" t="n"/>
      <c r="AC270" s="30" t="n"/>
      <c r="AD270" s="29" t="n"/>
      <c r="AE270" s="31">
        <f>IFERROR(TRIM(INDEX($A270:$Z270,MATCH(Settings!$L$4,$A$1:$Z$1,0))&amp;""),"")</f>
        <v/>
      </c>
      <c r="AF270" s="31">
        <f>IFERROR(TRIM(INDEX($A270:$Z270,MATCH(Settings!$L$5,$A$1:$Z$1,0))&amp;""),"")</f>
        <v/>
      </c>
      <c r="AG270" s="31">
        <f>IF(AE270="","",LOWER(IF(AF270&lt;&gt;"",AF270,AE270)))</f>
        <v/>
      </c>
      <c r="AH270" s="31">
        <f>IFERROR(TRIM(INDEX($A270:$Z270,MATCH(Settings!$L$6,$A$1:$Z$1,0))&amp;""),"")</f>
        <v/>
      </c>
      <c r="AI270" s="31">
        <f>IF(AE270="","",IF(UPPER(TRIM(AB270&amp;""))="Y","Paid another way",IF(IFERROR(TRIM(INDEX($A270:$Z270,MATCH(Settings!$L$7,$A$1:$Z$1,0))&amp;""),"")="","No payment status",IFERROR(TRIM(INDEX($A270:$Z270,MATCH(Settings!$L$7,$A$1:$Z$1,0))&amp;""),""))))</f>
        <v/>
      </c>
      <c r="AJ270" s="31">
        <f>IF(AE270="",0,IF(IFERROR(INDEX(Settings!$J$4:$J$14,MATCH(AI270,Settings!$I$4:$I$14,0)),"N")="Y",1,0))</f>
        <v/>
      </c>
      <c r="AK270" s="32">
        <f>IFERROR(INT(IFERROR(IF(ISNUMBER(INDEX($A270:$Z270,MATCH(Settings!$L$10,$A$1:$Z$1,0))),INDEX($A270:$Z270,MATCH(Settings!$L$10,$A$1:$Z$1,0)),DATE(VALUE(LEFT(IFERROR(TRIM(INDEX($A270:$Z270,MATCH(Settings!$L$10,$A$1:$Z$1,0))&amp;""),""),4)),VALUE(MID(IFERROR(TRIM(INDEX($A270:$Z270,MATCH(Settings!$L$10,$A$1:$Z$1,0))&amp;""),""),6,2)),VALUE(MID(IFERROR(TRIM(INDEX($A270:$Z270,MATCH(Settings!$L$10,$A$1:$Z$1,0))&amp;""),""),9,2)))+TIME(VALUE(MID(IFERROR(TRIM(INDEX($A270:$Z270,MATCH(Settings!$L$10,$A$1:$Z$1,0))&amp;""),""),12,2)),VALUE(MID(IFERROR(TRIM(INDEX($A270:$Z270,MATCH(Settings!$L$10,$A$1:$Z$1,0))&amp;""),""),15,2)),VALUE(MID(IFERROR(TRIM(INDEX($A270:$Z270,MATCH(Settings!$L$10,$A$1:$Z$1,0))&amp;""),""),18,2)))),"")),"")</f>
        <v/>
      </c>
      <c r="AL270" s="32">
        <f>IF(AE270="","",IF(ISNUMBER(AK270),AK270,IFERROR(INT(IFERROR(IF(ISNUMBER(INDEX($A270:$Z270,MATCH(Settings!$L$11,$A$1:$Z$1,0))),INDEX($A270:$Z270,MATCH(Settings!$L$11,$A$1:$Z$1,0)),DATE(VALUE(LEFT(IFERROR(TRIM(INDEX($A270:$Z270,MATCH(Settings!$L$11,$A$1:$Z$1,0))&amp;""),""),4)),VALUE(MID(IFERROR(TRIM(INDEX($A270:$Z270,MATCH(Settings!$L$11,$A$1:$Z$1,0))&amp;""),""),6,2)),VALUE(MID(IFERROR(TRIM(INDEX($A270:$Z270,MATCH(Settings!$L$11,$A$1:$Z$1,0))&amp;""),""),9,2)))+TIME(VALUE(MID(IFERROR(TRIM(INDEX($A270:$Z270,MATCH(Settings!$L$11,$A$1:$Z$1,0))&amp;""),""),12,2)),VALUE(MID(IFERROR(TRIM(INDEX($A270:$Z270,MATCH(Settings!$L$11,$A$1:$Z$1,0))&amp;""),""),15,2)),VALUE(MID(IFERROR(TRIM(INDEX($A270:$Z270,MATCH(Settings!$L$11,$A$1:$Z$1,0))&amp;""),""),18,2)))),"")),"")))</f>
        <v/>
      </c>
      <c r="AM270" s="31">
        <f>IF(AE270="","",IF(ISNUMBER(IFERROR(INDEX(Settings!$G$4:$G$11,MATCH(AH270,Settings!$F$4:$F$11,0)),"")),INDEX(Settings!$G$4:$G$11,MATCH(AH270,Settings!$F$4:$F$11,0)),Settings!$D$5))</f>
        <v/>
      </c>
      <c r="AN270" s="32">
        <f>IF(OR(AE270="",NOT(ISNUMBER(AL270)),NOT(ISNUMBER(AM270))),"",IF(AM270&lt;=0,"",IF(ISNUMBER(Settings!$D$8),DATE(YEAR(AL270)+IF(DATE(YEAR(AL270),MONTH(Settings!$D$8),DAY(Settings!$D$8))&gt;AL270,0,1),MONTH(Settings!$D$8),DAY(Settings!$D$8)),MIN(DATE(YEAR(AL270),MONTH(AL270)+AM270,DAY(AL270)),DATE(YEAR(AL270),MONTH(AL270)+AM270+1,0)))))</f>
        <v/>
      </c>
      <c r="AO270" s="31">
        <f>IF(ISNUMBER(AN270),AN270-Settings!$D$4,"")</f>
        <v/>
      </c>
      <c r="AP270" s="31">
        <f>IF(ISNUMBER(AL270),AL270+0+ROW()/100000,"")</f>
        <v/>
      </c>
      <c r="AQ270" s="31">
        <f>IF(OR(AG270="",NOT(ISNUMBER(AP270))),0,IF(SUMPRODUCT(('Responses'!$AG$2:$AG$501=AG270)*('Responses'!$AJ$2:$AJ$501=1)*ISNUMBER('Responses'!$AP$2:$AP$501)*('Responses'!$AP$2:$AP$501&gt;AP270)) + SUMPRODUCT(('Paper sign-ups'!$K$2:$K$101=AG270)*('Paper sign-ups'!$N$2:$N$101=1)*ISNUMBER('Paper sign-ups'!$T$2:$T$101)*('Paper sign-ups'!$T$2:$T$101&gt;AP270))&gt;0,1,0))</f>
        <v/>
      </c>
      <c r="AR270" s="31">
        <f>IF(AE270="","",IF(AQ270=1,"Joined again",IF(AJ270=0,"Unpaid",IF(NOT(ISNUMBER(AL270)),"Add a join date",IF(AN270="","No reminder",IF(AO270&lt;0,"Lapsed",IF(AO270&lt;=Settings!$D$6,"Remind soon","Current")))))))</f>
        <v/>
      </c>
      <c r="AS270" s="33">
        <f>IF(AJ270=1,IFERROR(VALUE(IFERROR(TRIM(INDEX($A270:$Z270,MATCH(Settings!$L$8,$A$1:$Z$1,0))&amp;""),"")),0)-IFERROR(VALUE(IFERROR(TRIM(INDEX($A270:$Z270,MATCH(Settings!$L$9,$A$1:$Z$1,0))&amp;""),"")),0),0)</f>
        <v/>
      </c>
      <c r="AT270" s="31">
        <f>IF(AND(AE270&lt;&gt;"",AQ270=0),1,0)</f>
        <v/>
      </c>
      <c r="AU270" s="31">
        <f>IF(AT270=0,"",IF(ISNUMBER(AN270),AN270,100000)+0+ROW()/1000000)</f>
        <v/>
      </c>
      <c r="AV270" s="31">
        <f>IF(ISNUMBER(AU270),SUMPRODUCT(ISNUMBER('Responses'!$AU$2:$AU$501)*('Responses'!$AU$2:$AU$501&lt;AU270)) + SUMPRODUCT(ISNUMBER('Paper sign-ups'!$Y$2:$Y$101)*('Paper sign-ups'!$Y$2:$Y$101&lt;AU270))+1,"")</f>
        <v/>
      </c>
    </row>
    <row r="271">
      <c r="AA271" s="29" t="n"/>
      <c r="AB271" s="30" t="n"/>
      <c r="AC271" s="30" t="n"/>
      <c r="AD271" s="29" t="n"/>
      <c r="AE271" s="31">
        <f>IFERROR(TRIM(INDEX($A271:$Z271,MATCH(Settings!$L$4,$A$1:$Z$1,0))&amp;""),"")</f>
        <v/>
      </c>
      <c r="AF271" s="31">
        <f>IFERROR(TRIM(INDEX($A271:$Z271,MATCH(Settings!$L$5,$A$1:$Z$1,0))&amp;""),"")</f>
        <v/>
      </c>
      <c r="AG271" s="31">
        <f>IF(AE271="","",LOWER(IF(AF271&lt;&gt;"",AF271,AE271)))</f>
        <v/>
      </c>
      <c r="AH271" s="31">
        <f>IFERROR(TRIM(INDEX($A271:$Z271,MATCH(Settings!$L$6,$A$1:$Z$1,0))&amp;""),"")</f>
        <v/>
      </c>
      <c r="AI271" s="31">
        <f>IF(AE271="","",IF(UPPER(TRIM(AB271&amp;""))="Y","Paid another way",IF(IFERROR(TRIM(INDEX($A271:$Z271,MATCH(Settings!$L$7,$A$1:$Z$1,0))&amp;""),"")="","No payment status",IFERROR(TRIM(INDEX($A271:$Z271,MATCH(Settings!$L$7,$A$1:$Z$1,0))&amp;""),""))))</f>
        <v/>
      </c>
      <c r="AJ271" s="31">
        <f>IF(AE271="",0,IF(IFERROR(INDEX(Settings!$J$4:$J$14,MATCH(AI271,Settings!$I$4:$I$14,0)),"N")="Y",1,0))</f>
        <v/>
      </c>
      <c r="AK271" s="32">
        <f>IFERROR(INT(IFERROR(IF(ISNUMBER(INDEX($A271:$Z271,MATCH(Settings!$L$10,$A$1:$Z$1,0))),INDEX($A271:$Z271,MATCH(Settings!$L$10,$A$1:$Z$1,0)),DATE(VALUE(LEFT(IFERROR(TRIM(INDEX($A271:$Z271,MATCH(Settings!$L$10,$A$1:$Z$1,0))&amp;""),""),4)),VALUE(MID(IFERROR(TRIM(INDEX($A271:$Z271,MATCH(Settings!$L$10,$A$1:$Z$1,0))&amp;""),""),6,2)),VALUE(MID(IFERROR(TRIM(INDEX($A271:$Z271,MATCH(Settings!$L$10,$A$1:$Z$1,0))&amp;""),""),9,2)))+TIME(VALUE(MID(IFERROR(TRIM(INDEX($A271:$Z271,MATCH(Settings!$L$10,$A$1:$Z$1,0))&amp;""),""),12,2)),VALUE(MID(IFERROR(TRIM(INDEX($A271:$Z271,MATCH(Settings!$L$10,$A$1:$Z$1,0))&amp;""),""),15,2)),VALUE(MID(IFERROR(TRIM(INDEX($A271:$Z271,MATCH(Settings!$L$10,$A$1:$Z$1,0))&amp;""),""),18,2)))),"")),"")</f>
        <v/>
      </c>
      <c r="AL271" s="32">
        <f>IF(AE271="","",IF(ISNUMBER(AK271),AK271,IFERROR(INT(IFERROR(IF(ISNUMBER(INDEX($A271:$Z271,MATCH(Settings!$L$11,$A$1:$Z$1,0))),INDEX($A271:$Z271,MATCH(Settings!$L$11,$A$1:$Z$1,0)),DATE(VALUE(LEFT(IFERROR(TRIM(INDEX($A271:$Z271,MATCH(Settings!$L$11,$A$1:$Z$1,0))&amp;""),""),4)),VALUE(MID(IFERROR(TRIM(INDEX($A271:$Z271,MATCH(Settings!$L$11,$A$1:$Z$1,0))&amp;""),""),6,2)),VALUE(MID(IFERROR(TRIM(INDEX($A271:$Z271,MATCH(Settings!$L$11,$A$1:$Z$1,0))&amp;""),""),9,2)))+TIME(VALUE(MID(IFERROR(TRIM(INDEX($A271:$Z271,MATCH(Settings!$L$11,$A$1:$Z$1,0))&amp;""),""),12,2)),VALUE(MID(IFERROR(TRIM(INDEX($A271:$Z271,MATCH(Settings!$L$11,$A$1:$Z$1,0))&amp;""),""),15,2)),VALUE(MID(IFERROR(TRIM(INDEX($A271:$Z271,MATCH(Settings!$L$11,$A$1:$Z$1,0))&amp;""),""),18,2)))),"")),"")))</f>
        <v/>
      </c>
      <c r="AM271" s="31">
        <f>IF(AE271="","",IF(ISNUMBER(IFERROR(INDEX(Settings!$G$4:$G$11,MATCH(AH271,Settings!$F$4:$F$11,0)),"")),INDEX(Settings!$G$4:$G$11,MATCH(AH271,Settings!$F$4:$F$11,0)),Settings!$D$5))</f>
        <v/>
      </c>
      <c r="AN271" s="32">
        <f>IF(OR(AE271="",NOT(ISNUMBER(AL271)),NOT(ISNUMBER(AM271))),"",IF(AM271&lt;=0,"",IF(ISNUMBER(Settings!$D$8),DATE(YEAR(AL271)+IF(DATE(YEAR(AL271),MONTH(Settings!$D$8),DAY(Settings!$D$8))&gt;AL271,0,1),MONTH(Settings!$D$8),DAY(Settings!$D$8)),MIN(DATE(YEAR(AL271),MONTH(AL271)+AM271,DAY(AL271)),DATE(YEAR(AL271),MONTH(AL271)+AM271+1,0)))))</f>
        <v/>
      </c>
      <c r="AO271" s="31">
        <f>IF(ISNUMBER(AN271),AN271-Settings!$D$4,"")</f>
        <v/>
      </c>
      <c r="AP271" s="31">
        <f>IF(ISNUMBER(AL271),AL271+0+ROW()/100000,"")</f>
        <v/>
      </c>
      <c r="AQ271" s="31">
        <f>IF(OR(AG271="",NOT(ISNUMBER(AP271))),0,IF(SUMPRODUCT(('Responses'!$AG$2:$AG$501=AG271)*('Responses'!$AJ$2:$AJ$501=1)*ISNUMBER('Responses'!$AP$2:$AP$501)*('Responses'!$AP$2:$AP$501&gt;AP271)) + SUMPRODUCT(('Paper sign-ups'!$K$2:$K$101=AG271)*('Paper sign-ups'!$N$2:$N$101=1)*ISNUMBER('Paper sign-ups'!$T$2:$T$101)*('Paper sign-ups'!$T$2:$T$101&gt;AP271))&gt;0,1,0))</f>
        <v/>
      </c>
      <c r="AR271" s="31">
        <f>IF(AE271="","",IF(AQ271=1,"Joined again",IF(AJ271=0,"Unpaid",IF(NOT(ISNUMBER(AL271)),"Add a join date",IF(AN271="","No reminder",IF(AO271&lt;0,"Lapsed",IF(AO271&lt;=Settings!$D$6,"Remind soon","Current")))))))</f>
        <v/>
      </c>
      <c r="AS271" s="33">
        <f>IF(AJ271=1,IFERROR(VALUE(IFERROR(TRIM(INDEX($A271:$Z271,MATCH(Settings!$L$8,$A$1:$Z$1,0))&amp;""),"")),0)-IFERROR(VALUE(IFERROR(TRIM(INDEX($A271:$Z271,MATCH(Settings!$L$9,$A$1:$Z$1,0))&amp;""),"")),0),0)</f>
        <v/>
      </c>
      <c r="AT271" s="31">
        <f>IF(AND(AE271&lt;&gt;"",AQ271=0),1,0)</f>
        <v/>
      </c>
      <c r="AU271" s="31">
        <f>IF(AT271=0,"",IF(ISNUMBER(AN271),AN271,100000)+0+ROW()/1000000)</f>
        <v/>
      </c>
      <c r="AV271" s="31">
        <f>IF(ISNUMBER(AU271),SUMPRODUCT(ISNUMBER('Responses'!$AU$2:$AU$501)*('Responses'!$AU$2:$AU$501&lt;AU271)) + SUMPRODUCT(ISNUMBER('Paper sign-ups'!$Y$2:$Y$101)*('Paper sign-ups'!$Y$2:$Y$101&lt;AU271))+1,"")</f>
        <v/>
      </c>
    </row>
    <row r="272">
      <c r="AA272" s="29" t="n"/>
      <c r="AB272" s="30" t="n"/>
      <c r="AC272" s="30" t="n"/>
      <c r="AD272" s="29" t="n"/>
      <c r="AE272" s="31">
        <f>IFERROR(TRIM(INDEX($A272:$Z272,MATCH(Settings!$L$4,$A$1:$Z$1,0))&amp;""),"")</f>
        <v/>
      </c>
      <c r="AF272" s="31">
        <f>IFERROR(TRIM(INDEX($A272:$Z272,MATCH(Settings!$L$5,$A$1:$Z$1,0))&amp;""),"")</f>
        <v/>
      </c>
      <c r="AG272" s="31">
        <f>IF(AE272="","",LOWER(IF(AF272&lt;&gt;"",AF272,AE272)))</f>
        <v/>
      </c>
      <c r="AH272" s="31">
        <f>IFERROR(TRIM(INDEX($A272:$Z272,MATCH(Settings!$L$6,$A$1:$Z$1,0))&amp;""),"")</f>
        <v/>
      </c>
      <c r="AI272" s="31">
        <f>IF(AE272="","",IF(UPPER(TRIM(AB272&amp;""))="Y","Paid another way",IF(IFERROR(TRIM(INDEX($A272:$Z272,MATCH(Settings!$L$7,$A$1:$Z$1,0))&amp;""),"")="","No payment status",IFERROR(TRIM(INDEX($A272:$Z272,MATCH(Settings!$L$7,$A$1:$Z$1,0))&amp;""),""))))</f>
        <v/>
      </c>
      <c r="AJ272" s="31">
        <f>IF(AE272="",0,IF(IFERROR(INDEX(Settings!$J$4:$J$14,MATCH(AI272,Settings!$I$4:$I$14,0)),"N")="Y",1,0))</f>
        <v/>
      </c>
      <c r="AK272" s="32">
        <f>IFERROR(INT(IFERROR(IF(ISNUMBER(INDEX($A272:$Z272,MATCH(Settings!$L$10,$A$1:$Z$1,0))),INDEX($A272:$Z272,MATCH(Settings!$L$10,$A$1:$Z$1,0)),DATE(VALUE(LEFT(IFERROR(TRIM(INDEX($A272:$Z272,MATCH(Settings!$L$10,$A$1:$Z$1,0))&amp;""),""),4)),VALUE(MID(IFERROR(TRIM(INDEX($A272:$Z272,MATCH(Settings!$L$10,$A$1:$Z$1,0))&amp;""),""),6,2)),VALUE(MID(IFERROR(TRIM(INDEX($A272:$Z272,MATCH(Settings!$L$10,$A$1:$Z$1,0))&amp;""),""),9,2)))+TIME(VALUE(MID(IFERROR(TRIM(INDEX($A272:$Z272,MATCH(Settings!$L$10,$A$1:$Z$1,0))&amp;""),""),12,2)),VALUE(MID(IFERROR(TRIM(INDEX($A272:$Z272,MATCH(Settings!$L$10,$A$1:$Z$1,0))&amp;""),""),15,2)),VALUE(MID(IFERROR(TRIM(INDEX($A272:$Z272,MATCH(Settings!$L$10,$A$1:$Z$1,0))&amp;""),""),18,2)))),"")),"")</f>
        <v/>
      </c>
      <c r="AL272" s="32">
        <f>IF(AE272="","",IF(ISNUMBER(AK272),AK272,IFERROR(INT(IFERROR(IF(ISNUMBER(INDEX($A272:$Z272,MATCH(Settings!$L$11,$A$1:$Z$1,0))),INDEX($A272:$Z272,MATCH(Settings!$L$11,$A$1:$Z$1,0)),DATE(VALUE(LEFT(IFERROR(TRIM(INDEX($A272:$Z272,MATCH(Settings!$L$11,$A$1:$Z$1,0))&amp;""),""),4)),VALUE(MID(IFERROR(TRIM(INDEX($A272:$Z272,MATCH(Settings!$L$11,$A$1:$Z$1,0))&amp;""),""),6,2)),VALUE(MID(IFERROR(TRIM(INDEX($A272:$Z272,MATCH(Settings!$L$11,$A$1:$Z$1,0))&amp;""),""),9,2)))+TIME(VALUE(MID(IFERROR(TRIM(INDEX($A272:$Z272,MATCH(Settings!$L$11,$A$1:$Z$1,0))&amp;""),""),12,2)),VALUE(MID(IFERROR(TRIM(INDEX($A272:$Z272,MATCH(Settings!$L$11,$A$1:$Z$1,0))&amp;""),""),15,2)),VALUE(MID(IFERROR(TRIM(INDEX($A272:$Z272,MATCH(Settings!$L$11,$A$1:$Z$1,0))&amp;""),""),18,2)))),"")),"")))</f>
        <v/>
      </c>
      <c r="AM272" s="31">
        <f>IF(AE272="","",IF(ISNUMBER(IFERROR(INDEX(Settings!$G$4:$G$11,MATCH(AH272,Settings!$F$4:$F$11,0)),"")),INDEX(Settings!$G$4:$G$11,MATCH(AH272,Settings!$F$4:$F$11,0)),Settings!$D$5))</f>
        <v/>
      </c>
      <c r="AN272" s="32">
        <f>IF(OR(AE272="",NOT(ISNUMBER(AL272)),NOT(ISNUMBER(AM272))),"",IF(AM272&lt;=0,"",IF(ISNUMBER(Settings!$D$8),DATE(YEAR(AL272)+IF(DATE(YEAR(AL272),MONTH(Settings!$D$8),DAY(Settings!$D$8))&gt;AL272,0,1),MONTH(Settings!$D$8),DAY(Settings!$D$8)),MIN(DATE(YEAR(AL272),MONTH(AL272)+AM272,DAY(AL272)),DATE(YEAR(AL272),MONTH(AL272)+AM272+1,0)))))</f>
        <v/>
      </c>
      <c r="AO272" s="31">
        <f>IF(ISNUMBER(AN272),AN272-Settings!$D$4,"")</f>
        <v/>
      </c>
      <c r="AP272" s="31">
        <f>IF(ISNUMBER(AL272),AL272+0+ROW()/100000,"")</f>
        <v/>
      </c>
      <c r="AQ272" s="31">
        <f>IF(OR(AG272="",NOT(ISNUMBER(AP272))),0,IF(SUMPRODUCT(('Responses'!$AG$2:$AG$501=AG272)*('Responses'!$AJ$2:$AJ$501=1)*ISNUMBER('Responses'!$AP$2:$AP$501)*('Responses'!$AP$2:$AP$501&gt;AP272)) + SUMPRODUCT(('Paper sign-ups'!$K$2:$K$101=AG272)*('Paper sign-ups'!$N$2:$N$101=1)*ISNUMBER('Paper sign-ups'!$T$2:$T$101)*('Paper sign-ups'!$T$2:$T$101&gt;AP272))&gt;0,1,0))</f>
        <v/>
      </c>
      <c r="AR272" s="31">
        <f>IF(AE272="","",IF(AQ272=1,"Joined again",IF(AJ272=0,"Unpaid",IF(NOT(ISNUMBER(AL272)),"Add a join date",IF(AN272="","No reminder",IF(AO272&lt;0,"Lapsed",IF(AO272&lt;=Settings!$D$6,"Remind soon","Current")))))))</f>
        <v/>
      </c>
      <c r="AS272" s="33">
        <f>IF(AJ272=1,IFERROR(VALUE(IFERROR(TRIM(INDEX($A272:$Z272,MATCH(Settings!$L$8,$A$1:$Z$1,0))&amp;""),"")),0)-IFERROR(VALUE(IFERROR(TRIM(INDEX($A272:$Z272,MATCH(Settings!$L$9,$A$1:$Z$1,0))&amp;""),"")),0),0)</f>
        <v/>
      </c>
      <c r="AT272" s="31">
        <f>IF(AND(AE272&lt;&gt;"",AQ272=0),1,0)</f>
        <v/>
      </c>
      <c r="AU272" s="31">
        <f>IF(AT272=0,"",IF(ISNUMBER(AN272),AN272,100000)+0+ROW()/1000000)</f>
        <v/>
      </c>
      <c r="AV272" s="31">
        <f>IF(ISNUMBER(AU272),SUMPRODUCT(ISNUMBER('Responses'!$AU$2:$AU$501)*('Responses'!$AU$2:$AU$501&lt;AU272)) + SUMPRODUCT(ISNUMBER('Paper sign-ups'!$Y$2:$Y$101)*('Paper sign-ups'!$Y$2:$Y$101&lt;AU272))+1,"")</f>
        <v/>
      </c>
    </row>
    <row r="273">
      <c r="AA273" s="29" t="n"/>
      <c r="AB273" s="30" t="n"/>
      <c r="AC273" s="30" t="n"/>
      <c r="AD273" s="29" t="n"/>
      <c r="AE273" s="31">
        <f>IFERROR(TRIM(INDEX($A273:$Z273,MATCH(Settings!$L$4,$A$1:$Z$1,0))&amp;""),"")</f>
        <v/>
      </c>
      <c r="AF273" s="31">
        <f>IFERROR(TRIM(INDEX($A273:$Z273,MATCH(Settings!$L$5,$A$1:$Z$1,0))&amp;""),"")</f>
        <v/>
      </c>
      <c r="AG273" s="31">
        <f>IF(AE273="","",LOWER(IF(AF273&lt;&gt;"",AF273,AE273)))</f>
        <v/>
      </c>
      <c r="AH273" s="31">
        <f>IFERROR(TRIM(INDEX($A273:$Z273,MATCH(Settings!$L$6,$A$1:$Z$1,0))&amp;""),"")</f>
        <v/>
      </c>
      <c r="AI273" s="31">
        <f>IF(AE273="","",IF(UPPER(TRIM(AB273&amp;""))="Y","Paid another way",IF(IFERROR(TRIM(INDEX($A273:$Z273,MATCH(Settings!$L$7,$A$1:$Z$1,0))&amp;""),"")="","No payment status",IFERROR(TRIM(INDEX($A273:$Z273,MATCH(Settings!$L$7,$A$1:$Z$1,0))&amp;""),""))))</f>
        <v/>
      </c>
      <c r="AJ273" s="31">
        <f>IF(AE273="",0,IF(IFERROR(INDEX(Settings!$J$4:$J$14,MATCH(AI273,Settings!$I$4:$I$14,0)),"N")="Y",1,0))</f>
        <v/>
      </c>
      <c r="AK273" s="32">
        <f>IFERROR(INT(IFERROR(IF(ISNUMBER(INDEX($A273:$Z273,MATCH(Settings!$L$10,$A$1:$Z$1,0))),INDEX($A273:$Z273,MATCH(Settings!$L$10,$A$1:$Z$1,0)),DATE(VALUE(LEFT(IFERROR(TRIM(INDEX($A273:$Z273,MATCH(Settings!$L$10,$A$1:$Z$1,0))&amp;""),""),4)),VALUE(MID(IFERROR(TRIM(INDEX($A273:$Z273,MATCH(Settings!$L$10,$A$1:$Z$1,0))&amp;""),""),6,2)),VALUE(MID(IFERROR(TRIM(INDEX($A273:$Z273,MATCH(Settings!$L$10,$A$1:$Z$1,0))&amp;""),""),9,2)))+TIME(VALUE(MID(IFERROR(TRIM(INDEX($A273:$Z273,MATCH(Settings!$L$10,$A$1:$Z$1,0))&amp;""),""),12,2)),VALUE(MID(IFERROR(TRIM(INDEX($A273:$Z273,MATCH(Settings!$L$10,$A$1:$Z$1,0))&amp;""),""),15,2)),VALUE(MID(IFERROR(TRIM(INDEX($A273:$Z273,MATCH(Settings!$L$10,$A$1:$Z$1,0))&amp;""),""),18,2)))),"")),"")</f>
        <v/>
      </c>
      <c r="AL273" s="32">
        <f>IF(AE273="","",IF(ISNUMBER(AK273),AK273,IFERROR(INT(IFERROR(IF(ISNUMBER(INDEX($A273:$Z273,MATCH(Settings!$L$11,$A$1:$Z$1,0))),INDEX($A273:$Z273,MATCH(Settings!$L$11,$A$1:$Z$1,0)),DATE(VALUE(LEFT(IFERROR(TRIM(INDEX($A273:$Z273,MATCH(Settings!$L$11,$A$1:$Z$1,0))&amp;""),""),4)),VALUE(MID(IFERROR(TRIM(INDEX($A273:$Z273,MATCH(Settings!$L$11,$A$1:$Z$1,0))&amp;""),""),6,2)),VALUE(MID(IFERROR(TRIM(INDEX($A273:$Z273,MATCH(Settings!$L$11,$A$1:$Z$1,0))&amp;""),""),9,2)))+TIME(VALUE(MID(IFERROR(TRIM(INDEX($A273:$Z273,MATCH(Settings!$L$11,$A$1:$Z$1,0))&amp;""),""),12,2)),VALUE(MID(IFERROR(TRIM(INDEX($A273:$Z273,MATCH(Settings!$L$11,$A$1:$Z$1,0))&amp;""),""),15,2)),VALUE(MID(IFERROR(TRIM(INDEX($A273:$Z273,MATCH(Settings!$L$11,$A$1:$Z$1,0))&amp;""),""),18,2)))),"")),"")))</f>
        <v/>
      </c>
      <c r="AM273" s="31">
        <f>IF(AE273="","",IF(ISNUMBER(IFERROR(INDEX(Settings!$G$4:$G$11,MATCH(AH273,Settings!$F$4:$F$11,0)),"")),INDEX(Settings!$G$4:$G$11,MATCH(AH273,Settings!$F$4:$F$11,0)),Settings!$D$5))</f>
        <v/>
      </c>
      <c r="AN273" s="32">
        <f>IF(OR(AE273="",NOT(ISNUMBER(AL273)),NOT(ISNUMBER(AM273))),"",IF(AM273&lt;=0,"",IF(ISNUMBER(Settings!$D$8),DATE(YEAR(AL273)+IF(DATE(YEAR(AL273),MONTH(Settings!$D$8),DAY(Settings!$D$8))&gt;AL273,0,1),MONTH(Settings!$D$8),DAY(Settings!$D$8)),MIN(DATE(YEAR(AL273),MONTH(AL273)+AM273,DAY(AL273)),DATE(YEAR(AL273),MONTH(AL273)+AM273+1,0)))))</f>
        <v/>
      </c>
      <c r="AO273" s="31">
        <f>IF(ISNUMBER(AN273),AN273-Settings!$D$4,"")</f>
        <v/>
      </c>
      <c r="AP273" s="31">
        <f>IF(ISNUMBER(AL273),AL273+0+ROW()/100000,"")</f>
        <v/>
      </c>
      <c r="AQ273" s="31">
        <f>IF(OR(AG273="",NOT(ISNUMBER(AP273))),0,IF(SUMPRODUCT(('Responses'!$AG$2:$AG$501=AG273)*('Responses'!$AJ$2:$AJ$501=1)*ISNUMBER('Responses'!$AP$2:$AP$501)*('Responses'!$AP$2:$AP$501&gt;AP273)) + SUMPRODUCT(('Paper sign-ups'!$K$2:$K$101=AG273)*('Paper sign-ups'!$N$2:$N$101=1)*ISNUMBER('Paper sign-ups'!$T$2:$T$101)*('Paper sign-ups'!$T$2:$T$101&gt;AP273))&gt;0,1,0))</f>
        <v/>
      </c>
      <c r="AR273" s="31">
        <f>IF(AE273="","",IF(AQ273=1,"Joined again",IF(AJ273=0,"Unpaid",IF(NOT(ISNUMBER(AL273)),"Add a join date",IF(AN273="","No reminder",IF(AO273&lt;0,"Lapsed",IF(AO273&lt;=Settings!$D$6,"Remind soon","Current")))))))</f>
        <v/>
      </c>
      <c r="AS273" s="33">
        <f>IF(AJ273=1,IFERROR(VALUE(IFERROR(TRIM(INDEX($A273:$Z273,MATCH(Settings!$L$8,$A$1:$Z$1,0))&amp;""),"")),0)-IFERROR(VALUE(IFERROR(TRIM(INDEX($A273:$Z273,MATCH(Settings!$L$9,$A$1:$Z$1,0))&amp;""),"")),0),0)</f>
        <v/>
      </c>
      <c r="AT273" s="31">
        <f>IF(AND(AE273&lt;&gt;"",AQ273=0),1,0)</f>
        <v/>
      </c>
      <c r="AU273" s="31">
        <f>IF(AT273=0,"",IF(ISNUMBER(AN273),AN273,100000)+0+ROW()/1000000)</f>
        <v/>
      </c>
      <c r="AV273" s="31">
        <f>IF(ISNUMBER(AU273),SUMPRODUCT(ISNUMBER('Responses'!$AU$2:$AU$501)*('Responses'!$AU$2:$AU$501&lt;AU273)) + SUMPRODUCT(ISNUMBER('Paper sign-ups'!$Y$2:$Y$101)*('Paper sign-ups'!$Y$2:$Y$101&lt;AU273))+1,"")</f>
        <v/>
      </c>
    </row>
    <row r="274">
      <c r="AA274" s="29" t="n"/>
      <c r="AB274" s="30" t="n"/>
      <c r="AC274" s="30" t="n"/>
      <c r="AD274" s="29" t="n"/>
      <c r="AE274" s="31">
        <f>IFERROR(TRIM(INDEX($A274:$Z274,MATCH(Settings!$L$4,$A$1:$Z$1,0))&amp;""),"")</f>
        <v/>
      </c>
      <c r="AF274" s="31">
        <f>IFERROR(TRIM(INDEX($A274:$Z274,MATCH(Settings!$L$5,$A$1:$Z$1,0))&amp;""),"")</f>
        <v/>
      </c>
      <c r="AG274" s="31">
        <f>IF(AE274="","",LOWER(IF(AF274&lt;&gt;"",AF274,AE274)))</f>
        <v/>
      </c>
      <c r="AH274" s="31">
        <f>IFERROR(TRIM(INDEX($A274:$Z274,MATCH(Settings!$L$6,$A$1:$Z$1,0))&amp;""),"")</f>
        <v/>
      </c>
      <c r="AI274" s="31">
        <f>IF(AE274="","",IF(UPPER(TRIM(AB274&amp;""))="Y","Paid another way",IF(IFERROR(TRIM(INDEX($A274:$Z274,MATCH(Settings!$L$7,$A$1:$Z$1,0))&amp;""),"")="","No payment status",IFERROR(TRIM(INDEX($A274:$Z274,MATCH(Settings!$L$7,$A$1:$Z$1,0))&amp;""),""))))</f>
        <v/>
      </c>
      <c r="AJ274" s="31">
        <f>IF(AE274="",0,IF(IFERROR(INDEX(Settings!$J$4:$J$14,MATCH(AI274,Settings!$I$4:$I$14,0)),"N")="Y",1,0))</f>
        <v/>
      </c>
      <c r="AK274" s="32">
        <f>IFERROR(INT(IFERROR(IF(ISNUMBER(INDEX($A274:$Z274,MATCH(Settings!$L$10,$A$1:$Z$1,0))),INDEX($A274:$Z274,MATCH(Settings!$L$10,$A$1:$Z$1,0)),DATE(VALUE(LEFT(IFERROR(TRIM(INDEX($A274:$Z274,MATCH(Settings!$L$10,$A$1:$Z$1,0))&amp;""),""),4)),VALUE(MID(IFERROR(TRIM(INDEX($A274:$Z274,MATCH(Settings!$L$10,$A$1:$Z$1,0))&amp;""),""),6,2)),VALUE(MID(IFERROR(TRIM(INDEX($A274:$Z274,MATCH(Settings!$L$10,$A$1:$Z$1,0))&amp;""),""),9,2)))+TIME(VALUE(MID(IFERROR(TRIM(INDEX($A274:$Z274,MATCH(Settings!$L$10,$A$1:$Z$1,0))&amp;""),""),12,2)),VALUE(MID(IFERROR(TRIM(INDEX($A274:$Z274,MATCH(Settings!$L$10,$A$1:$Z$1,0))&amp;""),""),15,2)),VALUE(MID(IFERROR(TRIM(INDEX($A274:$Z274,MATCH(Settings!$L$10,$A$1:$Z$1,0))&amp;""),""),18,2)))),"")),"")</f>
        <v/>
      </c>
      <c r="AL274" s="32">
        <f>IF(AE274="","",IF(ISNUMBER(AK274),AK274,IFERROR(INT(IFERROR(IF(ISNUMBER(INDEX($A274:$Z274,MATCH(Settings!$L$11,$A$1:$Z$1,0))),INDEX($A274:$Z274,MATCH(Settings!$L$11,$A$1:$Z$1,0)),DATE(VALUE(LEFT(IFERROR(TRIM(INDEX($A274:$Z274,MATCH(Settings!$L$11,$A$1:$Z$1,0))&amp;""),""),4)),VALUE(MID(IFERROR(TRIM(INDEX($A274:$Z274,MATCH(Settings!$L$11,$A$1:$Z$1,0))&amp;""),""),6,2)),VALUE(MID(IFERROR(TRIM(INDEX($A274:$Z274,MATCH(Settings!$L$11,$A$1:$Z$1,0))&amp;""),""),9,2)))+TIME(VALUE(MID(IFERROR(TRIM(INDEX($A274:$Z274,MATCH(Settings!$L$11,$A$1:$Z$1,0))&amp;""),""),12,2)),VALUE(MID(IFERROR(TRIM(INDEX($A274:$Z274,MATCH(Settings!$L$11,$A$1:$Z$1,0))&amp;""),""),15,2)),VALUE(MID(IFERROR(TRIM(INDEX($A274:$Z274,MATCH(Settings!$L$11,$A$1:$Z$1,0))&amp;""),""),18,2)))),"")),"")))</f>
        <v/>
      </c>
      <c r="AM274" s="31">
        <f>IF(AE274="","",IF(ISNUMBER(IFERROR(INDEX(Settings!$G$4:$G$11,MATCH(AH274,Settings!$F$4:$F$11,0)),"")),INDEX(Settings!$G$4:$G$11,MATCH(AH274,Settings!$F$4:$F$11,0)),Settings!$D$5))</f>
        <v/>
      </c>
      <c r="AN274" s="32">
        <f>IF(OR(AE274="",NOT(ISNUMBER(AL274)),NOT(ISNUMBER(AM274))),"",IF(AM274&lt;=0,"",IF(ISNUMBER(Settings!$D$8),DATE(YEAR(AL274)+IF(DATE(YEAR(AL274),MONTH(Settings!$D$8),DAY(Settings!$D$8))&gt;AL274,0,1),MONTH(Settings!$D$8),DAY(Settings!$D$8)),MIN(DATE(YEAR(AL274),MONTH(AL274)+AM274,DAY(AL274)),DATE(YEAR(AL274),MONTH(AL274)+AM274+1,0)))))</f>
        <v/>
      </c>
      <c r="AO274" s="31">
        <f>IF(ISNUMBER(AN274),AN274-Settings!$D$4,"")</f>
        <v/>
      </c>
      <c r="AP274" s="31">
        <f>IF(ISNUMBER(AL274),AL274+0+ROW()/100000,"")</f>
        <v/>
      </c>
      <c r="AQ274" s="31">
        <f>IF(OR(AG274="",NOT(ISNUMBER(AP274))),0,IF(SUMPRODUCT(('Responses'!$AG$2:$AG$501=AG274)*('Responses'!$AJ$2:$AJ$501=1)*ISNUMBER('Responses'!$AP$2:$AP$501)*('Responses'!$AP$2:$AP$501&gt;AP274)) + SUMPRODUCT(('Paper sign-ups'!$K$2:$K$101=AG274)*('Paper sign-ups'!$N$2:$N$101=1)*ISNUMBER('Paper sign-ups'!$T$2:$T$101)*('Paper sign-ups'!$T$2:$T$101&gt;AP274))&gt;0,1,0))</f>
        <v/>
      </c>
      <c r="AR274" s="31">
        <f>IF(AE274="","",IF(AQ274=1,"Joined again",IF(AJ274=0,"Unpaid",IF(NOT(ISNUMBER(AL274)),"Add a join date",IF(AN274="","No reminder",IF(AO274&lt;0,"Lapsed",IF(AO274&lt;=Settings!$D$6,"Remind soon","Current")))))))</f>
        <v/>
      </c>
      <c r="AS274" s="33">
        <f>IF(AJ274=1,IFERROR(VALUE(IFERROR(TRIM(INDEX($A274:$Z274,MATCH(Settings!$L$8,$A$1:$Z$1,0))&amp;""),"")),0)-IFERROR(VALUE(IFERROR(TRIM(INDEX($A274:$Z274,MATCH(Settings!$L$9,$A$1:$Z$1,0))&amp;""),"")),0),0)</f>
        <v/>
      </c>
      <c r="AT274" s="31">
        <f>IF(AND(AE274&lt;&gt;"",AQ274=0),1,0)</f>
        <v/>
      </c>
      <c r="AU274" s="31">
        <f>IF(AT274=0,"",IF(ISNUMBER(AN274),AN274,100000)+0+ROW()/1000000)</f>
        <v/>
      </c>
      <c r="AV274" s="31">
        <f>IF(ISNUMBER(AU274),SUMPRODUCT(ISNUMBER('Responses'!$AU$2:$AU$501)*('Responses'!$AU$2:$AU$501&lt;AU274)) + SUMPRODUCT(ISNUMBER('Paper sign-ups'!$Y$2:$Y$101)*('Paper sign-ups'!$Y$2:$Y$101&lt;AU274))+1,"")</f>
        <v/>
      </c>
    </row>
    <row r="275">
      <c r="AA275" s="29" t="n"/>
      <c r="AB275" s="30" t="n"/>
      <c r="AC275" s="30" t="n"/>
      <c r="AD275" s="29" t="n"/>
      <c r="AE275" s="31">
        <f>IFERROR(TRIM(INDEX($A275:$Z275,MATCH(Settings!$L$4,$A$1:$Z$1,0))&amp;""),"")</f>
        <v/>
      </c>
      <c r="AF275" s="31">
        <f>IFERROR(TRIM(INDEX($A275:$Z275,MATCH(Settings!$L$5,$A$1:$Z$1,0))&amp;""),"")</f>
        <v/>
      </c>
      <c r="AG275" s="31">
        <f>IF(AE275="","",LOWER(IF(AF275&lt;&gt;"",AF275,AE275)))</f>
        <v/>
      </c>
      <c r="AH275" s="31">
        <f>IFERROR(TRIM(INDEX($A275:$Z275,MATCH(Settings!$L$6,$A$1:$Z$1,0))&amp;""),"")</f>
        <v/>
      </c>
      <c r="AI275" s="31">
        <f>IF(AE275="","",IF(UPPER(TRIM(AB275&amp;""))="Y","Paid another way",IF(IFERROR(TRIM(INDEX($A275:$Z275,MATCH(Settings!$L$7,$A$1:$Z$1,0))&amp;""),"")="","No payment status",IFERROR(TRIM(INDEX($A275:$Z275,MATCH(Settings!$L$7,$A$1:$Z$1,0))&amp;""),""))))</f>
        <v/>
      </c>
      <c r="AJ275" s="31">
        <f>IF(AE275="",0,IF(IFERROR(INDEX(Settings!$J$4:$J$14,MATCH(AI275,Settings!$I$4:$I$14,0)),"N")="Y",1,0))</f>
        <v/>
      </c>
      <c r="AK275" s="32">
        <f>IFERROR(INT(IFERROR(IF(ISNUMBER(INDEX($A275:$Z275,MATCH(Settings!$L$10,$A$1:$Z$1,0))),INDEX($A275:$Z275,MATCH(Settings!$L$10,$A$1:$Z$1,0)),DATE(VALUE(LEFT(IFERROR(TRIM(INDEX($A275:$Z275,MATCH(Settings!$L$10,$A$1:$Z$1,0))&amp;""),""),4)),VALUE(MID(IFERROR(TRIM(INDEX($A275:$Z275,MATCH(Settings!$L$10,$A$1:$Z$1,0))&amp;""),""),6,2)),VALUE(MID(IFERROR(TRIM(INDEX($A275:$Z275,MATCH(Settings!$L$10,$A$1:$Z$1,0))&amp;""),""),9,2)))+TIME(VALUE(MID(IFERROR(TRIM(INDEX($A275:$Z275,MATCH(Settings!$L$10,$A$1:$Z$1,0))&amp;""),""),12,2)),VALUE(MID(IFERROR(TRIM(INDEX($A275:$Z275,MATCH(Settings!$L$10,$A$1:$Z$1,0))&amp;""),""),15,2)),VALUE(MID(IFERROR(TRIM(INDEX($A275:$Z275,MATCH(Settings!$L$10,$A$1:$Z$1,0))&amp;""),""),18,2)))),"")),"")</f>
        <v/>
      </c>
      <c r="AL275" s="32">
        <f>IF(AE275="","",IF(ISNUMBER(AK275),AK275,IFERROR(INT(IFERROR(IF(ISNUMBER(INDEX($A275:$Z275,MATCH(Settings!$L$11,$A$1:$Z$1,0))),INDEX($A275:$Z275,MATCH(Settings!$L$11,$A$1:$Z$1,0)),DATE(VALUE(LEFT(IFERROR(TRIM(INDEX($A275:$Z275,MATCH(Settings!$L$11,$A$1:$Z$1,0))&amp;""),""),4)),VALUE(MID(IFERROR(TRIM(INDEX($A275:$Z275,MATCH(Settings!$L$11,$A$1:$Z$1,0))&amp;""),""),6,2)),VALUE(MID(IFERROR(TRIM(INDEX($A275:$Z275,MATCH(Settings!$L$11,$A$1:$Z$1,0))&amp;""),""),9,2)))+TIME(VALUE(MID(IFERROR(TRIM(INDEX($A275:$Z275,MATCH(Settings!$L$11,$A$1:$Z$1,0))&amp;""),""),12,2)),VALUE(MID(IFERROR(TRIM(INDEX($A275:$Z275,MATCH(Settings!$L$11,$A$1:$Z$1,0))&amp;""),""),15,2)),VALUE(MID(IFERROR(TRIM(INDEX($A275:$Z275,MATCH(Settings!$L$11,$A$1:$Z$1,0))&amp;""),""),18,2)))),"")),"")))</f>
        <v/>
      </c>
      <c r="AM275" s="31">
        <f>IF(AE275="","",IF(ISNUMBER(IFERROR(INDEX(Settings!$G$4:$G$11,MATCH(AH275,Settings!$F$4:$F$11,0)),"")),INDEX(Settings!$G$4:$G$11,MATCH(AH275,Settings!$F$4:$F$11,0)),Settings!$D$5))</f>
        <v/>
      </c>
      <c r="AN275" s="32">
        <f>IF(OR(AE275="",NOT(ISNUMBER(AL275)),NOT(ISNUMBER(AM275))),"",IF(AM275&lt;=0,"",IF(ISNUMBER(Settings!$D$8),DATE(YEAR(AL275)+IF(DATE(YEAR(AL275),MONTH(Settings!$D$8),DAY(Settings!$D$8))&gt;AL275,0,1),MONTH(Settings!$D$8),DAY(Settings!$D$8)),MIN(DATE(YEAR(AL275),MONTH(AL275)+AM275,DAY(AL275)),DATE(YEAR(AL275),MONTH(AL275)+AM275+1,0)))))</f>
        <v/>
      </c>
      <c r="AO275" s="31">
        <f>IF(ISNUMBER(AN275),AN275-Settings!$D$4,"")</f>
        <v/>
      </c>
      <c r="AP275" s="31">
        <f>IF(ISNUMBER(AL275),AL275+0+ROW()/100000,"")</f>
        <v/>
      </c>
      <c r="AQ275" s="31">
        <f>IF(OR(AG275="",NOT(ISNUMBER(AP275))),0,IF(SUMPRODUCT(('Responses'!$AG$2:$AG$501=AG275)*('Responses'!$AJ$2:$AJ$501=1)*ISNUMBER('Responses'!$AP$2:$AP$501)*('Responses'!$AP$2:$AP$501&gt;AP275)) + SUMPRODUCT(('Paper sign-ups'!$K$2:$K$101=AG275)*('Paper sign-ups'!$N$2:$N$101=1)*ISNUMBER('Paper sign-ups'!$T$2:$T$101)*('Paper sign-ups'!$T$2:$T$101&gt;AP275))&gt;0,1,0))</f>
        <v/>
      </c>
      <c r="AR275" s="31">
        <f>IF(AE275="","",IF(AQ275=1,"Joined again",IF(AJ275=0,"Unpaid",IF(NOT(ISNUMBER(AL275)),"Add a join date",IF(AN275="","No reminder",IF(AO275&lt;0,"Lapsed",IF(AO275&lt;=Settings!$D$6,"Remind soon","Current")))))))</f>
        <v/>
      </c>
      <c r="AS275" s="33">
        <f>IF(AJ275=1,IFERROR(VALUE(IFERROR(TRIM(INDEX($A275:$Z275,MATCH(Settings!$L$8,$A$1:$Z$1,0))&amp;""),"")),0)-IFERROR(VALUE(IFERROR(TRIM(INDEX($A275:$Z275,MATCH(Settings!$L$9,$A$1:$Z$1,0))&amp;""),"")),0),0)</f>
        <v/>
      </c>
      <c r="AT275" s="31">
        <f>IF(AND(AE275&lt;&gt;"",AQ275=0),1,0)</f>
        <v/>
      </c>
      <c r="AU275" s="31">
        <f>IF(AT275=0,"",IF(ISNUMBER(AN275),AN275,100000)+0+ROW()/1000000)</f>
        <v/>
      </c>
      <c r="AV275" s="31">
        <f>IF(ISNUMBER(AU275),SUMPRODUCT(ISNUMBER('Responses'!$AU$2:$AU$501)*('Responses'!$AU$2:$AU$501&lt;AU275)) + SUMPRODUCT(ISNUMBER('Paper sign-ups'!$Y$2:$Y$101)*('Paper sign-ups'!$Y$2:$Y$101&lt;AU275))+1,"")</f>
        <v/>
      </c>
    </row>
    <row r="276">
      <c r="AA276" s="29" t="n"/>
      <c r="AB276" s="30" t="n"/>
      <c r="AC276" s="30" t="n"/>
      <c r="AD276" s="29" t="n"/>
      <c r="AE276" s="31">
        <f>IFERROR(TRIM(INDEX($A276:$Z276,MATCH(Settings!$L$4,$A$1:$Z$1,0))&amp;""),"")</f>
        <v/>
      </c>
      <c r="AF276" s="31">
        <f>IFERROR(TRIM(INDEX($A276:$Z276,MATCH(Settings!$L$5,$A$1:$Z$1,0))&amp;""),"")</f>
        <v/>
      </c>
      <c r="AG276" s="31">
        <f>IF(AE276="","",LOWER(IF(AF276&lt;&gt;"",AF276,AE276)))</f>
        <v/>
      </c>
      <c r="AH276" s="31">
        <f>IFERROR(TRIM(INDEX($A276:$Z276,MATCH(Settings!$L$6,$A$1:$Z$1,0))&amp;""),"")</f>
        <v/>
      </c>
      <c r="AI276" s="31">
        <f>IF(AE276="","",IF(UPPER(TRIM(AB276&amp;""))="Y","Paid another way",IF(IFERROR(TRIM(INDEX($A276:$Z276,MATCH(Settings!$L$7,$A$1:$Z$1,0))&amp;""),"")="","No payment status",IFERROR(TRIM(INDEX($A276:$Z276,MATCH(Settings!$L$7,$A$1:$Z$1,0))&amp;""),""))))</f>
        <v/>
      </c>
      <c r="AJ276" s="31">
        <f>IF(AE276="",0,IF(IFERROR(INDEX(Settings!$J$4:$J$14,MATCH(AI276,Settings!$I$4:$I$14,0)),"N")="Y",1,0))</f>
        <v/>
      </c>
      <c r="AK276" s="32">
        <f>IFERROR(INT(IFERROR(IF(ISNUMBER(INDEX($A276:$Z276,MATCH(Settings!$L$10,$A$1:$Z$1,0))),INDEX($A276:$Z276,MATCH(Settings!$L$10,$A$1:$Z$1,0)),DATE(VALUE(LEFT(IFERROR(TRIM(INDEX($A276:$Z276,MATCH(Settings!$L$10,$A$1:$Z$1,0))&amp;""),""),4)),VALUE(MID(IFERROR(TRIM(INDEX($A276:$Z276,MATCH(Settings!$L$10,$A$1:$Z$1,0))&amp;""),""),6,2)),VALUE(MID(IFERROR(TRIM(INDEX($A276:$Z276,MATCH(Settings!$L$10,$A$1:$Z$1,0))&amp;""),""),9,2)))+TIME(VALUE(MID(IFERROR(TRIM(INDEX($A276:$Z276,MATCH(Settings!$L$10,$A$1:$Z$1,0))&amp;""),""),12,2)),VALUE(MID(IFERROR(TRIM(INDEX($A276:$Z276,MATCH(Settings!$L$10,$A$1:$Z$1,0))&amp;""),""),15,2)),VALUE(MID(IFERROR(TRIM(INDEX($A276:$Z276,MATCH(Settings!$L$10,$A$1:$Z$1,0))&amp;""),""),18,2)))),"")),"")</f>
        <v/>
      </c>
      <c r="AL276" s="32">
        <f>IF(AE276="","",IF(ISNUMBER(AK276),AK276,IFERROR(INT(IFERROR(IF(ISNUMBER(INDEX($A276:$Z276,MATCH(Settings!$L$11,$A$1:$Z$1,0))),INDEX($A276:$Z276,MATCH(Settings!$L$11,$A$1:$Z$1,0)),DATE(VALUE(LEFT(IFERROR(TRIM(INDEX($A276:$Z276,MATCH(Settings!$L$11,$A$1:$Z$1,0))&amp;""),""),4)),VALUE(MID(IFERROR(TRIM(INDEX($A276:$Z276,MATCH(Settings!$L$11,$A$1:$Z$1,0))&amp;""),""),6,2)),VALUE(MID(IFERROR(TRIM(INDEX($A276:$Z276,MATCH(Settings!$L$11,$A$1:$Z$1,0))&amp;""),""),9,2)))+TIME(VALUE(MID(IFERROR(TRIM(INDEX($A276:$Z276,MATCH(Settings!$L$11,$A$1:$Z$1,0))&amp;""),""),12,2)),VALUE(MID(IFERROR(TRIM(INDEX($A276:$Z276,MATCH(Settings!$L$11,$A$1:$Z$1,0))&amp;""),""),15,2)),VALUE(MID(IFERROR(TRIM(INDEX($A276:$Z276,MATCH(Settings!$L$11,$A$1:$Z$1,0))&amp;""),""),18,2)))),"")),"")))</f>
        <v/>
      </c>
      <c r="AM276" s="31">
        <f>IF(AE276="","",IF(ISNUMBER(IFERROR(INDEX(Settings!$G$4:$G$11,MATCH(AH276,Settings!$F$4:$F$11,0)),"")),INDEX(Settings!$G$4:$G$11,MATCH(AH276,Settings!$F$4:$F$11,0)),Settings!$D$5))</f>
        <v/>
      </c>
      <c r="AN276" s="32">
        <f>IF(OR(AE276="",NOT(ISNUMBER(AL276)),NOT(ISNUMBER(AM276))),"",IF(AM276&lt;=0,"",IF(ISNUMBER(Settings!$D$8),DATE(YEAR(AL276)+IF(DATE(YEAR(AL276),MONTH(Settings!$D$8),DAY(Settings!$D$8))&gt;AL276,0,1),MONTH(Settings!$D$8),DAY(Settings!$D$8)),MIN(DATE(YEAR(AL276),MONTH(AL276)+AM276,DAY(AL276)),DATE(YEAR(AL276),MONTH(AL276)+AM276+1,0)))))</f>
        <v/>
      </c>
      <c r="AO276" s="31">
        <f>IF(ISNUMBER(AN276),AN276-Settings!$D$4,"")</f>
        <v/>
      </c>
      <c r="AP276" s="31">
        <f>IF(ISNUMBER(AL276),AL276+0+ROW()/100000,"")</f>
        <v/>
      </c>
      <c r="AQ276" s="31">
        <f>IF(OR(AG276="",NOT(ISNUMBER(AP276))),0,IF(SUMPRODUCT(('Responses'!$AG$2:$AG$501=AG276)*('Responses'!$AJ$2:$AJ$501=1)*ISNUMBER('Responses'!$AP$2:$AP$501)*('Responses'!$AP$2:$AP$501&gt;AP276)) + SUMPRODUCT(('Paper sign-ups'!$K$2:$K$101=AG276)*('Paper sign-ups'!$N$2:$N$101=1)*ISNUMBER('Paper sign-ups'!$T$2:$T$101)*('Paper sign-ups'!$T$2:$T$101&gt;AP276))&gt;0,1,0))</f>
        <v/>
      </c>
      <c r="AR276" s="31">
        <f>IF(AE276="","",IF(AQ276=1,"Joined again",IF(AJ276=0,"Unpaid",IF(NOT(ISNUMBER(AL276)),"Add a join date",IF(AN276="","No reminder",IF(AO276&lt;0,"Lapsed",IF(AO276&lt;=Settings!$D$6,"Remind soon","Current")))))))</f>
        <v/>
      </c>
      <c r="AS276" s="33">
        <f>IF(AJ276=1,IFERROR(VALUE(IFERROR(TRIM(INDEX($A276:$Z276,MATCH(Settings!$L$8,$A$1:$Z$1,0))&amp;""),"")),0)-IFERROR(VALUE(IFERROR(TRIM(INDEX($A276:$Z276,MATCH(Settings!$L$9,$A$1:$Z$1,0))&amp;""),"")),0),0)</f>
        <v/>
      </c>
      <c r="AT276" s="31">
        <f>IF(AND(AE276&lt;&gt;"",AQ276=0),1,0)</f>
        <v/>
      </c>
      <c r="AU276" s="31">
        <f>IF(AT276=0,"",IF(ISNUMBER(AN276),AN276,100000)+0+ROW()/1000000)</f>
        <v/>
      </c>
      <c r="AV276" s="31">
        <f>IF(ISNUMBER(AU276),SUMPRODUCT(ISNUMBER('Responses'!$AU$2:$AU$501)*('Responses'!$AU$2:$AU$501&lt;AU276)) + SUMPRODUCT(ISNUMBER('Paper sign-ups'!$Y$2:$Y$101)*('Paper sign-ups'!$Y$2:$Y$101&lt;AU276))+1,"")</f>
        <v/>
      </c>
    </row>
    <row r="277">
      <c r="AA277" s="29" t="n"/>
      <c r="AB277" s="30" t="n"/>
      <c r="AC277" s="30" t="n"/>
      <c r="AD277" s="29" t="n"/>
      <c r="AE277" s="31">
        <f>IFERROR(TRIM(INDEX($A277:$Z277,MATCH(Settings!$L$4,$A$1:$Z$1,0))&amp;""),"")</f>
        <v/>
      </c>
      <c r="AF277" s="31">
        <f>IFERROR(TRIM(INDEX($A277:$Z277,MATCH(Settings!$L$5,$A$1:$Z$1,0))&amp;""),"")</f>
        <v/>
      </c>
      <c r="AG277" s="31">
        <f>IF(AE277="","",LOWER(IF(AF277&lt;&gt;"",AF277,AE277)))</f>
        <v/>
      </c>
      <c r="AH277" s="31">
        <f>IFERROR(TRIM(INDEX($A277:$Z277,MATCH(Settings!$L$6,$A$1:$Z$1,0))&amp;""),"")</f>
        <v/>
      </c>
      <c r="AI277" s="31">
        <f>IF(AE277="","",IF(UPPER(TRIM(AB277&amp;""))="Y","Paid another way",IF(IFERROR(TRIM(INDEX($A277:$Z277,MATCH(Settings!$L$7,$A$1:$Z$1,0))&amp;""),"")="","No payment status",IFERROR(TRIM(INDEX($A277:$Z277,MATCH(Settings!$L$7,$A$1:$Z$1,0))&amp;""),""))))</f>
        <v/>
      </c>
      <c r="AJ277" s="31">
        <f>IF(AE277="",0,IF(IFERROR(INDEX(Settings!$J$4:$J$14,MATCH(AI277,Settings!$I$4:$I$14,0)),"N")="Y",1,0))</f>
        <v/>
      </c>
      <c r="AK277" s="32">
        <f>IFERROR(INT(IFERROR(IF(ISNUMBER(INDEX($A277:$Z277,MATCH(Settings!$L$10,$A$1:$Z$1,0))),INDEX($A277:$Z277,MATCH(Settings!$L$10,$A$1:$Z$1,0)),DATE(VALUE(LEFT(IFERROR(TRIM(INDEX($A277:$Z277,MATCH(Settings!$L$10,$A$1:$Z$1,0))&amp;""),""),4)),VALUE(MID(IFERROR(TRIM(INDEX($A277:$Z277,MATCH(Settings!$L$10,$A$1:$Z$1,0))&amp;""),""),6,2)),VALUE(MID(IFERROR(TRIM(INDEX($A277:$Z277,MATCH(Settings!$L$10,$A$1:$Z$1,0))&amp;""),""),9,2)))+TIME(VALUE(MID(IFERROR(TRIM(INDEX($A277:$Z277,MATCH(Settings!$L$10,$A$1:$Z$1,0))&amp;""),""),12,2)),VALUE(MID(IFERROR(TRIM(INDEX($A277:$Z277,MATCH(Settings!$L$10,$A$1:$Z$1,0))&amp;""),""),15,2)),VALUE(MID(IFERROR(TRIM(INDEX($A277:$Z277,MATCH(Settings!$L$10,$A$1:$Z$1,0))&amp;""),""),18,2)))),"")),"")</f>
        <v/>
      </c>
      <c r="AL277" s="32">
        <f>IF(AE277="","",IF(ISNUMBER(AK277),AK277,IFERROR(INT(IFERROR(IF(ISNUMBER(INDEX($A277:$Z277,MATCH(Settings!$L$11,$A$1:$Z$1,0))),INDEX($A277:$Z277,MATCH(Settings!$L$11,$A$1:$Z$1,0)),DATE(VALUE(LEFT(IFERROR(TRIM(INDEX($A277:$Z277,MATCH(Settings!$L$11,$A$1:$Z$1,0))&amp;""),""),4)),VALUE(MID(IFERROR(TRIM(INDEX($A277:$Z277,MATCH(Settings!$L$11,$A$1:$Z$1,0))&amp;""),""),6,2)),VALUE(MID(IFERROR(TRIM(INDEX($A277:$Z277,MATCH(Settings!$L$11,$A$1:$Z$1,0))&amp;""),""),9,2)))+TIME(VALUE(MID(IFERROR(TRIM(INDEX($A277:$Z277,MATCH(Settings!$L$11,$A$1:$Z$1,0))&amp;""),""),12,2)),VALUE(MID(IFERROR(TRIM(INDEX($A277:$Z277,MATCH(Settings!$L$11,$A$1:$Z$1,0))&amp;""),""),15,2)),VALUE(MID(IFERROR(TRIM(INDEX($A277:$Z277,MATCH(Settings!$L$11,$A$1:$Z$1,0))&amp;""),""),18,2)))),"")),"")))</f>
        <v/>
      </c>
      <c r="AM277" s="31">
        <f>IF(AE277="","",IF(ISNUMBER(IFERROR(INDEX(Settings!$G$4:$G$11,MATCH(AH277,Settings!$F$4:$F$11,0)),"")),INDEX(Settings!$G$4:$G$11,MATCH(AH277,Settings!$F$4:$F$11,0)),Settings!$D$5))</f>
        <v/>
      </c>
      <c r="AN277" s="32">
        <f>IF(OR(AE277="",NOT(ISNUMBER(AL277)),NOT(ISNUMBER(AM277))),"",IF(AM277&lt;=0,"",IF(ISNUMBER(Settings!$D$8),DATE(YEAR(AL277)+IF(DATE(YEAR(AL277),MONTH(Settings!$D$8),DAY(Settings!$D$8))&gt;AL277,0,1),MONTH(Settings!$D$8),DAY(Settings!$D$8)),MIN(DATE(YEAR(AL277),MONTH(AL277)+AM277,DAY(AL277)),DATE(YEAR(AL277),MONTH(AL277)+AM277+1,0)))))</f>
        <v/>
      </c>
      <c r="AO277" s="31">
        <f>IF(ISNUMBER(AN277),AN277-Settings!$D$4,"")</f>
        <v/>
      </c>
      <c r="AP277" s="31">
        <f>IF(ISNUMBER(AL277),AL277+0+ROW()/100000,"")</f>
        <v/>
      </c>
      <c r="AQ277" s="31">
        <f>IF(OR(AG277="",NOT(ISNUMBER(AP277))),0,IF(SUMPRODUCT(('Responses'!$AG$2:$AG$501=AG277)*('Responses'!$AJ$2:$AJ$501=1)*ISNUMBER('Responses'!$AP$2:$AP$501)*('Responses'!$AP$2:$AP$501&gt;AP277)) + SUMPRODUCT(('Paper sign-ups'!$K$2:$K$101=AG277)*('Paper sign-ups'!$N$2:$N$101=1)*ISNUMBER('Paper sign-ups'!$T$2:$T$101)*('Paper sign-ups'!$T$2:$T$101&gt;AP277))&gt;0,1,0))</f>
        <v/>
      </c>
      <c r="AR277" s="31">
        <f>IF(AE277="","",IF(AQ277=1,"Joined again",IF(AJ277=0,"Unpaid",IF(NOT(ISNUMBER(AL277)),"Add a join date",IF(AN277="","No reminder",IF(AO277&lt;0,"Lapsed",IF(AO277&lt;=Settings!$D$6,"Remind soon","Current")))))))</f>
        <v/>
      </c>
      <c r="AS277" s="33">
        <f>IF(AJ277=1,IFERROR(VALUE(IFERROR(TRIM(INDEX($A277:$Z277,MATCH(Settings!$L$8,$A$1:$Z$1,0))&amp;""),"")),0)-IFERROR(VALUE(IFERROR(TRIM(INDEX($A277:$Z277,MATCH(Settings!$L$9,$A$1:$Z$1,0))&amp;""),"")),0),0)</f>
        <v/>
      </c>
      <c r="AT277" s="31">
        <f>IF(AND(AE277&lt;&gt;"",AQ277=0),1,0)</f>
        <v/>
      </c>
      <c r="AU277" s="31">
        <f>IF(AT277=0,"",IF(ISNUMBER(AN277),AN277,100000)+0+ROW()/1000000)</f>
        <v/>
      </c>
      <c r="AV277" s="31">
        <f>IF(ISNUMBER(AU277),SUMPRODUCT(ISNUMBER('Responses'!$AU$2:$AU$501)*('Responses'!$AU$2:$AU$501&lt;AU277)) + SUMPRODUCT(ISNUMBER('Paper sign-ups'!$Y$2:$Y$101)*('Paper sign-ups'!$Y$2:$Y$101&lt;AU277))+1,"")</f>
        <v/>
      </c>
    </row>
    <row r="278">
      <c r="AA278" s="29" t="n"/>
      <c r="AB278" s="30" t="n"/>
      <c r="AC278" s="30" t="n"/>
      <c r="AD278" s="29" t="n"/>
      <c r="AE278" s="31">
        <f>IFERROR(TRIM(INDEX($A278:$Z278,MATCH(Settings!$L$4,$A$1:$Z$1,0))&amp;""),"")</f>
        <v/>
      </c>
      <c r="AF278" s="31">
        <f>IFERROR(TRIM(INDEX($A278:$Z278,MATCH(Settings!$L$5,$A$1:$Z$1,0))&amp;""),"")</f>
        <v/>
      </c>
      <c r="AG278" s="31">
        <f>IF(AE278="","",LOWER(IF(AF278&lt;&gt;"",AF278,AE278)))</f>
        <v/>
      </c>
      <c r="AH278" s="31">
        <f>IFERROR(TRIM(INDEX($A278:$Z278,MATCH(Settings!$L$6,$A$1:$Z$1,0))&amp;""),"")</f>
        <v/>
      </c>
      <c r="AI278" s="31">
        <f>IF(AE278="","",IF(UPPER(TRIM(AB278&amp;""))="Y","Paid another way",IF(IFERROR(TRIM(INDEX($A278:$Z278,MATCH(Settings!$L$7,$A$1:$Z$1,0))&amp;""),"")="","No payment status",IFERROR(TRIM(INDEX($A278:$Z278,MATCH(Settings!$L$7,$A$1:$Z$1,0))&amp;""),""))))</f>
        <v/>
      </c>
      <c r="AJ278" s="31">
        <f>IF(AE278="",0,IF(IFERROR(INDEX(Settings!$J$4:$J$14,MATCH(AI278,Settings!$I$4:$I$14,0)),"N")="Y",1,0))</f>
        <v/>
      </c>
      <c r="AK278" s="32">
        <f>IFERROR(INT(IFERROR(IF(ISNUMBER(INDEX($A278:$Z278,MATCH(Settings!$L$10,$A$1:$Z$1,0))),INDEX($A278:$Z278,MATCH(Settings!$L$10,$A$1:$Z$1,0)),DATE(VALUE(LEFT(IFERROR(TRIM(INDEX($A278:$Z278,MATCH(Settings!$L$10,$A$1:$Z$1,0))&amp;""),""),4)),VALUE(MID(IFERROR(TRIM(INDEX($A278:$Z278,MATCH(Settings!$L$10,$A$1:$Z$1,0))&amp;""),""),6,2)),VALUE(MID(IFERROR(TRIM(INDEX($A278:$Z278,MATCH(Settings!$L$10,$A$1:$Z$1,0))&amp;""),""),9,2)))+TIME(VALUE(MID(IFERROR(TRIM(INDEX($A278:$Z278,MATCH(Settings!$L$10,$A$1:$Z$1,0))&amp;""),""),12,2)),VALUE(MID(IFERROR(TRIM(INDEX($A278:$Z278,MATCH(Settings!$L$10,$A$1:$Z$1,0))&amp;""),""),15,2)),VALUE(MID(IFERROR(TRIM(INDEX($A278:$Z278,MATCH(Settings!$L$10,$A$1:$Z$1,0))&amp;""),""),18,2)))),"")),"")</f>
        <v/>
      </c>
      <c r="AL278" s="32">
        <f>IF(AE278="","",IF(ISNUMBER(AK278),AK278,IFERROR(INT(IFERROR(IF(ISNUMBER(INDEX($A278:$Z278,MATCH(Settings!$L$11,$A$1:$Z$1,0))),INDEX($A278:$Z278,MATCH(Settings!$L$11,$A$1:$Z$1,0)),DATE(VALUE(LEFT(IFERROR(TRIM(INDEX($A278:$Z278,MATCH(Settings!$L$11,$A$1:$Z$1,0))&amp;""),""),4)),VALUE(MID(IFERROR(TRIM(INDEX($A278:$Z278,MATCH(Settings!$L$11,$A$1:$Z$1,0))&amp;""),""),6,2)),VALUE(MID(IFERROR(TRIM(INDEX($A278:$Z278,MATCH(Settings!$L$11,$A$1:$Z$1,0))&amp;""),""),9,2)))+TIME(VALUE(MID(IFERROR(TRIM(INDEX($A278:$Z278,MATCH(Settings!$L$11,$A$1:$Z$1,0))&amp;""),""),12,2)),VALUE(MID(IFERROR(TRIM(INDEX($A278:$Z278,MATCH(Settings!$L$11,$A$1:$Z$1,0))&amp;""),""),15,2)),VALUE(MID(IFERROR(TRIM(INDEX($A278:$Z278,MATCH(Settings!$L$11,$A$1:$Z$1,0))&amp;""),""),18,2)))),"")),"")))</f>
        <v/>
      </c>
      <c r="AM278" s="31">
        <f>IF(AE278="","",IF(ISNUMBER(IFERROR(INDEX(Settings!$G$4:$G$11,MATCH(AH278,Settings!$F$4:$F$11,0)),"")),INDEX(Settings!$G$4:$G$11,MATCH(AH278,Settings!$F$4:$F$11,0)),Settings!$D$5))</f>
        <v/>
      </c>
      <c r="AN278" s="32">
        <f>IF(OR(AE278="",NOT(ISNUMBER(AL278)),NOT(ISNUMBER(AM278))),"",IF(AM278&lt;=0,"",IF(ISNUMBER(Settings!$D$8),DATE(YEAR(AL278)+IF(DATE(YEAR(AL278),MONTH(Settings!$D$8),DAY(Settings!$D$8))&gt;AL278,0,1),MONTH(Settings!$D$8),DAY(Settings!$D$8)),MIN(DATE(YEAR(AL278),MONTH(AL278)+AM278,DAY(AL278)),DATE(YEAR(AL278),MONTH(AL278)+AM278+1,0)))))</f>
        <v/>
      </c>
      <c r="AO278" s="31">
        <f>IF(ISNUMBER(AN278),AN278-Settings!$D$4,"")</f>
        <v/>
      </c>
      <c r="AP278" s="31">
        <f>IF(ISNUMBER(AL278),AL278+0+ROW()/100000,"")</f>
        <v/>
      </c>
      <c r="AQ278" s="31">
        <f>IF(OR(AG278="",NOT(ISNUMBER(AP278))),0,IF(SUMPRODUCT(('Responses'!$AG$2:$AG$501=AG278)*('Responses'!$AJ$2:$AJ$501=1)*ISNUMBER('Responses'!$AP$2:$AP$501)*('Responses'!$AP$2:$AP$501&gt;AP278)) + SUMPRODUCT(('Paper sign-ups'!$K$2:$K$101=AG278)*('Paper sign-ups'!$N$2:$N$101=1)*ISNUMBER('Paper sign-ups'!$T$2:$T$101)*('Paper sign-ups'!$T$2:$T$101&gt;AP278))&gt;0,1,0))</f>
        <v/>
      </c>
      <c r="AR278" s="31">
        <f>IF(AE278="","",IF(AQ278=1,"Joined again",IF(AJ278=0,"Unpaid",IF(NOT(ISNUMBER(AL278)),"Add a join date",IF(AN278="","No reminder",IF(AO278&lt;0,"Lapsed",IF(AO278&lt;=Settings!$D$6,"Remind soon","Current")))))))</f>
        <v/>
      </c>
      <c r="AS278" s="33">
        <f>IF(AJ278=1,IFERROR(VALUE(IFERROR(TRIM(INDEX($A278:$Z278,MATCH(Settings!$L$8,$A$1:$Z$1,0))&amp;""),"")),0)-IFERROR(VALUE(IFERROR(TRIM(INDEX($A278:$Z278,MATCH(Settings!$L$9,$A$1:$Z$1,0))&amp;""),"")),0),0)</f>
        <v/>
      </c>
      <c r="AT278" s="31">
        <f>IF(AND(AE278&lt;&gt;"",AQ278=0),1,0)</f>
        <v/>
      </c>
      <c r="AU278" s="31">
        <f>IF(AT278=0,"",IF(ISNUMBER(AN278),AN278,100000)+0+ROW()/1000000)</f>
        <v/>
      </c>
      <c r="AV278" s="31">
        <f>IF(ISNUMBER(AU278),SUMPRODUCT(ISNUMBER('Responses'!$AU$2:$AU$501)*('Responses'!$AU$2:$AU$501&lt;AU278)) + SUMPRODUCT(ISNUMBER('Paper sign-ups'!$Y$2:$Y$101)*('Paper sign-ups'!$Y$2:$Y$101&lt;AU278))+1,"")</f>
        <v/>
      </c>
    </row>
    <row r="279">
      <c r="AA279" s="29" t="n"/>
      <c r="AB279" s="30" t="n"/>
      <c r="AC279" s="30" t="n"/>
      <c r="AD279" s="29" t="n"/>
      <c r="AE279" s="31">
        <f>IFERROR(TRIM(INDEX($A279:$Z279,MATCH(Settings!$L$4,$A$1:$Z$1,0))&amp;""),"")</f>
        <v/>
      </c>
      <c r="AF279" s="31">
        <f>IFERROR(TRIM(INDEX($A279:$Z279,MATCH(Settings!$L$5,$A$1:$Z$1,0))&amp;""),"")</f>
        <v/>
      </c>
      <c r="AG279" s="31">
        <f>IF(AE279="","",LOWER(IF(AF279&lt;&gt;"",AF279,AE279)))</f>
        <v/>
      </c>
      <c r="AH279" s="31">
        <f>IFERROR(TRIM(INDEX($A279:$Z279,MATCH(Settings!$L$6,$A$1:$Z$1,0))&amp;""),"")</f>
        <v/>
      </c>
      <c r="AI279" s="31">
        <f>IF(AE279="","",IF(UPPER(TRIM(AB279&amp;""))="Y","Paid another way",IF(IFERROR(TRIM(INDEX($A279:$Z279,MATCH(Settings!$L$7,$A$1:$Z$1,0))&amp;""),"")="","No payment status",IFERROR(TRIM(INDEX($A279:$Z279,MATCH(Settings!$L$7,$A$1:$Z$1,0))&amp;""),""))))</f>
        <v/>
      </c>
      <c r="AJ279" s="31">
        <f>IF(AE279="",0,IF(IFERROR(INDEX(Settings!$J$4:$J$14,MATCH(AI279,Settings!$I$4:$I$14,0)),"N")="Y",1,0))</f>
        <v/>
      </c>
      <c r="AK279" s="32">
        <f>IFERROR(INT(IFERROR(IF(ISNUMBER(INDEX($A279:$Z279,MATCH(Settings!$L$10,$A$1:$Z$1,0))),INDEX($A279:$Z279,MATCH(Settings!$L$10,$A$1:$Z$1,0)),DATE(VALUE(LEFT(IFERROR(TRIM(INDEX($A279:$Z279,MATCH(Settings!$L$10,$A$1:$Z$1,0))&amp;""),""),4)),VALUE(MID(IFERROR(TRIM(INDEX($A279:$Z279,MATCH(Settings!$L$10,$A$1:$Z$1,0))&amp;""),""),6,2)),VALUE(MID(IFERROR(TRIM(INDEX($A279:$Z279,MATCH(Settings!$L$10,$A$1:$Z$1,0))&amp;""),""),9,2)))+TIME(VALUE(MID(IFERROR(TRIM(INDEX($A279:$Z279,MATCH(Settings!$L$10,$A$1:$Z$1,0))&amp;""),""),12,2)),VALUE(MID(IFERROR(TRIM(INDEX($A279:$Z279,MATCH(Settings!$L$10,$A$1:$Z$1,0))&amp;""),""),15,2)),VALUE(MID(IFERROR(TRIM(INDEX($A279:$Z279,MATCH(Settings!$L$10,$A$1:$Z$1,0))&amp;""),""),18,2)))),"")),"")</f>
        <v/>
      </c>
      <c r="AL279" s="32">
        <f>IF(AE279="","",IF(ISNUMBER(AK279),AK279,IFERROR(INT(IFERROR(IF(ISNUMBER(INDEX($A279:$Z279,MATCH(Settings!$L$11,$A$1:$Z$1,0))),INDEX($A279:$Z279,MATCH(Settings!$L$11,$A$1:$Z$1,0)),DATE(VALUE(LEFT(IFERROR(TRIM(INDEX($A279:$Z279,MATCH(Settings!$L$11,$A$1:$Z$1,0))&amp;""),""),4)),VALUE(MID(IFERROR(TRIM(INDEX($A279:$Z279,MATCH(Settings!$L$11,$A$1:$Z$1,0))&amp;""),""),6,2)),VALUE(MID(IFERROR(TRIM(INDEX($A279:$Z279,MATCH(Settings!$L$11,$A$1:$Z$1,0))&amp;""),""),9,2)))+TIME(VALUE(MID(IFERROR(TRIM(INDEX($A279:$Z279,MATCH(Settings!$L$11,$A$1:$Z$1,0))&amp;""),""),12,2)),VALUE(MID(IFERROR(TRIM(INDEX($A279:$Z279,MATCH(Settings!$L$11,$A$1:$Z$1,0))&amp;""),""),15,2)),VALUE(MID(IFERROR(TRIM(INDEX($A279:$Z279,MATCH(Settings!$L$11,$A$1:$Z$1,0))&amp;""),""),18,2)))),"")),"")))</f>
        <v/>
      </c>
      <c r="AM279" s="31">
        <f>IF(AE279="","",IF(ISNUMBER(IFERROR(INDEX(Settings!$G$4:$G$11,MATCH(AH279,Settings!$F$4:$F$11,0)),"")),INDEX(Settings!$G$4:$G$11,MATCH(AH279,Settings!$F$4:$F$11,0)),Settings!$D$5))</f>
        <v/>
      </c>
      <c r="AN279" s="32">
        <f>IF(OR(AE279="",NOT(ISNUMBER(AL279)),NOT(ISNUMBER(AM279))),"",IF(AM279&lt;=0,"",IF(ISNUMBER(Settings!$D$8),DATE(YEAR(AL279)+IF(DATE(YEAR(AL279),MONTH(Settings!$D$8),DAY(Settings!$D$8))&gt;AL279,0,1),MONTH(Settings!$D$8),DAY(Settings!$D$8)),MIN(DATE(YEAR(AL279),MONTH(AL279)+AM279,DAY(AL279)),DATE(YEAR(AL279),MONTH(AL279)+AM279+1,0)))))</f>
        <v/>
      </c>
      <c r="AO279" s="31">
        <f>IF(ISNUMBER(AN279),AN279-Settings!$D$4,"")</f>
        <v/>
      </c>
      <c r="AP279" s="31">
        <f>IF(ISNUMBER(AL279),AL279+0+ROW()/100000,"")</f>
        <v/>
      </c>
      <c r="AQ279" s="31">
        <f>IF(OR(AG279="",NOT(ISNUMBER(AP279))),0,IF(SUMPRODUCT(('Responses'!$AG$2:$AG$501=AG279)*('Responses'!$AJ$2:$AJ$501=1)*ISNUMBER('Responses'!$AP$2:$AP$501)*('Responses'!$AP$2:$AP$501&gt;AP279)) + SUMPRODUCT(('Paper sign-ups'!$K$2:$K$101=AG279)*('Paper sign-ups'!$N$2:$N$101=1)*ISNUMBER('Paper sign-ups'!$T$2:$T$101)*('Paper sign-ups'!$T$2:$T$101&gt;AP279))&gt;0,1,0))</f>
        <v/>
      </c>
      <c r="AR279" s="31">
        <f>IF(AE279="","",IF(AQ279=1,"Joined again",IF(AJ279=0,"Unpaid",IF(NOT(ISNUMBER(AL279)),"Add a join date",IF(AN279="","No reminder",IF(AO279&lt;0,"Lapsed",IF(AO279&lt;=Settings!$D$6,"Remind soon","Current")))))))</f>
        <v/>
      </c>
      <c r="AS279" s="33">
        <f>IF(AJ279=1,IFERROR(VALUE(IFERROR(TRIM(INDEX($A279:$Z279,MATCH(Settings!$L$8,$A$1:$Z$1,0))&amp;""),"")),0)-IFERROR(VALUE(IFERROR(TRIM(INDEX($A279:$Z279,MATCH(Settings!$L$9,$A$1:$Z$1,0))&amp;""),"")),0),0)</f>
        <v/>
      </c>
      <c r="AT279" s="31">
        <f>IF(AND(AE279&lt;&gt;"",AQ279=0),1,0)</f>
        <v/>
      </c>
      <c r="AU279" s="31">
        <f>IF(AT279=0,"",IF(ISNUMBER(AN279),AN279,100000)+0+ROW()/1000000)</f>
        <v/>
      </c>
      <c r="AV279" s="31">
        <f>IF(ISNUMBER(AU279),SUMPRODUCT(ISNUMBER('Responses'!$AU$2:$AU$501)*('Responses'!$AU$2:$AU$501&lt;AU279)) + SUMPRODUCT(ISNUMBER('Paper sign-ups'!$Y$2:$Y$101)*('Paper sign-ups'!$Y$2:$Y$101&lt;AU279))+1,"")</f>
        <v/>
      </c>
    </row>
    <row r="280">
      <c r="AA280" s="29" t="n"/>
      <c r="AB280" s="30" t="n"/>
      <c r="AC280" s="30" t="n"/>
      <c r="AD280" s="29" t="n"/>
      <c r="AE280" s="31">
        <f>IFERROR(TRIM(INDEX($A280:$Z280,MATCH(Settings!$L$4,$A$1:$Z$1,0))&amp;""),"")</f>
        <v/>
      </c>
      <c r="AF280" s="31">
        <f>IFERROR(TRIM(INDEX($A280:$Z280,MATCH(Settings!$L$5,$A$1:$Z$1,0))&amp;""),"")</f>
        <v/>
      </c>
      <c r="AG280" s="31">
        <f>IF(AE280="","",LOWER(IF(AF280&lt;&gt;"",AF280,AE280)))</f>
        <v/>
      </c>
      <c r="AH280" s="31">
        <f>IFERROR(TRIM(INDEX($A280:$Z280,MATCH(Settings!$L$6,$A$1:$Z$1,0))&amp;""),"")</f>
        <v/>
      </c>
      <c r="AI280" s="31">
        <f>IF(AE280="","",IF(UPPER(TRIM(AB280&amp;""))="Y","Paid another way",IF(IFERROR(TRIM(INDEX($A280:$Z280,MATCH(Settings!$L$7,$A$1:$Z$1,0))&amp;""),"")="","No payment status",IFERROR(TRIM(INDEX($A280:$Z280,MATCH(Settings!$L$7,$A$1:$Z$1,0))&amp;""),""))))</f>
        <v/>
      </c>
      <c r="AJ280" s="31">
        <f>IF(AE280="",0,IF(IFERROR(INDEX(Settings!$J$4:$J$14,MATCH(AI280,Settings!$I$4:$I$14,0)),"N")="Y",1,0))</f>
        <v/>
      </c>
      <c r="AK280" s="32">
        <f>IFERROR(INT(IFERROR(IF(ISNUMBER(INDEX($A280:$Z280,MATCH(Settings!$L$10,$A$1:$Z$1,0))),INDEX($A280:$Z280,MATCH(Settings!$L$10,$A$1:$Z$1,0)),DATE(VALUE(LEFT(IFERROR(TRIM(INDEX($A280:$Z280,MATCH(Settings!$L$10,$A$1:$Z$1,0))&amp;""),""),4)),VALUE(MID(IFERROR(TRIM(INDEX($A280:$Z280,MATCH(Settings!$L$10,$A$1:$Z$1,0))&amp;""),""),6,2)),VALUE(MID(IFERROR(TRIM(INDEX($A280:$Z280,MATCH(Settings!$L$10,$A$1:$Z$1,0))&amp;""),""),9,2)))+TIME(VALUE(MID(IFERROR(TRIM(INDEX($A280:$Z280,MATCH(Settings!$L$10,$A$1:$Z$1,0))&amp;""),""),12,2)),VALUE(MID(IFERROR(TRIM(INDEX($A280:$Z280,MATCH(Settings!$L$10,$A$1:$Z$1,0))&amp;""),""),15,2)),VALUE(MID(IFERROR(TRIM(INDEX($A280:$Z280,MATCH(Settings!$L$10,$A$1:$Z$1,0))&amp;""),""),18,2)))),"")),"")</f>
        <v/>
      </c>
      <c r="AL280" s="32">
        <f>IF(AE280="","",IF(ISNUMBER(AK280),AK280,IFERROR(INT(IFERROR(IF(ISNUMBER(INDEX($A280:$Z280,MATCH(Settings!$L$11,$A$1:$Z$1,0))),INDEX($A280:$Z280,MATCH(Settings!$L$11,$A$1:$Z$1,0)),DATE(VALUE(LEFT(IFERROR(TRIM(INDEX($A280:$Z280,MATCH(Settings!$L$11,$A$1:$Z$1,0))&amp;""),""),4)),VALUE(MID(IFERROR(TRIM(INDEX($A280:$Z280,MATCH(Settings!$L$11,$A$1:$Z$1,0))&amp;""),""),6,2)),VALUE(MID(IFERROR(TRIM(INDEX($A280:$Z280,MATCH(Settings!$L$11,$A$1:$Z$1,0))&amp;""),""),9,2)))+TIME(VALUE(MID(IFERROR(TRIM(INDEX($A280:$Z280,MATCH(Settings!$L$11,$A$1:$Z$1,0))&amp;""),""),12,2)),VALUE(MID(IFERROR(TRIM(INDEX($A280:$Z280,MATCH(Settings!$L$11,$A$1:$Z$1,0))&amp;""),""),15,2)),VALUE(MID(IFERROR(TRIM(INDEX($A280:$Z280,MATCH(Settings!$L$11,$A$1:$Z$1,0))&amp;""),""),18,2)))),"")),"")))</f>
        <v/>
      </c>
      <c r="AM280" s="31">
        <f>IF(AE280="","",IF(ISNUMBER(IFERROR(INDEX(Settings!$G$4:$G$11,MATCH(AH280,Settings!$F$4:$F$11,0)),"")),INDEX(Settings!$G$4:$G$11,MATCH(AH280,Settings!$F$4:$F$11,0)),Settings!$D$5))</f>
        <v/>
      </c>
      <c r="AN280" s="32">
        <f>IF(OR(AE280="",NOT(ISNUMBER(AL280)),NOT(ISNUMBER(AM280))),"",IF(AM280&lt;=0,"",IF(ISNUMBER(Settings!$D$8),DATE(YEAR(AL280)+IF(DATE(YEAR(AL280),MONTH(Settings!$D$8),DAY(Settings!$D$8))&gt;AL280,0,1),MONTH(Settings!$D$8),DAY(Settings!$D$8)),MIN(DATE(YEAR(AL280),MONTH(AL280)+AM280,DAY(AL280)),DATE(YEAR(AL280),MONTH(AL280)+AM280+1,0)))))</f>
        <v/>
      </c>
      <c r="AO280" s="31">
        <f>IF(ISNUMBER(AN280),AN280-Settings!$D$4,"")</f>
        <v/>
      </c>
      <c r="AP280" s="31">
        <f>IF(ISNUMBER(AL280),AL280+0+ROW()/100000,"")</f>
        <v/>
      </c>
      <c r="AQ280" s="31">
        <f>IF(OR(AG280="",NOT(ISNUMBER(AP280))),0,IF(SUMPRODUCT(('Responses'!$AG$2:$AG$501=AG280)*('Responses'!$AJ$2:$AJ$501=1)*ISNUMBER('Responses'!$AP$2:$AP$501)*('Responses'!$AP$2:$AP$501&gt;AP280)) + SUMPRODUCT(('Paper sign-ups'!$K$2:$K$101=AG280)*('Paper sign-ups'!$N$2:$N$101=1)*ISNUMBER('Paper sign-ups'!$T$2:$T$101)*('Paper sign-ups'!$T$2:$T$101&gt;AP280))&gt;0,1,0))</f>
        <v/>
      </c>
      <c r="AR280" s="31">
        <f>IF(AE280="","",IF(AQ280=1,"Joined again",IF(AJ280=0,"Unpaid",IF(NOT(ISNUMBER(AL280)),"Add a join date",IF(AN280="","No reminder",IF(AO280&lt;0,"Lapsed",IF(AO280&lt;=Settings!$D$6,"Remind soon","Current")))))))</f>
        <v/>
      </c>
      <c r="AS280" s="33">
        <f>IF(AJ280=1,IFERROR(VALUE(IFERROR(TRIM(INDEX($A280:$Z280,MATCH(Settings!$L$8,$A$1:$Z$1,0))&amp;""),"")),0)-IFERROR(VALUE(IFERROR(TRIM(INDEX($A280:$Z280,MATCH(Settings!$L$9,$A$1:$Z$1,0))&amp;""),"")),0),0)</f>
        <v/>
      </c>
      <c r="AT280" s="31">
        <f>IF(AND(AE280&lt;&gt;"",AQ280=0),1,0)</f>
        <v/>
      </c>
      <c r="AU280" s="31">
        <f>IF(AT280=0,"",IF(ISNUMBER(AN280),AN280,100000)+0+ROW()/1000000)</f>
        <v/>
      </c>
      <c r="AV280" s="31">
        <f>IF(ISNUMBER(AU280),SUMPRODUCT(ISNUMBER('Responses'!$AU$2:$AU$501)*('Responses'!$AU$2:$AU$501&lt;AU280)) + SUMPRODUCT(ISNUMBER('Paper sign-ups'!$Y$2:$Y$101)*('Paper sign-ups'!$Y$2:$Y$101&lt;AU280))+1,"")</f>
        <v/>
      </c>
    </row>
    <row r="281">
      <c r="AA281" s="29" t="n"/>
      <c r="AB281" s="30" t="n"/>
      <c r="AC281" s="30" t="n"/>
      <c r="AD281" s="29" t="n"/>
      <c r="AE281" s="31">
        <f>IFERROR(TRIM(INDEX($A281:$Z281,MATCH(Settings!$L$4,$A$1:$Z$1,0))&amp;""),"")</f>
        <v/>
      </c>
      <c r="AF281" s="31">
        <f>IFERROR(TRIM(INDEX($A281:$Z281,MATCH(Settings!$L$5,$A$1:$Z$1,0))&amp;""),"")</f>
        <v/>
      </c>
      <c r="AG281" s="31">
        <f>IF(AE281="","",LOWER(IF(AF281&lt;&gt;"",AF281,AE281)))</f>
        <v/>
      </c>
      <c r="AH281" s="31">
        <f>IFERROR(TRIM(INDEX($A281:$Z281,MATCH(Settings!$L$6,$A$1:$Z$1,0))&amp;""),"")</f>
        <v/>
      </c>
      <c r="AI281" s="31">
        <f>IF(AE281="","",IF(UPPER(TRIM(AB281&amp;""))="Y","Paid another way",IF(IFERROR(TRIM(INDEX($A281:$Z281,MATCH(Settings!$L$7,$A$1:$Z$1,0))&amp;""),"")="","No payment status",IFERROR(TRIM(INDEX($A281:$Z281,MATCH(Settings!$L$7,$A$1:$Z$1,0))&amp;""),""))))</f>
        <v/>
      </c>
      <c r="AJ281" s="31">
        <f>IF(AE281="",0,IF(IFERROR(INDEX(Settings!$J$4:$J$14,MATCH(AI281,Settings!$I$4:$I$14,0)),"N")="Y",1,0))</f>
        <v/>
      </c>
      <c r="AK281" s="32">
        <f>IFERROR(INT(IFERROR(IF(ISNUMBER(INDEX($A281:$Z281,MATCH(Settings!$L$10,$A$1:$Z$1,0))),INDEX($A281:$Z281,MATCH(Settings!$L$10,$A$1:$Z$1,0)),DATE(VALUE(LEFT(IFERROR(TRIM(INDEX($A281:$Z281,MATCH(Settings!$L$10,$A$1:$Z$1,0))&amp;""),""),4)),VALUE(MID(IFERROR(TRIM(INDEX($A281:$Z281,MATCH(Settings!$L$10,$A$1:$Z$1,0))&amp;""),""),6,2)),VALUE(MID(IFERROR(TRIM(INDEX($A281:$Z281,MATCH(Settings!$L$10,$A$1:$Z$1,0))&amp;""),""),9,2)))+TIME(VALUE(MID(IFERROR(TRIM(INDEX($A281:$Z281,MATCH(Settings!$L$10,$A$1:$Z$1,0))&amp;""),""),12,2)),VALUE(MID(IFERROR(TRIM(INDEX($A281:$Z281,MATCH(Settings!$L$10,$A$1:$Z$1,0))&amp;""),""),15,2)),VALUE(MID(IFERROR(TRIM(INDEX($A281:$Z281,MATCH(Settings!$L$10,$A$1:$Z$1,0))&amp;""),""),18,2)))),"")),"")</f>
        <v/>
      </c>
      <c r="AL281" s="32">
        <f>IF(AE281="","",IF(ISNUMBER(AK281),AK281,IFERROR(INT(IFERROR(IF(ISNUMBER(INDEX($A281:$Z281,MATCH(Settings!$L$11,$A$1:$Z$1,0))),INDEX($A281:$Z281,MATCH(Settings!$L$11,$A$1:$Z$1,0)),DATE(VALUE(LEFT(IFERROR(TRIM(INDEX($A281:$Z281,MATCH(Settings!$L$11,$A$1:$Z$1,0))&amp;""),""),4)),VALUE(MID(IFERROR(TRIM(INDEX($A281:$Z281,MATCH(Settings!$L$11,$A$1:$Z$1,0))&amp;""),""),6,2)),VALUE(MID(IFERROR(TRIM(INDEX($A281:$Z281,MATCH(Settings!$L$11,$A$1:$Z$1,0))&amp;""),""),9,2)))+TIME(VALUE(MID(IFERROR(TRIM(INDEX($A281:$Z281,MATCH(Settings!$L$11,$A$1:$Z$1,0))&amp;""),""),12,2)),VALUE(MID(IFERROR(TRIM(INDEX($A281:$Z281,MATCH(Settings!$L$11,$A$1:$Z$1,0))&amp;""),""),15,2)),VALUE(MID(IFERROR(TRIM(INDEX($A281:$Z281,MATCH(Settings!$L$11,$A$1:$Z$1,0))&amp;""),""),18,2)))),"")),"")))</f>
        <v/>
      </c>
      <c r="AM281" s="31">
        <f>IF(AE281="","",IF(ISNUMBER(IFERROR(INDEX(Settings!$G$4:$G$11,MATCH(AH281,Settings!$F$4:$F$11,0)),"")),INDEX(Settings!$G$4:$G$11,MATCH(AH281,Settings!$F$4:$F$11,0)),Settings!$D$5))</f>
        <v/>
      </c>
      <c r="AN281" s="32">
        <f>IF(OR(AE281="",NOT(ISNUMBER(AL281)),NOT(ISNUMBER(AM281))),"",IF(AM281&lt;=0,"",IF(ISNUMBER(Settings!$D$8),DATE(YEAR(AL281)+IF(DATE(YEAR(AL281),MONTH(Settings!$D$8),DAY(Settings!$D$8))&gt;AL281,0,1),MONTH(Settings!$D$8),DAY(Settings!$D$8)),MIN(DATE(YEAR(AL281),MONTH(AL281)+AM281,DAY(AL281)),DATE(YEAR(AL281),MONTH(AL281)+AM281+1,0)))))</f>
        <v/>
      </c>
      <c r="AO281" s="31">
        <f>IF(ISNUMBER(AN281),AN281-Settings!$D$4,"")</f>
        <v/>
      </c>
      <c r="AP281" s="31">
        <f>IF(ISNUMBER(AL281),AL281+0+ROW()/100000,"")</f>
        <v/>
      </c>
      <c r="AQ281" s="31">
        <f>IF(OR(AG281="",NOT(ISNUMBER(AP281))),0,IF(SUMPRODUCT(('Responses'!$AG$2:$AG$501=AG281)*('Responses'!$AJ$2:$AJ$501=1)*ISNUMBER('Responses'!$AP$2:$AP$501)*('Responses'!$AP$2:$AP$501&gt;AP281)) + SUMPRODUCT(('Paper sign-ups'!$K$2:$K$101=AG281)*('Paper sign-ups'!$N$2:$N$101=1)*ISNUMBER('Paper sign-ups'!$T$2:$T$101)*('Paper sign-ups'!$T$2:$T$101&gt;AP281))&gt;0,1,0))</f>
        <v/>
      </c>
      <c r="AR281" s="31">
        <f>IF(AE281="","",IF(AQ281=1,"Joined again",IF(AJ281=0,"Unpaid",IF(NOT(ISNUMBER(AL281)),"Add a join date",IF(AN281="","No reminder",IF(AO281&lt;0,"Lapsed",IF(AO281&lt;=Settings!$D$6,"Remind soon","Current")))))))</f>
        <v/>
      </c>
      <c r="AS281" s="33">
        <f>IF(AJ281=1,IFERROR(VALUE(IFERROR(TRIM(INDEX($A281:$Z281,MATCH(Settings!$L$8,$A$1:$Z$1,0))&amp;""),"")),0)-IFERROR(VALUE(IFERROR(TRIM(INDEX($A281:$Z281,MATCH(Settings!$L$9,$A$1:$Z$1,0))&amp;""),"")),0),0)</f>
        <v/>
      </c>
      <c r="AT281" s="31">
        <f>IF(AND(AE281&lt;&gt;"",AQ281=0),1,0)</f>
        <v/>
      </c>
      <c r="AU281" s="31">
        <f>IF(AT281=0,"",IF(ISNUMBER(AN281),AN281,100000)+0+ROW()/1000000)</f>
        <v/>
      </c>
      <c r="AV281" s="31">
        <f>IF(ISNUMBER(AU281),SUMPRODUCT(ISNUMBER('Responses'!$AU$2:$AU$501)*('Responses'!$AU$2:$AU$501&lt;AU281)) + SUMPRODUCT(ISNUMBER('Paper sign-ups'!$Y$2:$Y$101)*('Paper sign-ups'!$Y$2:$Y$101&lt;AU281))+1,"")</f>
        <v/>
      </c>
    </row>
    <row r="282">
      <c r="AA282" s="29" t="n"/>
      <c r="AB282" s="30" t="n"/>
      <c r="AC282" s="30" t="n"/>
      <c r="AD282" s="29" t="n"/>
      <c r="AE282" s="31">
        <f>IFERROR(TRIM(INDEX($A282:$Z282,MATCH(Settings!$L$4,$A$1:$Z$1,0))&amp;""),"")</f>
        <v/>
      </c>
      <c r="AF282" s="31">
        <f>IFERROR(TRIM(INDEX($A282:$Z282,MATCH(Settings!$L$5,$A$1:$Z$1,0))&amp;""),"")</f>
        <v/>
      </c>
      <c r="AG282" s="31">
        <f>IF(AE282="","",LOWER(IF(AF282&lt;&gt;"",AF282,AE282)))</f>
        <v/>
      </c>
      <c r="AH282" s="31">
        <f>IFERROR(TRIM(INDEX($A282:$Z282,MATCH(Settings!$L$6,$A$1:$Z$1,0))&amp;""),"")</f>
        <v/>
      </c>
      <c r="AI282" s="31">
        <f>IF(AE282="","",IF(UPPER(TRIM(AB282&amp;""))="Y","Paid another way",IF(IFERROR(TRIM(INDEX($A282:$Z282,MATCH(Settings!$L$7,$A$1:$Z$1,0))&amp;""),"")="","No payment status",IFERROR(TRIM(INDEX($A282:$Z282,MATCH(Settings!$L$7,$A$1:$Z$1,0))&amp;""),""))))</f>
        <v/>
      </c>
      <c r="AJ282" s="31">
        <f>IF(AE282="",0,IF(IFERROR(INDEX(Settings!$J$4:$J$14,MATCH(AI282,Settings!$I$4:$I$14,0)),"N")="Y",1,0))</f>
        <v/>
      </c>
      <c r="AK282" s="32">
        <f>IFERROR(INT(IFERROR(IF(ISNUMBER(INDEX($A282:$Z282,MATCH(Settings!$L$10,$A$1:$Z$1,0))),INDEX($A282:$Z282,MATCH(Settings!$L$10,$A$1:$Z$1,0)),DATE(VALUE(LEFT(IFERROR(TRIM(INDEX($A282:$Z282,MATCH(Settings!$L$10,$A$1:$Z$1,0))&amp;""),""),4)),VALUE(MID(IFERROR(TRIM(INDEX($A282:$Z282,MATCH(Settings!$L$10,$A$1:$Z$1,0))&amp;""),""),6,2)),VALUE(MID(IFERROR(TRIM(INDEX($A282:$Z282,MATCH(Settings!$L$10,$A$1:$Z$1,0))&amp;""),""),9,2)))+TIME(VALUE(MID(IFERROR(TRIM(INDEX($A282:$Z282,MATCH(Settings!$L$10,$A$1:$Z$1,0))&amp;""),""),12,2)),VALUE(MID(IFERROR(TRIM(INDEX($A282:$Z282,MATCH(Settings!$L$10,$A$1:$Z$1,0))&amp;""),""),15,2)),VALUE(MID(IFERROR(TRIM(INDEX($A282:$Z282,MATCH(Settings!$L$10,$A$1:$Z$1,0))&amp;""),""),18,2)))),"")),"")</f>
        <v/>
      </c>
      <c r="AL282" s="32">
        <f>IF(AE282="","",IF(ISNUMBER(AK282),AK282,IFERROR(INT(IFERROR(IF(ISNUMBER(INDEX($A282:$Z282,MATCH(Settings!$L$11,$A$1:$Z$1,0))),INDEX($A282:$Z282,MATCH(Settings!$L$11,$A$1:$Z$1,0)),DATE(VALUE(LEFT(IFERROR(TRIM(INDEX($A282:$Z282,MATCH(Settings!$L$11,$A$1:$Z$1,0))&amp;""),""),4)),VALUE(MID(IFERROR(TRIM(INDEX($A282:$Z282,MATCH(Settings!$L$11,$A$1:$Z$1,0))&amp;""),""),6,2)),VALUE(MID(IFERROR(TRIM(INDEX($A282:$Z282,MATCH(Settings!$L$11,$A$1:$Z$1,0))&amp;""),""),9,2)))+TIME(VALUE(MID(IFERROR(TRIM(INDEX($A282:$Z282,MATCH(Settings!$L$11,$A$1:$Z$1,0))&amp;""),""),12,2)),VALUE(MID(IFERROR(TRIM(INDEX($A282:$Z282,MATCH(Settings!$L$11,$A$1:$Z$1,0))&amp;""),""),15,2)),VALUE(MID(IFERROR(TRIM(INDEX($A282:$Z282,MATCH(Settings!$L$11,$A$1:$Z$1,0))&amp;""),""),18,2)))),"")),"")))</f>
        <v/>
      </c>
      <c r="AM282" s="31">
        <f>IF(AE282="","",IF(ISNUMBER(IFERROR(INDEX(Settings!$G$4:$G$11,MATCH(AH282,Settings!$F$4:$F$11,0)),"")),INDEX(Settings!$G$4:$G$11,MATCH(AH282,Settings!$F$4:$F$11,0)),Settings!$D$5))</f>
        <v/>
      </c>
      <c r="AN282" s="32">
        <f>IF(OR(AE282="",NOT(ISNUMBER(AL282)),NOT(ISNUMBER(AM282))),"",IF(AM282&lt;=0,"",IF(ISNUMBER(Settings!$D$8),DATE(YEAR(AL282)+IF(DATE(YEAR(AL282),MONTH(Settings!$D$8),DAY(Settings!$D$8))&gt;AL282,0,1),MONTH(Settings!$D$8),DAY(Settings!$D$8)),MIN(DATE(YEAR(AL282),MONTH(AL282)+AM282,DAY(AL282)),DATE(YEAR(AL282),MONTH(AL282)+AM282+1,0)))))</f>
        <v/>
      </c>
      <c r="AO282" s="31">
        <f>IF(ISNUMBER(AN282),AN282-Settings!$D$4,"")</f>
        <v/>
      </c>
      <c r="AP282" s="31">
        <f>IF(ISNUMBER(AL282),AL282+0+ROW()/100000,"")</f>
        <v/>
      </c>
      <c r="AQ282" s="31">
        <f>IF(OR(AG282="",NOT(ISNUMBER(AP282))),0,IF(SUMPRODUCT(('Responses'!$AG$2:$AG$501=AG282)*('Responses'!$AJ$2:$AJ$501=1)*ISNUMBER('Responses'!$AP$2:$AP$501)*('Responses'!$AP$2:$AP$501&gt;AP282)) + SUMPRODUCT(('Paper sign-ups'!$K$2:$K$101=AG282)*('Paper sign-ups'!$N$2:$N$101=1)*ISNUMBER('Paper sign-ups'!$T$2:$T$101)*('Paper sign-ups'!$T$2:$T$101&gt;AP282))&gt;0,1,0))</f>
        <v/>
      </c>
      <c r="AR282" s="31">
        <f>IF(AE282="","",IF(AQ282=1,"Joined again",IF(AJ282=0,"Unpaid",IF(NOT(ISNUMBER(AL282)),"Add a join date",IF(AN282="","No reminder",IF(AO282&lt;0,"Lapsed",IF(AO282&lt;=Settings!$D$6,"Remind soon","Current")))))))</f>
        <v/>
      </c>
      <c r="AS282" s="33">
        <f>IF(AJ282=1,IFERROR(VALUE(IFERROR(TRIM(INDEX($A282:$Z282,MATCH(Settings!$L$8,$A$1:$Z$1,0))&amp;""),"")),0)-IFERROR(VALUE(IFERROR(TRIM(INDEX($A282:$Z282,MATCH(Settings!$L$9,$A$1:$Z$1,0))&amp;""),"")),0),0)</f>
        <v/>
      </c>
      <c r="AT282" s="31">
        <f>IF(AND(AE282&lt;&gt;"",AQ282=0),1,0)</f>
        <v/>
      </c>
      <c r="AU282" s="31">
        <f>IF(AT282=0,"",IF(ISNUMBER(AN282),AN282,100000)+0+ROW()/1000000)</f>
        <v/>
      </c>
      <c r="AV282" s="31">
        <f>IF(ISNUMBER(AU282),SUMPRODUCT(ISNUMBER('Responses'!$AU$2:$AU$501)*('Responses'!$AU$2:$AU$501&lt;AU282)) + SUMPRODUCT(ISNUMBER('Paper sign-ups'!$Y$2:$Y$101)*('Paper sign-ups'!$Y$2:$Y$101&lt;AU282))+1,"")</f>
        <v/>
      </c>
    </row>
    <row r="283">
      <c r="AA283" s="29" t="n"/>
      <c r="AB283" s="30" t="n"/>
      <c r="AC283" s="30" t="n"/>
      <c r="AD283" s="29" t="n"/>
      <c r="AE283" s="31">
        <f>IFERROR(TRIM(INDEX($A283:$Z283,MATCH(Settings!$L$4,$A$1:$Z$1,0))&amp;""),"")</f>
        <v/>
      </c>
      <c r="AF283" s="31">
        <f>IFERROR(TRIM(INDEX($A283:$Z283,MATCH(Settings!$L$5,$A$1:$Z$1,0))&amp;""),"")</f>
        <v/>
      </c>
      <c r="AG283" s="31">
        <f>IF(AE283="","",LOWER(IF(AF283&lt;&gt;"",AF283,AE283)))</f>
        <v/>
      </c>
      <c r="AH283" s="31">
        <f>IFERROR(TRIM(INDEX($A283:$Z283,MATCH(Settings!$L$6,$A$1:$Z$1,0))&amp;""),"")</f>
        <v/>
      </c>
      <c r="AI283" s="31">
        <f>IF(AE283="","",IF(UPPER(TRIM(AB283&amp;""))="Y","Paid another way",IF(IFERROR(TRIM(INDEX($A283:$Z283,MATCH(Settings!$L$7,$A$1:$Z$1,0))&amp;""),"")="","No payment status",IFERROR(TRIM(INDEX($A283:$Z283,MATCH(Settings!$L$7,$A$1:$Z$1,0))&amp;""),""))))</f>
        <v/>
      </c>
      <c r="AJ283" s="31">
        <f>IF(AE283="",0,IF(IFERROR(INDEX(Settings!$J$4:$J$14,MATCH(AI283,Settings!$I$4:$I$14,0)),"N")="Y",1,0))</f>
        <v/>
      </c>
      <c r="AK283" s="32">
        <f>IFERROR(INT(IFERROR(IF(ISNUMBER(INDEX($A283:$Z283,MATCH(Settings!$L$10,$A$1:$Z$1,0))),INDEX($A283:$Z283,MATCH(Settings!$L$10,$A$1:$Z$1,0)),DATE(VALUE(LEFT(IFERROR(TRIM(INDEX($A283:$Z283,MATCH(Settings!$L$10,$A$1:$Z$1,0))&amp;""),""),4)),VALUE(MID(IFERROR(TRIM(INDEX($A283:$Z283,MATCH(Settings!$L$10,$A$1:$Z$1,0))&amp;""),""),6,2)),VALUE(MID(IFERROR(TRIM(INDEX($A283:$Z283,MATCH(Settings!$L$10,$A$1:$Z$1,0))&amp;""),""),9,2)))+TIME(VALUE(MID(IFERROR(TRIM(INDEX($A283:$Z283,MATCH(Settings!$L$10,$A$1:$Z$1,0))&amp;""),""),12,2)),VALUE(MID(IFERROR(TRIM(INDEX($A283:$Z283,MATCH(Settings!$L$10,$A$1:$Z$1,0))&amp;""),""),15,2)),VALUE(MID(IFERROR(TRIM(INDEX($A283:$Z283,MATCH(Settings!$L$10,$A$1:$Z$1,0))&amp;""),""),18,2)))),"")),"")</f>
        <v/>
      </c>
      <c r="AL283" s="32">
        <f>IF(AE283="","",IF(ISNUMBER(AK283),AK283,IFERROR(INT(IFERROR(IF(ISNUMBER(INDEX($A283:$Z283,MATCH(Settings!$L$11,$A$1:$Z$1,0))),INDEX($A283:$Z283,MATCH(Settings!$L$11,$A$1:$Z$1,0)),DATE(VALUE(LEFT(IFERROR(TRIM(INDEX($A283:$Z283,MATCH(Settings!$L$11,$A$1:$Z$1,0))&amp;""),""),4)),VALUE(MID(IFERROR(TRIM(INDEX($A283:$Z283,MATCH(Settings!$L$11,$A$1:$Z$1,0))&amp;""),""),6,2)),VALUE(MID(IFERROR(TRIM(INDEX($A283:$Z283,MATCH(Settings!$L$11,$A$1:$Z$1,0))&amp;""),""),9,2)))+TIME(VALUE(MID(IFERROR(TRIM(INDEX($A283:$Z283,MATCH(Settings!$L$11,$A$1:$Z$1,0))&amp;""),""),12,2)),VALUE(MID(IFERROR(TRIM(INDEX($A283:$Z283,MATCH(Settings!$L$11,$A$1:$Z$1,0))&amp;""),""),15,2)),VALUE(MID(IFERROR(TRIM(INDEX($A283:$Z283,MATCH(Settings!$L$11,$A$1:$Z$1,0))&amp;""),""),18,2)))),"")),"")))</f>
        <v/>
      </c>
      <c r="AM283" s="31">
        <f>IF(AE283="","",IF(ISNUMBER(IFERROR(INDEX(Settings!$G$4:$G$11,MATCH(AH283,Settings!$F$4:$F$11,0)),"")),INDEX(Settings!$G$4:$G$11,MATCH(AH283,Settings!$F$4:$F$11,0)),Settings!$D$5))</f>
        <v/>
      </c>
      <c r="AN283" s="32">
        <f>IF(OR(AE283="",NOT(ISNUMBER(AL283)),NOT(ISNUMBER(AM283))),"",IF(AM283&lt;=0,"",IF(ISNUMBER(Settings!$D$8),DATE(YEAR(AL283)+IF(DATE(YEAR(AL283),MONTH(Settings!$D$8),DAY(Settings!$D$8))&gt;AL283,0,1),MONTH(Settings!$D$8),DAY(Settings!$D$8)),MIN(DATE(YEAR(AL283),MONTH(AL283)+AM283,DAY(AL283)),DATE(YEAR(AL283),MONTH(AL283)+AM283+1,0)))))</f>
        <v/>
      </c>
      <c r="AO283" s="31">
        <f>IF(ISNUMBER(AN283),AN283-Settings!$D$4,"")</f>
        <v/>
      </c>
      <c r="AP283" s="31">
        <f>IF(ISNUMBER(AL283),AL283+0+ROW()/100000,"")</f>
        <v/>
      </c>
      <c r="AQ283" s="31">
        <f>IF(OR(AG283="",NOT(ISNUMBER(AP283))),0,IF(SUMPRODUCT(('Responses'!$AG$2:$AG$501=AG283)*('Responses'!$AJ$2:$AJ$501=1)*ISNUMBER('Responses'!$AP$2:$AP$501)*('Responses'!$AP$2:$AP$501&gt;AP283)) + SUMPRODUCT(('Paper sign-ups'!$K$2:$K$101=AG283)*('Paper sign-ups'!$N$2:$N$101=1)*ISNUMBER('Paper sign-ups'!$T$2:$T$101)*('Paper sign-ups'!$T$2:$T$101&gt;AP283))&gt;0,1,0))</f>
        <v/>
      </c>
      <c r="AR283" s="31">
        <f>IF(AE283="","",IF(AQ283=1,"Joined again",IF(AJ283=0,"Unpaid",IF(NOT(ISNUMBER(AL283)),"Add a join date",IF(AN283="","No reminder",IF(AO283&lt;0,"Lapsed",IF(AO283&lt;=Settings!$D$6,"Remind soon","Current")))))))</f>
        <v/>
      </c>
      <c r="AS283" s="33">
        <f>IF(AJ283=1,IFERROR(VALUE(IFERROR(TRIM(INDEX($A283:$Z283,MATCH(Settings!$L$8,$A$1:$Z$1,0))&amp;""),"")),0)-IFERROR(VALUE(IFERROR(TRIM(INDEX($A283:$Z283,MATCH(Settings!$L$9,$A$1:$Z$1,0))&amp;""),"")),0),0)</f>
        <v/>
      </c>
      <c r="AT283" s="31">
        <f>IF(AND(AE283&lt;&gt;"",AQ283=0),1,0)</f>
        <v/>
      </c>
      <c r="AU283" s="31">
        <f>IF(AT283=0,"",IF(ISNUMBER(AN283),AN283,100000)+0+ROW()/1000000)</f>
        <v/>
      </c>
      <c r="AV283" s="31">
        <f>IF(ISNUMBER(AU283),SUMPRODUCT(ISNUMBER('Responses'!$AU$2:$AU$501)*('Responses'!$AU$2:$AU$501&lt;AU283)) + SUMPRODUCT(ISNUMBER('Paper sign-ups'!$Y$2:$Y$101)*('Paper sign-ups'!$Y$2:$Y$101&lt;AU283))+1,"")</f>
        <v/>
      </c>
    </row>
    <row r="284">
      <c r="AA284" s="29" t="n"/>
      <c r="AB284" s="30" t="n"/>
      <c r="AC284" s="30" t="n"/>
      <c r="AD284" s="29" t="n"/>
      <c r="AE284" s="31">
        <f>IFERROR(TRIM(INDEX($A284:$Z284,MATCH(Settings!$L$4,$A$1:$Z$1,0))&amp;""),"")</f>
        <v/>
      </c>
      <c r="AF284" s="31">
        <f>IFERROR(TRIM(INDEX($A284:$Z284,MATCH(Settings!$L$5,$A$1:$Z$1,0))&amp;""),"")</f>
        <v/>
      </c>
      <c r="AG284" s="31">
        <f>IF(AE284="","",LOWER(IF(AF284&lt;&gt;"",AF284,AE284)))</f>
        <v/>
      </c>
      <c r="AH284" s="31">
        <f>IFERROR(TRIM(INDEX($A284:$Z284,MATCH(Settings!$L$6,$A$1:$Z$1,0))&amp;""),"")</f>
        <v/>
      </c>
      <c r="AI284" s="31">
        <f>IF(AE284="","",IF(UPPER(TRIM(AB284&amp;""))="Y","Paid another way",IF(IFERROR(TRIM(INDEX($A284:$Z284,MATCH(Settings!$L$7,$A$1:$Z$1,0))&amp;""),"")="","No payment status",IFERROR(TRIM(INDEX($A284:$Z284,MATCH(Settings!$L$7,$A$1:$Z$1,0))&amp;""),""))))</f>
        <v/>
      </c>
      <c r="AJ284" s="31">
        <f>IF(AE284="",0,IF(IFERROR(INDEX(Settings!$J$4:$J$14,MATCH(AI284,Settings!$I$4:$I$14,0)),"N")="Y",1,0))</f>
        <v/>
      </c>
      <c r="AK284" s="32">
        <f>IFERROR(INT(IFERROR(IF(ISNUMBER(INDEX($A284:$Z284,MATCH(Settings!$L$10,$A$1:$Z$1,0))),INDEX($A284:$Z284,MATCH(Settings!$L$10,$A$1:$Z$1,0)),DATE(VALUE(LEFT(IFERROR(TRIM(INDEX($A284:$Z284,MATCH(Settings!$L$10,$A$1:$Z$1,0))&amp;""),""),4)),VALUE(MID(IFERROR(TRIM(INDEX($A284:$Z284,MATCH(Settings!$L$10,$A$1:$Z$1,0))&amp;""),""),6,2)),VALUE(MID(IFERROR(TRIM(INDEX($A284:$Z284,MATCH(Settings!$L$10,$A$1:$Z$1,0))&amp;""),""),9,2)))+TIME(VALUE(MID(IFERROR(TRIM(INDEX($A284:$Z284,MATCH(Settings!$L$10,$A$1:$Z$1,0))&amp;""),""),12,2)),VALUE(MID(IFERROR(TRIM(INDEX($A284:$Z284,MATCH(Settings!$L$10,$A$1:$Z$1,0))&amp;""),""),15,2)),VALUE(MID(IFERROR(TRIM(INDEX($A284:$Z284,MATCH(Settings!$L$10,$A$1:$Z$1,0))&amp;""),""),18,2)))),"")),"")</f>
        <v/>
      </c>
      <c r="AL284" s="32">
        <f>IF(AE284="","",IF(ISNUMBER(AK284),AK284,IFERROR(INT(IFERROR(IF(ISNUMBER(INDEX($A284:$Z284,MATCH(Settings!$L$11,$A$1:$Z$1,0))),INDEX($A284:$Z284,MATCH(Settings!$L$11,$A$1:$Z$1,0)),DATE(VALUE(LEFT(IFERROR(TRIM(INDEX($A284:$Z284,MATCH(Settings!$L$11,$A$1:$Z$1,0))&amp;""),""),4)),VALUE(MID(IFERROR(TRIM(INDEX($A284:$Z284,MATCH(Settings!$L$11,$A$1:$Z$1,0))&amp;""),""),6,2)),VALUE(MID(IFERROR(TRIM(INDEX($A284:$Z284,MATCH(Settings!$L$11,$A$1:$Z$1,0))&amp;""),""),9,2)))+TIME(VALUE(MID(IFERROR(TRIM(INDEX($A284:$Z284,MATCH(Settings!$L$11,$A$1:$Z$1,0))&amp;""),""),12,2)),VALUE(MID(IFERROR(TRIM(INDEX($A284:$Z284,MATCH(Settings!$L$11,$A$1:$Z$1,0))&amp;""),""),15,2)),VALUE(MID(IFERROR(TRIM(INDEX($A284:$Z284,MATCH(Settings!$L$11,$A$1:$Z$1,0))&amp;""),""),18,2)))),"")),"")))</f>
        <v/>
      </c>
      <c r="AM284" s="31">
        <f>IF(AE284="","",IF(ISNUMBER(IFERROR(INDEX(Settings!$G$4:$G$11,MATCH(AH284,Settings!$F$4:$F$11,0)),"")),INDEX(Settings!$G$4:$G$11,MATCH(AH284,Settings!$F$4:$F$11,0)),Settings!$D$5))</f>
        <v/>
      </c>
      <c r="AN284" s="32">
        <f>IF(OR(AE284="",NOT(ISNUMBER(AL284)),NOT(ISNUMBER(AM284))),"",IF(AM284&lt;=0,"",IF(ISNUMBER(Settings!$D$8),DATE(YEAR(AL284)+IF(DATE(YEAR(AL284),MONTH(Settings!$D$8),DAY(Settings!$D$8))&gt;AL284,0,1),MONTH(Settings!$D$8),DAY(Settings!$D$8)),MIN(DATE(YEAR(AL284),MONTH(AL284)+AM284,DAY(AL284)),DATE(YEAR(AL284),MONTH(AL284)+AM284+1,0)))))</f>
        <v/>
      </c>
      <c r="AO284" s="31">
        <f>IF(ISNUMBER(AN284),AN284-Settings!$D$4,"")</f>
        <v/>
      </c>
      <c r="AP284" s="31">
        <f>IF(ISNUMBER(AL284),AL284+0+ROW()/100000,"")</f>
        <v/>
      </c>
      <c r="AQ284" s="31">
        <f>IF(OR(AG284="",NOT(ISNUMBER(AP284))),0,IF(SUMPRODUCT(('Responses'!$AG$2:$AG$501=AG284)*('Responses'!$AJ$2:$AJ$501=1)*ISNUMBER('Responses'!$AP$2:$AP$501)*('Responses'!$AP$2:$AP$501&gt;AP284)) + SUMPRODUCT(('Paper sign-ups'!$K$2:$K$101=AG284)*('Paper sign-ups'!$N$2:$N$101=1)*ISNUMBER('Paper sign-ups'!$T$2:$T$101)*('Paper sign-ups'!$T$2:$T$101&gt;AP284))&gt;0,1,0))</f>
        <v/>
      </c>
      <c r="AR284" s="31">
        <f>IF(AE284="","",IF(AQ284=1,"Joined again",IF(AJ284=0,"Unpaid",IF(NOT(ISNUMBER(AL284)),"Add a join date",IF(AN284="","No reminder",IF(AO284&lt;0,"Lapsed",IF(AO284&lt;=Settings!$D$6,"Remind soon","Current")))))))</f>
        <v/>
      </c>
      <c r="AS284" s="33">
        <f>IF(AJ284=1,IFERROR(VALUE(IFERROR(TRIM(INDEX($A284:$Z284,MATCH(Settings!$L$8,$A$1:$Z$1,0))&amp;""),"")),0)-IFERROR(VALUE(IFERROR(TRIM(INDEX($A284:$Z284,MATCH(Settings!$L$9,$A$1:$Z$1,0))&amp;""),"")),0),0)</f>
        <v/>
      </c>
      <c r="AT284" s="31">
        <f>IF(AND(AE284&lt;&gt;"",AQ284=0),1,0)</f>
        <v/>
      </c>
      <c r="AU284" s="31">
        <f>IF(AT284=0,"",IF(ISNUMBER(AN284),AN284,100000)+0+ROW()/1000000)</f>
        <v/>
      </c>
      <c r="AV284" s="31">
        <f>IF(ISNUMBER(AU284),SUMPRODUCT(ISNUMBER('Responses'!$AU$2:$AU$501)*('Responses'!$AU$2:$AU$501&lt;AU284)) + SUMPRODUCT(ISNUMBER('Paper sign-ups'!$Y$2:$Y$101)*('Paper sign-ups'!$Y$2:$Y$101&lt;AU284))+1,"")</f>
        <v/>
      </c>
    </row>
    <row r="285">
      <c r="AA285" s="29" t="n"/>
      <c r="AB285" s="30" t="n"/>
      <c r="AC285" s="30" t="n"/>
      <c r="AD285" s="29" t="n"/>
      <c r="AE285" s="31">
        <f>IFERROR(TRIM(INDEX($A285:$Z285,MATCH(Settings!$L$4,$A$1:$Z$1,0))&amp;""),"")</f>
        <v/>
      </c>
      <c r="AF285" s="31">
        <f>IFERROR(TRIM(INDEX($A285:$Z285,MATCH(Settings!$L$5,$A$1:$Z$1,0))&amp;""),"")</f>
        <v/>
      </c>
      <c r="AG285" s="31">
        <f>IF(AE285="","",LOWER(IF(AF285&lt;&gt;"",AF285,AE285)))</f>
        <v/>
      </c>
      <c r="AH285" s="31">
        <f>IFERROR(TRIM(INDEX($A285:$Z285,MATCH(Settings!$L$6,$A$1:$Z$1,0))&amp;""),"")</f>
        <v/>
      </c>
      <c r="AI285" s="31">
        <f>IF(AE285="","",IF(UPPER(TRIM(AB285&amp;""))="Y","Paid another way",IF(IFERROR(TRIM(INDEX($A285:$Z285,MATCH(Settings!$L$7,$A$1:$Z$1,0))&amp;""),"")="","No payment status",IFERROR(TRIM(INDEX($A285:$Z285,MATCH(Settings!$L$7,$A$1:$Z$1,0))&amp;""),""))))</f>
        <v/>
      </c>
      <c r="AJ285" s="31">
        <f>IF(AE285="",0,IF(IFERROR(INDEX(Settings!$J$4:$J$14,MATCH(AI285,Settings!$I$4:$I$14,0)),"N")="Y",1,0))</f>
        <v/>
      </c>
      <c r="AK285" s="32">
        <f>IFERROR(INT(IFERROR(IF(ISNUMBER(INDEX($A285:$Z285,MATCH(Settings!$L$10,$A$1:$Z$1,0))),INDEX($A285:$Z285,MATCH(Settings!$L$10,$A$1:$Z$1,0)),DATE(VALUE(LEFT(IFERROR(TRIM(INDEX($A285:$Z285,MATCH(Settings!$L$10,$A$1:$Z$1,0))&amp;""),""),4)),VALUE(MID(IFERROR(TRIM(INDEX($A285:$Z285,MATCH(Settings!$L$10,$A$1:$Z$1,0))&amp;""),""),6,2)),VALUE(MID(IFERROR(TRIM(INDEX($A285:$Z285,MATCH(Settings!$L$10,$A$1:$Z$1,0))&amp;""),""),9,2)))+TIME(VALUE(MID(IFERROR(TRIM(INDEX($A285:$Z285,MATCH(Settings!$L$10,$A$1:$Z$1,0))&amp;""),""),12,2)),VALUE(MID(IFERROR(TRIM(INDEX($A285:$Z285,MATCH(Settings!$L$10,$A$1:$Z$1,0))&amp;""),""),15,2)),VALUE(MID(IFERROR(TRIM(INDEX($A285:$Z285,MATCH(Settings!$L$10,$A$1:$Z$1,0))&amp;""),""),18,2)))),"")),"")</f>
        <v/>
      </c>
      <c r="AL285" s="32">
        <f>IF(AE285="","",IF(ISNUMBER(AK285),AK285,IFERROR(INT(IFERROR(IF(ISNUMBER(INDEX($A285:$Z285,MATCH(Settings!$L$11,$A$1:$Z$1,0))),INDEX($A285:$Z285,MATCH(Settings!$L$11,$A$1:$Z$1,0)),DATE(VALUE(LEFT(IFERROR(TRIM(INDEX($A285:$Z285,MATCH(Settings!$L$11,$A$1:$Z$1,0))&amp;""),""),4)),VALUE(MID(IFERROR(TRIM(INDEX($A285:$Z285,MATCH(Settings!$L$11,$A$1:$Z$1,0))&amp;""),""),6,2)),VALUE(MID(IFERROR(TRIM(INDEX($A285:$Z285,MATCH(Settings!$L$11,$A$1:$Z$1,0))&amp;""),""),9,2)))+TIME(VALUE(MID(IFERROR(TRIM(INDEX($A285:$Z285,MATCH(Settings!$L$11,$A$1:$Z$1,0))&amp;""),""),12,2)),VALUE(MID(IFERROR(TRIM(INDEX($A285:$Z285,MATCH(Settings!$L$11,$A$1:$Z$1,0))&amp;""),""),15,2)),VALUE(MID(IFERROR(TRIM(INDEX($A285:$Z285,MATCH(Settings!$L$11,$A$1:$Z$1,0))&amp;""),""),18,2)))),"")),"")))</f>
        <v/>
      </c>
      <c r="AM285" s="31">
        <f>IF(AE285="","",IF(ISNUMBER(IFERROR(INDEX(Settings!$G$4:$G$11,MATCH(AH285,Settings!$F$4:$F$11,0)),"")),INDEX(Settings!$G$4:$G$11,MATCH(AH285,Settings!$F$4:$F$11,0)),Settings!$D$5))</f>
        <v/>
      </c>
      <c r="AN285" s="32">
        <f>IF(OR(AE285="",NOT(ISNUMBER(AL285)),NOT(ISNUMBER(AM285))),"",IF(AM285&lt;=0,"",IF(ISNUMBER(Settings!$D$8),DATE(YEAR(AL285)+IF(DATE(YEAR(AL285),MONTH(Settings!$D$8),DAY(Settings!$D$8))&gt;AL285,0,1),MONTH(Settings!$D$8),DAY(Settings!$D$8)),MIN(DATE(YEAR(AL285),MONTH(AL285)+AM285,DAY(AL285)),DATE(YEAR(AL285),MONTH(AL285)+AM285+1,0)))))</f>
        <v/>
      </c>
      <c r="AO285" s="31">
        <f>IF(ISNUMBER(AN285),AN285-Settings!$D$4,"")</f>
        <v/>
      </c>
      <c r="AP285" s="31">
        <f>IF(ISNUMBER(AL285),AL285+0+ROW()/100000,"")</f>
        <v/>
      </c>
      <c r="AQ285" s="31">
        <f>IF(OR(AG285="",NOT(ISNUMBER(AP285))),0,IF(SUMPRODUCT(('Responses'!$AG$2:$AG$501=AG285)*('Responses'!$AJ$2:$AJ$501=1)*ISNUMBER('Responses'!$AP$2:$AP$501)*('Responses'!$AP$2:$AP$501&gt;AP285)) + SUMPRODUCT(('Paper sign-ups'!$K$2:$K$101=AG285)*('Paper sign-ups'!$N$2:$N$101=1)*ISNUMBER('Paper sign-ups'!$T$2:$T$101)*('Paper sign-ups'!$T$2:$T$101&gt;AP285))&gt;0,1,0))</f>
        <v/>
      </c>
      <c r="AR285" s="31">
        <f>IF(AE285="","",IF(AQ285=1,"Joined again",IF(AJ285=0,"Unpaid",IF(NOT(ISNUMBER(AL285)),"Add a join date",IF(AN285="","No reminder",IF(AO285&lt;0,"Lapsed",IF(AO285&lt;=Settings!$D$6,"Remind soon","Current")))))))</f>
        <v/>
      </c>
      <c r="AS285" s="33">
        <f>IF(AJ285=1,IFERROR(VALUE(IFERROR(TRIM(INDEX($A285:$Z285,MATCH(Settings!$L$8,$A$1:$Z$1,0))&amp;""),"")),0)-IFERROR(VALUE(IFERROR(TRIM(INDEX($A285:$Z285,MATCH(Settings!$L$9,$A$1:$Z$1,0))&amp;""),"")),0),0)</f>
        <v/>
      </c>
      <c r="AT285" s="31">
        <f>IF(AND(AE285&lt;&gt;"",AQ285=0),1,0)</f>
        <v/>
      </c>
      <c r="AU285" s="31">
        <f>IF(AT285=0,"",IF(ISNUMBER(AN285),AN285,100000)+0+ROW()/1000000)</f>
        <v/>
      </c>
      <c r="AV285" s="31">
        <f>IF(ISNUMBER(AU285),SUMPRODUCT(ISNUMBER('Responses'!$AU$2:$AU$501)*('Responses'!$AU$2:$AU$501&lt;AU285)) + SUMPRODUCT(ISNUMBER('Paper sign-ups'!$Y$2:$Y$101)*('Paper sign-ups'!$Y$2:$Y$101&lt;AU285))+1,"")</f>
        <v/>
      </c>
    </row>
    <row r="286">
      <c r="AA286" s="29" t="n"/>
      <c r="AB286" s="30" t="n"/>
      <c r="AC286" s="30" t="n"/>
      <c r="AD286" s="29" t="n"/>
      <c r="AE286" s="31">
        <f>IFERROR(TRIM(INDEX($A286:$Z286,MATCH(Settings!$L$4,$A$1:$Z$1,0))&amp;""),"")</f>
        <v/>
      </c>
      <c r="AF286" s="31">
        <f>IFERROR(TRIM(INDEX($A286:$Z286,MATCH(Settings!$L$5,$A$1:$Z$1,0))&amp;""),"")</f>
        <v/>
      </c>
      <c r="AG286" s="31">
        <f>IF(AE286="","",LOWER(IF(AF286&lt;&gt;"",AF286,AE286)))</f>
        <v/>
      </c>
      <c r="AH286" s="31">
        <f>IFERROR(TRIM(INDEX($A286:$Z286,MATCH(Settings!$L$6,$A$1:$Z$1,0))&amp;""),"")</f>
        <v/>
      </c>
      <c r="AI286" s="31">
        <f>IF(AE286="","",IF(UPPER(TRIM(AB286&amp;""))="Y","Paid another way",IF(IFERROR(TRIM(INDEX($A286:$Z286,MATCH(Settings!$L$7,$A$1:$Z$1,0))&amp;""),"")="","No payment status",IFERROR(TRIM(INDEX($A286:$Z286,MATCH(Settings!$L$7,$A$1:$Z$1,0))&amp;""),""))))</f>
        <v/>
      </c>
      <c r="AJ286" s="31">
        <f>IF(AE286="",0,IF(IFERROR(INDEX(Settings!$J$4:$J$14,MATCH(AI286,Settings!$I$4:$I$14,0)),"N")="Y",1,0))</f>
        <v/>
      </c>
      <c r="AK286" s="32">
        <f>IFERROR(INT(IFERROR(IF(ISNUMBER(INDEX($A286:$Z286,MATCH(Settings!$L$10,$A$1:$Z$1,0))),INDEX($A286:$Z286,MATCH(Settings!$L$10,$A$1:$Z$1,0)),DATE(VALUE(LEFT(IFERROR(TRIM(INDEX($A286:$Z286,MATCH(Settings!$L$10,$A$1:$Z$1,0))&amp;""),""),4)),VALUE(MID(IFERROR(TRIM(INDEX($A286:$Z286,MATCH(Settings!$L$10,$A$1:$Z$1,0))&amp;""),""),6,2)),VALUE(MID(IFERROR(TRIM(INDEX($A286:$Z286,MATCH(Settings!$L$10,$A$1:$Z$1,0))&amp;""),""),9,2)))+TIME(VALUE(MID(IFERROR(TRIM(INDEX($A286:$Z286,MATCH(Settings!$L$10,$A$1:$Z$1,0))&amp;""),""),12,2)),VALUE(MID(IFERROR(TRIM(INDEX($A286:$Z286,MATCH(Settings!$L$10,$A$1:$Z$1,0))&amp;""),""),15,2)),VALUE(MID(IFERROR(TRIM(INDEX($A286:$Z286,MATCH(Settings!$L$10,$A$1:$Z$1,0))&amp;""),""),18,2)))),"")),"")</f>
        <v/>
      </c>
      <c r="AL286" s="32">
        <f>IF(AE286="","",IF(ISNUMBER(AK286),AK286,IFERROR(INT(IFERROR(IF(ISNUMBER(INDEX($A286:$Z286,MATCH(Settings!$L$11,$A$1:$Z$1,0))),INDEX($A286:$Z286,MATCH(Settings!$L$11,$A$1:$Z$1,0)),DATE(VALUE(LEFT(IFERROR(TRIM(INDEX($A286:$Z286,MATCH(Settings!$L$11,$A$1:$Z$1,0))&amp;""),""),4)),VALUE(MID(IFERROR(TRIM(INDEX($A286:$Z286,MATCH(Settings!$L$11,$A$1:$Z$1,0))&amp;""),""),6,2)),VALUE(MID(IFERROR(TRIM(INDEX($A286:$Z286,MATCH(Settings!$L$11,$A$1:$Z$1,0))&amp;""),""),9,2)))+TIME(VALUE(MID(IFERROR(TRIM(INDEX($A286:$Z286,MATCH(Settings!$L$11,$A$1:$Z$1,0))&amp;""),""),12,2)),VALUE(MID(IFERROR(TRIM(INDEX($A286:$Z286,MATCH(Settings!$L$11,$A$1:$Z$1,0))&amp;""),""),15,2)),VALUE(MID(IFERROR(TRIM(INDEX($A286:$Z286,MATCH(Settings!$L$11,$A$1:$Z$1,0))&amp;""),""),18,2)))),"")),"")))</f>
        <v/>
      </c>
      <c r="AM286" s="31">
        <f>IF(AE286="","",IF(ISNUMBER(IFERROR(INDEX(Settings!$G$4:$G$11,MATCH(AH286,Settings!$F$4:$F$11,0)),"")),INDEX(Settings!$G$4:$G$11,MATCH(AH286,Settings!$F$4:$F$11,0)),Settings!$D$5))</f>
        <v/>
      </c>
      <c r="AN286" s="32">
        <f>IF(OR(AE286="",NOT(ISNUMBER(AL286)),NOT(ISNUMBER(AM286))),"",IF(AM286&lt;=0,"",IF(ISNUMBER(Settings!$D$8),DATE(YEAR(AL286)+IF(DATE(YEAR(AL286),MONTH(Settings!$D$8),DAY(Settings!$D$8))&gt;AL286,0,1),MONTH(Settings!$D$8),DAY(Settings!$D$8)),MIN(DATE(YEAR(AL286),MONTH(AL286)+AM286,DAY(AL286)),DATE(YEAR(AL286),MONTH(AL286)+AM286+1,0)))))</f>
        <v/>
      </c>
      <c r="AO286" s="31">
        <f>IF(ISNUMBER(AN286),AN286-Settings!$D$4,"")</f>
        <v/>
      </c>
      <c r="AP286" s="31">
        <f>IF(ISNUMBER(AL286),AL286+0+ROW()/100000,"")</f>
        <v/>
      </c>
      <c r="AQ286" s="31">
        <f>IF(OR(AG286="",NOT(ISNUMBER(AP286))),0,IF(SUMPRODUCT(('Responses'!$AG$2:$AG$501=AG286)*('Responses'!$AJ$2:$AJ$501=1)*ISNUMBER('Responses'!$AP$2:$AP$501)*('Responses'!$AP$2:$AP$501&gt;AP286)) + SUMPRODUCT(('Paper sign-ups'!$K$2:$K$101=AG286)*('Paper sign-ups'!$N$2:$N$101=1)*ISNUMBER('Paper sign-ups'!$T$2:$T$101)*('Paper sign-ups'!$T$2:$T$101&gt;AP286))&gt;0,1,0))</f>
        <v/>
      </c>
      <c r="AR286" s="31">
        <f>IF(AE286="","",IF(AQ286=1,"Joined again",IF(AJ286=0,"Unpaid",IF(NOT(ISNUMBER(AL286)),"Add a join date",IF(AN286="","No reminder",IF(AO286&lt;0,"Lapsed",IF(AO286&lt;=Settings!$D$6,"Remind soon","Current")))))))</f>
        <v/>
      </c>
      <c r="AS286" s="33">
        <f>IF(AJ286=1,IFERROR(VALUE(IFERROR(TRIM(INDEX($A286:$Z286,MATCH(Settings!$L$8,$A$1:$Z$1,0))&amp;""),"")),0)-IFERROR(VALUE(IFERROR(TRIM(INDEX($A286:$Z286,MATCH(Settings!$L$9,$A$1:$Z$1,0))&amp;""),"")),0),0)</f>
        <v/>
      </c>
      <c r="AT286" s="31">
        <f>IF(AND(AE286&lt;&gt;"",AQ286=0),1,0)</f>
        <v/>
      </c>
      <c r="AU286" s="31">
        <f>IF(AT286=0,"",IF(ISNUMBER(AN286),AN286,100000)+0+ROW()/1000000)</f>
        <v/>
      </c>
      <c r="AV286" s="31">
        <f>IF(ISNUMBER(AU286),SUMPRODUCT(ISNUMBER('Responses'!$AU$2:$AU$501)*('Responses'!$AU$2:$AU$501&lt;AU286)) + SUMPRODUCT(ISNUMBER('Paper sign-ups'!$Y$2:$Y$101)*('Paper sign-ups'!$Y$2:$Y$101&lt;AU286))+1,"")</f>
        <v/>
      </c>
    </row>
    <row r="287">
      <c r="AA287" s="29" t="n"/>
      <c r="AB287" s="30" t="n"/>
      <c r="AC287" s="30" t="n"/>
      <c r="AD287" s="29" t="n"/>
      <c r="AE287" s="31">
        <f>IFERROR(TRIM(INDEX($A287:$Z287,MATCH(Settings!$L$4,$A$1:$Z$1,0))&amp;""),"")</f>
        <v/>
      </c>
      <c r="AF287" s="31">
        <f>IFERROR(TRIM(INDEX($A287:$Z287,MATCH(Settings!$L$5,$A$1:$Z$1,0))&amp;""),"")</f>
        <v/>
      </c>
      <c r="AG287" s="31">
        <f>IF(AE287="","",LOWER(IF(AF287&lt;&gt;"",AF287,AE287)))</f>
        <v/>
      </c>
      <c r="AH287" s="31">
        <f>IFERROR(TRIM(INDEX($A287:$Z287,MATCH(Settings!$L$6,$A$1:$Z$1,0))&amp;""),"")</f>
        <v/>
      </c>
      <c r="AI287" s="31">
        <f>IF(AE287="","",IF(UPPER(TRIM(AB287&amp;""))="Y","Paid another way",IF(IFERROR(TRIM(INDEX($A287:$Z287,MATCH(Settings!$L$7,$A$1:$Z$1,0))&amp;""),"")="","No payment status",IFERROR(TRIM(INDEX($A287:$Z287,MATCH(Settings!$L$7,$A$1:$Z$1,0))&amp;""),""))))</f>
        <v/>
      </c>
      <c r="AJ287" s="31">
        <f>IF(AE287="",0,IF(IFERROR(INDEX(Settings!$J$4:$J$14,MATCH(AI287,Settings!$I$4:$I$14,0)),"N")="Y",1,0))</f>
        <v/>
      </c>
      <c r="AK287" s="32">
        <f>IFERROR(INT(IFERROR(IF(ISNUMBER(INDEX($A287:$Z287,MATCH(Settings!$L$10,$A$1:$Z$1,0))),INDEX($A287:$Z287,MATCH(Settings!$L$10,$A$1:$Z$1,0)),DATE(VALUE(LEFT(IFERROR(TRIM(INDEX($A287:$Z287,MATCH(Settings!$L$10,$A$1:$Z$1,0))&amp;""),""),4)),VALUE(MID(IFERROR(TRIM(INDEX($A287:$Z287,MATCH(Settings!$L$10,$A$1:$Z$1,0))&amp;""),""),6,2)),VALUE(MID(IFERROR(TRIM(INDEX($A287:$Z287,MATCH(Settings!$L$10,$A$1:$Z$1,0))&amp;""),""),9,2)))+TIME(VALUE(MID(IFERROR(TRIM(INDEX($A287:$Z287,MATCH(Settings!$L$10,$A$1:$Z$1,0))&amp;""),""),12,2)),VALUE(MID(IFERROR(TRIM(INDEX($A287:$Z287,MATCH(Settings!$L$10,$A$1:$Z$1,0))&amp;""),""),15,2)),VALUE(MID(IFERROR(TRIM(INDEX($A287:$Z287,MATCH(Settings!$L$10,$A$1:$Z$1,0))&amp;""),""),18,2)))),"")),"")</f>
        <v/>
      </c>
      <c r="AL287" s="32">
        <f>IF(AE287="","",IF(ISNUMBER(AK287),AK287,IFERROR(INT(IFERROR(IF(ISNUMBER(INDEX($A287:$Z287,MATCH(Settings!$L$11,$A$1:$Z$1,0))),INDEX($A287:$Z287,MATCH(Settings!$L$11,$A$1:$Z$1,0)),DATE(VALUE(LEFT(IFERROR(TRIM(INDEX($A287:$Z287,MATCH(Settings!$L$11,$A$1:$Z$1,0))&amp;""),""),4)),VALUE(MID(IFERROR(TRIM(INDEX($A287:$Z287,MATCH(Settings!$L$11,$A$1:$Z$1,0))&amp;""),""),6,2)),VALUE(MID(IFERROR(TRIM(INDEX($A287:$Z287,MATCH(Settings!$L$11,$A$1:$Z$1,0))&amp;""),""),9,2)))+TIME(VALUE(MID(IFERROR(TRIM(INDEX($A287:$Z287,MATCH(Settings!$L$11,$A$1:$Z$1,0))&amp;""),""),12,2)),VALUE(MID(IFERROR(TRIM(INDEX($A287:$Z287,MATCH(Settings!$L$11,$A$1:$Z$1,0))&amp;""),""),15,2)),VALUE(MID(IFERROR(TRIM(INDEX($A287:$Z287,MATCH(Settings!$L$11,$A$1:$Z$1,0))&amp;""),""),18,2)))),"")),"")))</f>
        <v/>
      </c>
      <c r="AM287" s="31">
        <f>IF(AE287="","",IF(ISNUMBER(IFERROR(INDEX(Settings!$G$4:$G$11,MATCH(AH287,Settings!$F$4:$F$11,0)),"")),INDEX(Settings!$G$4:$G$11,MATCH(AH287,Settings!$F$4:$F$11,0)),Settings!$D$5))</f>
        <v/>
      </c>
      <c r="AN287" s="32">
        <f>IF(OR(AE287="",NOT(ISNUMBER(AL287)),NOT(ISNUMBER(AM287))),"",IF(AM287&lt;=0,"",IF(ISNUMBER(Settings!$D$8),DATE(YEAR(AL287)+IF(DATE(YEAR(AL287),MONTH(Settings!$D$8),DAY(Settings!$D$8))&gt;AL287,0,1),MONTH(Settings!$D$8),DAY(Settings!$D$8)),MIN(DATE(YEAR(AL287),MONTH(AL287)+AM287,DAY(AL287)),DATE(YEAR(AL287),MONTH(AL287)+AM287+1,0)))))</f>
        <v/>
      </c>
      <c r="AO287" s="31">
        <f>IF(ISNUMBER(AN287),AN287-Settings!$D$4,"")</f>
        <v/>
      </c>
      <c r="AP287" s="31">
        <f>IF(ISNUMBER(AL287),AL287+0+ROW()/100000,"")</f>
        <v/>
      </c>
      <c r="AQ287" s="31">
        <f>IF(OR(AG287="",NOT(ISNUMBER(AP287))),0,IF(SUMPRODUCT(('Responses'!$AG$2:$AG$501=AG287)*('Responses'!$AJ$2:$AJ$501=1)*ISNUMBER('Responses'!$AP$2:$AP$501)*('Responses'!$AP$2:$AP$501&gt;AP287)) + SUMPRODUCT(('Paper sign-ups'!$K$2:$K$101=AG287)*('Paper sign-ups'!$N$2:$N$101=1)*ISNUMBER('Paper sign-ups'!$T$2:$T$101)*('Paper sign-ups'!$T$2:$T$101&gt;AP287))&gt;0,1,0))</f>
        <v/>
      </c>
      <c r="AR287" s="31">
        <f>IF(AE287="","",IF(AQ287=1,"Joined again",IF(AJ287=0,"Unpaid",IF(NOT(ISNUMBER(AL287)),"Add a join date",IF(AN287="","No reminder",IF(AO287&lt;0,"Lapsed",IF(AO287&lt;=Settings!$D$6,"Remind soon","Current")))))))</f>
        <v/>
      </c>
      <c r="AS287" s="33">
        <f>IF(AJ287=1,IFERROR(VALUE(IFERROR(TRIM(INDEX($A287:$Z287,MATCH(Settings!$L$8,$A$1:$Z$1,0))&amp;""),"")),0)-IFERROR(VALUE(IFERROR(TRIM(INDEX($A287:$Z287,MATCH(Settings!$L$9,$A$1:$Z$1,0))&amp;""),"")),0),0)</f>
        <v/>
      </c>
      <c r="AT287" s="31">
        <f>IF(AND(AE287&lt;&gt;"",AQ287=0),1,0)</f>
        <v/>
      </c>
      <c r="AU287" s="31">
        <f>IF(AT287=0,"",IF(ISNUMBER(AN287),AN287,100000)+0+ROW()/1000000)</f>
        <v/>
      </c>
      <c r="AV287" s="31">
        <f>IF(ISNUMBER(AU287),SUMPRODUCT(ISNUMBER('Responses'!$AU$2:$AU$501)*('Responses'!$AU$2:$AU$501&lt;AU287)) + SUMPRODUCT(ISNUMBER('Paper sign-ups'!$Y$2:$Y$101)*('Paper sign-ups'!$Y$2:$Y$101&lt;AU287))+1,"")</f>
        <v/>
      </c>
    </row>
    <row r="288">
      <c r="AA288" s="29" t="n"/>
      <c r="AB288" s="30" t="n"/>
      <c r="AC288" s="30" t="n"/>
      <c r="AD288" s="29" t="n"/>
      <c r="AE288" s="31">
        <f>IFERROR(TRIM(INDEX($A288:$Z288,MATCH(Settings!$L$4,$A$1:$Z$1,0))&amp;""),"")</f>
        <v/>
      </c>
      <c r="AF288" s="31">
        <f>IFERROR(TRIM(INDEX($A288:$Z288,MATCH(Settings!$L$5,$A$1:$Z$1,0))&amp;""),"")</f>
        <v/>
      </c>
      <c r="AG288" s="31">
        <f>IF(AE288="","",LOWER(IF(AF288&lt;&gt;"",AF288,AE288)))</f>
        <v/>
      </c>
      <c r="AH288" s="31">
        <f>IFERROR(TRIM(INDEX($A288:$Z288,MATCH(Settings!$L$6,$A$1:$Z$1,0))&amp;""),"")</f>
        <v/>
      </c>
      <c r="AI288" s="31">
        <f>IF(AE288="","",IF(UPPER(TRIM(AB288&amp;""))="Y","Paid another way",IF(IFERROR(TRIM(INDEX($A288:$Z288,MATCH(Settings!$L$7,$A$1:$Z$1,0))&amp;""),"")="","No payment status",IFERROR(TRIM(INDEX($A288:$Z288,MATCH(Settings!$L$7,$A$1:$Z$1,0))&amp;""),""))))</f>
        <v/>
      </c>
      <c r="AJ288" s="31">
        <f>IF(AE288="",0,IF(IFERROR(INDEX(Settings!$J$4:$J$14,MATCH(AI288,Settings!$I$4:$I$14,0)),"N")="Y",1,0))</f>
        <v/>
      </c>
      <c r="AK288" s="32">
        <f>IFERROR(INT(IFERROR(IF(ISNUMBER(INDEX($A288:$Z288,MATCH(Settings!$L$10,$A$1:$Z$1,0))),INDEX($A288:$Z288,MATCH(Settings!$L$10,$A$1:$Z$1,0)),DATE(VALUE(LEFT(IFERROR(TRIM(INDEX($A288:$Z288,MATCH(Settings!$L$10,$A$1:$Z$1,0))&amp;""),""),4)),VALUE(MID(IFERROR(TRIM(INDEX($A288:$Z288,MATCH(Settings!$L$10,$A$1:$Z$1,0))&amp;""),""),6,2)),VALUE(MID(IFERROR(TRIM(INDEX($A288:$Z288,MATCH(Settings!$L$10,$A$1:$Z$1,0))&amp;""),""),9,2)))+TIME(VALUE(MID(IFERROR(TRIM(INDEX($A288:$Z288,MATCH(Settings!$L$10,$A$1:$Z$1,0))&amp;""),""),12,2)),VALUE(MID(IFERROR(TRIM(INDEX($A288:$Z288,MATCH(Settings!$L$10,$A$1:$Z$1,0))&amp;""),""),15,2)),VALUE(MID(IFERROR(TRIM(INDEX($A288:$Z288,MATCH(Settings!$L$10,$A$1:$Z$1,0))&amp;""),""),18,2)))),"")),"")</f>
        <v/>
      </c>
      <c r="AL288" s="32">
        <f>IF(AE288="","",IF(ISNUMBER(AK288),AK288,IFERROR(INT(IFERROR(IF(ISNUMBER(INDEX($A288:$Z288,MATCH(Settings!$L$11,$A$1:$Z$1,0))),INDEX($A288:$Z288,MATCH(Settings!$L$11,$A$1:$Z$1,0)),DATE(VALUE(LEFT(IFERROR(TRIM(INDEX($A288:$Z288,MATCH(Settings!$L$11,$A$1:$Z$1,0))&amp;""),""),4)),VALUE(MID(IFERROR(TRIM(INDEX($A288:$Z288,MATCH(Settings!$L$11,$A$1:$Z$1,0))&amp;""),""),6,2)),VALUE(MID(IFERROR(TRIM(INDEX($A288:$Z288,MATCH(Settings!$L$11,$A$1:$Z$1,0))&amp;""),""),9,2)))+TIME(VALUE(MID(IFERROR(TRIM(INDEX($A288:$Z288,MATCH(Settings!$L$11,$A$1:$Z$1,0))&amp;""),""),12,2)),VALUE(MID(IFERROR(TRIM(INDEX($A288:$Z288,MATCH(Settings!$L$11,$A$1:$Z$1,0))&amp;""),""),15,2)),VALUE(MID(IFERROR(TRIM(INDEX($A288:$Z288,MATCH(Settings!$L$11,$A$1:$Z$1,0))&amp;""),""),18,2)))),"")),"")))</f>
        <v/>
      </c>
      <c r="AM288" s="31">
        <f>IF(AE288="","",IF(ISNUMBER(IFERROR(INDEX(Settings!$G$4:$G$11,MATCH(AH288,Settings!$F$4:$F$11,0)),"")),INDEX(Settings!$G$4:$G$11,MATCH(AH288,Settings!$F$4:$F$11,0)),Settings!$D$5))</f>
        <v/>
      </c>
      <c r="AN288" s="32">
        <f>IF(OR(AE288="",NOT(ISNUMBER(AL288)),NOT(ISNUMBER(AM288))),"",IF(AM288&lt;=0,"",IF(ISNUMBER(Settings!$D$8),DATE(YEAR(AL288)+IF(DATE(YEAR(AL288),MONTH(Settings!$D$8),DAY(Settings!$D$8))&gt;AL288,0,1),MONTH(Settings!$D$8),DAY(Settings!$D$8)),MIN(DATE(YEAR(AL288),MONTH(AL288)+AM288,DAY(AL288)),DATE(YEAR(AL288),MONTH(AL288)+AM288+1,0)))))</f>
        <v/>
      </c>
      <c r="AO288" s="31">
        <f>IF(ISNUMBER(AN288),AN288-Settings!$D$4,"")</f>
        <v/>
      </c>
      <c r="AP288" s="31">
        <f>IF(ISNUMBER(AL288),AL288+0+ROW()/100000,"")</f>
        <v/>
      </c>
      <c r="AQ288" s="31">
        <f>IF(OR(AG288="",NOT(ISNUMBER(AP288))),0,IF(SUMPRODUCT(('Responses'!$AG$2:$AG$501=AG288)*('Responses'!$AJ$2:$AJ$501=1)*ISNUMBER('Responses'!$AP$2:$AP$501)*('Responses'!$AP$2:$AP$501&gt;AP288)) + SUMPRODUCT(('Paper sign-ups'!$K$2:$K$101=AG288)*('Paper sign-ups'!$N$2:$N$101=1)*ISNUMBER('Paper sign-ups'!$T$2:$T$101)*('Paper sign-ups'!$T$2:$T$101&gt;AP288))&gt;0,1,0))</f>
        <v/>
      </c>
      <c r="AR288" s="31">
        <f>IF(AE288="","",IF(AQ288=1,"Joined again",IF(AJ288=0,"Unpaid",IF(NOT(ISNUMBER(AL288)),"Add a join date",IF(AN288="","No reminder",IF(AO288&lt;0,"Lapsed",IF(AO288&lt;=Settings!$D$6,"Remind soon","Current")))))))</f>
        <v/>
      </c>
      <c r="AS288" s="33">
        <f>IF(AJ288=1,IFERROR(VALUE(IFERROR(TRIM(INDEX($A288:$Z288,MATCH(Settings!$L$8,$A$1:$Z$1,0))&amp;""),"")),0)-IFERROR(VALUE(IFERROR(TRIM(INDEX($A288:$Z288,MATCH(Settings!$L$9,$A$1:$Z$1,0))&amp;""),"")),0),0)</f>
        <v/>
      </c>
      <c r="AT288" s="31">
        <f>IF(AND(AE288&lt;&gt;"",AQ288=0),1,0)</f>
        <v/>
      </c>
      <c r="AU288" s="31">
        <f>IF(AT288=0,"",IF(ISNUMBER(AN288),AN288,100000)+0+ROW()/1000000)</f>
        <v/>
      </c>
      <c r="AV288" s="31">
        <f>IF(ISNUMBER(AU288),SUMPRODUCT(ISNUMBER('Responses'!$AU$2:$AU$501)*('Responses'!$AU$2:$AU$501&lt;AU288)) + SUMPRODUCT(ISNUMBER('Paper sign-ups'!$Y$2:$Y$101)*('Paper sign-ups'!$Y$2:$Y$101&lt;AU288))+1,"")</f>
        <v/>
      </c>
    </row>
    <row r="289">
      <c r="AA289" s="29" t="n"/>
      <c r="AB289" s="30" t="n"/>
      <c r="AC289" s="30" t="n"/>
      <c r="AD289" s="29" t="n"/>
      <c r="AE289" s="31">
        <f>IFERROR(TRIM(INDEX($A289:$Z289,MATCH(Settings!$L$4,$A$1:$Z$1,0))&amp;""),"")</f>
        <v/>
      </c>
      <c r="AF289" s="31">
        <f>IFERROR(TRIM(INDEX($A289:$Z289,MATCH(Settings!$L$5,$A$1:$Z$1,0))&amp;""),"")</f>
        <v/>
      </c>
      <c r="AG289" s="31">
        <f>IF(AE289="","",LOWER(IF(AF289&lt;&gt;"",AF289,AE289)))</f>
        <v/>
      </c>
      <c r="AH289" s="31">
        <f>IFERROR(TRIM(INDEX($A289:$Z289,MATCH(Settings!$L$6,$A$1:$Z$1,0))&amp;""),"")</f>
        <v/>
      </c>
      <c r="AI289" s="31">
        <f>IF(AE289="","",IF(UPPER(TRIM(AB289&amp;""))="Y","Paid another way",IF(IFERROR(TRIM(INDEX($A289:$Z289,MATCH(Settings!$L$7,$A$1:$Z$1,0))&amp;""),"")="","No payment status",IFERROR(TRIM(INDEX($A289:$Z289,MATCH(Settings!$L$7,$A$1:$Z$1,0))&amp;""),""))))</f>
        <v/>
      </c>
      <c r="AJ289" s="31">
        <f>IF(AE289="",0,IF(IFERROR(INDEX(Settings!$J$4:$J$14,MATCH(AI289,Settings!$I$4:$I$14,0)),"N")="Y",1,0))</f>
        <v/>
      </c>
      <c r="AK289" s="32">
        <f>IFERROR(INT(IFERROR(IF(ISNUMBER(INDEX($A289:$Z289,MATCH(Settings!$L$10,$A$1:$Z$1,0))),INDEX($A289:$Z289,MATCH(Settings!$L$10,$A$1:$Z$1,0)),DATE(VALUE(LEFT(IFERROR(TRIM(INDEX($A289:$Z289,MATCH(Settings!$L$10,$A$1:$Z$1,0))&amp;""),""),4)),VALUE(MID(IFERROR(TRIM(INDEX($A289:$Z289,MATCH(Settings!$L$10,$A$1:$Z$1,0))&amp;""),""),6,2)),VALUE(MID(IFERROR(TRIM(INDEX($A289:$Z289,MATCH(Settings!$L$10,$A$1:$Z$1,0))&amp;""),""),9,2)))+TIME(VALUE(MID(IFERROR(TRIM(INDEX($A289:$Z289,MATCH(Settings!$L$10,$A$1:$Z$1,0))&amp;""),""),12,2)),VALUE(MID(IFERROR(TRIM(INDEX($A289:$Z289,MATCH(Settings!$L$10,$A$1:$Z$1,0))&amp;""),""),15,2)),VALUE(MID(IFERROR(TRIM(INDEX($A289:$Z289,MATCH(Settings!$L$10,$A$1:$Z$1,0))&amp;""),""),18,2)))),"")),"")</f>
        <v/>
      </c>
      <c r="AL289" s="32">
        <f>IF(AE289="","",IF(ISNUMBER(AK289),AK289,IFERROR(INT(IFERROR(IF(ISNUMBER(INDEX($A289:$Z289,MATCH(Settings!$L$11,$A$1:$Z$1,0))),INDEX($A289:$Z289,MATCH(Settings!$L$11,$A$1:$Z$1,0)),DATE(VALUE(LEFT(IFERROR(TRIM(INDEX($A289:$Z289,MATCH(Settings!$L$11,$A$1:$Z$1,0))&amp;""),""),4)),VALUE(MID(IFERROR(TRIM(INDEX($A289:$Z289,MATCH(Settings!$L$11,$A$1:$Z$1,0))&amp;""),""),6,2)),VALUE(MID(IFERROR(TRIM(INDEX($A289:$Z289,MATCH(Settings!$L$11,$A$1:$Z$1,0))&amp;""),""),9,2)))+TIME(VALUE(MID(IFERROR(TRIM(INDEX($A289:$Z289,MATCH(Settings!$L$11,$A$1:$Z$1,0))&amp;""),""),12,2)),VALUE(MID(IFERROR(TRIM(INDEX($A289:$Z289,MATCH(Settings!$L$11,$A$1:$Z$1,0))&amp;""),""),15,2)),VALUE(MID(IFERROR(TRIM(INDEX($A289:$Z289,MATCH(Settings!$L$11,$A$1:$Z$1,0))&amp;""),""),18,2)))),"")),"")))</f>
        <v/>
      </c>
      <c r="AM289" s="31">
        <f>IF(AE289="","",IF(ISNUMBER(IFERROR(INDEX(Settings!$G$4:$G$11,MATCH(AH289,Settings!$F$4:$F$11,0)),"")),INDEX(Settings!$G$4:$G$11,MATCH(AH289,Settings!$F$4:$F$11,0)),Settings!$D$5))</f>
        <v/>
      </c>
      <c r="AN289" s="32">
        <f>IF(OR(AE289="",NOT(ISNUMBER(AL289)),NOT(ISNUMBER(AM289))),"",IF(AM289&lt;=0,"",IF(ISNUMBER(Settings!$D$8),DATE(YEAR(AL289)+IF(DATE(YEAR(AL289),MONTH(Settings!$D$8),DAY(Settings!$D$8))&gt;AL289,0,1),MONTH(Settings!$D$8),DAY(Settings!$D$8)),MIN(DATE(YEAR(AL289),MONTH(AL289)+AM289,DAY(AL289)),DATE(YEAR(AL289),MONTH(AL289)+AM289+1,0)))))</f>
        <v/>
      </c>
      <c r="AO289" s="31">
        <f>IF(ISNUMBER(AN289),AN289-Settings!$D$4,"")</f>
        <v/>
      </c>
      <c r="AP289" s="31">
        <f>IF(ISNUMBER(AL289),AL289+0+ROW()/100000,"")</f>
        <v/>
      </c>
      <c r="AQ289" s="31">
        <f>IF(OR(AG289="",NOT(ISNUMBER(AP289))),0,IF(SUMPRODUCT(('Responses'!$AG$2:$AG$501=AG289)*('Responses'!$AJ$2:$AJ$501=1)*ISNUMBER('Responses'!$AP$2:$AP$501)*('Responses'!$AP$2:$AP$501&gt;AP289)) + SUMPRODUCT(('Paper sign-ups'!$K$2:$K$101=AG289)*('Paper sign-ups'!$N$2:$N$101=1)*ISNUMBER('Paper sign-ups'!$T$2:$T$101)*('Paper sign-ups'!$T$2:$T$101&gt;AP289))&gt;0,1,0))</f>
        <v/>
      </c>
      <c r="AR289" s="31">
        <f>IF(AE289="","",IF(AQ289=1,"Joined again",IF(AJ289=0,"Unpaid",IF(NOT(ISNUMBER(AL289)),"Add a join date",IF(AN289="","No reminder",IF(AO289&lt;0,"Lapsed",IF(AO289&lt;=Settings!$D$6,"Remind soon","Current")))))))</f>
        <v/>
      </c>
      <c r="AS289" s="33">
        <f>IF(AJ289=1,IFERROR(VALUE(IFERROR(TRIM(INDEX($A289:$Z289,MATCH(Settings!$L$8,$A$1:$Z$1,0))&amp;""),"")),0)-IFERROR(VALUE(IFERROR(TRIM(INDEX($A289:$Z289,MATCH(Settings!$L$9,$A$1:$Z$1,0))&amp;""),"")),0),0)</f>
        <v/>
      </c>
      <c r="AT289" s="31">
        <f>IF(AND(AE289&lt;&gt;"",AQ289=0),1,0)</f>
        <v/>
      </c>
      <c r="AU289" s="31">
        <f>IF(AT289=0,"",IF(ISNUMBER(AN289),AN289,100000)+0+ROW()/1000000)</f>
        <v/>
      </c>
      <c r="AV289" s="31">
        <f>IF(ISNUMBER(AU289),SUMPRODUCT(ISNUMBER('Responses'!$AU$2:$AU$501)*('Responses'!$AU$2:$AU$501&lt;AU289)) + SUMPRODUCT(ISNUMBER('Paper sign-ups'!$Y$2:$Y$101)*('Paper sign-ups'!$Y$2:$Y$101&lt;AU289))+1,"")</f>
        <v/>
      </c>
    </row>
    <row r="290">
      <c r="AA290" s="29" t="n"/>
      <c r="AB290" s="30" t="n"/>
      <c r="AC290" s="30" t="n"/>
      <c r="AD290" s="29" t="n"/>
      <c r="AE290" s="31">
        <f>IFERROR(TRIM(INDEX($A290:$Z290,MATCH(Settings!$L$4,$A$1:$Z$1,0))&amp;""),"")</f>
        <v/>
      </c>
      <c r="AF290" s="31">
        <f>IFERROR(TRIM(INDEX($A290:$Z290,MATCH(Settings!$L$5,$A$1:$Z$1,0))&amp;""),"")</f>
        <v/>
      </c>
      <c r="AG290" s="31">
        <f>IF(AE290="","",LOWER(IF(AF290&lt;&gt;"",AF290,AE290)))</f>
        <v/>
      </c>
      <c r="AH290" s="31">
        <f>IFERROR(TRIM(INDEX($A290:$Z290,MATCH(Settings!$L$6,$A$1:$Z$1,0))&amp;""),"")</f>
        <v/>
      </c>
      <c r="AI290" s="31">
        <f>IF(AE290="","",IF(UPPER(TRIM(AB290&amp;""))="Y","Paid another way",IF(IFERROR(TRIM(INDEX($A290:$Z290,MATCH(Settings!$L$7,$A$1:$Z$1,0))&amp;""),"")="","No payment status",IFERROR(TRIM(INDEX($A290:$Z290,MATCH(Settings!$L$7,$A$1:$Z$1,0))&amp;""),""))))</f>
        <v/>
      </c>
      <c r="AJ290" s="31">
        <f>IF(AE290="",0,IF(IFERROR(INDEX(Settings!$J$4:$J$14,MATCH(AI290,Settings!$I$4:$I$14,0)),"N")="Y",1,0))</f>
        <v/>
      </c>
      <c r="AK290" s="32">
        <f>IFERROR(INT(IFERROR(IF(ISNUMBER(INDEX($A290:$Z290,MATCH(Settings!$L$10,$A$1:$Z$1,0))),INDEX($A290:$Z290,MATCH(Settings!$L$10,$A$1:$Z$1,0)),DATE(VALUE(LEFT(IFERROR(TRIM(INDEX($A290:$Z290,MATCH(Settings!$L$10,$A$1:$Z$1,0))&amp;""),""),4)),VALUE(MID(IFERROR(TRIM(INDEX($A290:$Z290,MATCH(Settings!$L$10,$A$1:$Z$1,0))&amp;""),""),6,2)),VALUE(MID(IFERROR(TRIM(INDEX($A290:$Z290,MATCH(Settings!$L$10,$A$1:$Z$1,0))&amp;""),""),9,2)))+TIME(VALUE(MID(IFERROR(TRIM(INDEX($A290:$Z290,MATCH(Settings!$L$10,$A$1:$Z$1,0))&amp;""),""),12,2)),VALUE(MID(IFERROR(TRIM(INDEX($A290:$Z290,MATCH(Settings!$L$10,$A$1:$Z$1,0))&amp;""),""),15,2)),VALUE(MID(IFERROR(TRIM(INDEX($A290:$Z290,MATCH(Settings!$L$10,$A$1:$Z$1,0))&amp;""),""),18,2)))),"")),"")</f>
        <v/>
      </c>
      <c r="AL290" s="32">
        <f>IF(AE290="","",IF(ISNUMBER(AK290),AK290,IFERROR(INT(IFERROR(IF(ISNUMBER(INDEX($A290:$Z290,MATCH(Settings!$L$11,$A$1:$Z$1,0))),INDEX($A290:$Z290,MATCH(Settings!$L$11,$A$1:$Z$1,0)),DATE(VALUE(LEFT(IFERROR(TRIM(INDEX($A290:$Z290,MATCH(Settings!$L$11,$A$1:$Z$1,0))&amp;""),""),4)),VALUE(MID(IFERROR(TRIM(INDEX($A290:$Z290,MATCH(Settings!$L$11,$A$1:$Z$1,0))&amp;""),""),6,2)),VALUE(MID(IFERROR(TRIM(INDEX($A290:$Z290,MATCH(Settings!$L$11,$A$1:$Z$1,0))&amp;""),""),9,2)))+TIME(VALUE(MID(IFERROR(TRIM(INDEX($A290:$Z290,MATCH(Settings!$L$11,$A$1:$Z$1,0))&amp;""),""),12,2)),VALUE(MID(IFERROR(TRIM(INDEX($A290:$Z290,MATCH(Settings!$L$11,$A$1:$Z$1,0))&amp;""),""),15,2)),VALUE(MID(IFERROR(TRIM(INDEX($A290:$Z290,MATCH(Settings!$L$11,$A$1:$Z$1,0))&amp;""),""),18,2)))),"")),"")))</f>
        <v/>
      </c>
      <c r="AM290" s="31">
        <f>IF(AE290="","",IF(ISNUMBER(IFERROR(INDEX(Settings!$G$4:$G$11,MATCH(AH290,Settings!$F$4:$F$11,0)),"")),INDEX(Settings!$G$4:$G$11,MATCH(AH290,Settings!$F$4:$F$11,0)),Settings!$D$5))</f>
        <v/>
      </c>
      <c r="AN290" s="32">
        <f>IF(OR(AE290="",NOT(ISNUMBER(AL290)),NOT(ISNUMBER(AM290))),"",IF(AM290&lt;=0,"",IF(ISNUMBER(Settings!$D$8),DATE(YEAR(AL290)+IF(DATE(YEAR(AL290),MONTH(Settings!$D$8),DAY(Settings!$D$8))&gt;AL290,0,1),MONTH(Settings!$D$8),DAY(Settings!$D$8)),MIN(DATE(YEAR(AL290),MONTH(AL290)+AM290,DAY(AL290)),DATE(YEAR(AL290),MONTH(AL290)+AM290+1,0)))))</f>
        <v/>
      </c>
      <c r="AO290" s="31">
        <f>IF(ISNUMBER(AN290),AN290-Settings!$D$4,"")</f>
        <v/>
      </c>
      <c r="AP290" s="31">
        <f>IF(ISNUMBER(AL290),AL290+0+ROW()/100000,"")</f>
        <v/>
      </c>
      <c r="AQ290" s="31">
        <f>IF(OR(AG290="",NOT(ISNUMBER(AP290))),0,IF(SUMPRODUCT(('Responses'!$AG$2:$AG$501=AG290)*('Responses'!$AJ$2:$AJ$501=1)*ISNUMBER('Responses'!$AP$2:$AP$501)*('Responses'!$AP$2:$AP$501&gt;AP290)) + SUMPRODUCT(('Paper sign-ups'!$K$2:$K$101=AG290)*('Paper sign-ups'!$N$2:$N$101=1)*ISNUMBER('Paper sign-ups'!$T$2:$T$101)*('Paper sign-ups'!$T$2:$T$101&gt;AP290))&gt;0,1,0))</f>
        <v/>
      </c>
      <c r="AR290" s="31">
        <f>IF(AE290="","",IF(AQ290=1,"Joined again",IF(AJ290=0,"Unpaid",IF(NOT(ISNUMBER(AL290)),"Add a join date",IF(AN290="","No reminder",IF(AO290&lt;0,"Lapsed",IF(AO290&lt;=Settings!$D$6,"Remind soon","Current")))))))</f>
        <v/>
      </c>
      <c r="AS290" s="33">
        <f>IF(AJ290=1,IFERROR(VALUE(IFERROR(TRIM(INDEX($A290:$Z290,MATCH(Settings!$L$8,$A$1:$Z$1,0))&amp;""),"")),0)-IFERROR(VALUE(IFERROR(TRIM(INDEX($A290:$Z290,MATCH(Settings!$L$9,$A$1:$Z$1,0))&amp;""),"")),0),0)</f>
        <v/>
      </c>
      <c r="AT290" s="31">
        <f>IF(AND(AE290&lt;&gt;"",AQ290=0),1,0)</f>
        <v/>
      </c>
      <c r="AU290" s="31">
        <f>IF(AT290=0,"",IF(ISNUMBER(AN290),AN290,100000)+0+ROW()/1000000)</f>
        <v/>
      </c>
      <c r="AV290" s="31">
        <f>IF(ISNUMBER(AU290),SUMPRODUCT(ISNUMBER('Responses'!$AU$2:$AU$501)*('Responses'!$AU$2:$AU$501&lt;AU290)) + SUMPRODUCT(ISNUMBER('Paper sign-ups'!$Y$2:$Y$101)*('Paper sign-ups'!$Y$2:$Y$101&lt;AU290))+1,"")</f>
        <v/>
      </c>
    </row>
    <row r="291">
      <c r="AA291" s="29" t="n"/>
      <c r="AB291" s="30" t="n"/>
      <c r="AC291" s="30" t="n"/>
      <c r="AD291" s="29" t="n"/>
      <c r="AE291" s="31">
        <f>IFERROR(TRIM(INDEX($A291:$Z291,MATCH(Settings!$L$4,$A$1:$Z$1,0))&amp;""),"")</f>
        <v/>
      </c>
      <c r="AF291" s="31">
        <f>IFERROR(TRIM(INDEX($A291:$Z291,MATCH(Settings!$L$5,$A$1:$Z$1,0))&amp;""),"")</f>
        <v/>
      </c>
      <c r="AG291" s="31">
        <f>IF(AE291="","",LOWER(IF(AF291&lt;&gt;"",AF291,AE291)))</f>
        <v/>
      </c>
      <c r="AH291" s="31">
        <f>IFERROR(TRIM(INDEX($A291:$Z291,MATCH(Settings!$L$6,$A$1:$Z$1,0))&amp;""),"")</f>
        <v/>
      </c>
      <c r="AI291" s="31">
        <f>IF(AE291="","",IF(UPPER(TRIM(AB291&amp;""))="Y","Paid another way",IF(IFERROR(TRIM(INDEX($A291:$Z291,MATCH(Settings!$L$7,$A$1:$Z$1,0))&amp;""),"")="","No payment status",IFERROR(TRIM(INDEX($A291:$Z291,MATCH(Settings!$L$7,$A$1:$Z$1,0))&amp;""),""))))</f>
        <v/>
      </c>
      <c r="AJ291" s="31">
        <f>IF(AE291="",0,IF(IFERROR(INDEX(Settings!$J$4:$J$14,MATCH(AI291,Settings!$I$4:$I$14,0)),"N")="Y",1,0))</f>
        <v/>
      </c>
      <c r="AK291" s="32">
        <f>IFERROR(INT(IFERROR(IF(ISNUMBER(INDEX($A291:$Z291,MATCH(Settings!$L$10,$A$1:$Z$1,0))),INDEX($A291:$Z291,MATCH(Settings!$L$10,$A$1:$Z$1,0)),DATE(VALUE(LEFT(IFERROR(TRIM(INDEX($A291:$Z291,MATCH(Settings!$L$10,$A$1:$Z$1,0))&amp;""),""),4)),VALUE(MID(IFERROR(TRIM(INDEX($A291:$Z291,MATCH(Settings!$L$10,$A$1:$Z$1,0))&amp;""),""),6,2)),VALUE(MID(IFERROR(TRIM(INDEX($A291:$Z291,MATCH(Settings!$L$10,$A$1:$Z$1,0))&amp;""),""),9,2)))+TIME(VALUE(MID(IFERROR(TRIM(INDEX($A291:$Z291,MATCH(Settings!$L$10,$A$1:$Z$1,0))&amp;""),""),12,2)),VALUE(MID(IFERROR(TRIM(INDEX($A291:$Z291,MATCH(Settings!$L$10,$A$1:$Z$1,0))&amp;""),""),15,2)),VALUE(MID(IFERROR(TRIM(INDEX($A291:$Z291,MATCH(Settings!$L$10,$A$1:$Z$1,0))&amp;""),""),18,2)))),"")),"")</f>
        <v/>
      </c>
      <c r="AL291" s="32">
        <f>IF(AE291="","",IF(ISNUMBER(AK291),AK291,IFERROR(INT(IFERROR(IF(ISNUMBER(INDEX($A291:$Z291,MATCH(Settings!$L$11,$A$1:$Z$1,0))),INDEX($A291:$Z291,MATCH(Settings!$L$11,$A$1:$Z$1,0)),DATE(VALUE(LEFT(IFERROR(TRIM(INDEX($A291:$Z291,MATCH(Settings!$L$11,$A$1:$Z$1,0))&amp;""),""),4)),VALUE(MID(IFERROR(TRIM(INDEX($A291:$Z291,MATCH(Settings!$L$11,$A$1:$Z$1,0))&amp;""),""),6,2)),VALUE(MID(IFERROR(TRIM(INDEX($A291:$Z291,MATCH(Settings!$L$11,$A$1:$Z$1,0))&amp;""),""),9,2)))+TIME(VALUE(MID(IFERROR(TRIM(INDEX($A291:$Z291,MATCH(Settings!$L$11,$A$1:$Z$1,0))&amp;""),""),12,2)),VALUE(MID(IFERROR(TRIM(INDEX($A291:$Z291,MATCH(Settings!$L$11,$A$1:$Z$1,0))&amp;""),""),15,2)),VALUE(MID(IFERROR(TRIM(INDEX($A291:$Z291,MATCH(Settings!$L$11,$A$1:$Z$1,0))&amp;""),""),18,2)))),"")),"")))</f>
        <v/>
      </c>
      <c r="AM291" s="31">
        <f>IF(AE291="","",IF(ISNUMBER(IFERROR(INDEX(Settings!$G$4:$G$11,MATCH(AH291,Settings!$F$4:$F$11,0)),"")),INDEX(Settings!$G$4:$G$11,MATCH(AH291,Settings!$F$4:$F$11,0)),Settings!$D$5))</f>
        <v/>
      </c>
      <c r="AN291" s="32">
        <f>IF(OR(AE291="",NOT(ISNUMBER(AL291)),NOT(ISNUMBER(AM291))),"",IF(AM291&lt;=0,"",IF(ISNUMBER(Settings!$D$8),DATE(YEAR(AL291)+IF(DATE(YEAR(AL291),MONTH(Settings!$D$8),DAY(Settings!$D$8))&gt;AL291,0,1),MONTH(Settings!$D$8),DAY(Settings!$D$8)),MIN(DATE(YEAR(AL291),MONTH(AL291)+AM291,DAY(AL291)),DATE(YEAR(AL291),MONTH(AL291)+AM291+1,0)))))</f>
        <v/>
      </c>
      <c r="AO291" s="31">
        <f>IF(ISNUMBER(AN291),AN291-Settings!$D$4,"")</f>
        <v/>
      </c>
      <c r="AP291" s="31">
        <f>IF(ISNUMBER(AL291),AL291+0+ROW()/100000,"")</f>
        <v/>
      </c>
      <c r="AQ291" s="31">
        <f>IF(OR(AG291="",NOT(ISNUMBER(AP291))),0,IF(SUMPRODUCT(('Responses'!$AG$2:$AG$501=AG291)*('Responses'!$AJ$2:$AJ$501=1)*ISNUMBER('Responses'!$AP$2:$AP$501)*('Responses'!$AP$2:$AP$501&gt;AP291)) + SUMPRODUCT(('Paper sign-ups'!$K$2:$K$101=AG291)*('Paper sign-ups'!$N$2:$N$101=1)*ISNUMBER('Paper sign-ups'!$T$2:$T$101)*('Paper sign-ups'!$T$2:$T$101&gt;AP291))&gt;0,1,0))</f>
        <v/>
      </c>
      <c r="AR291" s="31">
        <f>IF(AE291="","",IF(AQ291=1,"Joined again",IF(AJ291=0,"Unpaid",IF(NOT(ISNUMBER(AL291)),"Add a join date",IF(AN291="","No reminder",IF(AO291&lt;0,"Lapsed",IF(AO291&lt;=Settings!$D$6,"Remind soon","Current")))))))</f>
        <v/>
      </c>
      <c r="AS291" s="33">
        <f>IF(AJ291=1,IFERROR(VALUE(IFERROR(TRIM(INDEX($A291:$Z291,MATCH(Settings!$L$8,$A$1:$Z$1,0))&amp;""),"")),0)-IFERROR(VALUE(IFERROR(TRIM(INDEX($A291:$Z291,MATCH(Settings!$L$9,$A$1:$Z$1,0))&amp;""),"")),0),0)</f>
        <v/>
      </c>
      <c r="AT291" s="31">
        <f>IF(AND(AE291&lt;&gt;"",AQ291=0),1,0)</f>
        <v/>
      </c>
      <c r="AU291" s="31">
        <f>IF(AT291=0,"",IF(ISNUMBER(AN291),AN291,100000)+0+ROW()/1000000)</f>
        <v/>
      </c>
      <c r="AV291" s="31">
        <f>IF(ISNUMBER(AU291),SUMPRODUCT(ISNUMBER('Responses'!$AU$2:$AU$501)*('Responses'!$AU$2:$AU$501&lt;AU291)) + SUMPRODUCT(ISNUMBER('Paper sign-ups'!$Y$2:$Y$101)*('Paper sign-ups'!$Y$2:$Y$101&lt;AU291))+1,"")</f>
        <v/>
      </c>
    </row>
    <row r="292">
      <c r="AA292" s="29" t="n"/>
      <c r="AB292" s="30" t="n"/>
      <c r="AC292" s="30" t="n"/>
      <c r="AD292" s="29" t="n"/>
      <c r="AE292" s="31">
        <f>IFERROR(TRIM(INDEX($A292:$Z292,MATCH(Settings!$L$4,$A$1:$Z$1,0))&amp;""),"")</f>
        <v/>
      </c>
      <c r="AF292" s="31">
        <f>IFERROR(TRIM(INDEX($A292:$Z292,MATCH(Settings!$L$5,$A$1:$Z$1,0))&amp;""),"")</f>
        <v/>
      </c>
      <c r="AG292" s="31">
        <f>IF(AE292="","",LOWER(IF(AF292&lt;&gt;"",AF292,AE292)))</f>
        <v/>
      </c>
      <c r="AH292" s="31">
        <f>IFERROR(TRIM(INDEX($A292:$Z292,MATCH(Settings!$L$6,$A$1:$Z$1,0))&amp;""),"")</f>
        <v/>
      </c>
      <c r="AI292" s="31">
        <f>IF(AE292="","",IF(UPPER(TRIM(AB292&amp;""))="Y","Paid another way",IF(IFERROR(TRIM(INDEX($A292:$Z292,MATCH(Settings!$L$7,$A$1:$Z$1,0))&amp;""),"")="","No payment status",IFERROR(TRIM(INDEX($A292:$Z292,MATCH(Settings!$L$7,$A$1:$Z$1,0))&amp;""),""))))</f>
        <v/>
      </c>
      <c r="AJ292" s="31">
        <f>IF(AE292="",0,IF(IFERROR(INDEX(Settings!$J$4:$J$14,MATCH(AI292,Settings!$I$4:$I$14,0)),"N")="Y",1,0))</f>
        <v/>
      </c>
      <c r="AK292" s="32">
        <f>IFERROR(INT(IFERROR(IF(ISNUMBER(INDEX($A292:$Z292,MATCH(Settings!$L$10,$A$1:$Z$1,0))),INDEX($A292:$Z292,MATCH(Settings!$L$10,$A$1:$Z$1,0)),DATE(VALUE(LEFT(IFERROR(TRIM(INDEX($A292:$Z292,MATCH(Settings!$L$10,$A$1:$Z$1,0))&amp;""),""),4)),VALUE(MID(IFERROR(TRIM(INDEX($A292:$Z292,MATCH(Settings!$L$10,$A$1:$Z$1,0))&amp;""),""),6,2)),VALUE(MID(IFERROR(TRIM(INDEX($A292:$Z292,MATCH(Settings!$L$10,$A$1:$Z$1,0))&amp;""),""),9,2)))+TIME(VALUE(MID(IFERROR(TRIM(INDEX($A292:$Z292,MATCH(Settings!$L$10,$A$1:$Z$1,0))&amp;""),""),12,2)),VALUE(MID(IFERROR(TRIM(INDEX($A292:$Z292,MATCH(Settings!$L$10,$A$1:$Z$1,0))&amp;""),""),15,2)),VALUE(MID(IFERROR(TRIM(INDEX($A292:$Z292,MATCH(Settings!$L$10,$A$1:$Z$1,0))&amp;""),""),18,2)))),"")),"")</f>
        <v/>
      </c>
      <c r="AL292" s="32">
        <f>IF(AE292="","",IF(ISNUMBER(AK292),AK292,IFERROR(INT(IFERROR(IF(ISNUMBER(INDEX($A292:$Z292,MATCH(Settings!$L$11,$A$1:$Z$1,0))),INDEX($A292:$Z292,MATCH(Settings!$L$11,$A$1:$Z$1,0)),DATE(VALUE(LEFT(IFERROR(TRIM(INDEX($A292:$Z292,MATCH(Settings!$L$11,$A$1:$Z$1,0))&amp;""),""),4)),VALUE(MID(IFERROR(TRIM(INDEX($A292:$Z292,MATCH(Settings!$L$11,$A$1:$Z$1,0))&amp;""),""),6,2)),VALUE(MID(IFERROR(TRIM(INDEX($A292:$Z292,MATCH(Settings!$L$11,$A$1:$Z$1,0))&amp;""),""),9,2)))+TIME(VALUE(MID(IFERROR(TRIM(INDEX($A292:$Z292,MATCH(Settings!$L$11,$A$1:$Z$1,0))&amp;""),""),12,2)),VALUE(MID(IFERROR(TRIM(INDEX($A292:$Z292,MATCH(Settings!$L$11,$A$1:$Z$1,0))&amp;""),""),15,2)),VALUE(MID(IFERROR(TRIM(INDEX($A292:$Z292,MATCH(Settings!$L$11,$A$1:$Z$1,0))&amp;""),""),18,2)))),"")),"")))</f>
        <v/>
      </c>
      <c r="AM292" s="31">
        <f>IF(AE292="","",IF(ISNUMBER(IFERROR(INDEX(Settings!$G$4:$G$11,MATCH(AH292,Settings!$F$4:$F$11,0)),"")),INDEX(Settings!$G$4:$G$11,MATCH(AH292,Settings!$F$4:$F$11,0)),Settings!$D$5))</f>
        <v/>
      </c>
      <c r="AN292" s="32">
        <f>IF(OR(AE292="",NOT(ISNUMBER(AL292)),NOT(ISNUMBER(AM292))),"",IF(AM292&lt;=0,"",IF(ISNUMBER(Settings!$D$8),DATE(YEAR(AL292)+IF(DATE(YEAR(AL292),MONTH(Settings!$D$8),DAY(Settings!$D$8))&gt;AL292,0,1),MONTH(Settings!$D$8),DAY(Settings!$D$8)),MIN(DATE(YEAR(AL292),MONTH(AL292)+AM292,DAY(AL292)),DATE(YEAR(AL292),MONTH(AL292)+AM292+1,0)))))</f>
        <v/>
      </c>
      <c r="AO292" s="31">
        <f>IF(ISNUMBER(AN292),AN292-Settings!$D$4,"")</f>
        <v/>
      </c>
      <c r="AP292" s="31">
        <f>IF(ISNUMBER(AL292),AL292+0+ROW()/100000,"")</f>
        <v/>
      </c>
      <c r="AQ292" s="31">
        <f>IF(OR(AG292="",NOT(ISNUMBER(AP292))),0,IF(SUMPRODUCT(('Responses'!$AG$2:$AG$501=AG292)*('Responses'!$AJ$2:$AJ$501=1)*ISNUMBER('Responses'!$AP$2:$AP$501)*('Responses'!$AP$2:$AP$501&gt;AP292)) + SUMPRODUCT(('Paper sign-ups'!$K$2:$K$101=AG292)*('Paper sign-ups'!$N$2:$N$101=1)*ISNUMBER('Paper sign-ups'!$T$2:$T$101)*('Paper sign-ups'!$T$2:$T$101&gt;AP292))&gt;0,1,0))</f>
        <v/>
      </c>
      <c r="AR292" s="31">
        <f>IF(AE292="","",IF(AQ292=1,"Joined again",IF(AJ292=0,"Unpaid",IF(NOT(ISNUMBER(AL292)),"Add a join date",IF(AN292="","No reminder",IF(AO292&lt;0,"Lapsed",IF(AO292&lt;=Settings!$D$6,"Remind soon","Current")))))))</f>
        <v/>
      </c>
      <c r="AS292" s="33">
        <f>IF(AJ292=1,IFERROR(VALUE(IFERROR(TRIM(INDEX($A292:$Z292,MATCH(Settings!$L$8,$A$1:$Z$1,0))&amp;""),"")),0)-IFERROR(VALUE(IFERROR(TRIM(INDEX($A292:$Z292,MATCH(Settings!$L$9,$A$1:$Z$1,0))&amp;""),"")),0),0)</f>
        <v/>
      </c>
      <c r="AT292" s="31">
        <f>IF(AND(AE292&lt;&gt;"",AQ292=0),1,0)</f>
        <v/>
      </c>
      <c r="AU292" s="31">
        <f>IF(AT292=0,"",IF(ISNUMBER(AN292),AN292,100000)+0+ROW()/1000000)</f>
        <v/>
      </c>
      <c r="AV292" s="31">
        <f>IF(ISNUMBER(AU292),SUMPRODUCT(ISNUMBER('Responses'!$AU$2:$AU$501)*('Responses'!$AU$2:$AU$501&lt;AU292)) + SUMPRODUCT(ISNUMBER('Paper sign-ups'!$Y$2:$Y$101)*('Paper sign-ups'!$Y$2:$Y$101&lt;AU292))+1,"")</f>
        <v/>
      </c>
    </row>
    <row r="293">
      <c r="AA293" s="29" t="n"/>
      <c r="AB293" s="30" t="n"/>
      <c r="AC293" s="30" t="n"/>
      <c r="AD293" s="29" t="n"/>
      <c r="AE293" s="31">
        <f>IFERROR(TRIM(INDEX($A293:$Z293,MATCH(Settings!$L$4,$A$1:$Z$1,0))&amp;""),"")</f>
        <v/>
      </c>
      <c r="AF293" s="31">
        <f>IFERROR(TRIM(INDEX($A293:$Z293,MATCH(Settings!$L$5,$A$1:$Z$1,0))&amp;""),"")</f>
        <v/>
      </c>
      <c r="AG293" s="31">
        <f>IF(AE293="","",LOWER(IF(AF293&lt;&gt;"",AF293,AE293)))</f>
        <v/>
      </c>
      <c r="AH293" s="31">
        <f>IFERROR(TRIM(INDEX($A293:$Z293,MATCH(Settings!$L$6,$A$1:$Z$1,0))&amp;""),"")</f>
        <v/>
      </c>
      <c r="AI293" s="31">
        <f>IF(AE293="","",IF(UPPER(TRIM(AB293&amp;""))="Y","Paid another way",IF(IFERROR(TRIM(INDEX($A293:$Z293,MATCH(Settings!$L$7,$A$1:$Z$1,0))&amp;""),"")="","No payment status",IFERROR(TRIM(INDEX($A293:$Z293,MATCH(Settings!$L$7,$A$1:$Z$1,0))&amp;""),""))))</f>
        <v/>
      </c>
      <c r="AJ293" s="31">
        <f>IF(AE293="",0,IF(IFERROR(INDEX(Settings!$J$4:$J$14,MATCH(AI293,Settings!$I$4:$I$14,0)),"N")="Y",1,0))</f>
        <v/>
      </c>
      <c r="AK293" s="32">
        <f>IFERROR(INT(IFERROR(IF(ISNUMBER(INDEX($A293:$Z293,MATCH(Settings!$L$10,$A$1:$Z$1,0))),INDEX($A293:$Z293,MATCH(Settings!$L$10,$A$1:$Z$1,0)),DATE(VALUE(LEFT(IFERROR(TRIM(INDEX($A293:$Z293,MATCH(Settings!$L$10,$A$1:$Z$1,0))&amp;""),""),4)),VALUE(MID(IFERROR(TRIM(INDEX($A293:$Z293,MATCH(Settings!$L$10,$A$1:$Z$1,0))&amp;""),""),6,2)),VALUE(MID(IFERROR(TRIM(INDEX($A293:$Z293,MATCH(Settings!$L$10,$A$1:$Z$1,0))&amp;""),""),9,2)))+TIME(VALUE(MID(IFERROR(TRIM(INDEX($A293:$Z293,MATCH(Settings!$L$10,$A$1:$Z$1,0))&amp;""),""),12,2)),VALUE(MID(IFERROR(TRIM(INDEX($A293:$Z293,MATCH(Settings!$L$10,$A$1:$Z$1,0))&amp;""),""),15,2)),VALUE(MID(IFERROR(TRIM(INDEX($A293:$Z293,MATCH(Settings!$L$10,$A$1:$Z$1,0))&amp;""),""),18,2)))),"")),"")</f>
        <v/>
      </c>
      <c r="AL293" s="32">
        <f>IF(AE293="","",IF(ISNUMBER(AK293),AK293,IFERROR(INT(IFERROR(IF(ISNUMBER(INDEX($A293:$Z293,MATCH(Settings!$L$11,$A$1:$Z$1,0))),INDEX($A293:$Z293,MATCH(Settings!$L$11,$A$1:$Z$1,0)),DATE(VALUE(LEFT(IFERROR(TRIM(INDEX($A293:$Z293,MATCH(Settings!$L$11,$A$1:$Z$1,0))&amp;""),""),4)),VALUE(MID(IFERROR(TRIM(INDEX($A293:$Z293,MATCH(Settings!$L$11,$A$1:$Z$1,0))&amp;""),""),6,2)),VALUE(MID(IFERROR(TRIM(INDEX($A293:$Z293,MATCH(Settings!$L$11,$A$1:$Z$1,0))&amp;""),""),9,2)))+TIME(VALUE(MID(IFERROR(TRIM(INDEX($A293:$Z293,MATCH(Settings!$L$11,$A$1:$Z$1,0))&amp;""),""),12,2)),VALUE(MID(IFERROR(TRIM(INDEX($A293:$Z293,MATCH(Settings!$L$11,$A$1:$Z$1,0))&amp;""),""),15,2)),VALUE(MID(IFERROR(TRIM(INDEX($A293:$Z293,MATCH(Settings!$L$11,$A$1:$Z$1,0))&amp;""),""),18,2)))),"")),"")))</f>
        <v/>
      </c>
      <c r="AM293" s="31">
        <f>IF(AE293="","",IF(ISNUMBER(IFERROR(INDEX(Settings!$G$4:$G$11,MATCH(AH293,Settings!$F$4:$F$11,0)),"")),INDEX(Settings!$G$4:$G$11,MATCH(AH293,Settings!$F$4:$F$11,0)),Settings!$D$5))</f>
        <v/>
      </c>
      <c r="AN293" s="32">
        <f>IF(OR(AE293="",NOT(ISNUMBER(AL293)),NOT(ISNUMBER(AM293))),"",IF(AM293&lt;=0,"",IF(ISNUMBER(Settings!$D$8),DATE(YEAR(AL293)+IF(DATE(YEAR(AL293),MONTH(Settings!$D$8),DAY(Settings!$D$8))&gt;AL293,0,1),MONTH(Settings!$D$8),DAY(Settings!$D$8)),MIN(DATE(YEAR(AL293),MONTH(AL293)+AM293,DAY(AL293)),DATE(YEAR(AL293),MONTH(AL293)+AM293+1,0)))))</f>
        <v/>
      </c>
      <c r="AO293" s="31">
        <f>IF(ISNUMBER(AN293),AN293-Settings!$D$4,"")</f>
        <v/>
      </c>
      <c r="AP293" s="31">
        <f>IF(ISNUMBER(AL293),AL293+0+ROW()/100000,"")</f>
        <v/>
      </c>
      <c r="AQ293" s="31">
        <f>IF(OR(AG293="",NOT(ISNUMBER(AP293))),0,IF(SUMPRODUCT(('Responses'!$AG$2:$AG$501=AG293)*('Responses'!$AJ$2:$AJ$501=1)*ISNUMBER('Responses'!$AP$2:$AP$501)*('Responses'!$AP$2:$AP$501&gt;AP293)) + SUMPRODUCT(('Paper sign-ups'!$K$2:$K$101=AG293)*('Paper sign-ups'!$N$2:$N$101=1)*ISNUMBER('Paper sign-ups'!$T$2:$T$101)*('Paper sign-ups'!$T$2:$T$101&gt;AP293))&gt;0,1,0))</f>
        <v/>
      </c>
      <c r="AR293" s="31">
        <f>IF(AE293="","",IF(AQ293=1,"Joined again",IF(AJ293=0,"Unpaid",IF(NOT(ISNUMBER(AL293)),"Add a join date",IF(AN293="","No reminder",IF(AO293&lt;0,"Lapsed",IF(AO293&lt;=Settings!$D$6,"Remind soon","Current")))))))</f>
        <v/>
      </c>
      <c r="AS293" s="33">
        <f>IF(AJ293=1,IFERROR(VALUE(IFERROR(TRIM(INDEX($A293:$Z293,MATCH(Settings!$L$8,$A$1:$Z$1,0))&amp;""),"")),0)-IFERROR(VALUE(IFERROR(TRIM(INDEX($A293:$Z293,MATCH(Settings!$L$9,$A$1:$Z$1,0))&amp;""),"")),0),0)</f>
        <v/>
      </c>
      <c r="AT293" s="31">
        <f>IF(AND(AE293&lt;&gt;"",AQ293=0),1,0)</f>
        <v/>
      </c>
      <c r="AU293" s="31">
        <f>IF(AT293=0,"",IF(ISNUMBER(AN293),AN293,100000)+0+ROW()/1000000)</f>
        <v/>
      </c>
      <c r="AV293" s="31">
        <f>IF(ISNUMBER(AU293),SUMPRODUCT(ISNUMBER('Responses'!$AU$2:$AU$501)*('Responses'!$AU$2:$AU$501&lt;AU293)) + SUMPRODUCT(ISNUMBER('Paper sign-ups'!$Y$2:$Y$101)*('Paper sign-ups'!$Y$2:$Y$101&lt;AU293))+1,"")</f>
        <v/>
      </c>
    </row>
    <row r="294">
      <c r="AA294" s="29" t="n"/>
      <c r="AB294" s="30" t="n"/>
      <c r="AC294" s="30" t="n"/>
      <c r="AD294" s="29" t="n"/>
      <c r="AE294" s="31">
        <f>IFERROR(TRIM(INDEX($A294:$Z294,MATCH(Settings!$L$4,$A$1:$Z$1,0))&amp;""),"")</f>
        <v/>
      </c>
      <c r="AF294" s="31">
        <f>IFERROR(TRIM(INDEX($A294:$Z294,MATCH(Settings!$L$5,$A$1:$Z$1,0))&amp;""),"")</f>
        <v/>
      </c>
      <c r="AG294" s="31">
        <f>IF(AE294="","",LOWER(IF(AF294&lt;&gt;"",AF294,AE294)))</f>
        <v/>
      </c>
      <c r="AH294" s="31">
        <f>IFERROR(TRIM(INDEX($A294:$Z294,MATCH(Settings!$L$6,$A$1:$Z$1,0))&amp;""),"")</f>
        <v/>
      </c>
      <c r="AI294" s="31">
        <f>IF(AE294="","",IF(UPPER(TRIM(AB294&amp;""))="Y","Paid another way",IF(IFERROR(TRIM(INDEX($A294:$Z294,MATCH(Settings!$L$7,$A$1:$Z$1,0))&amp;""),"")="","No payment status",IFERROR(TRIM(INDEX($A294:$Z294,MATCH(Settings!$L$7,$A$1:$Z$1,0))&amp;""),""))))</f>
        <v/>
      </c>
      <c r="AJ294" s="31">
        <f>IF(AE294="",0,IF(IFERROR(INDEX(Settings!$J$4:$J$14,MATCH(AI294,Settings!$I$4:$I$14,0)),"N")="Y",1,0))</f>
        <v/>
      </c>
      <c r="AK294" s="32">
        <f>IFERROR(INT(IFERROR(IF(ISNUMBER(INDEX($A294:$Z294,MATCH(Settings!$L$10,$A$1:$Z$1,0))),INDEX($A294:$Z294,MATCH(Settings!$L$10,$A$1:$Z$1,0)),DATE(VALUE(LEFT(IFERROR(TRIM(INDEX($A294:$Z294,MATCH(Settings!$L$10,$A$1:$Z$1,0))&amp;""),""),4)),VALUE(MID(IFERROR(TRIM(INDEX($A294:$Z294,MATCH(Settings!$L$10,$A$1:$Z$1,0))&amp;""),""),6,2)),VALUE(MID(IFERROR(TRIM(INDEX($A294:$Z294,MATCH(Settings!$L$10,$A$1:$Z$1,0))&amp;""),""),9,2)))+TIME(VALUE(MID(IFERROR(TRIM(INDEX($A294:$Z294,MATCH(Settings!$L$10,$A$1:$Z$1,0))&amp;""),""),12,2)),VALUE(MID(IFERROR(TRIM(INDEX($A294:$Z294,MATCH(Settings!$L$10,$A$1:$Z$1,0))&amp;""),""),15,2)),VALUE(MID(IFERROR(TRIM(INDEX($A294:$Z294,MATCH(Settings!$L$10,$A$1:$Z$1,0))&amp;""),""),18,2)))),"")),"")</f>
        <v/>
      </c>
      <c r="AL294" s="32">
        <f>IF(AE294="","",IF(ISNUMBER(AK294),AK294,IFERROR(INT(IFERROR(IF(ISNUMBER(INDEX($A294:$Z294,MATCH(Settings!$L$11,$A$1:$Z$1,0))),INDEX($A294:$Z294,MATCH(Settings!$L$11,$A$1:$Z$1,0)),DATE(VALUE(LEFT(IFERROR(TRIM(INDEX($A294:$Z294,MATCH(Settings!$L$11,$A$1:$Z$1,0))&amp;""),""),4)),VALUE(MID(IFERROR(TRIM(INDEX($A294:$Z294,MATCH(Settings!$L$11,$A$1:$Z$1,0))&amp;""),""),6,2)),VALUE(MID(IFERROR(TRIM(INDEX($A294:$Z294,MATCH(Settings!$L$11,$A$1:$Z$1,0))&amp;""),""),9,2)))+TIME(VALUE(MID(IFERROR(TRIM(INDEX($A294:$Z294,MATCH(Settings!$L$11,$A$1:$Z$1,0))&amp;""),""),12,2)),VALUE(MID(IFERROR(TRIM(INDEX($A294:$Z294,MATCH(Settings!$L$11,$A$1:$Z$1,0))&amp;""),""),15,2)),VALUE(MID(IFERROR(TRIM(INDEX($A294:$Z294,MATCH(Settings!$L$11,$A$1:$Z$1,0))&amp;""),""),18,2)))),"")),"")))</f>
        <v/>
      </c>
      <c r="AM294" s="31">
        <f>IF(AE294="","",IF(ISNUMBER(IFERROR(INDEX(Settings!$G$4:$G$11,MATCH(AH294,Settings!$F$4:$F$11,0)),"")),INDEX(Settings!$G$4:$G$11,MATCH(AH294,Settings!$F$4:$F$11,0)),Settings!$D$5))</f>
        <v/>
      </c>
      <c r="AN294" s="32">
        <f>IF(OR(AE294="",NOT(ISNUMBER(AL294)),NOT(ISNUMBER(AM294))),"",IF(AM294&lt;=0,"",IF(ISNUMBER(Settings!$D$8),DATE(YEAR(AL294)+IF(DATE(YEAR(AL294),MONTH(Settings!$D$8),DAY(Settings!$D$8))&gt;AL294,0,1),MONTH(Settings!$D$8),DAY(Settings!$D$8)),MIN(DATE(YEAR(AL294),MONTH(AL294)+AM294,DAY(AL294)),DATE(YEAR(AL294),MONTH(AL294)+AM294+1,0)))))</f>
        <v/>
      </c>
      <c r="AO294" s="31">
        <f>IF(ISNUMBER(AN294),AN294-Settings!$D$4,"")</f>
        <v/>
      </c>
      <c r="AP294" s="31">
        <f>IF(ISNUMBER(AL294),AL294+0+ROW()/100000,"")</f>
        <v/>
      </c>
      <c r="AQ294" s="31">
        <f>IF(OR(AG294="",NOT(ISNUMBER(AP294))),0,IF(SUMPRODUCT(('Responses'!$AG$2:$AG$501=AG294)*('Responses'!$AJ$2:$AJ$501=1)*ISNUMBER('Responses'!$AP$2:$AP$501)*('Responses'!$AP$2:$AP$501&gt;AP294)) + SUMPRODUCT(('Paper sign-ups'!$K$2:$K$101=AG294)*('Paper sign-ups'!$N$2:$N$101=1)*ISNUMBER('Paper sign-ups'!$T$2:$T$101)*('Paper sign-ups'!$T$2:$T$101&gt;AP294))&gt;0,1,0))</f>
        <v/>
      </c>
      <c r="AR294" s="31">
        <f>IF(AE294="","",IF(AQ294=1,"Joined again",IF(AJ294=0,"Unpaid",IF(NOT(ISNUMBER(AL294)),"Add a join date",IF(AN294="","No reminder",IF(AO294&lt;0,"Lapsed",IF(AO294&lt;=Settings!$D$6,"Remind soon","Current")))))))</f>
        <v/>
      </c>
      <c r="AS294" s="33">
        <f>IF(AJ294=1,IFERROR(VALUE(IFERROR(TRIM(INDEX($A294:$Z294,MATCH(Settings!$L$8,$A$1:$Z$1,0))&amp;""),"")),0)-IFERROR(VALUE(IFERROR(TRIM(INDEX($A294:$Z294,MATCH(Settings!$L$9,$A$1:$Z$1,0))&amp;""),"")),0),0)</f>
        <v/>
      </c>
      <c r="AT294" s="31">
        <f>IF(AND(AE294&lt;&gt;"",AQ294=0),1,0)</f>
        <v/>
      </c>
      <c r="AU294" s="31">
        <f>IF(AT294=0,"",IF(ISNUMBER(AN294),AN294,100000)+0+ROW()/1000000)</f>
        <v/>
      </c>
      <c r="AV294" s="31">
        <f>IF(ISNUMBER(AU294),SUMPRODUCT(ISNUMBER('Responses'!$AU$2:$AU$501)*('Responses'!$AU$2:$AU$501&lt;AU294)) + SUMPRODUCT(ISNUMBER('Paper sign-ups'!$Y$2:$Y$101)*('Paper sign-ups'!$Y$2:$Y$101&lt;AU294))+1,"")</f>
        <v/>
      </c>
    </row>
    <row r="295">
      <c r="AA295" s="29" t="n"/>
      <c r="AB295" s="30" t="n"/>
      <c r="AC295" s="30" t="n"/>
      <c r="AD295" s="29" t="n"/>
      <c r="AE295" s="31">
        <f>IFERROR(TRIM(INDEX($A295:$Z295,MATCH(Settings!$L$4,$A$1:$Z$1,0))&amp;""),"")</f>
        <v/>
      </c>
      <c r="AF295" s="31">
        <f>IFERROR(TRIM(INDEX($A295:$Z295,MATCH(Settings!$L$5,$A$1:$Z$1,0))&amp;""),"")</f>
        <v/>
      </c>
      <c r="AG295" s="31">
        <f>IF(AE295="","",LOWER(IF(AF295&lt;&gt;"",AF295,AE295)))</f>
        <v/>
      </c>
      <c r="AH295" s="31">
        <f>IFERROR(TRIM(INDEX($A295:$Z295,MATCH(Settings!$L$6,$A$1:$Z$1,0))&amp;""),"")</f>
        <v/>
      </c>
      <c r="AI295" s="31">
        <f>IF(AE295="","",IF(UPPER(TRIM(AB295&amp;""))="Y","Paid another way",IF(IFERROR(TRIM(INDEX($A295:$Z295,MATCH(Settings!$L$7,$A$1:$Z$1,0))&amp;""),"")="","No payment status",IFERROR(TRIM(INDEX($A295:$Z295,MATCH(Settings!$L$7,$A$1:$Z$1,0))&amp;""),""))))</f>
        <v/>
      </c>
      <c r="AJ295" s="31">
        <f>IF(AE295="",0,IF(IFERROR(INDEX(Settings!$J$4:$J$14,MATCH(AI295,Settings!$I$4:$I$14,0)),"N")="Y",1,0))</f>
        <v/>
      </c>
      <c r="AK295" s="32">
        <f>IFERROR(INT(IFERROR(IF(ISNUMBER(INDEX($A295:$Z295,MATCH(Settings!$L$10,$A$1:$Z$1,0))),INDEX($A295:$Z295,MATCH(Settings!$L$10,$A$1:$Z$1,0)),DATE(VALUE(LEFT(IFERROR(TRIM(INDEX($A295:$Z295,MATCH(Settings!$L$10,$A$1:$Z$1,0))&amp;""),""),4)),VALUE(MID(IFERROR(TRIM(INDEX($A295:$Z295,MATCH(Settings!$L$10,$A$1:$Z$1,0))&amp;""),""),6,2)),VALUE(MID(IFERROR(TRIM(INDEX($A295:$Z295,MATCH(Settings!$L$10,$A$1:$Z$1,0))&amp;""),""),9,2)))+TIME(VALUE(MID(IFERROR(TRIM(INDEX($A295:$Z295,MATCH(Settings!$L$10,$A$1:$Z$1,0))&amp;""),""),12,2)),VALUE(MID(IFERROR(TRIM(INDEX($A295:$Z295,MATCH(Settings!$L$10,$A$1:$Z$1,0))&amp;""),""),15,2)),VALUE(MID(IFERROR(TRIM(INDEX($A295:$Z295,MATCH(Settings!$L$10,$A$1:$Z$1,0))&amp;""),""),18,2)))),"")),"")</f>
        <v/>
      </c>
      <c r="AL295" s="32">
        <f>IF(AE295="","",IF(ISNUMBER(AK295),AK295,IFERROR(INT(IFERROR(IF(ISNUMBER(INDEX($A295:$Z295,MATCH(Settings!$L$11,$A$1:$Z$1,0))),INDEX($A295:$Z295,MATCH(Settings!$L$11,$A$1:$Z$1,0)),DATE(VALUE(LEFT(IFERROR(TRIM(INDEX($A295:$Z295,MATCH(Settings!$L$11,$A$1:$Z$1,0))&amp;""),""),4)),VALUE(MID(IFERROR(TRIM(INDEX($A295:$Z295,MATCH(Settings!$L$11,$A$1:$Z$1,0))&amp;""),""),6,2)),VALUE(MID(IFERROR(TRIM(INDEX($A295:$Z295,MATCH(Settings!$L$11,$A$1:$Z$1,0))&amp;""),""),9,2)))+TIME(VALUE(MID(IFERROR(TRIM(INDEX($A295:$Z295,MATCH(Settings!$L$11,$A$1:$Z$1,0))&amp;""),""),12,2)),VALUE(MID(IFERROR(TRIM(INDEX($A295:$Z295,MATCH(Settings!$L$11,$A$1:$Z$1,0))&amp;""),""),15,2)),VALUE(MID(IFERROR(TRIM(INDEX($A295:$Z295,MATCH(Settings!$L$11,$A$1:$Z$1,0))&amp;""),""),18,2)))),"")),"")))</f>
        <v/>
      </c>
      <c r="AM295" s="31">
        <f>IF(AE295="","",IF(ISNUMBER(IFERROR(INDEX(Settings!$G$4:$G$11,MATCH(AH295,Settings!$F$4:$F$11,0)),"")),INDEX(Settings!$G$4:$G$11,MATCH(AH295,Settings!$F$4:$F$11,0)),Settings!$D$5))</f>
        <v/>
      </c>
      <c r="AN295" s="32">
        <f>IF(OR(AE295="",NOT(ISNUMBER(AL295)),NOT(ISNUMBER(AM295))),"",IF(AM295&lt;=0,"",IF(ISNUMBER(Settings!$D$8),DATE(YEAR(AL295)+IF(DATE(YEAR(AL295),MONTH(Settings!$D$8),DAY(Settings!$D$8))&gt;AL295,0,1),MONTH(Settings!$D$8),DAY(Settings!$D$8)),MIN(DATE(YEAR(AL295),MONTH(AL295)+AM295,DAY(AL295)),DATE(YEAR(AL295),MONTH(AL295)+AM295+1,0)))))</f>
        <v/>
      </c>
      <c r="AO295" s="31">
        <f>IF(ISNUMBER(AN295),AN295-Settings!$D$4,"")</f>
        <v/>
      </c>
      <c r="AP295" s="31">
        <f>IF(ISNUMBER(AL295),AL295+0+ROW()/100000,"")</f>
        <v/>
      </c>
      <c r="AQ295" s="31">
        <f>IF(OR(AG295="",NOT(ISNUMBER(AP295))),0,IF(SUMPRODUCT(('Responses'!$AG$2:$AG$501=AG295)*('Responses'!$AJ$2:$AJ$501=1)*ISNUMBER('Responses'!$AP$2:$AP$501)*('Responses'!$AP$2:$AP$501&gt;AP295)) + SUMPRODUCT(('Paper sign-ups'!$K$2:$K$101=AG295)*('Paper sign-ups'!$N$2:$N$101=1)*ISNUMBER('Paper sign-ups'!$T$2:$T$101)*('Paper sign-ups'!$T$2:$T$101&gt;AP295))&gt;0,1,0))</f>
        <v/>
      </c>
      <c r="AR295" s="31">
        <f>IF(AE295="","",IF(AQ295=1,"Joined again",IF(AJ295=0,"Unpaid",IF(NOT(ISNUMBER(AL295)),"Add a join date",IF(AN295="","No reminder",IF(AO295&lt;0,"Lapsed",IF(AO295&lt;=Settings!$D$6,"Remind soon","Current")))))))</f>
        <v/>
      </c>
      <c r="AS295" s="33">
        <f>IF(AJ295=1,IFERROR(VALUE(IFERROR(TRIM(INDEX($A295:$Z295,MATCH(Settings!$L$8,$A$1:$Z$1,0))&amp;""),"")),0)-IFERROR(VALUE(IFERROR(TRIM(INDEX($A295:$Z295,MATCH(Settings!$L$9,$A$1:$Z$1,0))&amp;""),"")),0),0)</f>
        <v/>
      </c>
      <c r="AT295" s="31">
        <f>IF(AND(AE295&lt;&gt;"",AQ295=0),1,0)</f>
        <v/>
      </c>
      <c r="AU295" s="31">
        <f>IF(AT295=0,"",IF(ISNUMBER(AN295),AN295,100000)+0+ROW()/1000000)</f>
        <v/>
      </c>
      <c r="AV295" s="31">
        <f>IF(ISNUMBER(AU295),SUMPRODUCT(ISNUMBER('Responses'!$AU$2:$AU$501)*('Responses'!$AU$2:$AU$501&lt;AU295)) + SUMPRODUCT(ISNUMBER('Paper sign-ups'!$Y$2:$Y$101)*('Paper sign-ups'!$Y$2:$Y$101&lt;AU295))+1,"")</f>
        <v/>
      </c>
    </row>
    <row r="296">
      <c r="AA296" s="29" t="n"/>
      <c r="AB296" s="30" t="n"/>
      <c r="AC296" s="30" t="n"/>
      <c r="AD296" s="29" t="n"/>
      <c r="AE296" s="31">
        <f>IFERROR(TRIM(INDEX($A296:$Z296,MATCH(Settings!$L$4,$A$1:$Z$1,0))&amp;""),"")</f>
        <v/>
      </c>
      <c r="AF296" s="31">
        <f>IFERROR(TRIM(INDEX($A296:$Z296,MATCH(Settings!$L$5,$A$1:$Z$1,0))&amp;""),"")</f>
        <v/>
      </c>
      <c r="AG296" s="31">
        <f>IF(AE296="","",LOWER(IF(AF296&lt;&gt;"",AF296,AE296)))</f>
        <v/>
      </c>
      <c r="AH296" s="31">
        <f>IFERROR(TRIM(INDEX($A296:$Z296,MATCH(Settings!$L$6,$A$1:$Z$1,0))&amp;""),"")</f>
        <v/>
      </c>
      <c r="AI296" s="31">
        <f>IF(AE296="","",IF(UPPER(TRIM(AB296&amp;""))="Y","Paid another way",IF(IFERROR(TRIM(INDEX($A296:$Z296,MATCH(Settings!$L$7,$A$1:$Z$1,0))&amp;""),"")="","No payment status",IFERROR(TRIM(INDEX($A296:$Z296,MATCH(Settings!$L$7,$A$1:$Z$1,0))&amp;""),""))))</f>
        <v/>
      </c>
      <c r="AJ296" s="31">
        <f>IF(AE296="",0,IF(IFERROR(INDEX(Settings!$J$4:$J$14,MATCH(AI296,Settings!$I$4:$I$14,0)),"N")="Y",1,0))</f>
        <v/>
      </c>
      <c r="AK296" s="32">
        <f>IFERROR(INT(IFERROR(IF(ISNUMBER(INDEX($A296:$Z296,MATCH(Settings!$L$10,$A$1:$Z$1,0))),INDEX($A296:$Z296,MATCH(Settings!$L$10,$A$1:$Z$1,0)),DATE(VALUE(LEFT(IFERROR(TRIM(INDEX($A296:$Z296,MATCH(Settings!$L$10,$A$1:$Z$1,0))&amp;""),""),4)),VALUE(MID(IFERROR(TRIM(INDEX($A296:$Z296,MATCH(Settings!$L$10,$A$1:$Z$1,0))&amp;""),""),6,2)),VALUE(MID(IFERROR(TRIM(INDEX($A296:$Z296,MATCH(Settings!$L$10,$A$1:$Z$1,0))&amp;""),""),9,2)))+TIME(VALUE(MID(IFERROR(TRIM(INDEX($A296:$Z296,MATCH(Settings!$L$10,$A$1:$Z$1,0))&amp;""),""),12,2)),VALUE(MID(IFERROR(TRIM(INDEX($A296:$Z296,MATCH(Settings!$L$10,$A$1:$Z$1,0))&amp;""),""),15,2)),VALUE(MID(IFERROR(TRIM(INDEX($A296:$Z296,MATCH(Settings!$L$10,$A$1:$Z$1,0))&amp;""),""),18,2)))),"")),"")</f>
        <v/>
      </c>
      <c r="AL296" s="32">
        <f>IF(AE296="","",IF(ISNUMBER(AK296),AK296,IFERROR(INT(IFERROR(IF(ISNUMBER(INDEX($A296:$Z296,MATCH(Settings!$L$11,$A$1:$Z$1,0))),INDEX($A296:$Z296,MATCH(Settings!$L$11,$A$1:$Z$1,0)),DATE(VALUE(LEFT(IFERROR(TRIM(INDEX($A296:$Z296,MATCH(Settings!$L$11,$A$1:$Z$1,0))&amp;""),""),4)),VALUE(MID(IFERROR(TRIM(INDEX($A296:$Z296,MATCH(Settings!$L$11,$A$1:$Z$1,0))&amp;""),""),6,2)),VALUE(MID(IFERROR(TRIM(INDEX($A296:$Z296,MATCH(Settings!$L$11,$A$1:$Z$1,0))&amp;""),""),9,2)))+TIME(VALUE(MID(IFERROR(TRIM(INDEX($A296:$Z296,MATCH(Settings!$L$11,$A$1:$Z$1,0))&amp;""),""),12,2)),VALUE(MID(IFERROR(TRIM(INDEX($A296:$Z296,MATCH(Settings!$L$11,$A$1:$Z$1,0))&amp;""),""),15,2)),VALUE(MID(IFERROR(TRIM(INDEX($A296:$Z296,MATCH(Settings!$L$11,$A$1:$Z$1,0))&amp;""),""),18,2)))),"")),"")))</f>
        <v/>
      </c>
      <c r="AM296" s="31">
        <f>IF(AE296="","",IF(ISNUMBER(IFERROR(INDEX(Settings!$G$4:$G$11,MATCH(AH296,Settings!$F$4:$F$11,0)),"")),INDEX(Settings!$G$4:$G$11,MATCH(AH296,Settings!$F$4:$F$11,0)),Settings!$D$5))</f>
        <v/>
      </c>
      <c r="AN296" s="32">
        <f>IF(OR(AE296="",NOT(ISNUMBER(AL296)),NOT(ISNUMBER(AM296))),"",IF(AM296&lt;=0,"",IF(ISNUMBER(Settings!$D$8),DATE(YEAR(AL296)+IF(DATE(YEAR(AL296),MONTH(Settings!$D$8),DAY(Settings!$D$8))&gt;AL296,0,1),MONTH(Settings!$D$8),DAY(Settings!$D$8)),MIN(DATE(YEAR(AL296),MONTH(AL296)+AM296,DAY(AL296)),DATE(YEAR(AL296),MONTH(AL296)+AM296+1,0)))))</f>
        <v/>
      </c>
      <c r="AO296" s="31">
        <f>IF(ISNUMBER(AN296),AN296-Settings!$D$4,"")</f>
        <v/>
      </c>
      <c r="AP296" s="31">
        <f>IF(ISNUMBER(AL296),AL296+0+ROW()/100000,"")</f>
        <v/>
      </c>
      <c r="AQ296" s="31">
        <f>IF(OR(AG296="",NOT(ISNUMBER(AP296))),0,IF(SUMPRODUCT(('Responses'!$AG$2:$AG$501=AG296)*('Responses'!$AJ$2:$AJ$501=1)*ISNUMBER('Responses'!$AP$2:$AP$501)*('Responses'!$AP$2:$AP$501&gt;AP296)) + SUMPRODUCT(('Paper sign-ups'!$K$2:$K$101=AG296)*('Paper sign-ups'!$N$2:$N$101=1)*ISNUMBER('Paper sign-ups'!$T$2:$T$101)*('Paper sign-ups'!$T$2:$T$101&gt;AP296))&gt;0,1,0))</f>
        <v/>
      </c>
      <c r="AR296" s="31">
        <f>IF(AE296="","",IF(AQ296=1,"Joined again",IF(AJ296=0,"Unpaid",IF(NOT(ISNUMBER(AL296)),"Add a join date",IF(AN296="","No reminder",IF(AO296&lt;0,"Lapsed",IF(AO296&lt;=Settings!$D$6,"Remind soon","Current")))))))</f>
        <v/>
      </c>
      <c r="AS296" s="33">
        <f>IF(AJ296=1,IFERROR(VALUE(IFERROR(TRIM(INDEX($A296:$Z296,MATCH(Settings!$L$8,$A$1:$Z$1,0))&amp;""),"")),0)-IFERROR(VALUE(IFERROR(TRIM(INDEX($A296:$Z296,MATCH(Settings!$L$9,$A$1:$Z$1,0))&amp;""),"")),0),0)</f>
        <v/>
      </c>
      <c r="AT296" s="31">
        <f>IF(AND(AE296&lt;&gt;"",AQ296=0),1,0)</f>
        <v/>
      </c>
      <c r="AU296" s="31">
        <f>IF(AT296=0,"",IF(ISNUMBER(AN296),AN296,100000)+0+ROW()/1000000)</f>
        <v/>
      </c>
      <c r="AV296" s="31">
        <f>IF(ISNUMBER(AU296),SUMPRODUCT(ISNUMBER('Responses'!$AU$2:$AU$501)*('Responses'!$AU$2:$AU$501&lt;AU296)) + SUMPRODUCT(ISNUMBER('Paper sign-ups'!$Y$2:$Y$101)*('Paper sign-ups'!$Y$2:$Y$101&lt;AU296))+1,"")</f>
        <v/>
      </c>
    </row>
    <row r="297">
      <c r="AA297" s="29" t="n"/>
      <c r="AB297" s="30" t="n"/>
      <c r="AC297" s="30" t="n"/>
      <c r="AD297" s="29" t="n"/>
      <c r="AE297" s="31">
        <f>IFERROR(TRIM(INDEX($A297:$Z297,MATCH(Settings!$L$4,$A$1:$Z$1,0))&amp;""),"")</f>
        <v/>
      </c>
      <c r="AF297" s="31">
        <f>IFERROR(TRIM(INDEX($A297:$Z297,MATCH(Settings!$L$5,$A$1:$Z$1,0))&amp;""),"")</f>
        <v/>
      </c>
      <c r="AG297" s="31">
        <f>IF(AE297="","",LOWER(IF(AF297&lt;&gt;"",AF297,AE297)))</f>
        <v/>
      </c>
      <c r="AH297" s="31">
        <f>IFERROR(TRIM(INDEX($A297:$Z297,MATCH(Settings!$L$6,$A$1:$Z$1,0))&amp;""),"")</f>
        <v/>
      </c>
      <c r="AI297" s="31">
        <f>IF(AE297="","",IF(UPPER(TRIM(AB297&amp;""))="Y","Paid another way",IF(IFERROR(TRIM(INDEX($A297:$Z297,MATCH(Settings!$L$7,$A$1:$Z$1,0))&amp;""),"")="","No payment status",IFERROR(TRIM(INDEX($A297:$Z297,MATCH(Settings!$L$7,$A$1:$Z$1,0))&amp;""),""))))</f>
        <v/>
      </c>
      <c r="AJ297" s="31">
        <f>IF(AE297="",0,IF(IFERROR(INDEX(Settings!$J$4:$J$14,MATCH(AI297,Settings!$I$4:$I$14,0)),"N")="Y",1,0))</f>
        <v/>
      </c>
      <c r="AK297" s="32">
        <f>IFERROR(INT(IFERROR(IF(ISNUMBER(INDEX($A297:$Z297,MATCH(Settings!$L$10,$A$1:$Z$1,0))),INDEX($A297:$Z297,MATCH(Settings!$L$10,$A$1:$Z$1,0)),DATE(VALUE(LEFT(IFERROR(TRIM(INDEX($A297:$Z297,MATCH(Settings!$L$10,$A$1:$Z$1,0))&amp;""),""),4)),VALUE(MID(IFERROR(TRIM(INDEX($A297:$Z297,MATCH(Settings!$L$10,$A$1:$Z$1,0))&amp;""),""),6,2)),VALUE(MID(IFERROR(TRIM(INDEX($A297:$Z297,MATCH(Settings!$L$10,$A$1:$Z$1,0))&amp;""),""),9,2)))+TIME(VALUE(MID(IFERROR(TRIM(INDEX($A297:$Z297,MATCH(Settings!$L$10,$A$1:$Z$1,0))&amp;""),""),12,2)),VALUE(MID(IFERROR(TRIM(INDEX($A297:$Z297,MATCH(Settings!$L$10,$A$1:$Z$1,0))&amp;""),""),15,2)),VALUE(MID(IFERROR(TRIM(INDEX($A297:$Z297,MATCH(Settings!$L$10,$A$1:$Z$1,0))&amp;""),""),18,2)))),"")),"")</f>
        <v/>
      </c>
      <c r="AL297" s="32">
        <f>IF(AE297="","",IF(ISNUMBER(AK297),AK297,IFERROR(INT(IFERROR(IF(ISNUMBER(INDEX($A297:$Z297,MATCH(Settings!$L$11,$A$1:$Z$1,0))),INDEX($A297:$Z297,MATCH(Settings!$L$11,$A$1:$Z$1,0)),DATE(VALUE(LEFT(IFERROR(TRIM(INDEX($A297:$Z297,MATCH(Settings!$L$11,$A$1:$Z$1,0))&amp;""),""),4)),VALUE(MID(IFERROR(TRIM(INDEX($A297:$Z297,MATCH(Settings!$L$11,$A$1:$Z$1,0))&amp;""),""),6,2)),VALUE(MID(IFERROR(TRIM(INDEX($A297:$Z297,MATCH(Settings!$L$11,$A$1:$Z$1,0))&amp;""),""),9,2)))+TIME(VALUE(MID(IFERROR(TRIM(INDEX($A297:$Z297,MATCH(Settings!$L$11,$A$1:$Z$1,0))&amp;""),""),12,2)),VALUE(MID(IFERROR(TRIM(INDEX($A297:$Z297,MATCH(Settings!$L$11,$A$1:$Z$1,0))&amp;""),""),15,2)),VALUE(MID(IFERROR(TRIM(INDEX($A297:$Z297,MATCH(Settings!$L$11,$A$1:$Z$1,0))&amp;""),""),18,2)))),"")),"")))</f>
        <v/>
      </c>
      <c r="AM297" s="31">
        <f>IF(AE297="","",IF(ISNUMBER(IFERROR(INDEX(Settings!$G$4:$G$11,MATCH(AH297,Settings!$F$4:$F$11,0)),"")),INDEX(Settings!$G$4:$G$11,MATCH(AH297,Settings!$F$4:$F$11,0)),Settings!$D$5))</f>
        <v/>
      </c>
      <c r="AN297" s="32">
        <f>IF(OR(AE297="",NOT(ISNUMBER(AL297)),NOT(ISNUMBER(AM297))),"",IF(AM297&lt;=0,"",IF(ISNUMBER(Settings!$D$8),DATE(YEAR(AL297)+IF(DATE(YEAR(AL297),MONTH(Settings!$D$8),DAY(Settings!$D$8))&gt;AL297,0,1),MONTH(Settings!$D$8),DAY(Settings!$D$8)),MIN(DATE(YEAR(AL297),MONTH(AL297)+AM297,DAY(AL297)),DATE(YEAR(AL297),MONTH(AL297)+AM297+1,0)))))</f>
        <v/>
      </c>
      <c r="AO297" s="31">
        <f>IF(ISNUMBER(AN297),AN297-Settings!$D$4,"")</f>
        <v/>
      </c>
      <c r="AP297" s="31">
        <f>IF(ISNUMBER(AL297),AL297+0+ROW()/100000,"")</f>
        <v/>
      </c>
      <c r="AQ297" s="31">
        <f>IF(OR(AG297="",NOT(ISNUMBER(AP297))),0,IF(SUMPRODUCT(('Responses'!$AG$2:$AG$501=AG297)*('Responses'!$AJ$2:$AJ$501=1)*ISNUMBER('Responses'!$AP$2:$AP$501)*('Responses'!$AP$2:$AP$501&gt;AP297)) + SUMPRODUCT(('Paper sign-ups'!$K$2:$K$101=AG297)*('Paper sign-ups'!$N$2:$N$101=1)*ISNUMBER('Paper sign-ups'!$T$2:$T$101)*('Paper sign-ups'!$T$2:$T$101&gt;AP297))&gt;0,1,0))</f>
        <v/>
      </c>
      <c r="AR297" s="31">
        <f>IF(AE297="","",IF(AQ297=1,"Joined again",IF(AJ297=0,"Unpaid",IF(NOT(ISNUMBER(AL297)),"Add a join date",IF(AN297="","No reminder",IF(AO297&lt;0,"Lapsed",IF(AO297&lt;=Settings!$D$6,"Remind soon","Current")))))))</f>
        <v/>
      </c>
      <c r="AS297" s="33">
        <f>IF(AJ297=1,IFERROR(VALUE(IFERROR(TRIM(INDEX($A297:$Z297,MATCH(Settings!$L$8,$A$1:$Z$1,0))&amp;""),"")),0)-IFERROR(VALUE(IFERROR(TRIM(INDEX($A297:$Z297,MATCH(Settings!$L$9,$A$1:$Z$1,0))&amp;""),"")),0),0)</f>
        <v/>
      </c>
      <c r="AT297" s="31">
        <f>IF(AND(AE297&lt;&gt;"",AQ297=0),1,0)</f>
        <v/>
      </c>
      <c r="AU297" s="31">
        <f>IF(AT297=0,"",IF(ISNUMBER(AN297),AN297,100000)+0+ROW()/1000000)</f>
        <v/>
      </c>
      <c r="AV297" s="31">
        <f>IF(ISNUMBER(AU297),SUMPRODUCT(ISNUMBER('Responses'!$AU$2:$AU$501)*('Responses'!$AU$2:$AU$501&lt;AU297)) + SUMPRODUCT(ISNUMBER('Paper sign-ups'!$Y$2:$Y$101)*('Paper sign-ups'!$Y$2:$Y$101&lt;AU297))+1,"")</f>
        <v/>
      </c>
    </row>
    <row r="298">
      <c r="AA298" s="29" t="n"/>
      <c r="AB298" s="30" t="n"/>
      <c r="AC298" s="30" t="n"/>
      <c r="AD298" s="29" t="n"/>
      <c r="AE298" s="31">
        <f>IFERROR(TRIM(INDEX($A298:$Z298,MATCH(Settings!$L$4,$A$1:$Z$1,0))&amp;""),"")</f>
        <v/>
      </c>
      <c r="AF298" s="31">
        <f>IFERROR(TRIM(INDEX($A298:$Z298,MATCH(Settings!$L$5,$A$1:$Z$1,0))&amp;""),"")</f>
        <v/>
      </c>
      <c r="AG298" s="31">
        <f>IF(AE298="","",LOWER(IF(AF298&lt;&gt;"",AF298,AE298)))</f>
        <v/>
      </c>
      <c r="AH298" s="31">
        <f>IFERROR(TRIM(INDEX($A298:$Z298,MATCH(Settings!$L$6,$A$1:$Z$1,0))&amp;""),"")</f>
        <v/>
      </c>
      <c r="AI298" s="31">
        <f>IF(AE298="","",IF(UPPER(TRIM(AB298&amp;""))="Y","Paid another way",IF(IFERROR(TRIM(INDEX($A298:$Z298,MATCH(Settings!$L$7,$A$1:$Z$1,0))&amp;""),"")="","No payment status",IFERROR(TRIM(INDEX($A298:$Z298,MATCH(Settings!$L$7,$A$1:$Z$1,0))&amp;""),""))))</f>
        <v/>
      </c>
      <c r="AJ298" s="31">
        <f>IF(AE298="",0,IF(IFERROR(INDEX(Settings!$J$4:$J$14,MATCH(AI298,Settings!$I$4:$I$14,0)),"N")="Y",1,0))</f>
        <v/>
      </c>
      <c r="AK298" s="32">
        <f>IFERROR(INT(IFERROR(IF(ISNUMBER(INDEX($A298:$Z298,MATCH(Settings!$L$10,$A$1:$Z$1,0))),INDEX($A298:$Z298,MATCH(Settings!$L$10,$A$1:$Z$1,0)),DATE(VALUE(LEFT(IFERROR(TRIM(INDEX($A298:$Z298,MATCH(Settings!$L$10,$A$1:$Z$1,0))&amp;""),""),4)),VALUE(MID(IFERROR(TRIM(INDEX($A298:$Z298,MATCH(Settings!$L$10,$A$1:$Z$1,0))&amp;""),""),6,2)),VALUE(MID(IFERROR(TRIM(INDEX($A298:$Z298,MATCH(Settings!$L$10,$A$1:$Z$1,0))&amp;""),""),9,2)))+TIME(VALUE(MID(IFERROR(TRIM(INDEX($A298:$Z298,MATCH(Settings!$L$10,$A$1:$Z$1,0))&amp;""),""),12,2)),VALUE(MID(IFERROR(TRIM(INDEX($A298:$Z298,MATCH(Settings!$L$10,$A$1:$Z$1,0))&amp;""),""),15,2)),VALUE(MID(IFERROR(TRIM(INDEX($A298:$Z298,MATCH(Settings!$L$10,$A$1:$Z$1,0))&amp;""),""),18,2)))),"")),"")</f>
        <v/>
      </c>
      <c r="AL298" s="32">
        <f>IF(AE298="","",IF(ISNUMBER(AK298),AK298,IFERROR(INT(IFERROR(IF(ISNUMBER(INDEX($A298:$Z298,MATCH(Settings!$L$11,$A$1:$Z$1,0))),INDEX($A298:$Z298,MATCH(Settings!$L$11,$A$1:$Z$1,0)),DATE(VALUE(LEFT(IFERROR(TRIM(INDEX($A298:$Z298,MATCH(Settings!$L$11,$A$1:$Z$1,0))&amp;""),""),4)),VALUE(MID(IFERROR(TRIM(INDEX($A298:$Z298,MATCH(Settings!$L$11,$A$1:$Z$1,0))&amp;""),""),6,2)),VALUE(MID(IFERROR(TRIM(INDEX($A298:$Z298,MATCH(Settings!$L$11,$A$1:$Z$1,0))&amp;""),""),9,2)))+TIME(VALUE(MID(IFERROR(TRIM(INDEX($A298:$Z298,MATCH(Settings!$L$11,$A$1:$Z$1,0))&amp;""),""),12,2)),VALUE(MID(IFERROR(TRIM(INDEX($A298:$Z298,MATCH(Settings!$L$11,$A$1:$Z$1,0))&amp;""),""),15,2)),VALUE(MID(IFERROR(TRIM(INDEX($A298:$Z298,MATCH(Settings!$L$11,$A$1:$Z$1,0))&amp;""),""),18,2)))),"")),"")))</f>
        <v/>
      </c>
      <c r="AM298" s="31">
        <f>IF(AE298="","",IF(ISNUMBER(IFERROR(INDEX(Settings!$G$4:$G$11,MATCH(AH298,Settings!$F$4:$F$11,0)),"")),INDEX(Settings!$G$4:$G$11,MATCH(AH298,Settings!$F$4:$F$11,0)),Settings!$D$5))</f>
        <v/>
      </c>
      <c r="AN298" s="32">
        <f>IF(OR(AE298="",NOT(ISNUMBER(AL298)),NOT(ISNUMBER(AM298))),"",IF(AM298&lt;=0,"",IF(ISNUMBER(Settings!$D$8),DATE(YEAR(AL298)+IF(DATE(YEAR(AL298),MONTH(Settings!$D$8),DAY(Settings!$D$8))&gt;AL298,0,1),MONTH(Settings!$D$8),DAY(Settings!$D$8)),MIN(DATE(YEAR(AL298),MONTH(AL298)+AM298,DAY(AL298)),DATE(YEAR(AL298),MONTH(AL298)+AM298+1,0)))))</f>
        <v/>
      </c>
      <c r="AO298" s="31">
        <f>IF(ISNUMBER(AN298),AN298-Settings!$D$4,"")</f>
        <v/>
      </c>
      <c r="AP298" s="31">
        <f>IF(ISNUMBER(AL298),AL298+0+ROW()/100000,"")</f>
        <v/>
      </c>
      <c r="AQ298" s="31">
        <f>IF(OR(AG298="",NOT(ISNUMBER(AP298))),0,IF(SUMPRODUCT(('Responses'!$AG$2:$AG$501=AG298)*('Responses'!$AJ$2:$AJ$501=1)*ISNUMBER('Responses'!$AP$2:$AP$501)*('Responses'!$AP$2:$AP$501&gt;AP298)) + SUMPRODUCT(('Paper sign-ups'!$K$2:$K$101=AG298)*('Paper sign-ups'!$N$2:$N$101=1)*ISNUMBER('Paper sign-ups'!$T$2:$T$101)*('Paper sign-ups'!$T$2:$T$101&gt;AP298))&gt;0,1,0))</f>
        <v/>
      </c>
      <c r="AR298" s="31">
        <f>IF(AE298="","",IF(AQ298=1,"Joined again",IF(AJ298=0,"Unpaid",IF(NOT(ISNUMBER(AL298)),"Add a join date",IF(AN298="","No reminder",IF(AO298&lt;0,"Lapsed",IF(AO298&lt;=Settings!$D$6,"Remind soon","Current")))))))</f>
        <v/>
      </c>
      <c r="AS298" s="33">
        <f>IF(AJ298=1,IFERROR(VALUE(IFERROR(TRIM(INDEX($A298:$Z298,MATCH(Settings!$L$8,$A$1:$Z$1,0))&amp;""),"")),0)-IFERROR(VALUE(IFERROR(TRIM(INDEX($A298:$Z298,MATCH(Settings!$L$9,$A$1:$Z$1,0))&amp;""),"")),0),0)</f>
        <v/>
      </c>
      <c r="AT298" s="31">
        <f>IF(AND(AE298&lt;&gt;"",AQ298=0),1,0)</f>
        <v/>
      </c>
      <c r="AU298" s="31">
        <f>IF(AT298=0,"",IF(ISNUMBER(AN298),AN298,100000)+0+ROW()/1000000)</f>
        <v/>
      </c>
      <c r="AV298" s="31">
        <f>IF(ISNUMBER(AU298),SUMPRODUCT(ISNUMBER('Responses'!$AU$2:$AU$501)*('Responses'!$AU$2:$AU$501&lt;AU298)) + SUMPRODUCT(ISNUMBER('Paper sign-ups'!$Y$2:$Y$101)*('Paper sign-ups'!$Y$2:$Y$101&lt;AU298))+1,"")</f>
        <v/>
      </c>
    </row>
    <row r="299">
      <c r="AA299" s="29" t="n"/>
      <c r="AB299" s="30" t="n"/>
      <c r="AC299" s="30" t="n"/>
      <c r="AD299" s="29" t="n"/>
      <c r="AE299" s="31">
        <f>IFERROR(TRIM(INDEX($A299:$Z299,MATCH(Settings!$L$4,$A$1:$Z$1,0))&amp;""),"")</f>
        <v/>
      </c>
      <c r="AF299" s="31">
        <f>IFERROR(TRIM(INDEX($A299:$Z299,MATCH(Settings!$L$5,$A$1:$Z$1,0))&amp;""),"")</f>
        <v/>
      </c>
      <c r="AG299" s="31">
        <f>IF(AE299="","",LOWER(IF(AF299&lt;&gt;"",AF299,AE299)))</f>
        <v/>
      </c>
      <c r="AH299" s="31">
        <f>IFERROR(TRIM(INDEX($A299:$Z299,MATCH(Settings!$L$6,$A$1:$Z$1,0))&amp;""),"")</f>
        <v/>
      </c>
      <c r="AI299" s="31">
        <f>IF(AE299="","",IF(UPPER(TRIM(AB299&amp;""))="Y","Paid another way",IF(IFERROR(TRIM(INDEX($A299:$Z299,MATCH(Settings!$L$7,$A$1:$Z$1,0))&amp;""),"")="","No payment status",IFERROR(TRIM(INDEX($A299:$Z299,MATCH(Settings!$L$7,$A$1:$Z$1,0))&amp;""),""))))</f>
        <v/>
      </c>
      <c r="AJ299" s="31">
        <f>IF(AE299="",0,IF(IFERROR(INDEX(Settings!$J$4:$J$14,MATCH(AI299,Settings!$I$4:$I$14,0)),"N")="Y",1,0))</f>
        <v/>
      </c>
      <c r="AK299" s="32">
        <f>IFERROR(INT(IFERROR(IF(ISNUMBER(INDEX($A299:$Z299,MATCH(Settings!$L$10,$A$1:$Z$1,0))),INDEX($A299:$Z299,MATCH(Settings!$L$10,$A$1:$Z$1,0)),DATE(VALUE(LEFT(IFERROR(TRIM(INDEX($A299:$Z299,MATCH(Settings!$L$10,$A$1:$Z$1,0))&amp;""),""),4)),VALUE(MID(IFERROR(TRIM(INDEX($A299:$Z299,MATCH(Settings!$L$10,$A$1:$Z$1,0))&amp;""),""),6,2)),VALUE(MID(IFERROR(TRIM(INDEX($A299:$Z299,MATCH(Settings!$L$10,$A$1:$Z$1,0))&amp;""),""),9,2)))+TIME(VALUE(MID(IFERROR(TRIM(INDEX($A299:$Z299,MATCH(Settings!$L$10,$A$1:$Z$1,0))&amp;""),""),12,2)),VALUE(MID(IFERROR(TRIM(INDEX($A299:$Z299,MATCH(Settings!$L$10,$A$1:$Z$1,0))&amp;""),""),15,2)),VALUE(MID(IFERROR(TRIM(INDEX($A299:$Z299,MATCH(Settings!$L$10,$A$1:$Z$1,0))&amp;""),""),18,2)))),"")),"")</f>
        <v/>
      </c>
      <c r="AL299" s="32">
        <f>IF(AE299="","",IF(ISNUMBER(AK299),AK299,IFERROR(INT(IFERROR(IF(ISNUMBER(INDEX($A299:$Z299,MATCH(Settings!$L$11,$A$1:$Z$1,0))),INDEX($A299:$Z299,MATCH(Settings!$L$11,$A$1:$Z$1,0)),DATE(VALUE(LEFT(IFERROR(TRIM(INDEX($A299:$Z299,MATCH(Settings!$L$11,$A$1:$Z$1,0))&amp;""),""),4)),VALUE(MID(IFERROR(TRIM(INDEX($A299:$Z299,MATCH(Settings!$L$11,$A$1:$Z$1,0))&amp;""),""),6,2)),VALUE(MID(IFERROR(TRIM(INDEX($A299:$Z299,MATCH(Settings!$L$11,$A$1:$Z$1,0))&amp;""),""),9,2)))+TIME(VALUE(MID(IFERROR(TRIM(INDEX($A299:$Z299,MATCH(Settings!$L$11,$A$1:$Z$1,0))&amp;""),""),12,2)),VALUE(MID(IFERROR(TRIM(INDEX($A299:$Z299,MATCH(Settings!$L$11,$A$1:$Z$1,0))&amp;""),""),15,2)),VALUE(MID(IFERROR(TRIM(INDEX($A299:$Z299,MATCH(Settings!$L$11,$A$1:$Z$1,0))&amp;""),""),18,2)))),"")),"")))</f>
        <v/>
      </c>
      <c r="AM299" s="31">
        <f>IF(AE299="","",IF(ISNUMBER(IFERROR(INDEX(Settings!$G$4:$G$11,MATCH(AH299,Settings!$F$4:$F$11,0)),"")),INDEX(Settings!$G$4:$G$11,MATCH(AH299,Settings!$F$4:$F$11,0)),Settings!$D$5))</f>
        <v/>
      </c>
      <c r="AN299" s="32">
        <f>IF(OR(AE299="",NOT(ISNUMBER(AL299)),NOT(ISNUMBER(AM299))),"",IF(AM299&lt;=0,"",IF(ISNUMBER(Settings!$D$8),DATE(YEAR(AL299)+IF(DATE(YEAR(AL299),MONTH(Settings!$D$8),DAY(Settings!$D$8))&gt;AL299,0,1),MONTH(Settings!$D$8),DAY(Settings!$D$8)),MIN(DATE(YEAR(AL299),MONTH(AL299)+AM299,DAY(AL299)),DATE(YEAR(AL299),MONTH(AL299)+AM299+1,0)))))</f>
        <v/>
      </c>
      <c r="AO299" s="31">
        <f>IF(ISNUMBER(AN299),AN299-Settings!$D$4,"")</f>
        <v/>
      </c>
      <c r="AP299" s="31">
        <f>IF(ISNUMBER(AL299),AL299+0+ROW()/100000,"")</f>
        <v/>
      </c>
      <c r="AQ299" s="31">
        <f>IF(OR(AG299="",NOT(ISNUMBER(AP299))),0,IF(SUMPRODUCT(('Responses'!$AG$2:$AG$501=AG299)*('Responses'!$AJ$2:$AJ$501=1)*ISNUMBER('Responses'!$AP$2:$AP$501)*('Responses'!$AP$2:$AP$501&gt;AP299)) + SUMPRODUCT(('Paper sign-ups'!$K$2:$K$101=AG299)*('Paper sign-ups'!$N$2:$N$101=1)*ISNUMBER('Paper sign-ups'!$T$2:$T$101)*('Paper sign-ups'!$T$2:$T$101&gt;AP299))&gt;0,1,0))</f>
        <v/>
      </c>
      <c r="AR299" s="31">
        <f>IF(AE299="","",IF(AQ299=1,"Joined again",IF(AJ299=0,"Unpaid",IF(NOT(ISNUMBER(AL299)),"Add a join date",IF(AN299="","No reminder",IF(AO299&lt;0,"Lapsed",IF(AO299&lt;=Settings!$D$6,"Remind soon","Current")))))))</f>
        <v/>
      </c>
      <c r="AS299" s="33">
        <f>IF(AJ299=1,IFERROR(VALUE(IFERROR(TRIM(INDEX($A299:$Z299,MATCH(Settings!$L$8,$A$1:$Z$1,0))&amp;""),"")),0)-IFERROR(VALUE(IFERROR(TRIM(INDEX($A299:$Z299,MATCH(Settings!$L$9,$A$1:$Z$1,0))&amp;""),"")),0),0)</f>
        <v/>
      </c>
      <c r="AT299" s="31">
        <f>IF(AND(AE299&lt;&gt;"",AQ299=0),1,0)</f>
        <v/>
      </c>
      <c r="AU299" s="31">
        <f>IF(AT299=0,"",IF(ISNUMBER(AN299),AN299,100000)+0+ROW()/1000000)</f>
        <v/>
      </c>
      <c r="AV299" s="31">
        <f>IF(ISNUMBER(AU299),SUMPRODUCT(ISNUMBER('Responses'!$AU$2:$AU$501)*('Responses'!$AU$2:$AU$501&lt;AU299)) + SUMPRODUCT(ISNUMBER('Paper sign-ups'!$Y$2:$Y$101)*('Paper sign-ups'!$Y$2:$Y$101&lt;AU299))+1,"")</f>
        <v/>
      </c>
    </row>
    <row r="300">
      <c r="AA300" s="29" t="n"/>
      <c r="AB300" s="30" t="n"/>
      <c r="AC300" s="30" t="n"/>
      <c r="AD300" s="29" t="n"/>
      <c r="AE300" s="31">
        <f>IFERROR(TRIM(INDEX($A300:$Z300,MATCH(Settings!$L$4,$A$1:$Z$1,0))&amp;""),"")</f>
        <v/>
      </c>
      <c r="AF300" s="31">
        <f>IFERROR(TRIM(INDEX($A300:$Z300,MATCH(Settings!$L$5,$A$1:$Z$1,0))&amp;""),"")</f>
        <v/>
      </c>
      <c r="AG300" s="31">
        <f>IF(AE300="","",LOWER(IF(AF300&lt;&gt;"",AF300,AE300)))</f>
        <v/>
      </c>
      <c r="AH300" s="31">
        <f>IFERROR(TRIM(INDEX($A300:$Z300,MATCH(Settings!$L$6,$A$1:$Z$1,0))&amp;""),"")</f>
        <v/>
      </c>
      <c r="AI300" s="31">
        <f>IF(AE300="","",IF(UPPER(TRIM(AB300&amp;""))="Y","Paid another way",IF(IFERROR(TRIM(INDEX($A300:$Z300,MATCH(Settings!$L$7,$A$1:$Z$1,0))&amp;""),"")="","No payment status",IFERROR(TRIM(INDEX($A300:$Z300,MATCH(Settings!$L$7,$A$1:$Z$1,0))&amp;""),""))))</f>
        <v/>
      </c>
      <c r="AJ300" s="31">
        <f>IF(AE300="",0,IF(IFERROR(INDEX(Settings!$J$4:$J$14,MATCH(AI300,Settings!$I$4:$I$14,0)),"N")="Y",1,0))</f>
        <v/>
      </c>
      <c r="AK300" s="32">
        <f>IFERROR(INT(IFERROR(IF(ISNUMBER(INDEX($A300:$Z300,MATCH(Settings!$L$10,$A$1:$Z$1,0))),INDEX($A300:$Z300,MATCH(Settings!$L$10,$A$1:$Z$1,0)),DATE(VALUE(LEFT(IFERROR(TRIM(INDEX($A300:$Z300,MATCH(Settings!$L$10,$A$1:$Z$1,0))&amp;""),""),4)),VALUE(MID(IFERROR(TRIM(INDEX($A300:$Z300,MATCH(Settings!$L$10,$A$1:$Z$1,0))&amp;""),""),6,2)),VALUE(MID(IFERROR(TRIM(INDEX($A300:$Z300,MATCH(Settings!$L$10,$A$1:$Z$1,0))&amp;""),""),9,2)))+TIME(VALUE(MID(IFERROR(TRIM(INDEX($A300:$Z300,MATCH(Settings!$L$10,$A$1:$Z$1,0))&amp;""),""),12,2)),VALUE(MID(IFERROR(TRIM(INDEX($A300:$Z300,MATCH(Settings!$L$10,$A$1:$Z$1,0))&amp;""),""),15,2)),VALUE(MID(IFERROR(TRIM(INDEX($A300:$Z300,MATCH(Settings!$L$10,$A$1:$Z$1,0))&amp;""),""),18,2)))),"")),"")</f>
        <v/>
      </c>
      <c r="AL300" s="32">
        <f>IF(AE300="","",IF(ISNUMBER(AK300),AK300,IFERROR(INT(IFERROR(IF(ISNUMBER(INDEX($A300:$Z300,MATCH(Settings!$L$11,$A$1:$Z$1,0))),INDEX($A300:$Z300,MATCH(Settings!$L$11,$A$1:$Z$1,0)),DATE(VALUE(LEFT(IFERROR(TRIM(INDEX($A300:$Z300,MATCH(Settings!$L$11,$A$1:$Z$1,0))&amp;""),""),4)),VALUE(MID(IFERROR(TRIM(INDEX($A300:$Z300,MATCH(Settings!$L$11,$A$1:$Z$1,0))&amp;""),""),6,2)),VALUE(MID(IFERROR(TRIM(INDEX($A300:$Z300,MATCH(Settings!$L$11,$A$1:$Z$1,0))&amp;""),""),9,2)))+TIME(VALUE(MID(IFERROR(TRIM(INDEX($A300:$Z300,MATCH(Settings!$L$11,$A$1:$Z$1,0))&amp;""),""),12,2)),VALUE(MID(IFERROR(TRIM(INDEX($A300:$Z300,MATCH(Settings!$L$11,$A$1:$Z$1,0))&amp;""),""),15,2)),VALUE(MID(IFERROR(TRIM(INDEX($A300:$Z300,MATCH(Settings!$L$11,$A$1:$Z$1,0))&amp;""),""),18,2)))),"")),"")))</f>
        <v/>
      </c>
      <c r="AM300" s="31">
        <f>IF(AE300="","",IF(ISNUMBER(IFERROR(INDEX(Settings!$G$4:$G$11,MATCH(AH300,Settings!$F$4:$F$11,0)),"")),INDEX(Settings!$G$4:$G$11,MATCH(AH300,Settings!$F$4:$F$11,0)),Settings!$D$5))</f>
        <v/>
      </c>
      <c r="AN300" s="32">
        <f>IF(OR(AE300="",NOT(ISNUMBER(AL300)),NOT(ISNUMBER(AM300))),"",IF(AM300&lt;=0,"",IF(ISNUMBER(Settings!$D$8),DATE(YEAR(AL300)+IF(DATE(YEAR(AL300),MONTH(Settings!$D$8),DAY(Settings!$D$8))&gt;AL300,0,1),MONTH(Settings!$D$8),DAY(Settings!$D$8)),MIN(DATE(YEAR(AL300),MONTH(AL300)+AM300,DAY(AL300)),DATE(YEAR(AL300),MONTH(AL300)+AM300+1,0)))))</f>
        <v/>
      </c>
      <c r="AO300" s="31">
        <f>IF(ISNUMBER(AN300),AN300-Settings!$D$4,"")</f>
        <v/>
      </c>
      <c r="AP300" s="31">
        <f>IF(ISNUMBER(AL300),AL300+0+ROW()/100000,"")</f>
        <v/>
      </c>
      <c r="AQ300" s="31">
        <f>IF(OR(AG300="",NOT(ISNUMBER(AP300))),0,IF(SUMPRODUCT(('Responses'!$AG$2:$AG$501=AG300)*('Responses'!$AJ$2:$AJ$501=1)*ISNUMBER('Responses'!$AP$2:$AP$501)*('Responses'!$AP$2:$AP$501&gt;AP300)) + SUMPRODUCT(('Paper sign-ups'!$K$2:$K$101=AG300)*('Paper sign-ups'!$N$2:$N$101=1)*ISNUMBER('Paper sign-ups'!$T$2:$T$101)*('Paper sign-ups'!$T$2:$T$101&gt;AP300))&gt;0,1,0))</f>
        <v/>
      </c>
      <c r="AR300" s="31">
        <f>IF(AE300="","",IF(AQ300=1,"Joined again",IF(AJ300=0,"Unpaid",IF(NOT(ISNUMBER(AL300)),"Add a join date",IF(AN300="","No reminder",IF(AO300&lt;0,"Lapsed",IF(AO300&lt;=Settings!$D$6,"Remind soon","Current")))))))</f>
        <v/>
      </c>
      <c r="AS300" s="33">
        <f>IF(AJ300=1,IFERROR(VALUE(IFERROR(TRIM(INDEX($A300:$Z300,MATCH(Settings!$L$8,$A$1:$Z$1,0))&amp;""),"")),0)-IFERROR(VALUE(IFERROR(TRIM(INDEX($A300:$Z300,MATCH(Settings!$L$9,$A$1:$Z$1,0))&amp;""),"")),0),0)</f>
        <v/>
      </c>
      <c r="AT300" s="31">
        <f>IF(AND(AE300&lt;&gt;"",AQ300=0),1,0)</f>
        <v/>
      </c>
      <c r="AU300" s="31">
        <f>IF(AT300=0,"",IF(ISNUMBER(AN300),AN300,100000)+0+ROW()/1000000)</f>
        <v/>
      </c>
      <c r="AV300" s="31">
        <f>IF(ISNUMBER(AU300),SUMPRODUCT(ISNUMBER('Responses'!$AU$2:$AU$501)*('Responses'!$AU$2:$AU$501&lt;AU300)) + SUMPRODUCT(ISNUMBER('Paper sign-ups'!$Y$2:$Y$101)*('Paper sign-ups'!$Y$2:$Y$101&lt;AU300))+1,"")</f>
        <v/>
      </c>
    </row>
    <row r="301">
      <c r="AA301" s="29" t="n"/>
      <c r="AB301" s="30" t="n"/>
      <c r="AC301" s="30" t="n"/>
      <c r="AD301" s="29" t="n"/>
      <c r="AE301" s="31">
        <f>IFERROR(TRIM(INDEX($A301:$Z301,MATCH(Settings!$L$4,$A$1:$Z$1,0))&amp;""),"")</f>
        <v/>
      </c>
      <c r="AF301" s="31">
        <f>IFERROR(TRIM(INDEX($A301:$Z301,MATCH(Settings!$L$5,$A$1:$Z$1,0))&amp;""),"")</f>
        <v/>
      </c>
      <c r="AG301" s="31">
        <f>IF(AE301="","",LOWER(IF(AF301&lt;&gt;"",AF301,AE301)))</f>
        <v/>
      </c>
      <c r="AH301" s="31">
        <f>IFERROR(TRIM(INDEX($A301:$Z301,MATCH(Settings!$L$6,$A$1:$Z$1,0))&amp;""),"")</f>
        <v/>
      </c>
      <c r="AI301" s="31">
        <f>IF(AE301="","",IF(UPPER(TRIM(AB301&amp;""))="Y","Paid another way",IF(IFERROR(TRIM(INDEX($A301:$Z301,MATCH(Settings!$L$7,$A$1:$Z$1,0))&amp;""),"")="","No payment status",IFERROR(TRIM(INDEX($A301:$Z301,MATCH(Settings!$L$7,$A$1:$Z$1,0))&amp;""),""))))</f>
        <v/>
      </c>
      <c r="AJ301" s="31">
        <f>IF(AE301="",0,IF(IFERROR(INDEX(Settings!$J$4:$J$14,MATCH(AI301,Settings!$I$4:$I$14,0)),"N")="Y",1,0))</f>
        <v/>
      </c>
      <c r="AK301" s="32">
        <f>IFERROR(INT(IFERROR(IF(ISNUMBER(INDEX($A301:$Z301,MATCH(Settings!$L$10,$A$1:$Z$1,0))),INDEX($A301:$Z301,MATCH(Settings!$L$10,$A$1:$Z$1,0)),DATE(VALUE(LEFT(IFERROR(TRIM(INDEX($A301:$Z301,MATCH(Settings!$L$10,$A$1:$Z$1,0))&amp;""),""),4)),VALUE(MID(IFERROR(TRIM(INDEX($A301:$Z301,MATCH(Settings!$L$10,$A$1:$Z$1,0))&amp;""),""),6,2)),VALUE(MID(IFERROR(TRIM(INDEX($A301:$Z301,MATCH(Settings!$L$10,$A$1:$Z$1,0))&amp;""),""),9,2)))+TIME(VALUE(MID(IFERROR(TRIM(INDEX($A301:$Z301,MATCH(Settings!$L$10,$A$1:$Z$1,0))&amp;""),""),12,2)),VALUE(MID(IFERROR(TRIM(INDEX($A301:$Z301,MATCH(Settings!$L$10,$A$1:$Z$1,0))&amp;""),""),15,2)),VALUE(MID(IFERROR(TRIM(INDEX($A301:$Z301,MATCH(Settings!$L$10,$A$1:$Z$1,0))&amp;""),""),18,2)))),"")),"")</f>
        <v/>
      </c>
      <c r="AL301" s="32">
        <f>IF(AE301="","",IF(ISNUMBER(AK301),AK301,IFERROR(INT(IFERROR(IF(ISNUMBER(INDEX($A301:$Z301,MATCH(Settings!$L$11,$A$1:$Z$1,0))),INDEX($A301:$Z301,MATCH(Settings!$L$11,$A$1:$Z$1,0)),DATE(VALUE(LEFT(IFERROR(TRIM(INDEX($A301:$Z301,MATCH(Settings!$L$11,$A$1:$Z$1,0))&amp;""),""),4)),VALUE(MID(IFERROR(TRIM(INDEX($A301:$Z301,MATCH(Settings!$L$11,$A$1:$Z$1,0))&amp;""),""),6,2)),VALUE(MID(IFERROR(TRIM(INDEX($A301:$Z301,MATCH(Settings!$L$11,$A$1:$Z$1,0))&amp;""),""),9,2)))+TIME(VALUE(MID(IFERROR(TRIM(INDEX($A301:$Z301,MATCH(Settings!$L$11,$A$1:$Z$1,0))&amp;""),""),12,2)),VALUE(MID(IFERROR(TRIM(INDEX($A301:$Z301,MATCH(Settings!$L$11,$A$1:$Z$1,0))&amp;""),""),15,2)),VALUE(MID(IFERROR(TRIM(INDEX($A301:$Z301,MATCH(Settings!$L$11,$A$1:$Z$1,0))&amp;""),""),18,2)))),"")),"")))</f>
        <v/>
      </c>
      <c r="AM301" s="31">
        <f>IF(AE301="","",IF(ISNUMBER(IFERROR(INDEX(Settings!$G$4:$G$11,MATCH(AH301,Settings!$F$4:$F$11,0)),"")),INDEX(Settings!$G$4:$G$11,MATCH(AH301,Settings!$F$4:$F$11,0)),Settings!$D$5))</f>
        <v/>
      </c>
      <c r="AN301" s="32">
        <f>IF(OR(AE301="",NOT(ISNUMBER(AL301)),NOT(ISNUMBER(AM301))),"",IF(AM301&lt;=0,"",IF(ISNUMBER(Settings!$D$8),DATE(YEAR(AL301)+IF(DATE(YEAR(AL301),MONTH(Settings!$D$8),DAY(Settings!$D$8))&gt;AL301,0,1),MONTH(Settings!$D$8),DAY(Settings!$D$8)),MIN(DATE(YEAR(AL301),MONTH(AL301)+AM301,DAY(AL301)),DATE(YEAR(AL301),MONTH(AL301)+AM301+1,0)))))</f>
        <v/>
      </c>
      <c r="AO301" s="31">
        <f>IF(ISNUMBER(AN301),AN301-Settings!$D$4,"")</f>
        <v/>
      </c>
      <c r="AP301" s="31">
        <f>IF(ISNUMBER(AL301),AL301+0+ROW()/100000,"")</f>
        <v/>
      </c>
      <c r="AQ301" s="31">
        <f>IF(OR(AG301="",NOT(ISNUMBER(AP301))),0,IF(SUMPRODUCT(('Responses'!$AG$2:$AG$501=AG301)*('Responses'!$AJ$2:$AJ$501=1)*ISNUMBER('Responses'!$AP$2:$AP$501)*('Responses'!$AP$2:$AP$501&gt;AP301)) + SUMPRODUCT(('Paper sign-ups'!$K$2:$K$101=AG301)*('Paper sign-ups'!$N$2:$N$101=1)*ISNUMBER('Paper sign-ups'!$T$2:$T$101)*('Paper sign-ups'!$T$2:$T$101&gt;AP301))&gt;0,1,0))</f>
        <v/>
      </c>
      <c r="AR301" s="31">
        <f>IF(AE301="","",IF(AQ301=1,"Joined again",IF(AJ301=0,"Unpaid",IF(NOT(ISNUMBER(AL301)),"Add a join date",IF(AN301="","No reminder",IF(AO301&lt;0,"Lapsed",IF(AO301&lt;=Settings!$D$6,"Remind soon","Current")))))))</f>
        <v/>
      </c>
      <c r="AS301" s="33">
        <f>IF(AJ301=1,IFERROR(VALUE(IFERROR(TRIM(INDEX($A301:$Z301,MATCH(Settings!$L$8,$A$1:$Z$1,0))&amp;""),"")),0)-IFERROR(VALUE(IFERROR(TRIM(INDEX($A301:$Z301,MATCH(Settings!$L$9,$A$1:$Z$1,0))&amp;""),"")),0),0)</f>
        <v/>
      </c>
      <c r="AT301" s="31">
        <f>IF(AND(AE301&lt;&gt;"",AQ301=0),1,0)</f>
        <v/>
      </c>
      <c r="AU301" s="31">
        <f>IF(AT301=0,"",IF(ISNUMBER(AN301),AN301,100000)+0+ROW()/1000000)</f>
        <v/>
      </c>
      <c r="AV301" s="31">
        <f>IF(ISNUMBER(AU301),SUMPRODUCT(ISNUMBER('Responses'!$AU$2:$AU$501)*('Responses'!$AU$2:$AU$501&lt;AU301)) + SUMPRODUCT(ISNUMBER('Paper sign-ups'!$Y$2:$Y$101)*('Paper sign-ups'!$Y$2:$Y$101&lt;AU301))+1,"")</f>
        <v/>
      </c>
    </row>
    <row r="302">
      <c r="AA302" s="29" t="n"/>
      <c r="AB302" s="30" t="n"/>
      <c r="AC302" s="30" t="n"/>
      <c r="AD302" s="29" t="n"/>
      <c r="AE302" s="31">
        <f>IFERROR(TRIM(INDEX($A302:$Z302,MATCH(Settings!$L$4,$A$1:$Z$1,0))&amp;""),"")</f>
        <v/>
      </c>
      <c r="AF302" s="31">
        <f>IFERROR(TRIM(INDEX($A302:$Z302,MATCH(Settings!$L$5,$A$1:$Z$1,0))&amp;""),"")</f>
        <v/>
      </c>
      <c r="AG302" s="31">
        <f>IF(AE302="","",LOWER(IF(AF302&lt;&gt;"",AF302,AE302)))</f>
        <v/>
      </c>
      <c r="AH302" s="31">
        <f>IFERROR(TRIM(INDEX($A302:$Z302,MATCH(Settings!$L$6,$A$1:$Z$1,0))&amp;""),"")</f>
        <v/>
      </c>
      <c r="AI302" s="31">
        <f>IF(AE302="","",IF(UPPER(TRIM(AB302&amp;""))="Y","Paid another way",IF(IFERROR(TRIM(INDEX($A302:$Z302,MATCH(Settings!$L$7,$A$1:$Z$1,0))&amp;""),"")="","No payment status",IFERROR(TRIM(INDEX($A302:$Z302,MATCH(Settings!$L$7,$A$1:$Z$1,0))&amp;""),""))))</f>
        <v/>
      </c>
      <c r="AJ302" s="31">
        <f>IF(AE302="",0,IF(IFERROR(INDEX(Settings!$J$4:$J$14,MATCH(AI302,Settings!$I$4:$I$14,0)),"N")="Y",1,0))</f>
        <v/>
      </c>
      <c r="AK302" s="32">
        <f>IFERROR(INT(IFERROR(IF(ISNUMBER(INDEX($A302:$Z302,MATCH(Settings!$L$10,$A$1:$Z$1,0))),INDEX($A302:$Z302,MATCH(Settings!$L$10,$A$1:$Z$1,0)),DATE(VALUE(LEFT(IFERROR(TRIM(INDEX($A302:$Z302,MATCH(Settings!$L$10,$A$1:$Z$1,0))&amp;""),""),4)),VALUE(MID(IFERROR(TRIM(INDEX($A302:$Z302,MATCH(Settings!$L$10,$A$1:$Z$1,0))&amp;""),""),6,2)),VALUE(MID(IFERROR(TRIM(INDEX($A302:$Z302,MATCH(Settings!$L$10,$A$1:$Z$1,0))&amp;""),""),9,2)))+TIME(VALUE(MID(IFERROR(TRIM(INDEX($A302:$Z302,MATCH(Settings!$L$10,$A$1:$Z$1,0))&amp;""),""),12,2)),VALUE(MID(IFERROR(TRIM(INDEX($A302:$Z302,MATCH(Settings!$L$10,$A$1:$Z$1,0))&amp;""),""),15,2)),VALUE(MID(IFERROR(TRIM(INDEX($A302:$Z302,MATCH(Settings!$L$10,$A$1:$Z$1,0))&amp;""),""),18,2)))),"")),"")</f>
        <v/>
      </c>
      <c r="AL302" s="32">
        <f>IF(AE302="","",IF(ISNUMBER(AK302),AK302,IFERROR(INT(IFERROR(IF(ISNUMBER(INDEX($A302:$Z302,MATCH(Settings!$L$11,$A$1:$Z$1,0))),INDEX($A302:$Z302,MATCH(Settings!$L$11,$A$1:$Z$1,0)),DATE(VALUE(LEFT(IFERROR(TRIM(INDEX($A302:$Z302,MATCH(Settings!$L$11,$A$1:$Z$1,0))&amp;""),""),4)),VALUE(MID(IFERROR(TRIM(INDEX($A302:$Z302,MATCH(Settings!$L$11,$A$1:$Z$1,0))&amp;""),""),6,2)),VALUE(MID(IFERROR(TRIM(INDEX($A302:$Z302,MATCH(Settings!$L$11,$A$1:$Z$1,0))&amp;""),""),9,2)))+TIME(VALUE(MID(IFERROR(TRIM(INDEX($A302:$Z302,MATCH(Settings!$L$11,$A$1:$Z$1,0))&amp;""),""),12,2)),VALUE(MID(IFERROR(TRIM(INDEX($A302:$Z302,MATCH(Settings!$L$11,$A$1:$Z$1,0))&amp;""),""),15,2)),VALUE(MID(IFERROR(TRIM(INDEX($A302:$Z302,MATCH(Settings!$L$11,$A$1:$Z$1,0))&amp;""),""),18,2)))),"")),"")))</f>
        <v/>
      </c>
      <c r="AM302" s="31">
        <f>IF(AE302="","",IF(ISNUMBER(IFERROR(INDEX(Settings!$G$4:$G$11,MATCH(AH302,Settings!$F$4:$F$11,0)),"")),INDEX(Settings!$G$4:$G$11,MATCH(AH302,Settings!$F$4:$F$11,0)),Settings!$D$5))</f>
        <v/>
      </c>
      <c r="AN302" s="32">
        <f>IF(OR(AE302="",NOT(ISNUMBER(AL302)),NOT(ISNUMBER(AM302))),"",IF(AM302&lt;=0,"",IF(ISNUMBER(Settings!$D$8),DATE(YEAR(AL302)+IF(DATE(YEAR(AL302),MONTH(Settings!$D$8),DAY(Settings!$D$8))&gt;AL302,0,1),MONTH(Settings!$D$8),DAY(Settings!$D$8)),MIN(DATE(YEAR(AL302),MONTH(AL302)+AM302,DAY(AL302)),DATE(YEAR(AL302),MONTH(AL302)+AM302+1,0)))))</f>
        <v/>
      </c>
      <c r="AO302" s="31">
        <f>IF(ISNUMBER(AN302),AN302-Settings!$D$4,"")</f>
        <v/>
      </c>
      <c r="AP302" s="31">
        <f>IF(ISNUMBER(AL302),AL302+0+ROW()/100000,"")</f>
        <v/>
      </c>
      <c r="AQ302" s="31">
        <f>IF(OR(AG302="",NOT(ISNUMBER(AP302))),0,IF(SUMPRODUCT(('Responses'!$AG$2:$AG$501=AG302)*('Responses'!$AJ$2:$AJ$501=1)*ISNUMBER('Responses'!$AP$2:$AP$501)*('Responses'!$AP$2:$AP$501&gt;AP302)) + SUMPRODUCT(('Paper sign-ups'!$K$2:$K$101=AG302)*('Paper sign-ups'!$N$2:$N$101=1)*ISNUMBER('Paper sign-ups'!$T$2:$T$101)*('Paper sign-ups'!$T$2:$T$101&gt;AP302))&gt;0,1,0))</f>
        <v/>
      </c>
      <c r="AR302" s="31">
        <f>IF(AE302="","",IF(AQ302=1,"Joined again",IF(AJ302=0,"Unpaid",IF(NOT(ISNUMBER(AL302)),"Add a join date",IF(AN302="","No reminder",IF(AO302&lt;0,"Lapsed",IF(AO302&lt;=Settings!$D$6,"Remind soon","Current")))))))</f>
        <v/>
      </c>
      <c r="AS302" s="33">
        <f>IF(AJ302=1,IFERROR(VALUE(IFERROR(TRIM(INDEX($A302:$Z302,MATCH(Settings!$L$8,$A$1:$Z$1,0))&amp;""),"")),0)-IFERROR(VALUE(IFERROR(TRIM(INDEX($A302:$Z302,MATCH(Settings!$L$9,$A$1:$Z$1,0))&amp;""),"")),0),0)</f>
        <v/>
      </c>
      <c r="AT302" s="31">
        <f>IF(AND(AE302&lt;&gt;"",AQ302=0),1,0)</f>
        <v/>
      </c>
      <c r="AU302" s="31">
        <f>IF(AT302=0,"",IF(ISNUMBER(AN302),AN302,100000)+0+ROW()/1000000)</f>
        <v/>
      </c>
      <c r="AV302" s="31">
        <f>IF(ISNUMBER(AU302),SUMPRODUCT(ISNUMBER('Responses'!$AU$2:$AU$501)*('Responses'!$AU$2:$AU$501&lt;AU302)) + SUMPRODUCT(ISNUMBER('Paper sign-ups'!$Y$2:$Y$101)*('Paper sign-ups'!$Y$2:$Y$101&lt;AU302))+1,"")</f>
        <v/>
      </c>
    </row>
    <row r="303">
      <c r="AA303" s="29" t="n"/>
      <c r="AB303" s="30" t="n"/>
      <c r="AC303" s="30" t="n"/>
      <c r="AD303" s="29" t="n"/>
      <c r="AE303" s="31">
        <f>IFERROR(TRIM(INDEX($A303:$Z303,MATCH(Settings!$L$4,$A$1:$Z$1,0))&amp;""),"")</f>
        <v/>
      </c>
      <c r="AF303" s="31">
        <f>IFERROR(TRIM(INDEX($A303:$Z303,MATCH(Settings!$L$5,$A$1:$Z$1,0))&amp;""),"")</f>
        <v/>
      </c>
      <c r="AG303" s="31">
        <f>IF(AE303="","",LOWER(IF(AF303&lt;&gt;"",AF303,AE303)))</f>
        <v/>
      </c>
      <c r="AH303" s="31">
        <f>IFERROR(TRIM(INDEX($A303:$Z303,MATCH(Settings!$L$6,$A$1:$Z$1,0))&amp;""),"")</f>
        <v/>
      </c>
      <c r="AI303" s="31">
        <f>IF(AE303="","",IF(UPPER(TRIM(AB303&amp;""))="Y","Paid another way",IF(IFERROR(TRIM(INDEX($A303:$Z303,MATCH(Settings!$L$7,$A$1:$Z$1,0))&amp;""),"")="","No payment status",IFERROR(TRIM(INDEX($A303:$Z303,MATCH(Settings!$L$7,$A$1:$Z$1,0))&amp;""),""))))</f>
        <v/>
      </c>
      <c r="AJ303" s="31">
        <f>IF(AE303="",0,IF(IFERROR(INDEX(Settings!$J$4:$J$14,MATCH(AI303,Settings!$I$4:$I$14,0)),"N")="Y",1,0))</f>
        <v/>
      </c>
      <c r="AK303" s="32">
        <f>IFERROR(INT(IFERROR(IF(ISNUMBER(INDEX($A303:$Z303,MATCH(Settings!$L$10,$A$1:$Z$1,0))),INDEX($A303:$Z303,MATCH(Settings!$L$10,$A$1:$Z$1,0)),DATE(VALUE(LEFT(IFERROR(TRIM(INDEX($A303:$Z303,MATCH(Settings!$L$10,$A$1:$Z$1,0))&amp;""),""),4)),VALUE(MID(IFERROR(TRIM(INDEX($A303:$Z303,MATCH(Settings!$L$10,$A$1:$Z$1,0))&amp;""),""),6,2)),VALUE(MID(IFERROR(TRIM(INDEX($A303:$Z303,MATCH(Settings!$L$10,$A$1:$Z$1,0))&amp;""),""),9,2)))+TIME(VALUE(MID(IFERROR(TRIM(INDEX($A303:$Z303,MATCH(Settings!$L$10,$A$1:$Z$1,0))&amp;""),""),12,2)),VALUE(MID(IFERROR(TRIM(INDEX($A303:$Z303,MATCH(Settings!$L$10,$A$1:$Z$1,0))&amp;""),""),15,2)),VALUE(MID(IFERROR(TRIM(INDEX($A303:$Z303,MATCH(Settings!$L$10,$A$1:$Z$1,0))&amp;""),""),18,2)))),"")),"")</f>
        <v/>
      </c>
      <c r="AL303" s="32">
        <f>IF(AE303="","",IF(ISNUMBER(AK303),AK303,IFERROR(INT(IFERROR(IF(ISNUMBER(INDEX($A303:$Z303,MATCH(Settings!$L$11,$A$1:$Z$1,0))),INDEX($A303:$Z303,MATCH(Settings!$L$11,$A$1:$Z$1,0)),DATE(VALUE(LEFT(IFERROR(TRIM(INDEX($A303:$Z303,MATCH(Settings!$L$11,$A$1:$Z$1,0))&amp;""),""),4)),VALUE(MID(IFERROR(TRIM(INDEX($A303:$Z303,MATCH(Settings!$L$11,$A$1:$Z$1,0))&amp;""),""),6,2)),VALUE(MID(IFERROR(TRIM(INDEX($A303:$Z303,MATCH(Settings!$L$11,$A$1:$Z$1,0))&amp;""),""),9,2)))+TIME(VALUE(MID(IFERROR(TRIM(INDEX($A303:$Z303,MATCH(Settings!$L$11,$A$1:$Z$1,0))&amp;""),""),12,2)),VALUE(MID(IFERROR(TRIM(INDEX($A303:$Z303,MATCH(Settings!$L$11,$A$1:$Z$1,0))&amp;""),""),15,2)),VALUE(MID(IFERROR(TRIM(INDEX($A303:$Z303,MATCH(Settings!$L$11,$A$1:$Z$1,0))&amp;""),""),18,2)))),"")),"")))</f>
        <v/>
      </c>
      <c r="AM303" s="31">
        <f>IF(AE303="","",IF(ISNUMBER(IFERROR(INDEX(Settings!$G$4:$G$11,MATCH(AH303,Settings!$F$4:$F$11,0)),"")),INDEX(Settings!$G$4:$G$11,MATCH(AH303,Settings!$F$4:$F$11,0)),Settings!$D$5))</f>
        <v/>
      </c>
      <c r="AN303" s="32">
        <f>IF(OR(AE303="",NOT(ISNUMBER(AL303)),NOT(ISNUMBER(AM303))),"",IF(AM303&lt;=0,"",IF(ISNUMBER(Settings!$D$8),DATE(YEAR(AL303)+IF(DATE(YEAR(AL303),MONTH(Settings!$D$8),DAY(Settings!$D$8))&gt;AL303,0,1),MONTH(Settings!$D$8),DAY(Settings!$D$8)),MIN(DATE(YEAR(AL303),MONTH(AL303)+AM303,DAY(AL303)),DATE(YEAR(AL303),MONTH(AL303)+AM303+1,0)))))</f>
        <v/>
      </c>
      <c r="AO303" s="31">
        <f>IF(ISNUMBER(AN303),AN303-Settings!$D$4,"")</f>
        <v/>
      </c>
      <c r="AP303" s="31">
        <f>IF(ISNUMBER(AL303),AL303+0+ROW()/100000,"")</f>
        <v/>
      </c>
      <c r="AQ303" s="31">
        <f>IF(OR(AG303="",NOT(ISNUMBER(AP303))),0,IF(SUMPRODUCT(('Responses'!$AG$2:$AG$501=AG303)*('Responses'!$AJ$2:$AJ$501=1)*ISNUMBER('Responses'!$AP$2:$AP$501)*('Responses'!$AP$2:$AP$501&gt;AP303)) + SUMPRODUCT(('Paper sign-ups'!$K$2:$K$101=AG303)*('Paper sign-ups'!$N$2:$N$101=1)*ISNUMBER('Paper sign-ups'!$T$2:$T$101)*('Paper sign-ups'!$T$2:$T$101&gt;AP303))&gt;0,1,0))</f>
        <v/>
      </c>
      <c r="AR303" s="31">
        <f>IF(AE303="","",IF(AQ303=1,"Joined again",IF(AJ303=0,"Unpaid",IF(NOT(ISNUMBER(AL303)),"Add a join date",IF(AN303="","No reminder",IF(AO303&lt;0,"Lapsed",IF(AO303&lt;=Settings!$D$6,"Remind soon","Current")))))))</f>
        <v/>
      </c>
      <c r="AS303" s="33">
        <f>IF(AJ303=1,IFERROR(VALUE(IFERROR(TRIM(INDEX($A303:$Z303,MATCH(Settings!$L$8,$A$1:$Z$1,0))&amp;""),"")),0)-IFERROR(VALUE(IFERROR(TRIM(INDEX($A303:$Z303,MATCH(Settings!$L$9,$A$1:$Z$1,0))&amp;""),"")),0),0)</f>
        <v/>
      </c>
      <c r="AT303" s="31">
        <f>IF(AND(AE303&lt;&gt;"",AQ303=0),1,0)</f>
        <v/>
      </c>
      <c r="AU303" s="31">
        <f>IF(AT303=0,"",IF(ISNUMBER(AN303),AN303,100000)+0+ROW()/1000000)</f>
        <v/>
      </c>
      <c r="AV303" s="31">
        <f>IF(ISNUMBER(AU303),SUMPRODUCT(ISNUMBER('Responses'!$AU$2:$AU$501)*('Responses'!$AU$2:$AU$501&lt;AU303)) + SUMPRODUCT(ISNUMBER('Paper sign-ups'!$Y$2:$Y$101)*('Paper sign-ups'!$Y$2:$Y$101&lt;AU303))+1,"")</f>
        <v/>
      </c>
    </row>
    <row r="304">
      <c r="AA304" s="29" t="n"/>
      <c r="AB304" s="30" t="n"/>
      <c r="AC304" s="30" t="n"/>
      <c r="AD304" s="29" t="n"/>
      <c r="AE304" s="31">
        <f>IFERROR(TRIM(INDEX($A304:$Z304,MATCH(Settings!$L$4,$A$1:$Z$1,0))&amp;""),"")</f>
        <v/>
      </c>
      <c r="AF304" s="31">
        <f>IFERROR(TRIM(INDEX($A304:$Z304,MATCH(Settings!$L$5,$A$1:$Z$1,0))&amp;""),"")</f>
        <v/>
      </c>
      <c r="AG304" s="31">
        <f>IF(AE304="","",LOWER(IF(AF304&lt;&gt;"",AF304,AE304)))</f>
        <v/>
      </c>
      <c r="AH304" s="31">
        <f>IFERROR(TRIM(INDEX($A304:$Z304,MATCH(Settings!$L$6,$A$1:$Z$1,0))&amp;""),"")</f>
        <v/>
      </c>
      <c r="AI304" s="31">
        <f>IF(AE304="","",IF(UPPER(TRIM(AB304&amp;""))="Y","Paid another way",IF(IFERROR(TRIM(INDEX($A304:$Z304,MATCH(Settings!$L$7,$A$1:$Z$1,0))&amp;""),"")="","No payment status",IFERROR(TRIM(INDEX($A304:$Z304,MATCH(Settings!$L$7,$A$1:$Z$1,0))&amp;""),""))))</f>
        <v/>
      </c>
      <c r="AJ304" s="31">
        <f>IF(AE304="",0,IF(IFERROR(INDEX(Settings!$J$4:$J$14,MATCH(AI304,Settings!$I$4:$I$14,0)),"N")="Y",1,0))</f>
        <v/>
      </c>
      <c r="AK304" s="32">
        <f>IFERROR(INT(IFERROR(IF(ISNUMBER(INDEX($A304:$Z304,MATCH(Settings!$L$10,$A$1:$Z$1,0))),INDEX($A304:$Z304,MATCH(Settings!$L$10,$A$1:$Z$1,0)),DATE(VALUE(LEFT(IFERROR(TRIM(INDEX($A304:$Z304,MATCH(Settings!$L$10,$A$1:$Z$1,0))&amp;""),""),4)),VALUE(MID(IFERROR(TRIM(INDEX($A304:$Z304,MATCH(Settings!$L$10,$A$1:$Z$1,0))&amp;""),""),6,2)),VALUE(MID(IFERROR(TRIM(INDEX($A304:$Z304,MATCH(Settings!$L$10,$A$1:$Z$1,0))&amp;""),""),9,2)))+TIME(VALUE(MID(IFERROR(TRIM(INDEX($A304:$Z304,MATCH(Settings!$L$10,$A$1:$Z$1,0))&amp;""),""),12,2)),VALUE(MID(IFERROR(TRIM(INDEX($A304:$Z304,MATCH(Settings!$L$10,$A$1:$Z$1,0))&amp;""),""),15,2)),VALUE(MID(IFERROR(TRIM(INDEX($A304:$Z304,MATCH(Settings!$L$10,$A$1:$Z$1,0))&amp;""),""),18,2)))),"")),"")</f>
        <v/>
      </c>
      <c r="AL304" s="32">
        <f>IF(AE304="","",IF(ISNUMBER(AK304),AK304,IFERROR(INT(IFERROR(IF(ISNUMBER(INDEX($A304:$Z304,MATCH(Settings!$L$11,$A$1:$Z$1,0))),INDEX($A304:$Z304,MATCH(Settings!$L$11,$A$1:$Z$1,0)),DATE(VALUE(LEFT(IFERROR(TRIM(INDEX($A304:$Z304,MATCH(Settings!$L$11,$A$1:$Z$1,0))&amp;""),""),4)),VALUE(MID(IFERROR(TRIM(INDEX($A304:$Z304,MATCH(Settings!$L$11,$A$1:$Z$1,0))&amp;""),""),6,2)),VALUE(MID(IFERROR(TRIM(INDEX($A304:$Z304,MATCH(Settings!$L$11,$A$1:$Z$1,0))&amp;""),""),9,2)))+TIME(VALUE(MID(IFERROR(TRIM(INDEX($A304:$Z304,MATCH(Settings!$L$11,$A$1:$Z$1,0))&amp;""),""),12,2)),VALUE(MID(IFERROR(TRIM(INDEX($A304:$Z304,MATCH(Settings!$L$11,$A$1:$Z$1,0))&amp;""),""),15,2)),VALUE(MID(IFERROR(TRIM(INDEX($A304:$Z304,MATCH(Settings!$L$11,$A$1:$Z$1,0))&amp;""),""),18,2)))),"")),"")))</f>
        <v/>
      </c>
      <c r="AM304" s="31">
        <f>IF(AE304="","",IF(ISNUMBER(IFERROR(INDEX(Settings!$G$4:$G$11,MATCH(AH304,Settings!$F$4:$F$11,0)),"")),INDEX(Settings!$G$4:$G$11,MATCH(AH304,Settings!$F$4:$F$11,0)),Settings!$D$5))</f>
        <v/>
      </c>
      <c r="AN304" s="32">
        <f>IF(OR(AE304="",NOT(ISNUMBER(AL304)),NOT(ISNUMBER(AM304))),"",IF(AM304&lt;=0,"",IF(ISNUMBER(Settings!$D$8),DATE(YEAR(AL304)+IF(DATE(YEAR(AL304),MONTH(Settings!$D$8),DAY(Settings!$D$8))&gt;AL304,0,1),MONTH(Settings!$D$8),DAY(Settings!$D$8)),MIN(DATE(YEAR(AL304),MONTH(AL304)+AM304,DAY(AL304)),DATE(YEAR(AL304),MONTH(AL304)+AM304+1,0)))))</f>
        <v/>
      </c>
      <c r="AO304" s="31">
        <f>IF(ISNUMBER(AN304),AN304-Settings!$D$4,"")</f>
        <v/>
      </c>
      <c r="AP304" s="31">
        <f>IF(ISNUMBER(AL304),AL304+0+ROW()/100000,"")</f>
        <v/>
      </c>
      <c r="AQ304" s="31">
        <f>IF(OR(AG304="",NOT(ISNUMBER(AP304))),0,IF(SUMPRODUCT(('Responses'!$AG$2:$AG$501=AG304)*('Responses'!$AJ$2:$AJ$501=1)*ISNUMBER('Responses'!$AP$2:$AP$501)*('Responses'!$AP$2:$AP$501&gt;AP304)) + SUMPRODUCT(('Paper sign-ups'!$K$2:$K$101=AG304)*('Paper sign-ups'!$N$2:$N$101=1)*ISNUMBER('Paper sign-ups'!$T$2:$T$101)*('Paper sign-ups'!$T$2:$T$101&gt;AP304))&gt;0,1,0))</f>
        <v/>
      </c>
      <c r="AR304" s="31">
        <f>IF(AE304="","",IF(AQ304=1,"Joined again",IF(AJ304=0,"Unpaid",IF(NOT(ISNUMBER(AL304)),"Add a join date",IF(AN304="","No reminder",IF(AO304&lt;0,"Lapsed",IF(AO304&lt;=Settings!$D$6,"Remind soon","Current")))))))</f>
        <v/>
      </c>
      <c r="AS304" s="33">
        <f>IF(AJ304=1,IFERROR(VALUE(IFERROR(TRIM(INDEX($A304:$Z304,MATCH(Settings!$L$8,$A$1:$Z$1,0))&amp;""),"")),0)-IFERROR(VALUE(IFERROR(TRIM(INDEX($A304:$Z304,MATCH(Settings!$L$9,$A$1:$Z$1,0))&amp;""),"")),0),0)</f>
        <v/>
      </c>
      <c r="AT304" s="31">
        <f>IF(AND(AE304&lt;&gt;"",AQ304=0),1,0)</f>
        <v/>
      </c>
      <c r="AU304" s="31">
        <f>IF(AT304=0,"",IF(ISNUMBER(AN304),AN304,100000)+0+ROW()/1000000)</f>
        <v/>
      </c>
      <c r="AV304" s="31">
        <f>IF(ISNUMBER(AU304),SUMPRODUCT(ISNUMBER('Responses'!$AU$2:$AU$501)*('Responses'!$AU$2:$AU$501&lt;AU304)) + SUMPRODUCT(ISNUMBER('Paper sign-ups'!$Y$2:$Y$101)*('Paper sign-ups'!$Y$2:$Y$101&lt;AU304))+1,"")</f>
        <v/>
      </c>
    </row>
    <row r="305">
      <c r="AA305" s="29" t="n"/>
      <c r="AB305" s="30" t="n"/>
      <c r="AC305" s="30" t="n"/>
      <c r="AD305" s="29" t="n"/>
      <c r="AE305" s="31">
        <f>IFERROR(TRIM(INDEX($A305:$Z305,MATCH(Settings!$L$4,$A$1:$Z$1,0))&amp;""),"")</f>
        <v/>
      </c>
      <c r="AF305" s="31">
        <f>IFERROR(TRIM(INDEX($A305:$Z305,MATCH(Settings!$L$5,$A$1:$Z$1,0))&amp;""),"")</f>
        <v/>
      </c>
      <c r="AG305" s="31">
        <f>IF(AE305="","",LOWER(IF(AF305&lt;&gt;"",AF305,AE305)))</f>
        <v/>
      </c>
      <c r="AH305" s="31">
        <f>IFERROR(TRIM(INDEX($A305:$Z305,MATCH(Settings!$L$6,$A$1:$Z$1,0))&amp;""),"")</f>
        <v/>
      </c>
      <c r="AI305" s="31">
        <f>IF(AE305="","",IF(UPPER(TRIM(AB305&amp;""))="Y","Paid another way",IF(IFERROR(TRIM(INDEX($A305:$Z305,MATCH(Settings!$L$7,$A$1:$Z$1,0))&amp;""),"")="","No payment status",IFERROR(TRIM(INDEX($A305:$Z305,MATCH(Settings!$L$7,$A$1:$Z$1,0))&amp;""),""))))</f>
        <v/>
      </c>
      <c r="AJ305" s="31">
        <f>IF(AE305="",0,IF(IFERROR(INDEX(Settings!$J$4:$J$14,MATCH(AI305,Settings!$I$4:$I$14,0)),"N")="Y",1,0))</f>
        <v/>
      </c>
      <c r="AK305" s="32">
        <f>IFERROR(INT(IFERROR(IF(ISNUMBER(INDEX($A305:$Z305,MATCH(Settings!$L$10,$A$1:$Z$1,0))),INDEX($A305:$Z305,MATCH(Settings!$L$10,$A$1:$Z$1,0)),DATE(VALUE(LEFT(IFERROR(TRIM(INDEX($A305:$Z305,MATCH(Settings!$L$10,$A$1:$Z$1,0))&amp;""),""),4)),VALUE(MID(IFERROR(TRIM(INDEX($A305:$Z305,MATCH(Settings!$L$10,$A$1:$Z$1,0))&amp;""),""),6,2)),VALUE(MID(IFERROR(TRIM(INDEX($A305:$Z305,MATCH(Settings!$L$10,$A$1:$Z$1,0))&amp;""),""),9,2)))+TIME(VALUE(MID(IFERROR(TRIM(INDEX($A305:$Z305,MATCH(Settings!$L$10,$A$1:$Z$1,0))&amp;""),""),12,2)),VALUE(MID(IFERROR(TRIM(INDEX($A305:$Z305,MATCH(Settings!$L$10,$A$1:$Z$1,0))&amp;""),""),15,2)),VALUE(MID(IFERROR(TRIM(INDEX($A305:$Z305,MATCH(Settings!$L$10,$A$1:$Z$1,0))&amp;""),""),18,2)))),"")),"")</f>
        <v/>
      </c>
      <c r="AL305" s="32">
        <f>IF(AE305="","",IF(ISNUMBER(AK305),AK305,IFERROR(INT(IFERROR(IF(ISNUMBER(INDEX($A305:$Z305,MATCH(Settings!$L$11,$A$1:$Z$1,0))),INDEX($A305:$Z305,MATCH(Settings!$L$11,$A$1:$Z$1,0)),DATE(VALUE(LEFT(IFERROR(TRIM(INDEX($A305:$Z305,MATCH(Settings!$L$11,$A$1:$Z$1,0))&amp;""),""),4)),VALUE(MID(IFERROR(TRIM(INDEX($A305:$Z305,MATCH(Settings!$L$11,$A$1:$Z$1,0))&amp;""),""),6,2)),VALUE(MID(IFERROR(TRIM(INDEX($A305:$Z305,MATCH(Settings!$L$11,$A$1:$Z$1,0))&amp;""),""),9,2)))+TIME(VALUE(MID(IFERROR(TRIM(INDEX($A305:$Z305,MATCH(Settings!$L$11,$A$1:$Z$1,0))&amp;""),""),12,2)),VALUE(MID(IFERROR(TRIM(INDEX($A305:$Z305,MATCH(Settings!$L$11,$A$1:$Z$1,0))&amp;""),""),15,2)),VALUE(MID(IFERROR(TRIM(INDEX($A305:$Z305,MATCH(Settings!$L$11,$A$1:$Z$1,0))&amp;""),""),18,2)))),"")),"")))</f>
        <v/>
      </c>
      <c r="AM305" s="31">
        <f>IF(AE305="","",IF(ISNUMBER(IFERROR(INDEX(Settings!$G$4:$G$11,MATCH(AH305,Settings!$F$4:$F$11,0)),"")),INDEX(Settings!$G$4:$G$11,MATCH(AH305,Settings!$F$4:$F$11,0)),Settings!$D$5))</f>
        <v/>
      </c>
      <c r="AN305" s="32">
        <f>IF(OR(AE305="",NOT(ISNUMBER(AL305)),NOT(ISNUMBER(AM305))),"",IF(AM305&lt;=0,"",IF(ISNUMBER(Settings!$D$8),DATE(YEAR(AL305)+IF(DATE(YEAR(AL305),MONTH(Settings!$D$8),DAY(Settings!$D$8))&gt;AL305,0,1),MONTH(Settings!$D$8),DAY(Settings!$D$8)),MIN(DATE(YEAR(AL305),MONTH(AL305)+AM305,DAY(AL305)),DATE(YEAR(AL305),MONTH(AL305)+AM305+1,0)))))</f>
        <v/>
      </c>
      <c r="AO305" s="31">
        <f>IF(ISNUMBER(AN305),AN305-Settings!$D$4,"")</f>
        <v/>
      </c>
      <c r="AP305" s="31">
        <f>IF(ISNUMBER(AL305),AL305+0+ROW()/100000,"")</f>
        <v/>
      </c>
      <c r="AQ305" s="31">
        <f>IF(OR(AG305="",NOT(ISNUMBER(AP305))),0,IF(SUMPRODUCT(('Responses'!$AG$2:$AG$501=AG305)*('Responses'!$AJ$2:$AJ$501=1)*ISNUMBER('Responses'!$AP$2:$AP$501)*('Responses'!$AP$2:$AP$501&gt;AP305)) + SUMPRODUCT(('Paper sign-ups'!$K$2:$K$101=AG305)*('Paper sign-ups'!$N$2:$N$101=1)*ISNUMBER('Paper sign-ups'!$T$2:$T$101)*('Paper sign-ups'!$T$2:$T$101&gt;AP305))&gt;0,1,0))</f>
        <v/>
      </c>
      <c r="AR305" s="31">
        <f>IF(AE305="","",IF(AQ305=1,"Joined again",IF(AJ305=0,"Unpaid",IF(NOT(ISNUMBER(AL305)),"Add a join date",IF(AN305="","No reminder",IF(AO305&lt;0,"Lapsed",IF(AO305&lt;=Settings!$D$6,"Remind soon","Current")))))))</f>
        <v/>
      </c>
      <c r="AS305" s="33">
        <f>IF(AJ305=1,IFERROR(VALUE(IFERROR(TRIM(INDEX($A305:$Z305,MATCH(Settings!$L$8,$A$1:$Z$1,0))&amp;""),"")),0)-IFERROR(VALUE(IFERROR(TRIM(INDEX($A305:$Z305,MATCH(Settings!$L$9,$A$1:$Z$1,0))&amp;""),"")),0),0)</f>
        <v/>
      </c>
      <c r="AT305" s="31">
        <f>IF(AND(AE305&lt;&gt;"",AQ305=0),1,0)</f>
        <v/>
      </c>
      <c r="AU305" s="31">
        <f>IF(AT305=0,"",IF(ISNUMBER(AN305),AN305,100000)+0+ROW()/1000000)</f>
        <v/>
      </c>
      <c r="AV305" s="31">
        <f>IF(ISNUMBER(AU305),SUMPRODUCT(ISNUMBER('Responses'!$AU$2:$AU$501)*('Responses'!$AU$2:$AU$501&lt;AU305)) + SUMPRODUCT(ISNUMBER('Paper sign-ups'!$Y$2:$Y$101)*('Paper sign-ups'!$Y$2:$Y$101&lt;AU305))+1,"")</f>
        <v/>
      </c>
    </row>
    <row r="306">
      <c r="AA306" s="29" t="n"/>
      <c r="AB306" s="30" t="n"/>
      <c r="AC306" s="30" t="n"/>
      <c r="AD306" s="29" t="n"/>
      <c r="AE306" s="31">
        <f>IFERROR(TRIM(INDEX($A306:$Z306,MATCH(Settings!$L$4,$A$1:$Z$1,0))&amp;""),"")</f>
        <v/>
      </c>
      <c r="AF306" s="31">
        <f>IFERROR(TRIM(INDEX($A306:$Z306,MATCH(Settings!$L$5,$A$1:$Z$1,0))&amp;""),"")</f>
        <v/>
      </c>
      <c r="AG306" s="31">
        <f>IF(AE306="","",LOWER(IF(AF306&lt;&gt;"",AF306,AE306)))</f>
        <v/>
      </c>
      <c r="AH306" s="31">
        <f>IFERROR(TRIM(INDEX($A306:$Z306,MATCH(Settings!$L$6,$A$1:$Z$1,0))&amp;""),"")</f>
        <v/>
      </c>
      <c r="AI306" s="31">
        <f>IF(AE306="","",IF(UPPER(TRIM(AB306&amp;""))="Y","Paid another way",IF(IFERROR(TRIM(INDEX($A306:$Z306,MATCH(Settings!$L$7,$A$1:$Z$1,0))&amp;""),"")="","No payment status",IFERROR(TRIM(INDEX($A306:$Z306,MATCH(Settings!$L$7,$A$1:$Z$1,0))&amp;""),""))))</f>
        <v/>
      </c>
      <c r="AJ306" s="31">
        <f>IF(AE306="",0,IF(IFERROR(INDEX(Settings!$J$4:$J$14,MATCH(AI306,Settings!$I$4:$I$14,0)),"N")="Y",1,0))</f>
        <v/>
      </c>
      <c r="AK306" s="32">
        <f>IFERROR(INT(IFERROR(IF(ISNUMBER(INDEX($A306:$Z306,MATCH(Settings!$L$10,$A$1:$Z$1,0))),INDEX($A306:$Z306,MATCH(Settings!$L$10,$A$1:$Z$1,0)),DATE(VALUE(LEFT(IFERROR(TRIM(INDEX($A306:$Z306,MATCH(Settings!$L$10,$A$1:$Z$1,0))&amp;""),""),4)),VALUE(MID(IFERROR(TRIM(INDEX($A306:$Z306,MATCH(Settings!$L$10,$A$1:$Z$1,0))&amp;""),""),6,2)),VALUE(MID(IFERROR(TRIM(INDEX($A306:$Z306,MATCH(Settings!$L$10,$A$1:$Z$1,0))&amp;""),""),9,2)))+TIME(VALUE(MID(IFERROR(TRIM(INDEX($A306:$Z306,MATCH(Settings!$L$10,$A$1:$Z$1,0))&amp;""),""),12,2)),VALUE(MID(IFERROR(TRIM(INDEX($A306:$Z306,MATCH(Settings!$L$10,$A$1:$Z$1,0))&amp;""),""),15,2)),VALUE(MID(IFERROR(TRIM(INDEX($A306:$Z306,MATCH(Settings!$L$10,$A$1:$Z$1,0))&amp;""),""),18,2)))),"")),"")</f>
        <v/>
      </c>
      <c r="AL306" s="32">
        <f>IF(AE306="","",IF(ISNUMBER(AK306),AK306,IFERROR(INT(IFERROR(IF(ISNUMBER(INDEX($A306:$Z306,MATCH(Settings!$L$11,$A$1:$Z$1,0))),INDEX($A306:$Z306,MATCH(Settings!$L$11,$A$1:$Z$1,0)),DATE(VALUE(LEFT(IFERROR(TRIM(INDEX($A306:$Z306,MATCH(Settings!$L$11,$A$1:$Z$1,0))&amp;""),""),4)),VALUE(MID(IFERROR(TRIM(INDEX($A306:$Z306,MATCH(Settings!$L$11,$A$1:$Z$1,0))&amp;""),""),6,2)),VALUE(MID(IFERROR(TRIM(INDEX($A306:$Z306,MATCH(Settings!$L$11,$A$1:$Z$1,0))&amp;""),""),9,2)))+TIME(VALUE(MID(IFERROR(TRIM(INDEX($A306:$Z306,MATCH(Settings!$L$11,$A$1:$Z$1,0))&amp;""),""),12,2)),VALUE(MID(IFERROR(TRIM(INDEX($A306:$Z306,MATCH(Settings!$L$11,$A$1:$Z$1,0))&amp;""),""),15,2)),VALUE(MID(IFERROR(TRIM(INDEX($A306:$Z306,MATCH(Settings!$L$11,$A$1:$Z$1,0))&amp;""),""),18,2)))),"")),"")))</f>
        <v/>
      </c>
      <c r="AM306" s="31">
        <f>IF(AE306="","",IF(ISNUMBER(IFERROR(INDEX(Settings!$G$4:$G$11,MATCH(AH306,Settings!$F$4:$F$11,0)),"")),INDEX(Settings!$G$4:$G$11,MATCH(AH306,Settings!$F$4:$F$11,0)),Settings!$D$5))</f>
        <v/>
      </c>
      <c r="AN306" s="32">
        <f>IF(OR(AE306="",NOT(ISNUMBER(AL306)),NOT(ISNUMBER(AM306))),"",IF(AM306&lt;=0,"",IF(ISNUMBER(Settings!$D$8),DATE(YEAR(AL306)+IF(DATE(YEAR(AL306),MONTH(Settings!$D$8),DAY(Settings!$D$8))&gt;AL306,0,1),MONTH(Settings!$D$8),DAY(Settings!$D$8)),MIN(DATE(YEAR(AL306),MONTH(AL306)+AM306,DAY(AL306)),DATE(YEAR(AL306),MONTH(AL306)+AM306+1,0)))))</f>
        <v/>
      </c>
      <c r="AO306" s="31">
        <f>IF(ISNUMBER(AN306),AN306-Settings!$D$4,"")</f>
        <v/>
      </c>
      <c r="AP306" s="31">
        <f>IF(ISNUMBER(AL306),AL306+0+ROW()/100000,"")</f>
        <v/>
      </c>
      <c r="AQ306" s="31">
        <f>IF(OR(AG306="",NOT(ISNUMBER(AP306))),0,IF(SUMPRODUCT(('Responses'!$AG$2:$AG$501=AG306)*('Responses'!$AJ$2:$AJ$501=1)*ISNUMBER('Responses'!$AP$2:$AP$501)*('Responses'!$AP$2:$AP$501&gt;AP306)) + SUMPRODUCT(('Paper sign-ups'!$K$2:$K$101=AG306)*('Paper sign-ups'!$N$2:$N$101=1)*ISNUMBER('Paper sign-ups'!$T$2:$T$101)*('Paper sign-ups'!$T$2:$T$101&gt;AP306))&gt;0,1,0))</f>
        <v/>
      </c>
      <c r="AR306" s="31">
        <f>IF(AE306="","",IF(AQ306=1,"Joined again",IF(AJ306=0,"Unpaid",IF(NOT(ISNUMBER(AL306)),"Add a join date",IF(AN306="","No reminder",IF(AO306&lt;0,"Lapsed",IF(AO306&lt;=Settings!$D$6,"Remind soon","Current")))))))</f>
        <v/>
      </c>
      <c r="AS306" s="33">
        <f>IF(AJ306=1,IFERROR(VALUE(IFERROR(TRIM(INDEX($A306:$Z306,MATCH(Settings!$L$8,$A$1:$Z$1,0))&amp;""),"")),0)-IFERROR(VALUE(IFERROR(TRIM(INDEX($A306:$Z306,MATCH(Settings!$L$9,$A$1:$Z$1,0))&amp;""),"")),0),0)</f>
        <v/>
      </c>
      <c r="AT306" s="31">
        <f>IF(AND(AE306&lt;&gt;"",AQ306=0),1,0)</f>
        <v/>
      </c>
      <c r="AU306" s="31">
        <f>IF(AT306=0,"",IF(ISNUMBER(AN306),AN306,100000)+0+ROW()/1000000)</f>
        <v/>
      </c>
      <c r="AV306" s="31">
        <f>IF(ISNUMBER(AU306),SUMPRODUCT(ISNUMBER('Responses'!$AU$2:$AU$501)*('Responses'!$AU$2:$AU$501&lt;AU306)) + SUMPRODUCT(ISNUMBER('Paper sign-ups'!$Y$2:$Y$101)*('Paper sign-ups'!$Y$2:$Y$101&lt;AU306))+1,"")</f>
        <v/>
      </c>
    </row>
    <row r="307">
      <c r="AA307" s="29" t="n"/>
      <c r="AB307" s="30" t="n"/>
      <c r="AC307" s="30" t="n"/>
      <c r="AD307" s="29" t="n"/>
      <c r="AE307" s="31">
        <f>IFERROR(TRIM(INDEX($A307:$Z307,MATCH(Settings!$L$4,$A$1:$Z$1,0))&amp;""),"")</f>
        <v/>
      </c>
      <c r="AF307" s="31">
        <f>IFERROR(TRIM(INDEX($A307:$Z307,MATCH(Settings!$L$5,$A$1:$Z$1,0))&amp;""),"")</f>
        <v/>
      </c>
      <c r="AG307" s="31">
        <f>IF(AE307="","",LOWER(IF(AF307&lt;&gt;"",AF307,AE307)))</f>
        <v/>
      </c>
      <c r="AH307" s="31">
        <f>IFERROR(TRIM(INDEX($A307:$Z307,MATCH(Settings!$L$6,$A$1:$Z$1,0))&amp;""),"")</f>
        <v/>
      </c>
      <c r="AI307" s="31">
        <f>IF(AE307="","",IF(UPPER(TRIM(AB307&amp;""))="Y","Paid another way",IF(IFERROR(TRIM(INDEX($A307:$Z307,MATCH(Settings!$L$7,$A$1:$Z$1,0))&amp;""),"")="","No payment status",IFERROR(TRIM(INDEX($A307:$Z307,MATCH(Settings!$L$7,$A$1:$Z$1,0))&amp;""),""))))</f>
        <v/>
      </c>
      <c r="AJ307" s="31">
        <f>IF(AE307="",0,IF(IFERROR(INDEX(Settings!$J$4:$J$14,MATCH(AI307,Settings!$I$4:$I$14,0)),"N")="Y",1,0))</f>
        <v/>
      </c>
      <c r="AK307" s="32">
        <f>IFERROR(INT(IFERROR(IF(ISNUMBER(INDEX($A307:$Z307,MATCH(Settings!$L$10,$A$1:$Z$1,0))),INDEX($A307:$Z307,MATCH(Settings!$L$10,$A$1:$Z$1,0)),DATE(VALUE(LEFT(IFERROR(TRIM(INDEX($A307:$Z307,MATCH(Settings!$L$10,$A$1:$Z$1,0))&amp;""),""),4)),VALUE(MID(IFERROR(TRIM(INDEX($A307:$Z307,MATCH(Settings!$L$10,$A$1:$Z$1,0))&amp;""),""),6,2)),VALUE(MID(IFERROR(TRIM(INDEX($A307:$Z307,MATCH(Settings!$L$10,$A$1:$Z$1,0))&amp;""),""),9,2)))+TIME(VALUE(MID(IFERROR(TRIM(INDEX($A307:$Z307,MATCH(Settings!$L$10,$A$1:$Z$1,0))&amp;""),""),12,2)),VALUE(MID(IFERROR(TRIM(INDEX($A307:$Z307,MATCH(Settings!$L$10,$A$1:$Z$1,0))&amp;""),""),15,2)),VALUE(MID(IFERROR(TRIM(INDEX($A307:$Z307,MATCH(Settings!$L$10,$A$1:$Z$1,0))&amp;""),""),18,2)))),"")),"")</f>
        <v/>
      </c>
      <c r="AL307" s="32">
        <f>IF(AE307="","",IF(ISNUMBER(AK307),AK307,IFERROR(INT(IFERROR(IF(ISNUMBER(INDEX($A307:$Z307,MATCH(Settings!$L$11,$A$1:$Z$1,0))),INDEX($A307:$Z307,MATCH(Settings!$L$11,$A$1:$Z$1,0)),DATE(VALUE(LEFT(IFERROR(TRIM(INDEX($A307:$Z307,MATCH(Settings!$L$11,$A$1:$Z$1,0))&amp;""),""),4)),VALUE(MID(IFERROR(TRIM(INDEX($A307:$Z307,MATCH(Settings!$L$11,$A$1:$Z$1,0))&amp;""),""),6,2)),VALUE(MID(IFERROR(TRIM(INDEX($A307:$Z307,MATCH(Settings!$L$11,$A$1:$Z$1,0))&amp;""),""),9,2)))+TIME(VALUE(MID(IFERROR(TRIM(INDEX($A307:$Z307,MATCH(Settings!$L$11,$A$1:$Z$1,0))&amp;""),""),12,2)),VALUE(MID(IFERROR(TRIM(INDEX($A307:$Z307,MATCH(Settings!$L$11,$A$1:$Z$1,0))&amp;""),""),15,2)),VALUE(MID(IFERROR(TRIM(INDEX($A307:$Z307,MATCH(Settings!$L$11,$A$1:$Z$1,0))&amp;""),""),18,2)))),"")),"")))</f>
        <v/>
      </c>
      <c r="AM307" s="31">
        <f>IF(AE307="","",IF(ISNUMBER(IFERROR(INDEX(Settings!$G$4:$G$11,MATCH(AH307,Settings!$F$4:$F$11,0)),"")),INDEX(Settings!$G$4:$G$11,MATCH(AH307,Settings!$F$4:$F$11,0)),Settings!$D$5))</f>
        <v/>
      </c>
      <c r="AN307" s="32">
        <f>IF(OR(AE307="",NOT(ISNUMBER(AL307)),NOT(ISNUMBER(AM307))),"",IF(AM307&lt;=0,"",IF(ISNUMBER(Settings!$D$8),DATE(YEAR(AL307)+IF(DATE(YEAR(AL307),MONTH(Settings!$D$8),DAY(Settings!$D$8))&gt;AL307,0,1),MONTH(Settings!$D$8),DAY(Settings!$D$8)),MIN(DATE(YEAR(AL307),MONTH(AL307)+AM307,DAY(AL307)),DATE(YEAR(AL307),MONTH(AL307)+AM307+1,0)))))</f>
        <v/>
      </c>
      <c r="AO307" s="31">
        <f>IF(ISNUMBER(AN307),AN307-Settings!$D$4,"")</f>
        <v/>
      </c>
      <c r="AP307" s="31">
        <f>IF(ISNUMBER(AL307),AL307+0+ROW()/100000,"")</f>
        <v/>
      </c>
      <c r="AQ307" s="31">
        <f>IF(OR(AG307="",NOT(ISNUMBER(AP307))),0,IF(SUMPRODUCT(('Responses'!$AG$2:$AG$501=AG307)*('Responses'!$AJ$2:$AJ$501=1)*ISNUMBER('Responses'!$AP$2:$AP$501)*('Responses'!$AP$2:$AP$501&gt;AP307)) + SUMPRODUCT(('Paper sign-ups'!$K$2:$K$101=AG307)*('Paper sign-ups'!$N$2:$N$101=1)*ISNUMBER('Paper sign-ups'!$T$2:$T$101)*('Paper sign-ups'!$T$2:$T$101&gt;AP307))&gt;0,1,0))</f>
        <v/>
      </c>
      <c r="AR307" s="31">
        <f>IF(AE307="","",IF(AQ307=1,"Joined again",IF(AJ307=0,"Unpaid",IF(NOT(ISNUMBER(AL307)),"Add a join date",IF(AN307="","No reminder",IF(AO307&lt;0,"Lapsed",IF(AO307&lt;=Settings!$D$6,"Remind soon","Current")))))))</f>
        <v/>
      </c>
      <c r="AS307" s="33">
        <f>IF(AJ307=1,IFERROR(VALUE(IFERROR(TRIM(INDEX($A307:$Z307,MATCH(Settings!$L$8,$A$1:$Z$1,0))&amp;""),"")),0)-IFERROR(VALUE(IFERROR(TRIM(INDEX($A307:$Z307,MATCH(Settings!$L$9,$A$1:$Z$1,0))&amp;""),"")),0),0)</f>
        <v/>
      </c>
      <c r="AT307" s="31">
        <f>IF(AND(AE307&lt;&gt;"",AQ307=0),1,0)</f>
        <v/>
      </c>
      <c r="AU307" s="31">
        <f>IF(AT307=0,"",IF(ISNUMBER(AN307),AN307,100000)+0+ROW()/1000000)</f>
        <v/>
      </c>
      <c r="AV307" s="31">
        <f>IF(ISNUMBER(AU307),SUMPRODUCT(ISNUMBER('Responses'!$AU$2:$AU$501)*('Responses'!$AU$2:$AU$501&lt;AU307)) + SUMPRODUCT(ISNUMBER('Paper sign-ups'!$Y$2:$Y$101)*('Paper sign-ups'!$Y$2:$Y$101&lt;AU307))+1,"")</f>
        <v/>
      </c>
    </row>
    <row r="308">
      <c r="AA308" s="29" t="n"/>
      <c r="AB308" s="30" t="n"/>
      <c r="AC308" s="30" t="n"/>
      <c r="AD308" s="29" t="n"/>
      <c r="AE308" s="31">
        <f>IFERROR(TRIM(INDEX($A308:$Z308,MATCH(Settings!$L$4,$A$1:$Z$1,0))&amp;""),"")</f>
        <v/>
      </c>
      <c r="AF308" s="31">
        <f>IFERROR(TRIM(INDEX($A308:$Z308,MATCH(Settings!$L$5,$A$1:$Z$1,0))&amp;""),"")</f>
        <v/>
      </c>
      <c r="AG308" s="31">
        <f>IF(AE308="","",LOWER(IF(AF308&lt;&gt;"",AF308,AE308)))</f>
        <v/>
      </c>
      <c r="AH308" s="31">
        <f>IFERROR(TRIM(INDEX($A308:$Z308,MATCH(Settings!$L$6,$A$1:$Z$1,0))&amp;""),"")</f>
        <v/>
      </c>
      <c r="AI308" s="31">
        <f>IF(AE308="","",IF(UPPER(TRIM(AB308&amp;""))="Y","Paid another way",IF(IFERROR(TRIM(INDEX($A308:$Z308,MATCH(Settings!$L$7,$A$1:$Z$1,0))&amp;""),"")="","No payment status",IFERROR(TRIM(INDEX($A308:$Z308,MATCH(Settings!$L$7,$A$1:$Z$1,0))&amp;""),""))))</f>
        <v/>
      </c>
      <c r="AJ308" s="31">
        <f>IF(AE308="",0,IF(IFERROR(INDEX(Settings!$J$4:$J$14,MATCH(AI308,Settings!$I$4:$I$14,0)),"N")="Y",1,0))</f>
        <v/>
      </c>
      <c r="AK308" s="32">
        <f>IFERROR(INT(IFERROR(IF(ISNUMBER(INDEX($A308:$Z308,MATCH(Settings!$L$10,$A$1:$Z$1,0))),INDEX($A308:$Z308,MATCH(Settings!$L$10,$A$1:$Z$1,0)),DATE(VALUE(LEFT(IFERROR(TRIM(INDEX($A308:$Z308,MATCH(Settings!$L$10,$A$1:$Z$1,0))&amp;""),""),4)),VALUE(MID(IFERROR(TRIM(INDEX($A308:$Z308,MATCH(Settings!$L$10,$A$1:$Z$1,0))&amp;""),""),6,2)),VALUE(MID(IFERROR(TRIM(INDEX($A308:$Z308,MATCH(Settings!$L$10,$A$1:$Z$1,0))&amp;""),""),9,2)))+TIME(VALUE(MID(IFERROR(TRIM(INDEX($A308:$Z308,MATCH(Settings!$L$10,$A$1:$Z$1,0))&amp;""),""),12,2)),VALUE(MID(IFERROR(TRIM(INDEX($A308:$Z308,MATCH(Settings!$L$10,$A$1:$Z$1,0))&amp;""),""),15,2)),VALUE(MID(IFERROR(TRIM(INDEX($A308:$Z308,MATCH(Settings!$L$10,$A$1:$Z$1,0))&amp;""),""),18,2)))),"")),"")</f>
        <v/>
      </c>
      <c r="AL308" s="32">
        <f>IF(AE308="","",IF(ISNUMBER(AK308),AK308,IFERROR(INT(IFERROR(IF(ISNUMBER(INDEX($A308:$Z308,MATCH(Settings!$L$11,$A$1:$Z$1,0))),INDEX($A308:$Z308,MATCH(Settings!$L$11,$A$1:$Z$1,0)),DATE(VALUE(LEFT(IFERROR(TRIM(INDEX($A308:$Z308,MATCH(Settings!$L$11,$A$1:$Z$1,0))&amp;""),""),4)),VALUE(MID(IFERROR(TRIM(INDEX($A308:$Z308,MATCH(Settings!$L$11,$A$1:$Z$1,0))&amp;""),""),6,2)),VALUE(MID(IFERROR(TRIM(INDEX($A308:$Z308,MATCH(Settings!$L$11,$A$1:$Z$1,0))&amp;""),""),9,2)))+TIME(VALUE(MID(IFERROR(TRIM(INDEX($A308:$Z308,MATCH(Settings!$L$11,$A$1:$Z$1,0))&amp;""),""),12,2)),VALUE(MID(IFERROR(TRIM(INDEX($A308:$Z308,MATCH(Settings!$L$11,$A$1:$Z$1,0))&amp;""),""),15,2)),VALUE(MID(IFERROR(TRIM(INDEX($A308:$Z308,MATCH(Settings!$L$11,$A$1:$Z$1,0))&amp;""),""),18,2)))),"")),"")))</f>
        <v/>
      </c>
      <c r="AM308" s="31">
        <f>IF(AE308="","",IF(ISNUMBER(IFERROR(INDEX(Settings!$G$4:$G$11,MATCH(AH308,Settings!$F$4:$F$11,0)),"")),INDEX(Settings!$G$4:$G$11,MATCH(AH308,Settings!$F$4:$F$11,0)),Settings!$D$5))</f>
        <v/>
      </c>
      <c r="AN308" s="32">
        <f>IF(OR(AE308="",NOT(ISNUMBER(AL308)),NOT(ISNUMBER(AM308))),"",IF(AM308&lt;=0,"",IF(ISNUMBER(Settings!$D$8),DATE(YEAR(AL308)+IF(DATE(YEAR(AL308),MONTH(Settings!$D$8),DAY(Settings!$D$8))&gt;AL308,0,1),MONTH(Settings!$D$8),DAY(Settings!$D$8)),MIN(DATE(YEAR(AL308),MONTH(AL308)+AM308,DAY(AL308)),DATE(YEAR(AL308),MONTH(AL308)+AM308+1,0)))))</f>
        <v/>
      </c>
      <c r="AO308" s="31">
        <f>IF(ISNUMBER(AN308),AN308-Settings!$D$4,"")</f>
        <v/>
      </c>
      <c r="AP308" s="31">
        <f>IF(ISNUMBER(AL308),AL308+0+ROW()/100000,"")</f>
        <v/>
      </c>
      <c r="AQ308" s="31">
        <f>IF(OR(AG308="",NOT(ISNUMBER(AP308))),0,IF(SUMPRODUCT(('Responses'!$AG$2:$AG$501=AG308)*('Responses'!$AJ$2:$AJ$501=1)*ISNUMBER('Responses'!$AP$2:$AP$501)*('Responses'!$AP$2:$AP$501&gt;AP308)) + SUMPRODUCT(('Paper sign-ups'!$K$2:$K$101=AG308)*('Paper sign-ups'!$N$2:$N$101=1)*ISNUMBER('Paper sign-ups'!$T$2:$T$101)*('Paper sign-ups'!$T$2:$T$101&gt;AP308))&gt;0,1,0))</f>
        <v/>
      </c>
      <c r="AR308" s="31">
        <f>IF(AE308="","",IF(AQ308=1,"Joined again",IF(AJ308=0,"Unpaid",IF(NOT(ISNUMBER(AL308)),"Add a join date",IF(AN308="","No reminder",IF(AO308&lt;0,"Lapsed",IF(AO308&lt;=Settings!$D$6,"Remind soon","Current")))))))</f>
        <v/>
      </c>
      <c r="AS308" s="33">
        <f>IF(AJ308=1,IFERROR(VALUE(IFERROR(TRIM(INDEX($A308:$Z308,MATCH(Settings!$L$8,$A$1:$Z$1,0))&amp;""),"")),0)-IFERROR(VALUE(IFERROR(TRIM(INDEX($A308:$Z308,MATCH(Settings!$L$9,$A$1:$Z$1,0))&amp;""),"")),0),0)</f>
        <v/>
      </c>
      <c r="AT308" s="31">
        <f>IF(AND(AE308&lt;&gt;"",AQ308=0),1,0)</f>
        <v/>
      </c>
      <c r="AU308" s="31">
        <f>IF(AT308=0,"",IF(ISNUMBER(AN308),AN308,100000)+0+ROW()/1000000)</f>
        <v/>
      </c>
      <c r="AV308" s="31">
        <f>IF(ISNUMBER(AU308),SUMPRODUCT(ISNUMBER('Responses'!$AU$2:$AU$501)*('Responses'!$AU$2:$AU$501&lt;AU308)) + SUMPRODUCT(ISNUMBER('Paper sign-ups'!$Y$2:$Y$101)*('Paper sign-ups'!$Y$2:$Y$101&lt;AU308))+1,"")</f>
        <v/>
      </c>
    </row>
    <row r="309">
      <c r="AA309" s="29" t="n"/>
      <c r="AB309" s="30" t="n"/>
      <c r="AC309" s="30" t="n"/>
      <c r="AD309" s="29" t="n"/>
      <c r="AE309" s="31">
        <f>IFERROR(TRIM(INDEX($A309:$Z309,MATCH(Settings!$L$4,$A$1:$Z$1,0))&amp;""),"")</f>
        <v/>
      </c>
      <c r="AF309" s="31">
        <f>IFERROR(TRIM(INDEX($A309:$Z309,MATCH(Settings!$L$5,$A$1:$Z$1,0))&amp;""),"")</f>
        <v/>
      </c>
      <c r="AG309" s="31">
        <f>IF(AE309="","",LOWER(IF(AF309&lt;&gt;"",AF309,AE309)))</f>
        <v/>
      </c>
      <c r="AH309" s="31">
        <f>IFERROR(TRIM(INDEX($A309:$Z309,MATCH(Settings!$L$6,$A$1:$Z$1,0))&amp;""),"")</f>
        <v/>
      </c>
      <c r="AI309" s="31">
        <f>IF(AE309="","",IF(UPPER(TRIM(AB309&amp;""))="Y","Paid another way",IF(IFERROR(TRIM(INDEX($A309:$Z309,MATCH(Settings!$L$7,$A$1:$Z$1,0))&amp;""),"")="","No payment status",IFERROR(TRIM(INDEX($A309:$Z309,MATCH(Settings!$L$7,$A$1:$Z$1,0))&amp;""),""))))</f>
        <v/>
      </c>
      <c r="AJ309" s="31">
        <f>IF(AE309="",0,IF(IFERROR(INDEX(Settings!$J$4:$J$14,MATCH(AI309,Settings!$I$4:$I$14,0)),"N")="Y",1,0))</f>
        <v/>
      </c>
      <c r="AK309" s="32">
        <f>IFERROR(INT(IFERROR(IF(ISNUMBER(INDEX($A309:$Z309,MATCH(Settings!$L$10,$A$1:$Z$1,0))),INDEX($A309:$Z309,MATCH(Settings!$L$10,$A$1:$Z$1,0)),DATE(VALUE(LEFT(IFERROR(TRIM(INDEX($A309:$Z309,MATCH(Settings!$L$10,$A$1:$Z$1,0))&amp;""),""),4)),VALUE(MID(IFERROR(TRIM(INDEX($A309:$Z309,MATCH(Settings!$L$10,$A$1:$Z$1,0))&amp;""),""),6,2)),VALUE(MID(IFERROR(TRIM(INDEX($A309:$Z309,MATCH(Settings!$L$10,$A$1:$Z$1,0))&amp;""),""),9,2)))+TIME(VALUE(MID(IFERROR(TRIM(INDEX($A309:$Z309,MATCH(Settings!$L$10,$A$1:$Z$1,0))&amp;""),""),12,2)),VALUE(MID(IFERROR(TRIM(INDEX($A309:$Z309,MATCH(Settings!$L$10,$A$1:$Z$1,0))&amp;""),""),15,2)),VALUE(MID(IFERROR(TRIM(INDEX($A309:$Z309,MATCH(Settings!$L$10,$A$1:$Z$1,0))&amp;""),""),18,2)))),"")),"")</f>
        <v/>
      </c>
      <c r="AL309" s="32">
        <f>IF(AE309="","",IF(ISNUMBER(AK309),AK309,IFERROR(INT(IFERROR(IF(ISNUMBER(INDEX($A309:$Z309,MATCH(Settings!$L$11,$A$1:$Z$1,0))),INDEX($A309:$Z309,MATCH(Settings!$L$11,$A$1:$Z$1,0)),DATE(VALUE(LEFT(IFERROR(TRIM(INDEX($A309:$Z309,MATCH(Settings!$L$11,$A$1:$Z$1,0))&amp;""),""),4)),VALUE(MID(IFERROR(TRIM(INDEX($A309:$Z309,MATCH(Settings!$L$11,$A$1:$Z$1,0))&amp;""),""),6,2)),VALUE(MID(IFERROR(TRIM(INDEX($A309:$Z309,MATCH(Settings!$L$11,$A$1:$Z$1,0))&amp;""),""),9,2)))+TIME(VALUE(MID(IFERROR(TRIM(INDEX($A309:$Z309,MATCH(Settings!$L$11,$A$1:$Z$1,0))&amp;""),""),12,2)),VALUE(MID(IFERROR(TRIM(INDEX($A309:$Z309,MATCH(Settings!$L$11,$A$1:$Z$1,0))&amp;""),""),15,2)),VALUE(MID(IFERROR(TRIM(INDEX($A309:$Z309,MATCH(Settings!$L$11,$A$1:$Z$1,0))&amp;""),""),18,2)))),"")),"")))</f>
        <v/>
      </c>
      <c r="AM309" s="31">
        <f>IF(AE309="","",IF(ISNUMBER(IFERROR(INDEX(Settings!$G$4:$G$11,MATCH(AH309,Settings!$F$4:$F$11,0)),"")),INDEX(Settings!$G$4:$G$11,MATCH(AH309,Settings!$F$4:$F$11,0)),Settings!$D$5))</f>
        <v/>
      </c>
      <c r="AN309" s="32">
        <f>IF(OR(AE309="",NOT(ISNUMBER(AL309)),NOT(ISNUMBER(AM309))),"",IF(AM309&lt;=0,"",IF(ISNUMBER(Settings!$D$8),DATE(YEAR(AL309)+IF(DATE(YEAR(AL309),MONTH(Settings!$D$8),DAY(Settings!$D$8))&gt;AL309,0,1),MONTH(Settings!$D$8),DAY(Settings!$D$8)),MIN(DATE(YEAR(AL309),MONTH(AL309)+AM309,DAY(AL309)),DATE(YEAR(AL309),MONTH(AL309)+AM309+1,0)))))</f>
        <v/>
      </c>
      <c r="AO309" s="31">
        <f>IF(ISNUMBER(AN309),AN309-Settings!$D$4,"")</f>
        <v/>
      </c>
      <c r="AP309" s="31">
        <f>IF(ISNUMBER(AL309),AL309+0+ROW()/100000,"")</f>
        <v/>
      </c>
      <c r="AQ309" s="31">
        <f>IF(OR(AG309="",NOT(ISNUMBER(AP309))),0,IF(SUMPRODUCT(('Responses'!$AG$2:$AG$501=AG309)*('Responses'!$AJ$2:$AJ$501=1)*ISNUMBER('Responses'!$AP$2:$AP$501)*('Responses'!$AP$2:$AP$501&gt;AP309)) + SUMPRODUCT(('Paper sign-ups'!$K$2:$K$101=AG309)*('Paper sign-ups'!$N$2:$N$101=1)*ISNUMBER('Paper sign-ups'!$T$2:$T$101)*('Paper sign-ups'!$T$2:$T$101&gt;AP309))&gt;0,1,0))</f>
        <v/>
      </c>
      <c r="AR309" s="31">
        <f>IF(AE309="","",IF(AQ309=1,"Joined again",IF(AJ309=0,"Unpaid",IF(NOT(ISNUMBER(AL309)),"Add a join date",IF(AN309="","No reminder",IF(AO309&lt;0,"Lapsed",IF(AO309&lt;=Settings!$D$6,"Remind soon","Current")))))))</f>
        <v/>
      </c>
      <c r="AS309" s="33">
        <f>IF(AJ309=1,IFERROR(VALUE(IFERROR(TRIM(INDEX($A309:$Z309,MATCH(Settings!$L$8,$A$1:$Z$1,0))&amp;""),"")),0)-IFERROR(VALUE(IFERROR(TRIM(INDEX($A309:$Z309,MATCH(Settings!$L$9,$A$1:$Z$1,0))&amp;""),"")),0),0)</f>
        <v/>
      </c>
      <c r="AT309" s="31">
        <f>IF(AND(AE309&lt;&gt;"",AQ309=0),1,0)</f>
        <v/>
      </c>
      <c r="AU309" s="31">
        <f>IF(AT309=0,"",IF(ISNUMBER(AN309),AN309,100000)+0+ROW()/1000000)</f>
        <v/>
      </c>
      <c r="AV309" s="31">
        <f>IF(ISNUMBER(AU309),SUMPRODUCT(ISNUMBER('Responses'!$AU$2:$AU$501)*('Responses'!$AU$2:$AU$501&lt;AU309)) + SUMPRODUCT(ISNUMBER('Paper sign-ups'!$Y$2:$Y$101)*('Paper sign-ups'!$Y$2:$Y$101&lt;AU309))+1,"")</f>
        <v/>
      </c>
    </row>
    <row r="310">
      <c r="AA310" s="29" t="n"/>
      <c r="AB310" s="30" t="n"/>
      <c r="AC310" s="30" t="n"/>
      <c r="AD310" s="29" t="n"/>
      <c r="AE310" s="31">
        <f>IFERROR(TRIM(INDEX($A310:$Z310,MATCH(Settings!$L$4,$A$1:$Z$1,0))&amp;""),"")</f>
        <v/>
      </c>
      <c r="AF310" s="31">
        <f>IFERROR(TRIM(INDEX($A310:$Z310,MATCH(Settings!$L$5,$A$1:$Z$1,0))&amp;""),"")</f>
        <v/>
      </c>
      <c r="AG310" s="31">
        <f>IF(AE310="","",LOWER(IF(AF310&lt;&gt;"",AF310,AE310)))</f>
        <v/>
      </c>
      <c r="AH310" s="31">
        <f>IFERROR(TRIM(INDEX($A310:$Z310,MATCH(Settings!$L$6,$A$1:$Z$1,0))&amp;""),"")</f>
        <v/>
      </c>
      <c r="AI310" s="31">
        <f>IF(AE310="","",IF(UPPER(TRIM(AB310&amp;""))="Y","Paid another way",IF(IFERROR(TRIM(INDEX($A310:$Z310,MATCH(Settings!$L$7,$A$1:$Z$1,0))&amp;""),"")="","No payment status",IFERROR(TRIM(INDEX($A310:$Z310,MATCH(Settings!$L$7,$A$1:$Z$1,0))&amp;""),""))))</f>
        <v/>
      </c>
      <c r="AJ310" s="31">
        <f>IF(AE310="",0,IF(IFERROR(INDEX(Settings!$J$4:$J$14,MATCH(AI310,Settings!$I$4:$I$14,0)),"N")="Y",1,0))</f>
        <v/>
      </c>
      <c r="AK310" s="32">
        <f>IFERROR(INT(IFERROR(IF(ISNUMBER(INDEX($A310:$Z310,MATCH(Settings!$L$10,$A$1:$Z$1,0))),INDEX($A310:$Z310,MATCH(Settings!$L$10,$A$1:$Z$1,0)),DATE(VALUE(LEFT(IFERROR(TRIM(INDEX($A310:$Z310,MATCH(Settings!$L$10,$A$1:$Z$1,0))&amp;""),""),4)),VALUE(MID(IFERROR(TRIM(INDEX($A310:$Z310,MATCH(Settings!$L$10,$A$1:$Z$1,0))&amp;""),""),6,2)),VALUE(MID(IFERROR(TRIM(INDEX($A310:$Z310,MATCH(Settings!$L$10,$A$1:$Z$1,0))&amp;""),""),9,2)))+TIME(VALUE(MID(IFERROR(TRIM(INDEX($A310:$Z310,MATCH(Settings!$L$10,$A$1:$Z$1,0))&amp;""),""),12,2)),VALUE(MID(IFERROR(TRIM(INDEX($A310:$Z310,MATCH(Settings!$L$10,$A$1:$Z$1,0))&amp;""),""),15,2)),VALUE(MID(IFERROR(TRIM(INDEX($A310:$Z310,MATCH(Settings!$L$10,$A$1:$Z$1,0))&amp;""),""),18,2)))),"")),"")</f>
        <v/>
      </c>
      <c r="AL310" s="32">
        <f>IF(AE310="","",IF(ISNUMBER(AK310),AK310,IFERROR(INT(IFERROR(IF(ISNUMBER(INDEX($A310:$Z310,MATCH(Settings!$L$11,$A$1:$Z$1,0))),INDEX($A310:$Z310,MATCH(Settings!$L$11,$A$1:$Z$1,0)),DATE(VALUE(LEFT(IFERROR(TRIM(INDEX($A310:$Z310,MATCH(Settings!$L$11,$A$1:$Z$1,0))&amp;""),""),4)),VALUE(MID(IFERROR(TRIM(INDEX($A310:$Z310,MATCH(Settings!$L$11,$A$1:$Z$1,0))&amp;""),""),6,2)),VALUE(MID(IFERROR(TRIM(INDEX($A310:$Z310,MATCH(Settings!$L$11,$A$1:$Z$1,0))&amp;""),""),9,2)))+TIME(VALUE(MID(IFERROR(TRIM(INDEX($A310:$Z310,MATCH(Settings!$L$11,$A$1:$Z$1,0))&amp;""),""),12,2)),VALUE(MID(IFERROR(TRIM(INDEX($A310:$Z310,MATCH(Settings!$L$11,$A$1:$Z$1,0))&amp;""),""),15,2)),VALUE(MID(IFERROR(TRIM(INDEX($A310:$Z310,MATCH(Settings!$L$11,$A$1:$Z$1,0))&amp;""),""),18,2)))),"")),"")))</f>
        <v/>
      </c>
      <c r="AM310" s="31">
        <f>IF(AE310="","",IF(ISNUMBER(IFERROR(INDEX(Settings!$G$4:$G$11,MATCH(AH310,Settings!$F$4:$F$11,0)),"")),INDEX(Settings!$G$4:$G$11,MATCH(AH310,Settings!$F$4:$F$11,0)),Settings!$D$5))</f>
        <v/>
      </c>
      <c r="AN310" s="32">
        <f>IF(OR(AE310="",NOT(ISNUMBER(AL310)),NOT(ISNUMBER(AM310))),"",IF(AM310&lt;=0,"",IF(ISNUMBER(Settings!$D$8),DATE(YEAR(AL310)+IF(DATE(YEAR(AL310),MONTH(Settings!$D$8),DAY(Settings!$D$8))&gt;AL310,0,1),MONTH(Settings!$D$8),DAY(Settings!$D$8)),MIN(DATE(YEAR(AL310),MONTH(AL310)+AM310,DAY(AL310)),DATE(YEAR(AL310),MONTH(AL310)+AM310+1,0)))))</f>
        <v/>
      </c>
      <c r="AO310" s="31">
        <f>IF(ISNUMBER(AN310),AN310-Settings!$D$4,"")</f>
        <v/>
      </c>
      <c r="AP310" s="31">
        <f>IF(ISNUMBER(AL310),AL310+0+ROW()/100000,"")</f>
        <v/>
      </c>
      <c r="AQ310" s="31">
        <f>IF(OR(AG310="",NOT(ISNUMBER(AP310))),0,IF(SUMPRODUCT(('Responses'!$AG$2:$AG$501=AG310)*('Responses'!$AJ$2:$AJ$501=1)*ISNUMBER('Responses'!$AP$2:$AP$501)*('Responses'!$AP$2:$AP$501&gt;AP310)) + SUMPRODUCT(('Paper sign-ups'!$K$2:$K$101=AG310)*('Paper sign-ups'!$N$2:$N$101=1)*ISNUMBER('Paper sign-ups'!$T$2:$T$101)*('Paper sign-ups'!$T$2:$T$101&gt;AP310))&gt;0,1,0))</f>
        <v/>
      </c>
      <c r="AR310" s="31">
        <f>IF(AE310="","",IF(AQ310=1,"Joined again",IF(AJ310=0,"Unpaid",IF(NOT(ISNUMBER(AL310)),"Add a join date",IF(AN310="","No reminder",IF(AO310&lt;0,"Lapsed",IF(AO310&lt;=Settings!$D$6,"Remind soon","Current")))))))</f>
        <v/>
      </c>
      <c r="AS310" s="33">
        <f>IF(AJ310=1,IFERROR(VALUE(IFERROR(TRIM(INDEX($A310:$Z310,MATCH(Settings!$L$8,$A$1:$Z$1,0))&amp;""),"")),0)-IFERROR(VALUE(IFERROR(TRIM(INDEX($A310:$Z310,MATCH(Settings!$L$9,$A$1:$Z$1,0))&amp;""),"")),0),0)</f>
        <v/>
      </c>
      <c r="AT310" s="31">
        <f>IF(AND(AE310&lt;&gt;"",AQ310=0),1,0)</f>
        <v/>
      </c>
      <c r="AU310" s="31">
        <f>IF(AT310=0,"",IF(ISNUMBER(AN310),AN310,100000)+0+ROW()/1000000)</f>
        <v/>
      </c>
      <c r="AV310" s="31">
        <f>IF(ISNUMBER(AU310),SUMPRODUCT(ISNUMBER('Responses'!$AU$2:$AU$501)*('Responses'!$AU$2:$AU$501&lt;AU310)) + SUMPRODUCT(ISNUMBER('Paper sign-ups'!$Y$2:$Y$101)*('Paper sign-ups'!$Y$2:$Y$101&lt;AU310))+1,"")</f>
        <v/>
      </c>
    </row>
    <row r="311">
      <c r="AA311" s="29" t="n"/>
      <c r="AB311" s="30" t="n"/>
      <c r="AC311" s="30" t="n"/>
      <c r="AD311" s="29" t="n"/>
      <c r="AE311" s="31">
        <f>IFERROR(TRIM(INDEX($A311:$Z311,MATCH(Settings!$L$4,$A$1:$Z$1,0))&amp;""),"")</f>
        <v/>
      </c>
      <c r="AF311" s="31">
        <f>IFERROR(TRIM(INDEX($A311:$Z311,MATCH(Settings!$L$5,$A$1:$Z$1,0))&amp;""),"")</f>
        <v/>
      </c>
      <c r="AG311" s="31">
        <f>IF(AE311="","",LOWER(IF(AF311&lt;&gt;"",AF311,AE311)))</f>
        <v/>
      </c>
      <c r="AH311" s="31">
        <f>IFERROR(TRIM(INDEX($A311:$Z311,MATCH(Settings!$L$6,$A$1:$Z$1,0))&amp;""),"")</f>
        <v/>
      </c>
      <c r="AI311" s="31">
        <f>IF(AE311="","",IF(UPPER(TRIM(AB311&amp;""))="Y","Paid another way",IF(IFERROR(TRIM(INDEX($A311:$Z311,MATCH(Settings!$L$7,$A$1:$Z$1,0))&amp;""),"")="","No payment status",IFERROR(TRIM(INDEX($A311:$Z311,MATCH(Settings!$L$7,$A$1:$Z$1,0))&amp;""),""))))</f>
        <v/>
      </c>
      <c r="AJ311" s="31">
        <f>IF(AE311="",0,IF(IFERROR(INDEX(Settings!$J$4:$J$14,MATCH(AI311,Settings!$I$4:$I$14,0)),"N")="Y",1,0))</f>
        <v/>
      </c>
      <c r="AK311" s="32">
        <f>IFERROR(INT(IFERROR(IF(ISNUMBER(INDEX($A311:$Z311,MATCH(Settings!$L$10,$A$1:$Z$1,0))),INDEX($A311:$Z311,MATCH(Settings!$L$10,$A$1:$Z$1,0)),DATE(VALUE(LEFT(IFERROR(TRIM(INDEX($A311:$Z311,MATCH(Settings!$L$10,$A$1:$Z$1,0))&amp;""),""),4)),VALUE(MID(IFERROR(TRIM(INDEX($A311:$Z311,MATCH(Settings!$L$10,$A$1:$Z$1,0))&amp;""),""),6,2)),VALUE(MID(IFERROR(TRIM(INDEX($A311:$Z311,MATCH(Settings!$L$10,$A$1:$Z$1,0))&amp;""),""),9,2)))+TIME(VALUE(MID(IFERROR(TRIM(INDEX($A311:$Z311,MATCH(Settings!$L$10,$A$1:$Z$1,0))&amp;""),""),12,2)),VALUE(MID(IFERROR(TRIM(INDEX($A311:$Z311,MATCH(Settings!$L$10,$A$1:$Z$1,0))&amp;""),""),15,2)),VALUE(MID(IFERROR(TRIM(INDEX($A311:$Z311,MATCH(Settings!$L$10,$A$1:$Z$1,0))&amp;""),""),18,2)))),"")),"")</f>
        <v/>
      </c>
      <c r="AL311" s="32">
        <f>IF(AE311="","",IF(ISNUMBER(AK311),AK311,IFERROR(INT(IFERROR(IF(ISNUMBER(INDEX($A311:$Z311,MATCH(Settings!$L$11,$A$1:$Z$1,0))),INDEX($A311:$Z311,MATCH(Settings!$L$11,$A$1:$Z$1,0)),DATE(VALUE(LEFT(IFERROR(TRIM(INDEX($A311:$Z311,MATCH(Settings!$L$11,$A$1:$Z$1,0))&amp;""),""),4)),VALUE(MID(IFERROR(TRIM(INDEX($A311:$Z311,MATCH(Settings!$L$11,$A$1:$Z$1,0))&amp;""),""),6,2)),VALUE(MID(IFERROR(TRIM(INDEX($A311:$Z311,MATCH(Settings!$L$11,$A$1:$Z$1,0))&amp;""),""),9,2)))+TIME(VALUE(MID(IFERROR(TRIM(INDEX($A311:$Z311,MATCH(Settings!$L$11,$A$1:$Z$1,0))&amp;""),""),12,2)),VALUE(MID(IFERROR(TRIM(INDEX($A311:$Z311,MATCH(Settings!$L$11,$A$1:$Z$1,0))&amp;""),""),15,2)),VALUE(MID(IFERROR(TRIM(INDEX($A311:$Z311,MATCH(Settings!$L$11,$A$1:$Z$1,0))&amp;""),""),18,2)))),"")),"")))</f>
        <v/>
      </c>
      <c r="AM311" s="31">
        <f>IF(AE311="","",IF(ISNUMBER(IFERROR(INDEX(Settings!$G$4:$G$11,MATCH(AH311,Settings!$F$4:$F$11,0)),"")),INDEX(Settings!$G$4:$G$11,MATCH(AH311,Settings!$F$4:$F$11,0)),Settings!$D$5))</f>
        <v/>
      </c>
      <c r="AN311" s="32">
        <f>IF(OR(AE311="",NOT(ISNUMBER(AL311)),NOT(ISNUMBER(AM311))),"",IF(AM311&lt;=0,"",IF(ISNUMBER(Settings!$D$8),DATE(YEAR(AL311)+IF(DATE(YEAR(AL311),MONTH(Settings!$D$8),DAY(Settings!$D$8))&gt;AL311,0,1),MONTH(Settings!$D$8),DAY(Settings!$D$8)),MIN(DATE(YEAR(AL311),MONTH(AL311)+AM311,DAY(AL311)),DATE(YEAR(AL311),MONTH(AL311)+AM311+1,0)))))</f>
        <v/>
      </c>
      <c r="AO311" s="31">
        <f>IF(ISNUMBER(AN311),AN311-Settings!$D$4,"")</f>
        <v/>
      </c>
      <c r="AP311" s="31">
        <f>IF(ISNUMBER(AL311),AL311+0+ROW()/100000,"")</f>
        <v/>
      </c>
      <c r="AQ311" s="31">
        <f>IF(OR(AG311="",NOT(ISNUMBER(AP311))),0,IF(SUMPRODUCT(('Responses'!$AG$2:$AG$501=AG311)*('Responses'!$AJ$2:$AJ$501=1)*ISNUMBER('Responses'!$AP$2:$AP$501)*('Responses'!$AP$2:$AP$501&gt;AP311)) + SUMPRODUCT(('Paper sign-ups'!$K$2:$K$101=AG311)*('Paper sign-ups'!$N$2:$N$101=1)*ISNUMBER('Paper sign-ups'!$T$2:$T$101)*('Paper sign-ups'!$T$2:$T$101&gt;AP311))&gt;0,1,0))</f>
        <v/>
      </c>
      <c r="AR311" s="31">
        <f>IF(AE311="","",IF(AQ311=1,"Joined again",IF(AJ311=0,"Unpaid",IF(NOT(ISNUMBER(AL311)),"Add a join date",IF(AN311="","No reminder",IF(AO311&lt;0,"Lapsed",IF(AO311&lt;=Settings!$D$6,"Remind soon","Current")))))))</f>
        <v/>
      </c>
      <c r="AS311" s="33">
        <f>IF(AJ311=1,IFERROR(VALUE(IFERROR(TRIM(INDEX($A311:$Z311,MATCH(Settings!$L$8,$A$1:$Z$1,0))&amp;""),"")),0)-IFERROR(VALUE(IFERROR(TRIM(INDEX($A311:$Z311,MATCH(Settings!$L$9,$A$1:$Z$1,0))&amp;""),"")),0),0)</f>
        <v/>
      </c>
      <c r="AT311" s="31">
        <f>IF(AND(AE311&lt;&gt;"",AQ311=0),1,0)</f>
        <v/>
      </c>
      <c r="AU311" s="31">
        <f>IF(AT311=0,"",IF(ISNUMBER(AN311),AN311,100000)+0+ROW()/1000000)</f>
        <v/>
      </c>
      <c r="AV311" s="31">
        <f>IF(ISNUMBER(AU311),SUMPRODUCT(ISNUMBER('Responses'!$AU$2:$AU$501)*('Responses'!$AU$2:$AU$501&lt;AU311)) + SUMPRODUCT(ISNUMBER('Paper sign-ups'!$Y$2:$Y$101)*('Paper sign-ups'!$Y$2:$Y$101&lt;AU311))+1,"")</f>
        <v/>
      </c>
    </row>
    <row r="312">
      <c r="AA312" s="29" t="n"/>
      <c r="AB312" s="30" t="n"/>
      <c r="AC312" s="30" t="n"/>
      <c r="AD312" s="29" t="n"/>
      <c r="AE312" s="31">
        <f>IFERROR(TRIM(INDEX($A312:$Z312,MATCH(Settings!$L$4,$A$1:$Z$1,0))&amp;""),"")</f>
        <v/>
      </c>
      <c r="AF312" s="31">
        <f>IFERROR(TRIM(INDEX($A312:$Z312,MATCH(Settings!$L$5,$A$1:$Z$1,0))&amp;""),"")</f>
        <v/>
      </c>
      <c r="AG312" s="31">
        <f>IF(AE312="","",LOWER(IF(AF312&lt;&gt;"",AF312,AE312)))</f>
        <v/>
      </c>
      <c r="AH312" s="31">
        <f>IFERROR(TRIM(INDEX($A312:$Z312,MATCH(Settings!$L$6,$A$1:$Z$1,0))&amp;""),"")</f>
        <v/>
      </c>
      <c r="AI312" s="31">
        <f>IF(AE312="","",IF(UPPER(TRIM(AB312&amp;""))="Y","Paid another way",IF(IFERROR(TRIM(INDEX($A312:$Z312,MATCH(Settings!$L$7,$A$1:$Z$1,0))&amp;""),"")="","No payment status",IFERROR(TRIM(INDEX($A312:$Z312,MATCH(Settings!$L$7,$A$1:$Z$1,0))&amp;""),""))))</f>
        <v/>
      </c>
      <c r="AJ312" s="31">
        <f>IF(AE312="",0,IF(IFERROR(INDEX(Settings!$J$4:$J$14,MATCH(AI312,Settings!$I$4:$I$14,0)),"N")="Y",1,0))</f>
        <v/>
      </c>
      <c r="AK312" s="32">
        <f>IFERROR(INT(IFERROR(IF(ISNUMBER(INDEX($A312:$Z312,MATCH(Settings!$L$10,$A$1:$Z$1,0))),INDEX($A312:$Z312,MATCH(Settings!$L$10,$A$1:$Z$1,0)),DATE(VALUE(LEFT(IFERROR(TRIM(INDEX($A312:$Z312,MATCH(Settings!$L$10,$A$1:$Z$1,0))&amp;""),""),4)),VALUE(MID(IFERROR(TRIM(INDEX($A312:$Z312,MATCH(Settings!$L$10,$A$1:$Z$1,0))&amp;""),""),6,2)),VALUE(MID(IFERROR(TRIM(INDEX($A312:$Z312,MATCH(Settings!$L$10,$A$1:$Z$1,0))&amp;""),""),9,2)))+TIME(VALUE(MID(IFERROR(TRIM(INDEX($A312:$Z312,MATCH(Settings!$L$10,$A$1:$Z$1,0))&amp;""),""),12,2)),VALUE(MID(IFERROR(TRIM(INDEX($A312:$Z312,MATCH(Settings!$L$10,$A$1:$Z$1,0))&amp;""),""),15,2)),VALUE(MID(IFERROR(TRIM(INDEX($A312:$Z312,MATCH(Settings!$L$10,$A$1:$Z$1,0))&amp;""),""),18,2)))),"")),"")</f>
        <v/>
      </c>
      <c r="AL312" s="32">
        <f>IF(AE312="","",IF(ISNUMBER(AK312),AK312,IFERROR(INT(IFERROR(IF(ISNUMBER(INDEX($A312:$Z312,MATCH(Settings!$L$11,$A$1:$Z$1,0))),INDEX($A312:$Z312,MATCH(Settings!$L$11,$A$1:$Z$1,0)),DATE(VALUE(LEFT(IFERROR(TRIM(INDEX($A312:$Z312,MATCH(Settings!$L$11,$A$1:$Z$1,0))&amp;""),""),4)),VALUE(MID(IFERROR(TRIM(INDEX($A312:$Z312,MATCH(Settings!$L$11,$A$1:$Z$1,0))&amp;""),""),6,2)),VALUE(MID(IFERROR(TRIM(INDEX($A312:$Z312,MATCH(Settings!$L$11,$A$1:$Z$1,0))&amp;""),""),9,2)))+TIME(VALUE(MID(IFERROR(TRIM(INDEX($A312:$Z312,MATCH(Settings!$L$11,$A$1:$Z$1,0))&amp;""),""),12,2)),VALUE(MID(IFERROR(TRIM(INDEX($A312:$Z312,MATCH(Settings!$L$11,$A$1:$Z$1,0))&amp;""),""),15,2)),VALUE(MID(IFERROR(TRIM(INDEX($A312:$Z312,MATCH(Settings!$L$11,$A$1:$Z$1,0))&amp;""),""),18,2)))),"")),"")))</f>
        <v/>
      </c>
      <c r="AM312" s="31">
        <f>IF(AE312="","",IF(ISNUMBER(IFERROR(INDEX(Settings!$G$4:$G$11,MATCH(AH312,Settings!$F$4:$F$11,0)),"")),INDEX(Settings!$G$4:$G$11,MATCH(AH312,Settings!$F$4:$F$11,0)),Settings!$D$5))</f>
        <v/>
      </c>
      <c r="AN312" s="32">
        <f>IF(OR(AE312="",NOT(ISNUMBER(AL312)),NOT(ISNUMBER(AM312))),"",IF(AM312&lt;=0,"",IF(ISNUMBER(Settings!$D$8),DATE(YEAR(AL312)+IF(DATE(YEAR(AL312),MONTH(Settings!$D$8),DAY(Settings!$D$8))&gt;AL312,0,1),MONTH(Settings!$D$8),DAY(Settings!$D$8)),MIN(DATE(YEAR(AL312),MONTH(AL312)+AM312,DAY(AL312)),DATE(YEAR(AL312),MONTH(AL312)+AM312+1,0)))))</f>
        <v/>
      </c>
      <c r="AO312" s="31">
        <f>IF(ISNUMBER(AN312),AN312-Settings!$D$4,"")</f>
        <v/>
      </c>
      <c r="AP312" s="31">
        <f>IF(ISNUMBER(AL312),AL312+0+ROW()/100000,"")</f>
        <v/>
      </c>
      <c r="AQ312" s="31">
        <f>IF(OR(AG312="",NOT(ISNUMBER(AP312))),0,IF(SUMPRODUCT(('Responses'!$AG$2:$AG$501=AG312)*('Responses'!$AJ$2:$AJ$501=1)*ISNUMBER('Responses'!$AP$2:$AP$501)*('Responses'!$AP$2:$AP$501&gt;AP312)) + SUMPRODUCT(('Paper sign-ups'!$K$2:$K$101=AG312)*('Paper sign-ups'!$N$2:$N$101=1)*ISNUMBER('Paper sign-ups'!$T$2:$T$101)*('Paper sign-ups'!$T$2:$T$101&gt;AP312))&gt;0,1,0))</f>
        <v/>
      </c>
      <c r="AR312" s="31">
        <f>IF(AE312="","",IF(AQ312=1,"Joined again",IF(AJ312=0,"Unpaid",IF(NOT(ISNUMBER(AL312)),"Add a join date",IF(AN312="","No reminder",IF(AO312&lt;0,"Lapsed",IF(AO312&lt;=Settings!$D$6,"Remind soon","Current")))))))</f>
        <v/>
      </c>
      <c r="AS312" s="33">
        <f>IF(AJ312=1,IFERROR(VALUE(IFERROR(TRIM(INDEX($A312:$Z312,MATCH(Settings!$L$8,$A$1:$Z$1,0))&amp;""),"")),0)-IFERROR(VALUE(IFERROR(TRIM(INDEX($A312:$Z312,MATCH(Settings!$L$9,$A$1:$Z$1,0))&amp;""),"")),0),0)</f>
        <v/>
      </c>
      <c r="AT312" s="31">
        <f>IF(AND(AE312&lt;&gt;"",AQ312=0),1,0)</f>
        <v/>
      </c>
      <c r="AU312" s="31">
        <f>IF(AT312=0,"",IF(ISNUMBER(AN312),AN312,100000)+0+ROW()/1000000)</f>
        <v/>
      </c>
      <c r="AV312" s="31">
        <f>IF(ISNUMBER(AU312),SUMPRODUCT(ISNUMBER('Responses'!$AU$2:$AU$501)*('Responses'!$AU$2:$AU$501&lt;AU312)) + SUMPRODUCT(ISNUMBER('Paper sign-ups'!$Y$2:$Y$101)*('Paper sign-ups'!$Y$2:$Y$101&lt;AU312))+1,"")</f>
        <v/>
      </c>
    </row>
    <row r="313">
      <c r="AA313" s="29" t="n"/>
      <c r="AB313" s="30" t="n"/>
      <c r="AC313" s="30" t="n"/>
      <c r="AD313" s="29" t="n"/>
      <c r="AE313" s="31">
        <f>IFERROR(TRIM(INDEX($A313:$Z313,MATCH(Settings!$L$4,$A$1:$Z$1,0))&amp;""),"")</f>
        <v/>
      </c>
      <c r="AF313" s="31">
        <f>IFERROR(TRIM(INDEX($A313:$Z313,MATCH(Settings!$L$5,$A$1:$Z$1,0))&amp;""),"")</f>
        <v/>
      </c>
      <c r="AG313" s="31">
        <f>IF(AE313="","",LOWER(IF(AF313&lt;&gt;"",AF313,AE313)))</f>
        <v/>
      </c>
      <c r="AH313" s="31">
        <f>IFERROR(TRIM(INDEX($A313:$Z313,MATCH(Settings!$L$6,$A$1:$Z$1,0))&amp;""),"")</f>
        <v/>
      </c>
      <c r="AI313" s="31">
        <f>IF(AE313="","",IF(UPPER(TRIM(AB313&amp;""))="Y","Paid another way",IF(IFERROR(TRIM(INDEX($A313:$Z313,MATCH(Settings!$L$7,$A$1:$Z$1,0))&amp;""),"")="","No payment status",IFERROR(TRIM(INDEX($A313:$Z313,MATCH(Settings!$L$7,$A$1:$Z$1,0))&amp;""),""))))</f>
        <v/>
      </c>
      <c r="AJ313" s="31">
        <f>IF(AE313="",0,IF(IFERROR(INDEX(Settings!$J$4:$J$14,MATCH(AI313,Settings!$I$4:$I$14,0)),"N")="Y",1,0))</f>
        <v/>
      </c>
      <c r="AK313" s="32">
        <f>IFERROR(INT(IFERROR(IF(ISNUMBER(INDEX($A313:$Z313,MATCH(Settings!$L$10,$A$1:$Z$1,0))),INDEX($A313:$Z313,MATCH(Settings!$L$10,$A$1:$Z$1,0)),DATE(VALUE(LEFT(IFERROR(TRIM(INDEX($A313:$Z313,MATCH(Settings!$L$10,$A$1:$Z$1,0))&amp;""),""),4)),VALUE(MID(IFERROR(TRIM(INDEX($A313:$Z313,MATCH(Settings!$L$10,$A$1:$Z$1,0))&amp;""),""),6,2)),VALUE(MID(IFERROR(TRIM(INDEX($A313:$Z313,MATCH(Settings!$L$10,$A$1:$Z$1,0))&amp;""),""),9,2)))+TIME(VALUE(MID(IFERROR(TRIM(INDEX($A313:$Z313,MATCH(Settings!$L$10,$A$1:$Z$1,0))&amp;""),""),12,2)),VALUE(MID(IFERROR(TRIM(INDEX($A313:$Z313,MATCH(Settings!$L$10,$A$1:$Z$1,0))&amp;""),""),15,2)),VALUE(MID(IFERROR(TRIM(INDEX($A313:$Z313,MATCH(Settings!$L$10,$A$1:$Z$1,0))&amp;""),""),18,2)))),"")),"")</f>
        <v/>
      </c>
      <c r="AL313" s="32">
        <f>IF(AE313="","",IF(ISNUMBER(AK313),AK313,IFERROR(INT(IFERROR(IF(ISNUMBER(INDEX($A313:$Z313,MATCH(Settings!$L$11,$A$1:$Z$1,0))),INDEX($A313:$Z313,MATCH(Settings!$L$11,$A$1:$Z$1,0)),DATE(VALUE(LEFT(IFERROR(TRIM(INDEX($A313:$Z313,MATCH(Settings!$L$11,$A$1:$Z$1,0))&amp;""),""),4)),VALUE(MID(IFERROR(TRIM(INDEX($A313:$Z313,MATCH(Settings!$L$11,$A$1:$Z$1,0))&amp;""),""),6,2)),VALUE(MID(IFERROR(TRIM(INDEX($A313:$Z313,MATCH(Settings!$L$11,$A$1:$Z$1,0))&amp;""),""),9,2)))+TIME(VALUE(MID(IFERROR(TRIM(INDEX($A313:$Z313,MATCH(Settings!$L$11,$A$1:$Z$1,0))&amp;""),""),12,2)),VALUE(MID(IFERROR(TRIM(INDEX($A313:$Z313,MATCH(Settings!$L$11,$A$1:$Z$1,0))&amp;""),""),15,2)),VALUE(MID(IFERROR(TRIM(INDEX($A313:$Z313,MATCH(Settings!$L$11,$A$1:$Z$1,0))&amp;""),""),18,2)))),"")),"")))</f>
        <v/>
      </c>
      <c r="AM313" s="31">
        <f>IF(AE313="","",IF(ISNUMBER(IFERROR(INDEX(Settings!$G$4:$G$11,MATCH(AH313,Settings!$F$4:$F$11,0)),"")),INDEX(Settings!$G$4:$G$11,MATCH(AH313,Settings!$F$4:$F$11,0)),Settings!$D$5))</f>
        <v/>
      </c>
      <c r="AN313" s="32">
        <f>IF(OR(AE313="",NOT(ISNUMBER(AL313)),NOT(ISNUMBER(AM313))),"",IF(AM313&lt;=0,"",IF(ISNUMBER(Settings!$D$8),DATE(YEAR(AL313)+IF(DATE(YEAR(AL313),MONTH(Settings!$D$8),DAY(Settings!$D$8))&gt;AL313,0,1),MONTH(Settings!$D$8),DAY(Settings!$D$8)),MIN(DATE(YEAR(AL313),MONTH(AL313)+AM313,DAY(AL313)),DATE(YEAR(AL313),MONTH(AL313)+AM313+1,0)))))</f>
        <v/>
      </c>
      <c r="AO313" s="31">
        <f>IF(ISNUMBER(AN313),AN313-Settings!$D$4,"")</f>
        <v/>
      </c>
      <c r="AP313" s="31">
        <f>IF(ISNUMBER(AL313),AL313+0+ROW()/100000,"")</f>
        <v/>
      </c>
      <c r="AQ313" s="31">
        <f>IF(OR(AG313="",NOT(ISNUMBER(AP313))),0,IF(SUMPRODUCT(('Responses'!$AG$2:$AG$501=AG313)*('Responses'!$AJ$2:$AJ$501=1)*ISNUMBER('Responses'!$AP$2:$AP$501)*('Responses'!$AP$2:$AP$501&gt;AP313)) + SUMPRODUCT(('Paper sign-ups'!$K$2:$K$101=AG313)*('Paper sign-ups'!$N$2:$N$101=1)*ISNUMBER('Paper sign-ups'!$T$2:$T$101)*('Paper sign-ups'!$T$2:$T$101&gt;AP313))&gt;0,1,0))</f>
        <v/>
      </c>
      <c r="AR313" s="31">
        <f>IF(AE313="","",IF(AQ313=1,"Joined again",IF(AJ313=0,"Unpaid",IF(NOT(ISNUMBER(AL313)),"Add a join date",IF(AN313="","No reminder",IF(AO313&lt;0,"Lapsed",IF(AO313&lt;=Settings!$D$6,"Remind soon","Current")))))))</f>
        <v/>
      </c>
      <c r="AS313" s="33">
        <f>IF(AJ313=1,IFERROR(VALUE(IFERROR(TRIM(INDEX($A313:$Z313,MATCH(Settings!$L$8,$A$1:$Z$1,0))&amp;""),"")),0)-IFERROR(VALUE(IFERROR(TRIM(INDEX($A313:$Z313,MATCH(Settings!$L$9,$A$1:$Z$1,0))&amp;""),"")),0),0)</f>
        <v/>
      </c>
      <c r="AT313" s="31">
        <f>IF(AND(AE313&lt;&gt;"",AQ313=0),1,0)</f>
        <v/>
      </c>
      <c r="AU313" s="31">
        <f>IF(AT313=0,"",IF(ISNUMBER(AN313),AN313,100000)+0+ROW()/1000000)</f>
        <v/>
      </c>
      <c r="AV313" s="31">
        <f>IF(ISNUMBER(AU313),SUMPRODUCT(ISNUMBER('Responses'!$AU$2:$AU$501)*('Responses'!$AU$2:$AU$501&lt;AU313)) + SUMPRODUCT(ISNUMBER('Paper sign-ups'!$Y$2:$Y$101)*('Paper sign-ups'!$Y$2:$Y$101&lt;AU313))+1,"")</f>
        <v/>
      </c>
    </row>
    <row r="314">
      <c r="AA314" s="29" t="n"/>
      <c r="AB314" s="30" t="n"/>
      <c r="AC314" s="30" t="n"/>
      <c r="AD314" s="29" t="n"/>
      <c r="AE314" s="31">
        <f>IFERROR(TRIM(INDEX($A314:$Z314,MATCH(Settings!$L$4,$A$1:$Z$1,0))&amp;""),"")</f>
        <v/>
      </c>
      <c r="AF314" s="31">
        <f>IFERROR(TRIM(INDEX($A314:$Z314,MATCH(Settings!$L$5,$A$1:$Z$1,0))&amp;""),"")</f>
        <v/>
      </c>
      <c r="AG314" s="31">
        <f>IF(AE314="","",LOWER(IF(AF314&lt;&gt;"",AF314,AE314)))</f>
        <v/>
      </c>
      <c r="AH314" s="31">
        <f>IFERROR(TRIM(INDEX($A314:$Z314,MATCH(Settings!$L$6,$A$1:$Z$1,0))&amp;""),"")</f>
        <v/>
      </c>
      <c r="AI314" s="31">
        <f>IF(AE314="","",IF(UPPER(TRIM(AB314&amp;""))="Y","Paid another way",IF(IFERROR(TRIM(INDEX($A314:$Z314,MATCH(Settings!$L$7,$A$1:$Z$1,0))&amp;""),"")="","No payment status",IFERROR(TRIM(INDEX($A314:$Z314,MATCH(Settings!$L$7,$A$1:$Z$1,0))&amp;""),""))))</f>
        <v/>
      </c>
      <c r="AJ314" s="31">
        <f>IF(AE314="",0,IF(IFERROR(INDEX(Settings!$J$4:$J$14,MATCH(AI314,Settings!$I$4:$I$14,0)),"N")="Y",1,0))</f>
        <v/>
      </c>
      <c r="AK314" s="32">
        <f>IFERROR(INT(IFERROR(IF(ISNUMBER(INDEX($A314:$Z314,MATCH(Settings!$L$10,$A$1:$Z$1,0))),INDEX($A314:$Z314,MATCH(Settings!$L$10,$A$1:$Z$1,0)),DATE(VALUE(LEFT(IFERROR(TRIM(INDEX($A314:$Z314,MATCH(Settings!$L$10,$A$1:$Z$1,0))&amp;""),""),4)),VALUE(MID(IFERROR(TRIM(INDEX($A314:$Z314,MATCH(Settings!$L$10,$A$1:$Z$1,0))&amp;""),""),6,2)),VALUE(MID(IFERROR(TRIM(INDEX($A314:$Z314,MATCH(Settings!$L$10,$A$1:$Z$1,0))&amp;""),""),9,2)))+TIME(VALUE(MID(IFERROR(TRIM(INDEX($A314:$Z314,MATCH(Settings!$L$10,$A$1:$Z$1,0))&amp;""),""),12,2)),VALUE(MID(IFERROR(TRIM(INDEX($A314:$Z314,MATCH(Settings!$L$10,$A$1:$Z$1,0))&amp;""),""),15,2)),VALUE(MID(IFERROR(TRIM(INDEX($A314:$Z314,MATCH(Settings!$L$10,$A$1:$Z$1,0))&amp;""),""),18,2)))),"")),"")</f>
        <v/>
      </c>
      <c r="AL314" s="32">
        <f>IF(AE314="","",IF(ISNUMBER(AK314),AK314,IFERROR(INT(IFERROR(IF(ISNUMBER(INDEX($A314:$Z314,MATCH(Settings!$L$11,$A$1:$Z$1,0))),INDEX($A314:$Z314,MATCH(Settings!$L$11,$A$1:$Z$1,0)),DATE(VALUE(LEFT(IFERROR(TRIM(INDEX($A314:$Z314,MATCH(Settings!$L$11,$A$1:$Z$1,0))&amp;""),""),4)),VALUE(MID(IFERROR(TRIM(INDEX($A314:$Z314,MATCH(Settings!$L$11,$A$1:$Z$1,0))&amp;""),""),6,2)),VALUE(MID(IFERROR(TRIM(INDEX($A314:$Z314,MATCH(Settings!$L$11,$A$1:$Z$1,0))&amp;""),""),9,2)))+TIME(VALUE(MID(IFERROR(TRIM(INDEX($A314:$Z314,MATCH(Settings!$L$11,$A$1:$Z$1,0))&amp;""),""),12,2)),VALUE(MID(IFERROR(TRIM(INDEX($A314:$Z314,MATCH(Settings!$L$11,$A$1:$Z$1,0))&amp;""),""),15,2)),VALUE(MID(IFERROR(TRIM(INDEX($A314:$Z314,MATCH(Settings!$L$11,$A$1:$Z$1,0))&amp;""),""),18,2)))),"")),"")))</f>
        <v/>
      </c>
      <c r="AM314" s="31">
        <f>IF(AE314="","",IF(ISNUMBER(IFERROR(INDEX(Settings!$G$4:$G$11,MATCH(AH314,Settings!$F$4:$F$11,0)),"")),INDEX(Settings!$G$4:$G$11,MATCH(AH314,Settings!$F$4:$F$11,0)),Settings!$D$5))</f>
        <v/>
      </c>
      <c r="AN314" s="32">
        <f>IF(OR(AE314="",NOT(ISNUMBER(AL314)),NOT(ISNUMBER(AM314))),"",IF(AM314&lt;=0,"",IF(ISNUMBER(Settings!$D$8),DATE(YEAR(AL314)+IF(DATE(YEAR(AL314),MONTH(Settings!$D$8),DAY(Settings!$D$8))&gt;AL314,0,1),MONTH(Settings!$D$8),DAY(Settings!$D$8)),MIN(DATE(YEAR(AL314),MONTH(AL314)+AM314,DAY(AL314)),DATE(YEAR(AL314),MONTH(AL314)+AM314+1,0)))))</f>
        <v/>
      </c>
      <c r="AO314" s="31">
        <f>IF(ISNUMBER(AN314),AN314-Settings!$D$4,"")</f>
        <v/>
      </c>
      <c r="AP314" s="31">
        <f>IF(ISNUMBER(AL314),AL314+0+ROW()/100000,"")</f>
        <v/>
      </c>
      <c r="AQ314" s="31">
        <f>IF(OR(AG314="",NOT(ISNUMBER(AP314))),0,IF(SUMPRODUCT(('Responses'!$AG$2:$AG$501=AG314)*('Responses'!$AJ$2:$AJ$501=1)*ISNUMBER('Responses'!$AP$2:$AP$501)*('Responses'!$AP$2:$AP$501&gt;AP314)) + SUMPRODUCT(('Paper sign-ups'!$K$2:$K$101=AG314)*('Paper sign-ups'!$N$2:$N$101=1)*ISNUMBER('Paper sign-ups'!$T$2:$T$101)*('Paper sign-ups'!$T$2:$T$101&gt;AP314))&gt;0,1,0))</f>
        <v/>
      </c>
      <c r="AR314" s="31">
        <f>IF(AE314="","",IF(AQ314=1,"Joined again",IF(AJ314=0,"Unpaid",IF(NOT(ISNUMBER(AL314)),"Add a join date",IF(AN314="","No reminder",IF(AO314&lt;0,"Lapsed",IF(AO314&lt;=Settings!$D$6,"Remind soon","Current")))))))</f>
        <v/>
      </c>
      <c r="AS314" s="33">
        <f>IF(AJ314=1,IFERROR(VALUE(IFERROR(TRIM(INDEX($A314:$Z314,MATCH(Settings!$L$8,$A$1:$Z$1,0))&amp;""),"")),0)-IFERROR(VALUE(IFERROR(TRIM(INDEX($A314:$Z314,MATCH(Settings!$L$9,$A$1:$Z$1,0))&amp;""),"")),0),0)</f>
        <v/>
      </c>
      <c r="AT314" s="31">
        <f>IF(AND(AE314&lt;&gt;"",AQ314=0),1,0)</f>
        <v/>
      </c>
      <c r="AU314" s="31">
        <f>IF(AT314=0,"",IF(ISNUMBER(AN314),AN314,100000)+0+ROW()/1000000)</f>
        <v/>
      </c>
      <c r="AV314" s="31">
        <f>IF(ISNUMBER(AU314),SUMPRODUCT(ISNUMBER('Responses'!$AU$2:$AU$501)*('Responses'!$AU$2:$AU$501&lt;AU314)) + SUMPRODUCT(ISNUMBER('Paper sign-ups'!$Y$2:$Y$101)*('Paper sign-ups'!$Y$2:$Y$101&lt;AU314))+1,"")</f>
        <v/>
      </c>
    </row>
    <row r="315">
      <c r="AA315" s="29" t="n"/>
      <c r="AB315" s="30" t="n"/>
      <c r="AC315" s="30" t="n"/>
      <c r="AD315" s="29" t="n"/>
      <c r="AE315" s="31">
        <f>IFERROR(TRIM(INDEX($A315:$Z315,MATCH(Settings!$L$4,$A$1:$Z$1,0))&amp;""),"")</f>
        <v/>
      </c>
      <c r="AF315" s="31">
        <f>IFERROR(TRIM(INDEX($A315:$Z315,MATCH(Settings!$L$5,$A$1:$Z$1,0))&amp;""),"")</f>
        <v/>
      </c>
      <c r="AG315" s="31">
        <f>IF(AE315="","",LOWER(IF(AF315&lt;&gt;"",AF315,AE315)))</f>
        <v/>
      </c>
      <c r="AH315" s="31">
        <f>IFERROR(TRIM(INDEX($A315:$Z315,MATCH(Settings!$L$6,$A$1:$Z$1,0))&amp;""),"")</f>
        <v/>
      </c>
      <c r="AI315" s="31">
        <f>IF(AE315="","",IF(UPPER(TRIM(AB315&amp;""))="Y","Paid another way",IF(IFERROR(TRIM(INDEX($A315:$Z315,MATCH(Settings!$L$7,$A$1:$Z$1,0))&amp;""),"")="","No payment status",IFERROR(TRIM(INDEX($A315:$Z315,MATCH(Settings!$L$7,$A$1:$Z$1,0))&amp;""),""))))</f>
        <v/>
      </c>
      <c r="AJ315" s="31">
        <f>IF(AE315="",0,IF(IFERROR(INDEX(Settings!$J$4:$J$14,MATCH(AI315,Settings!$I$4:$I$14,0)),"N")="Y",1,0))</f>
        <v/>
      </c>
      <c r="AK315" s="32">
        <f>IFERROR(INT(IFERROR(IF(ISNUMBER(INDEX($A315:$Z315,MATCH(Settings!$L$10,$A$1:$Z$1,0))),INDEX($A315:$Z315,MATCH(Settings!$L$10,$A$1:$Z$1,0)),DATE(VALUE(LEFT(IFERROR(TRIM(INDEX($A315:$Z315,MATCH(Settings!$L$10,$A$1:$Z$1,0))&amp;""),""),4)),VALUE(MID(IFERROR(TRIM(INDEX($A315:$Z315,MATCH(Settings!$L$10,$A$1:$Z$1,0))&amp;""),""),6,2)),VALUE(MID(IFERROR(TRIM(INDEX($A315:$Z315,MATCH(Settings!$L$10,$A$1:$Z$1,0))&amp;""),""),9,2)))+TIME(VALUE(MID(IFERROR(TRIM(INDEX($A315:$Z315,MATCH(Settings!$L$10,$A$1:$Z$1,0))&amp;""),""),12,2)),VALUE(MID(IFERROR(TRIM(INDEX($A315:$Z315,MATCH(Settings!$L$10,$A$1:$Z$1,0))&amp;""),""),15,2)),VALUE(MID(IFERROR(TRIM(INDEX($A315:$Z315,MATCH(Settings!$L$10,$A$1:$Z$1,0))&amp;""),""),18,2)))),"")),"")</f>
        <v/>
      </c>
      <c r="AL315" s="32">
        <f>IF(AE315="","",IF(ISNUMBER(AK315),AK315,IFERROR(INT(IFERROR(IF(ISNUMBER(INDEX($A315:$Z315,MATCH(Settings!$L$11,$A$1:$Z$1,0))),INDEX($A315:$Z315,MATCH(Settings!$L$11,$A$1:$Z$1,0)),DATE(VALUE(LEFT(IFERROR(TRIM(INDEX($A315:$Z315,MATCH(Settings!$L$11,$A$1:$Z$1,0))&amp;""),""),4)),VALUE(MID(IFERROR(TRIM(INDEX($A315:$Z315,MATCH(Settings!$L$11,$A$1:$Z$1,0))&amp;""),""),6,2)),VALUE(MID(IFERROR(TRIM(INDEX($A315:$Z315,MATCH(Settings!$L$11,$A$1:$Z$1,0))&amp;""),""),9,2)))+TIME(VALUE(MID(IFERROR(TRIM(INDEX($A315:$Z315,MATCH(Settings!$L$11,$A$1:$Z$1,0))&amp;""),""),12,2)),VALUE(MID(IFERROR(TRIM(INDEX($A315:$Z315,MATCH(Settings!$L$11,$A$1:$Z$1,0))&amp;""),""),15,2)),VALUE(MID(IFERROR(TRIM(INDEX($A315:$Z315,MATCH(Settings!$L$11,$A$1:$Z$1,0))&amp;""),""),18,2)))),"")),"")))</f>
        <v/>
      </c>
      <c r="AM315" s="31">
        <f>IF(AE315="","",IF(ISNUMBER(IFERROR(INDEX(Settings!$G$4:$G$11,MATCH(AH315,Settings!$F$4:$F$11,0)),"")),INDEX(Settings!$G$4:$G$11,MATCH(AH315,Settings!$F$4:$F$11,0)),Settings!$D$5))</f>
        <v/>
      </c>
      <c r="AN315" s="32">
        <f>IF(OR(AE315="",NOT(ISNUMBER(AL315)),NOT(ISNUMBER(AM315))),"",IF(AM315&lt;=0,"",IF(ISNUMBER(Settings!$D$8),DATE(YEAR(AL315)+IF(DATE(YEAR(AL315),MONTH(Settings!$D$8),DAY(Settings!$D$8))&gt;AL315,0,1),MONTH(Settings!$D$8),DAY(Settings!$D$8)),MIN(DATE(YEAR(AL315),MONTH(AL315)+AM315,DAY(AL315)),DATE(YEAR(AL315),MONTH(AL315)+AM315+1,0)))))</f>
        <v/>
      </c>
      <c r="AO315" s="31">
        <f>IF(ISNUMBER(AN315),AN315-Settings!$D$4,"")</f>
        <v/>
      </c>
      <c r="AP315" s="31">
        <f>IF(ISNUMBER(AL315),AL315+0+ROW()/100000,"")</f>
        <v/>
      </c>
      <c r="AQ315" s="31">
        <f>IF(OR(AG315="",NOT(ISNUMBER(AP315))),0,IF(SUMPRODUCT(('Responses'!$AG$2:$AG$501=AG315)*('Responses'!$AJ$2:$AJ$501=1)*ISNUMBER('Responses'!$AP$2:$AP$501)*('Responses'!$AP$2:$AP$501&gt;AP315)) + SUMPRODUCT(('Paper sign-ups'!$K$2:$K$101=AG315)*('Paper sign-ups'!$N$2:$N$101=1)*ISNUMBER('Paper sign-ups'!$T$2:$T$101)*('Paper sign-ups'!$T$2:$T$101&gt;AP315))&gt;0,1,0))</f>
        <v/>
      </c>
      <c r="AR315" s="31">
        <f>IF(AE315="","",IF(AQ315=1,"Joined again",IF(AJ315=0,"Unpaid",IF(NOT(ISNUMBER(AL315)),"Add a join date",IF(AN315="","No reminder",IF(AO315&lt;0,"Lapsed",IF(AO315&lt;=Settings!$D$6,"Remind soon","Current")))))))</f>
        <v/>
      </c>
      <c r="AS315" s="33">
        <f>IF(AJ315=1,IFERROR(VALUE(IFERROR(TRIM(INDEX($A315:$Z315,MATCH(Settings!$L$8,$A$1:$Z$1,0))&amp;""),"")),0)-IFERROR(VALUE(IFERROR(TRIM(INDEX($A315:$Z315,MATCH(Settings!$L$9,$A$1:$Z$1,0))&amp;""),"")),0),0)</f>
        <v/>
      </c>
      <c r="AT315" s="31">
        <f>IF(AND(AE315&lt;&gt;"",AQ315=0),1,0)</f>
        <v/>
      </c>
      <c r="AU315" s="31">
        <f>IF(AT315=0,"",IF(ISNUMBER(AN315),AN315,100000)+0+ROW()/1000000)</f>
        <v/>
      </c>
      <c r="AV315" s="31">
        <f>IF(ISNUMBER(AU315),SUMPRODUCT(ISNUMBER('Responses'!$AU$2:$AU$501)*('Responses'!$AU$2:$AU$501&lt;AU315)) + SUMPRODUCT(ISNUMBER('Paper sign-ups'!$Y$2:$Y$101)*('Paper sign-ups'!$Y$2:$Y$101&lt;AU315))+1,"")</f>
        <v/>
      </c>
    </row>
    <row r="316">
      <c r="AA316" s="29" t="n"/>
      <c r="AB316" s="30" t="n"/>
      <c r="AC316" s="30" t="n"/>
      <c r="AD316" s="29" t="n"/>
      <c r="AE316" s="31">
        <f>IFERROR(TRIM(INDEX($A316:$Z316,MATCH(Settings!$L$4,$A$1:$Z$1,0))&amp;""),"")</f>
        <v/>
      </c>
      <c r="AF316" s="31">
        <f>IFERROR(TRIM(INDEX($A316:$Z316,MATCH(Settings!$L$5,$A$1:$Z$1,0))&amp;""),"")</f>
        <v/>
      </c>
      <c r="AG316" s="31">
        <f>IF(AE316="","",LOWER(IF(AF316&lt;&gt;"",AF316,AE316)))</f>
        <v/>
      </c>
      <c r="AH316" s="31">
        <f>IFERROR(TRIM(INDEX($A316:$Z316,MATCH(Settings!$L$6,$A$1:$Z$1,0))&amp;""),"")</f>
        <v/>
      </c>
      <c r="AI316" s="31">
        <f>IF(AE316="","",IF(UPPER(TRIM(AB316&amp;""))="Y","Paid another way",IF(IFERROR(TRIM(INDEX($A316:$Z316,MATCH(Settings!$L$7,$A$1:$Z$1,0))&amp;""),"")="","No payment status",IFERROR(TRIM(INDEX($A316:$Z316,MATCH(Settings!$L$7,$A$1:$Z$1,0))&amp;""),""))))</f>
        <v/>
      </c>
      <c r="AJ316" s="31">
        <f>IF(AE316="",0,IF(IFERROR(INDEX(Settings!$J$4:$J$14,MATCH(AI316,Settings!$I$4:$I$14,0)),"N")="Y",1,0))</f>
        <v/>
      </c>
      <c r="AK316" s="32">
        <f>IFERROR(INT(IFERROR(IF(ISNUMBER(INDEX($A316:$Z316,MATCH(Settings!$L$10,$A$1:$Z$1,0))),INDEX($A316:$Z316,MATCH(Settings!$L$10,$A$1:$Z$1,0)),DATE(VALUE(LEFT(IFERROR(TRIM(INDEX($A316:$Z316,MATCH(Settings!$L$10,$A$1:$Z$1,0))&amp;""),""),4)),VALUE(MID(IFERROR(TRIM(INDEX($A316:$Z316,MATCH(Settings!$L$10,$A$1:$Z$1,0))&amp;""),""),6,2)),VALUE(MID(IFERROR(TRIM(INDEX($A316:$Z316,MATCH(Settings!$L$10,$A$1:$Z$1,0))&amp;""),""),9,2)))+TIME(VALUE(MID(IFERROR(TRIM(INDEX($A316:$Z316,MATCH(Settings!$L$10,$A$1:$Z$1,0))&amp;""),""),12,2)),VALUE(MID(IFERROR(TRIM(INDEX($A316:$Z316,MATCH(Settings!$L$10,$A$1:$Z$1,0))&amp;""),""),15,2)),VALUE(MID(IFERROR(TRIM(INDEX($A316:$Z316,MATCH(Settings!$L$10,$A$1:$Z$1,0))&amp;""),""),18,2)))),"")),"")</f>
        <v/>
      </c>
      <c r="AL316" s="32">
        <f>IF(AE316="","",IF(ISNUMBER(AK316),AK316,IFERROR(INT(IFERROR(IF(ISNUMBER(INDEX($A316:$Z316,MATCH(Settings!$L$11,$A$1:$Z$1,0))),INDEX($A316:$Z316,MATCH(Settings!$L$11,$A$1:$Z$1,0)),DATE(VALUE(LEFT(IFERROR(TRIM(INDEX($A316:$Z316,MATCH(Settings!$L$11,$A$1:$Z$1,0))&amp;""),""),4)),VALUE(MID(IFERROR(TRIM(INDEX($A316:$Z316,MATCH(Settings!$L$11,$A$1:$Z$1,0))&amp;""),""),6,2)),VALUE(MID(IFERROR(TRIM(INDEX($A316:$Z316,MATCH(Settings!$L$11,$A$1:$Z$1,0))&amp;""),""),9,2)))+TIME(VALUE(MID(IFERROR(TRIM(INDEX($A316:$Z316,MATCH(Settings!$L$11,$A$1:$Z$1,0))&amp;""),""),12,2)),VALUE(MID(IFERROR(TRIM(INDEX($A316:$Z316,MATCH(Settings!$L$11,$A$1:$Z$1,0))&amp;""),""),15,2)),VALUE(MID(IFERROR(TRIM(INDEX($A316:$Z316,MATCH(Settings!$L$11,$A$1:$Z$1,0))&amp;""),""),18,2)))),"")),"")))</f>
        <v/>
      </c>
      <c r="AM316" s="31">
        <f>IF(AE316="","",IF(ISNUMBER(IFERROR(INDEX(Settings!$G$4:$G$11,MATCH(AH316,Settings!$F$4:$F$11,0)),"")),INDEX(Settings!$G$4:$G$11,MATCH(AH316,Settings!$F$4:$F$11,0)),Settings!$D$5))</f>
        <v/>
      </c>
      <c r="AN316" s="32">
        <f>IF(OR(AE316="",NOT(ISNUMBER(AL316)),NOT(ISNUMBER(AM316))),"",IF(AM316&lt;=0,"",IF(ISNUMBER(Settings!$D$8),DATE(YEAR(AL316)+IF(DATE(YEAR(AL316),MONTH(Settings!$D$8),DAY(Settings!$D$8))&gt;AL316,0,1),MONTH(Settings!$D$8),DAY(Settings!$D$8)),MIN(DATE(YEAR(AL316),MONTH(AL316)+AM316,DAY(AL316)),DATE(YEAR(AL316),MONTH(AL316)+AM316+1,0)))))</f>
        <v/>
      </c>
      <c r="AO316" s="31">
        <f>IF(ISNUMBER(AN316),AN316-Settings!$D$4,"")</f>
        <v/>
      </c>
      <c r="AP316" s="31">
        <f>IF(ISNUMBER(AL316),AL316+0+ROW()/100000,"")</f>
        <v/>
      </c>
      <c r="AQ316" s="31">
        <f>IF(OR(AG316="",NOT(ISNUMBER(AP316))),0,IF(SUMPRODUCT(('Responses'!$AG$2:$AG$501=AG316)*('Responses'!$AJ$2:$AJ$501=1)*ISNUMBER('Responses'!$AP$2:$AP$501)*('Responses'!$AP$2:$AP$501&gt;AP316)) + SUMPRODUCT(('Paper sign-ups'!$K$2:$K$101=AG316)*('Paper sign-ups'!$N$2:$N$101=1)*ISNUMBER('Paper sign-ups'!$T$2:$T$101)*('Paper sign-ups'!$T$2:$T$101&gt;AP316))&gt;0,1,0))</f>
        <v/>
      </c>
      <c r="AR316" s="31">
        <f>IF(AE316="","",IF(AQ316=1,"Joined again",IF(AJ316=0,"Unpaid",IF(NOT(ISNUMBER(AL316)),"Add a join date",IF(AN316="","No reminder",IF(AO316&lt;0,"Lapsed",IF(AO316&lt;=Settings!$D$6,"Remind soon","Current")))))))</f>
        <v/>
      </c>
      <c r="AS316" s="33">
        <f>IF(AJ316=1,IFERROR(VALUE(IFERROR(TRIM(INDEX($A316:$Z316,MATCH(Settings!$L$8,$A$1:$Z$1,0))&amp;""),"")),0)-IFERROR(VALUE(IFERROR(TRIM(INDEX($A316:$Z316,MATCH(Settings!$L$9,$A$1:$Z$1,0))&amp;""),"")),0),0)</f>
        <v/>
      </c>
      <c r="AT316" s="31">
        <f>IF(AND(AE316&lt;&gt;"",AQ316=0),1,0)</f>
        <v/>
      </c>
      <c r="AU316" s="31">
        <f>IF(AT316=0,"",IF(ISNUMBER(AN316),AN316,100000)+0+ROW()/1000000)</f>
        <v/>
      </c>
      <c r="AV316" s="31">
        <f>IF(ISNUMBER(AU316),SUMPRODUCT(ISNUMBER('Responses'!$AU$2:$AU$501)*('Responses'!$AU$2:$AU$501&lt;AU316)) + SUMPRODUCT(ISNUMBER('Paper sign-ups'!$Y$2:$Y$101)*('Paper sign-ups'!$Y$2:$Y$101&lt;AU316))+1,"")</f>
        <v/>
      </c>
    </row>
    <row r="317">
      <c r="AA317" s="29" t="n"/>
      <c r="AB317" s="30" t="n"/>
      <c r="AC317" s="30" t="n"/>
      <c r="AD317" s="29" t="n"/>
      <c r="AE317" s="31">
        <f>IFERROR(TRIM(INDEX($A317:$Z317,MATCH(Settings!$L$4,$A$1:$Z$1,0))&amp;""),"")</f>
        <v/>
      </c>
      <c r="AF317" s="31">
        <f>IFERROR(TRIM(INDEX($A317:$Z317,MATCH(Settings!$L$5,$A$1:$Z$1,0))&amp;""),"")</f>
        <v/>
      </c>
      <c r="AG317" s="31">
        <f>IF(AE317="","",LOWER(IF(AF317&lt;&gt;"",AF317,AE317)))</f>
        <v/>
      </c>
      <c r="AH317" s="31">
        <f>IFERROR(TRIM(INDEX($A317:$Z317,MATCH(Settings!$L$6,$A$1:$Z$1,0))&amp;""),"")</f>
        <v/>
      </c>
      <c r="AI317" s="31">
        <f>IF(AE317="","",IF(UPPER(TRIM(AB317&amp;""))="Y","Paid another way",IF(IFERROR(TRIM(INDEX($A317:$Z317,MATCH(Settings!$L$7,$A$1:$Z$1,0))&amp;""),"")="","No payment status",IFERROR(TRIM(INDEX($A317:$Z317,MATCH(Settings!$L$7,$A$1:$Z$1,0))&amp;""),""))))</f>
        <v/>
      </c>
      <c r="AJ317" s="31">
        <f>IF(AE317="",0,IF(IFERROR(INDEX(Settings!$J$4:$J$14,MATCH(AI317,Settings!$I$4:$I$14,0)),"N")="Y",1,0))</f>
        <v/>
      </c>
      <c r="AK317" s="32">
        <f>IFERROR(INT(IFERROR(IF(ISNUMBER(INDEX($A317:$Z317,MATCH(Settings!$L$10,$A$1:$Z$1,0))),INDEX($A317:$Z317,MATCH(Settings!$L$10,$A$1:$Z$1,0)),DATE(VALUE(LEFT(IFERROR(TRIM(INDEX($A317:$Z317,MATCH(Settings!$L$10,$A$1:$Z$1,0))&amp;""),""),4)),VALUE(MID(IFERROR(TRIM(INDEX($A317:$Z317,MATCH(Settings!$L$10,$A$1:$Z$1,0))&amp;""),""),6,2)),VALUE(MID(IFERROR(TRIM(INDEX($A317:$Z317,MATCH(Settings!$L$10,$A$1:$Z$1,0))&amp;""),""),9,2)))+TIME(VALUE(MID(IFERROR(TRIM(INDEX($A317:$Z317,MATCH(Settings!$L$10,$A$1:$Z$1,0))&amp;""),""),12,2)),VALUE(MID(IFERROR(TRIM(INDEX($A317:$Z317,MATCH(Settings!$L$10,$A$1:$Z$1,0))&amp;""),""),15,2)),VALUE(MID(IFERROR(TRIM(INDEX($A317:$Z317,MATCH(Settings!$L$10,$A$1:$Z$1,0))&amp;""),""),18,2)))),"")),"")</f>
        <v/>
      </c>
      <c r="AL317" s="32">
        <f>IF(AE317="","",IF(ISNUMBER(AK317),AK317,IFERROR(INT(IFERROR(IF(ISNUMBER(INDEX($A317:$Z317,MATCH(Settings!$L$11,$A$1:$Z$1,0))),INDEX($A317:$Z317,MATCH(Settings!$L$11,$A$1:$Z$1,0)),DATE(VALUE(LEFT(IFERROR(TRIM(INDEX($A317:$Z317,MATCH(Settings!$L$11,$A$1:$Z$1,0))&amp;""),""),4)),VALUE(MID(IFERROR(TRIM(INDEX($A317:$Z317,MATCH(Settings!$L$11,$A$1:$Z$1,0))&amp;""),""),6,2)),VALUE(MID(IFERROR(TRIM(INDEX($A317:$Z317,MATCH(Settings!$L$11,$A$1:$Z$1,0))&amp;""),""),9,2)))+TIME(VALUE(MID(IFERROR(TRIM(INDEX($A317:$Z317,MATCH(Settings!$L$11,$A$1:$Z$1,0))&amp;""),""),12,2)),VALUE(MID(IFERROR(TRIM(INDEX($A317:$Z317,MATCH(Settings!$L$11,$A$1:$Z$1,0))&amp;""),""),15,2)),VALUE(MID(IFERROR(TRIM(INDEX($A317:$Z317,MATCH(Settings!$L$11,$A$1:$Z$1,0))&amp;""),""),18,2)))),"")),"")))</f>
        <v/>
      </c>
      <c r="AM317" s="31">
        <f>IF(AE317="","",IF(ISNUMBER(IFERROR(INDEX(Settings!$G$4:$G$11,MATCH(AH317,Settings!$F$4:$F$11,0)),"")),INDEX(Settings!$G$4:$G$11,MATCH(AH317,Settings!$F$4:$F$11,0)),Settings!$D$5))</f>
        <v/>
      </c>
      <c r="AN317" s="32">
        <f>IF(OR(AE317="",NOT(ISNUMBER(AL317)),NOT(ISNUMBER(AM317))),"",IF(AM317&lt;=0,"",IF(ISNUMBER(Settings!$D$8),DATE(YEAR(AL317)+IF(DATE(YEAR(AL317),MONTH(Settings!$D$8),DAY(Settings!$D$8))&gt;AL317,0,1),MONTH(Settings!$D$8),DAY(Settings!$D$8)),MIN(DATE(YEAR(AL317),MONTH(AL317)+AM317,DAY(AL317)),DATE(YEAR(AL317),MONTH(AL317)+AM317+1,0)))))</f>
        <v/>
      </c>
      <c r="AO317" s="31">
        <f>IF(ISNUMBER(AN317),AN317-Settings!$D$4,"")</f>
        <v/>
      </c>
      <c r="AP317" s="31">
        <f>IF(ISNUMBER(AL317),AL317+0+ROW()/100000,"")</f>
        <v/>
      </c>
      <c r="AQ317" s="31">
        <f>IF(OR(AG317="",NOT(ISNUMBER(AP317))),0,IF(SUMPRODUCT(('Responses'!$AG$2:$AG$501=AG317)*('Responses'!$AJ$2:$AJ$501=1)*ISNUMBER('Responses'!$AP$2:$AP$501)*('Responses'!$AP$2:$AP$501&gt;AP317)) + SUMPRODUCT(('Paper sign-ups'!$K$2:$K$101=AG317)*('Paper sign-ups'!$N$2:$N$101=1)*ISNUMBER('Paper sign-ups'!$T$2:$T$101)*('Paper sign-ups'!$T$2:$T$101&gt;AP317))&gt;0,1,0))</f>
        <v/>
      </c>
      <c r="AR317" s="31">
        <f>IF(AE317="","",IF(AQ317=1,"Joined again",IF(AJ317=0,"Unpaid",IF(NOT(ISNUMBER(AL317)),"Add a join date",IF(AN317="","No reminder",IF(AO317&lt;0,"Lapsed",IF(AO317&lt;=Settings!$D$6,"Remind soon","Current")))))))</f>
        <v/>
      </c>
      <c r="AS317" s="33">
        <f>IF(AJ317=1,IFERROR(VALUE(IFERROR(TRIM(INDEX($A317:$Z317,MATCH(Settings!$L$8,$A$1:$Z$1,0))&amp;""),"")),0)-IFERROR(VALUE(IFERROR(TRIM(INDEX($A317:$Z317,MATCH(Settings!$L$9,$A$1:$Z$1,0))&amp;""),"")),0),0)</f>
        <v/>
      </c>
      <c r="AT317" s="31">
        <f>IF(AND(AE317&lt;&gt;"",AQ317=0),1,0)</f>
        <v/>
      </c>
      <c r="AU317" s="31">
        <f>IF(AT317=0,"",IF(ISNUMBER(AN317),AN317,100000)+0+ROW()/1000000)</f>
        <v/>
      </c>
      <c r="AV317" s="31">
        <f>IF(ISNUMBER(AU317),SUMPRODUCT(ISNUMBER('Responses'!$AU$2:$AU$501)*('Responses'!$AU$2:$AU$501&lt;AU317)) + SUMPRODUCT(ISNUMBER('Paper sign-ups'!$Y$2:$Y$101)*('Paper sign-ups'!$Y$2:$Y$101&lt;AU317))+1,"")</f>
        <v/>
      </c>
    </row>
    <row r="318">
      <c r="AA318" s="29" t="n"/>
      <c r="AB318" s="30" t="n"/>
      <c r="AC318" s="30" t="n"/>
      <c r="AD318" s="29" t="n"/>
      <c r="AE318" s="31">
        <f>IFERROR(TRIM(INDEX($A318:$Z318,MATCH(Settings!$L$4,$A$1:$Z$1,0))&amp;""),"")</f>
        <v/>
      </c>
      <c r="AF318" s="31">
        <f>IFERROR(TRIM(INDEX($A318:$Z318,MATCH(Settings!$L$5,$A$1:$Z$1,0))&amp;""),"")</f>
        <v/>
      </c>
      <c r="AG318" s="31">
        <f>IF(AE318="","",LOWER(IF(AF318&lt;&gt;"",AF318,AE318)))</f>
        <v/>
      </c>
      <c r="AH318" s="31">
        <f>IFERROR(TRIM(INDEX($A318:$Z318,MATCH(Settings!$L$6,$A$1:$Z$1,0))&amp;""),"")</f>
        <v/>
      </c>
      <c r="AI318" s="31">
        <f>IF(AE318="","",IF(UPPER(TRIM(AB318&amp;""))="Y","Paid another way",IF(IFERROR(TRIM(INDEX($A318:$Z318,MATCH(Settings!$L$7,$A$1:$Z$1,0))&amp;""),"")="","No payment status",IFERROR(TRIM(INDEX($A318:$Z318,MATCH(Settings!$L$7,$A$1:$Z$1,0))&amp;""),""))))</f>
        <v/>
      </c>
      <c r="AJ318" s="31">
        <f>IF(AE318="",0,IF(IFERROR(INDEX(Settings!$J$4:$J$14,MATCH(AI318,Settings!$I$4:$I$14,0)),"N")="Y",1,0))</f>
        <v/>
      </c>
      <c r="AK318" s="32">
        <f>IFERROR(INT(IFERROR(IF(ISNUMBER(INDEX($A318:$Z318,MATCH(Settings!$L$10,$A$1:$Z$1,0))),INDEX($A318:$Z318,MATCH(Settings!$L$10,$A$1:$Z$1,0)),DATE(VALUE(LEFT(IFERROR(TRIM(INDEX($A318:$Z318,MATCH(Settings!$L$10,$A$1:$Z$1,0))&amp;""),""),4)),VALUE(MID(IFERROR(TRIM(INDEX($A318:$Z318,MATCH(Settings!$L$10,$A$1:$Z$1,0))&amp;""),""),6,2)),VALUE(MID(IFERROR(TRIM(INDEX($A318:$Z318,MATCH(Settings!$L$10,$A$1:$Z$1,0))&amp;""),""),9,2)))+TIME(VALUE(MID(IFERROR(TRIM(INDEX($A318:$Z318,MATCH(Settings!$L$10,$A$1:$Z$1,0))&amp;""),""),12,2)),VALUE(MID(IFERROR(TRIM(INDEX($A318:$Z318,MATCH(Settings!$L$10,$A$1:$Z$1,0))&amp;""),""),15,2)),VALUE(MID(IFERROR(TRIM(INDEX($A318:$Z318,MATCH(Settings!$L$10,$A$1:$Z$1,0))&amp;""),""),18,2)))),"")),"")</f>
        <v/>
      </c>
      <c r="AL318" s="32">
        <f>IF(AE318="","",IF(ISNUMBER(AK318),AK318,IFERROR(INT(IFERROR(IF(ISNUMBER(INDEX($A318:$Z318,MATCH(Settings!$L$11,$A$1:$Z$1,0))),INDEX($A318:$Z318,MATCH(Settings!$L$11,$A$1:$Z$1,0)),DATE(VALUE(LEFT(IFERROR(TRIM(INDEX($A318:$Z318,MATCH(Settings!$L$11,$A$1:$Z$1,0))&amp;""),""),4)),VALUE(MID(IFERROR(TRIM(INDEX($A318:$Z318,MATCH(Settings!$L$11,$A$1:$Z$1,0))&amp;""),""),6,2)),VALUE(MID(IFERROR(TRIM(INDEX($A318:$Z318,MATCH(Settings!$L$11,$A$1:$Z$1,0))&amp;""),""),9,2)))+TIME(VALUE(MID(IFERROR(TRIM(INDEX($A318:$Z318,MATCH(Settings!$L$11,$A$1:$Z$1,0))&amp;""),""),12,2)),VALUE(MID(IFERROR(TRIM(INDEX($A318:$Z318,MATCH(Settings!$L$11,$A$1:$Z$1,0))&amp;""),""),15,2)),VALUE(MID(IFERROR(TRIM(INDEX($A318:$Z318,MATCH(Settings!$L$11,$A$1:$Z$1,0))&amp;""),""),18,2)))),"")),"")))</f>
        <v/>
      </c>
      <c r="AM318" s="31">
        <f>IF(AE318="","",IF(ISNUMBER(IFERROR(INDEX(Settings!$G$4:$G$11,MATCH(AH318,Settings!$F$4:$F$11,0)),"")),INDEX(Settings!$G$4:$G$11,MATCH(AH318,Settings!$F$4:$F$11,0)),Settings!$D$5))</f>
        <v/>
      </c>
      <c r="AN318" s="32">
        <f>IF(OR(AE318="",NOT(ISNUMBER(AL318)),NOT(ISNUMBER(AM318))),"",IF(AM318&lt;=0,"",IF(ISNUMBER(Settings!$D$8),DATE(YEAR(AL318)+IF(DATE(YEAR(AL318),MONTH(Settings!$D$8),DAY(Settings!$D$8))&gt;AL318,0,1),MONTH(Settings!$D$8),DAY(Settings!$D$8)),MIN(DATE(YEAR(AL318),MONTH(AL318)+AM318,DAY(AL318)),DATE(YEAR(AL318),MONTH(AL318)+AM318+1,0)))))</f>
        <v/>
      </c>
      <c r="AO318" s="31">
        <f>IF(ISNUMBER(AN318),AN318-Settings!$D$4,"")</f>
        <v/>
      </c>
      <c r="AP318" s="31">
        <f>IF(ISNUMBER(AL318),AL318+0+ROW()/100000,"")</f>
        <v/>
      </c>
      <c r="AQ318" s="31">
        <f>IF(OR(AG318="",NOT(ISNUMBER(AP318))),0,IF(SUMPRODUCT(('Responses'!$AG$2:$AG$501=AG318)*('Responses'!$AJ$2:$AJ$501=1)*ISNUMBER('Responses'!$AP$2:$AP$501)*('Responses'!$AP$2:$AP$501&gt;AP318)) + SUMPRODUCT(('Paper sign-ups'!$K$2:$K$101=AG318)*('Paper sign-ups'!$N$2:$N$101=1)*ISNUMBER('Paper sign-ups'!$T$2:$T$101)*('Paper sign-ups'!$T$2:$T$101&gt;AP318))&gt;0,1,0))</f>
        <v/>
      </c>
      <c r="AR318" s="31">
        <f>IF(AE318="","",IF(AQ318=1,"Joined again",IF(AJ318=0,"Unpaid",IF(NOT(ISNUMBER(AL318)),"Add a join date",IF(AN318="","No reminder",IF(AO318&lt;0,"Lapsed",IF(AO318&lt;=Settings!$D$6,"Remind soon","Current")))))))</f>
        <v/>
      </c>
      <c r="AS318" s="33">
        <f>IF(AJ318=1,IFERROR(VALUE(IFERROR(TRIM(INDEX($A318:$Z318,MATCH(Settings!$L$8,$A$1:$Z$1,0))&amp;""),"")),0)-IFERROR(VALUE(IFERROR(TRIM(INDEX($A318:$Z318,MATCH(Settings!$L$9,$A$1:$Z$1,0))&amp;""),"")),0),0)</f>
        <v/>
      </c>
      <c r="AT318" s="31">
        <f>IF(AND(AE318&lt;&gt;"",AQ318=0),1,0)</f>
        <v/>
      </c>
      <c r="AU318" s="31">
        <f>IF(AT318=0,"",IF(ISNUMBER(AN318),AN318,100000)+0+ROW()/1000000)</f>
        <v/>
      </c>
      <c r="AV318" s="31">
        <f>IF(ISNUMBER(AU318),SUMPRODUCT(ISNUMBER('Responses'!$AU$2:$AU$501)*('Responses'!$AU$2:$AU$501&lt;AU318)) + SUMPRODUCT(ISNUMBER('Paper sign-ups'!$Y$2:$Y$101)*('Paper sign-ups'!$Y$2:$Y$101&lt;AU318))+1,"")</f>
        <v/>
      </c>
    </row>
    <row r="319">
      <c r="AA319" s="29" t="n"/>
      <c r="AB319" s="30" t="n"/>
      <c r="AC319" s="30" t="n"/>
      <c r="AD319" s="29" t="n"/>
      <c r="AE319" s="31">
        <f>IFERROR(TRIM(INDEX($A319:$Z319,MATCH(Settings!$L$4,$A$1:$Z$1,0))&amp;""),"")</f>
        <v/>
      </c>
      <c r="AF319" s="31">
        <f>IFERROR(TRIM(INDEX($A319:$Z319,MATCH(Settings!$L$5,$A$1:$Z$1,0))&amp;""),"")</f>
        <v/>
      </c>
      <c r="AG319" s="31">
        <f>IF(AE319="","",LOWER(IF(AF319&lt;&gt;"",AF319,AE319)))</f>
        <v/>
      </c>
      <c r="AH319" s="31">
        <f>IFERROR(TRIM(INDEX($A319:$Z319,MATCH(Settings!$L$6,$A$1:$Z$1,0))&amp;""),"")</f>
        <v/>
      </c>
      <c r="AI319" s="31">
        <f>IF(AE319="","",IF(UPPER(TRIM(AB319&amp;""))="Y","Paid another way",IF(IFERROR(TRIM(INDEX($A319:$Z319,MATCH(Settings!$L$7,$A$1:$Z$1,0))&amp;""),"")="","No payment status",IFERROR(TRIM(INDEX($A319:$Z319,MATCH(Settings!$L$7,$A$1:$Z$1,0))&amp;""),""))))</f>
        <v/>
      </c>
      <c r="AJ319" s="31">
        <f>IF(AE319="",0,IF(IFERROR(INDEX(Settings!$J$4:$J$14,MATCH(AI319,Settings!$I$4:$I$14,0)),"N")="Y",1,0))</f>
        <v/>
      </c>
      <c r="AK319" s="32">
        <f>IFERROR(INT(IFERROR(IF(ISNUMBER(INDEX($A319:$Z319,MATCH(Settings!$L$10,$A$1:$Z$1,0))),INDEX($A319:$Z319,MATCH(Settings!$L$10,$A$1:$Z$1,0)),DATE(VALUE(LEFT(IFERROR(TRIM(INDEX($A319:$Z319,MATCH(Settings!$L$10,$A$1:$Z$1,0))&amp;""),""),4)),VALUE(MID(IFERROR(TRIM(INDEX($A319:$Z319,MATCH(Settings!$L$10,$A$1:$Z$1,0))&amp;""),""),6,2)),VALUE(MID(IFERROR(TRIM(INDEX($A319:$Z319,MATCH(Settings!$L$10,$A$1:$Z$1,0))&amp;""),""),9,2)))+TIME(VALUE(MID(IFERROR(TRIM(INDEX($A319:$Z319,MATCH(Settings!$L$10,$A$1:$Z$1,0))&amp;""),""),12,2)),VALUE(MID(IFERROR(TRIM(INDEX($A319:$Z319,MATCH(Settings!$L$10,$A$1:$Z$1,0))&amp;""),""),15,2)),VALUE(MID(IFERROR(TRIM(INDEX($A319:$Z319,MATCH(Settings!$L$10,$A$1:$Z$1,0))&amp;""),""),18,2)))),"")),"")</f>
        <v/>
      </c>
      <c r="AL319" s="32">
        <f>IF(AE319="","",IF(ISNUMBER(AK319),AK319,IFERROR(INT(IFERROR(IF(ISNUMBER(INDEX($A319:$Z319,MATCH(Settings!$L$11,$A$1:$Z$1,0))),INDEX($A319:$Z319,MATCH(Settings!$L$11,$A$1:$Z$1,0)),DATE(VALUE(LEFT(IFERROR(TRIM(INDEX($A319:$Z319,MATCH(Settings!$L$11,$A$1:$Z$1,0))&amp;""),""),4)),VALUE(MID(IFERROR(TRIM(INDEX($A319:$Z319,MATCH(Settings!$L$11,$A$1:$Z$1,0))&amp;""),""),6,2)),VALUE(MID(IFERROR(TRIM(INDEX($A319:$Z319,MATCH(Settings!$L$11,$A$1:$Z$1,0))&amp;""),""),9,2)))+TIME(VALUE(MID(IFERROR(TRIM(INDEX($A319:$Z319,MATCH(Settings!$L$11,$A$1:$Z$1,0))&amp;""),""),12,2)),VALUE(MID(IFERROR(TRIM(INDEX($A319:$Z319,MATCH(Settings!$L$11,$A$1:$Z$1,0))&amp;""),""),15,2)),VALUE(MID(IFERROR(TRIM(INDEX($A319:$Z319,MATCH(Settings!$L$11,$A$1:$Z$1,0))&amp;""),""),18,2)))),"")),"")))</f>
        <v/>
      </c>
      <c r="AM319" s="31">
        <f>IF(AE319="","",IF(ISNUMBER(IFERROR(INDEX(Settings!$G$4:$G$11,MATCH(AH319,Settings!$F$4:$F$11,0)),"")),INDEX(Settings!$G$4:$G$11,MATCH(AH319,Settings!$F$4:$F$11,0)),Settings!$D$5))</f>
        <v/>
      </c>
      <c r="AN319" s="32">
        <f>IF(OR(AE319="",NOT(ISNUMBER(AL319)),NOT(ISNUMBER(AM319))),"",IF(AM319&lt;=0,"",IF(ISNUMBER(Settings!$D$8),DATE(YEAR(AL319)+IF(DATE(YEAR(AL319),MONTH(Settings!$D$8),DAY(Settings!$D$8))&gt;AL319,0,1),MONTH(Settings!$D$8),DAY(Settings!$D$8)),MIN(DATE(YEAR(AL319),MONTH(AL319)+AM319,DAY(AL319)),DATE(YEAR(AL319),MONTH(AL319)+AM319+1,0)))))</f>
        <v/>
      </c>
      <c r="AO319" s="31">
        <f>IF(ISNUMBER(AN319),AN319-Settings!$D$4,"")</f>
        <v/>
      </c>
      <c r="AP319" s="31">
        <f>IF(ISNUMBER(AL319),AL319+0+ROW()/100000,"")</f>
        <v/>
      </c>
      <c r="AQ319" s="31">
        <f>IF(OR(AG319="",NOT(ISNUMBER(AP319))),0,IF(SUMPRODUCT(('Responses'!$AG$2:$AG$501=AG319)*('Responses'!$AJ$2:$AJ$501=1)*ISNUMBER('Responses'!$AP$2:$AP$501)*('Responses'!$AP$2:$AP$501&gt;AP319)) + SUMPRODUCT(('Paper sign-ups'!$K$2:$K$101=AG319)*('Paper sign-ups'!$N$2:$N$101=1)*ISNUMBER('Paper sign-ups'!$T$2:$T$101)*('Paper sign-ups'!$T$2:$T$101&gt;AP319))&gt;0,1,0))</f>
        <v/>
      </c>
      <c r="AR319" s="31">
        <f>IF(AE319="","",IF(AQ319=1,"Joined again",IF(AJ319=0,"Unpaid",IF(NOT(ISNUMBER(AL319)),"Add a join date",IF(AN319="","No reminder",IF(AO319&lt;0,"Lapsed",IF(AO319&lt;=Settings!$D$6,"Remind soon","Current")))))))</f>
        <v/>
      </c>
      <c r="AS319" s="33">
        <f>IF(AJ319=1,IFERROR(VALUE(IFERROR(TRIM(INDEX($A319:$Z319,MATCH(Settings!$L$8,$A$1:$Z$1,0))&amp;""),"")),0)-IFERROR(VALUE(IFERROR(TRIM(INDEX($A319:$Z319,MATCH(Settings!$L$9,$A$1:$Z$1,0))&amp;""),"")),0),0)</f>
        <v/>
      </c>
      <c r="AT319" s="31">
        <f>IF(AND(AE319&lt;&gt;"",AQ319=0),1,0)</f>
        <v/>
      </c>
      <c r="AU319" s="31">
        <f>IF(AT319=0,"",IF(ISNUMBER(AN319),AN319,100000)+0+ROW()/1000000)</f>
        <v/>
      </c>
      <c r="AV319" s="31">
        <f>IF(ISNUMBER(AU319),SUMPRODUCT(ISNUMBER('Responses'!$AU$2:$AU$501)*('Responses'!$AU$2:$AU$501&lt;AU319)) + SUMPRODUCT(ISNUMBER('Paper sign-ups'!$Y$2:$Y$101)*('Paper sign-ups'!$Y$2:$Y$101&lt;AU319))+1,"")</f>
        <v/>
      </c>
    </row>
    <row r="320">
      <c r="AA320" s="29" t="n"/>
      <c r="AB320" s="30" t="n"/>
      <c r="AC320" s="30" t="n"/>
      <c r="AD320" s="29" t="n"/>
      <c r="AE320" s="31">
        <f>IFERROR(TRIM(INDEX($A320:$Z320,MATCH(Settings!$L$4,$A$1:$Z$1,0))&amp;""),"")</f>
        <v/>
      </c>
      <c r="AF320" s="31">
        <f>IFERROR(TRIM(INDEX($A320:$Z320,MATCH(Settings!$L$5,$A$1:$Z$1,0))&amp;""),"")</f>
        <v/>
      </c>
      <c r="AG320" s="31">
        <f>IF(AE320="","",LOWER(IF(AF320&lt;&gt;"",AF320,AE320)))</f>
        <v/>
      </c>
      <c r="AH320" s="31">
        <f>IFERROR(TRIM(INDEX($A320:$Z320,MATCH(Settings!$L$6,$A$1:$Z$1,0))&amp;""),"")</f>
        <v/>
      </c>
      <c r="AI320" s="31">
        <f>IF(AE320="","",IF(UPPER(TRIM(AB320&amp;""))="Y","Paid another way",IF(IFERROR(TRIM(INDEX($A320:$Z320,MATCH(Settings!$L$7,$A$1:$Z$1,0))&amp;""),"")="","No payment status",IFERROR(TRIM(INDEX($A320:$Z320,MATCH(Settings!$L$7,$A$1:$Z$1,0))&amp;""),""))))</f>
        <v/>
      </c>
      <c r="AJ320" s="31">
        <f>IF(AE320="",0,IF(IFERROR(INDEX(Settings!$J$4:$J$14,MATCH(AI320,Settings!$I$4:$I$14,0)),"N")="Y",1,0))</f>
        <v/>
      </c>
      <c r="AK320" s="32">
        <f>IFERROR(INT(IFERROR(IF(ISNUMBER(INDEX($A320:$Z320,MATCH(Settings!$L$10,$A$1:$Z$1,0))),INDEX($A320:$Z320,MATCH(Settings!$L$10,$A$1:$Z$1,0)),DATE(VALUE(LEFT(IFERROR(TRIM(INDEX($A320:$Z320,MATCH(Settings!$L$10,$A$1:$Z$1,0))&amp;""),""),4)),VALUE(MID(IFERROR(TRIM(INDEX($A320:$Z320,MATCH(Settings!$L$10,$A$1:$Z$1,0))&amp;""),""),6,2)),VALUE(MID(IFERROR(TRIM(INDEX($A320:$Z320,MATCH(Settings!$L$10,$A$1:$Z$1,0))&amp;""),""),9,2)))+TIME(VALUE(MID(IFERROR(TRIM(INDEX($A320:$Z320,MATCH(Settings!$L$10,$A$1:$Z$1,0))&amp;""),""),12,2)),VALUE(MID(IFERROR(TRIM(INDEX($A320:$Z320,MATCH(Settings!$L$10,$A$1:$Z$1,0))&amp;""),""),15,2)),VALUE(MID(IFERROR(TRIM(INDEX($A320:$Z320,MATCH(Settings!$L$10,$A$1:$Z$1,0))&amp;""),""),18,2)))),"")),"")</f>
        <v/>
      </c>
      <c r="AL320" s="32">
        <f>IF(AE320="","",IF(ISNUMBER(AK320),AK320,IFERROR(INT(IFERROR(IF(ISNUMBER(INDEX($A320:$Z320,MATCH(Settings!$L$11,$A$1:$Z$1,0))),INDEX($A320:$Z320,MATCH(Settings!$L$11,$A$1:$Z$1,0)),DATE(VALUE(LEFT(IFERROR(TRIM(INDEX($A320:$Z320,MATCH(Settings!$L$11,$A$1:$Z$1,0))&amp;""),""),4)),VALUE(MID(IFERROR(TRIM(INDEX($A320:$Z320,MATCH(Settings!$L$11,$A$1:$Z$1,0))&amp;""),""),6,2)),VALUE(MID(IFERROR(TRIM(INDEX($A320:$Z320,MATCH(Settings!$L$11,$A$1:$Z$1,0))&amp;""),""),9,2)))+TIME(VALUE(MID(IFERROR(TRIM(INDEX($A320:$Z320,MATCH(Settings!$L$11,$A$1:$Z$1,0))&amp;""),""),12,2)),VALUE(MID(IFERROR(TRIM(INDEX($A320:$Z320,MATCH(Settings!$L$11,$A$1:$Z$1,0))&amp;""),""),15,2)),VALUE(MID(IFERROR(TRIM(INDEX($A320:$Z320,MATCH(Settings!$L$11,$A$1:$Z$1,0))&amp;""),""),18,2)))),"")),"")))</f>
        <v/>
      </c>
      <c r="AM320" s="31">
        <f>IF(AE320="","",IF(ISNUMBER(IFERROR(INDEX(Settings!$G$4:$G$11,MATCH(AH320,Settings!$F$4:$F$11,0)),"")),INDEX(Settings!$G$4:$G$11,MATCH(AH320,Settings!$F$4:$F$11,0)),Settings!$D$5))</f>
        <v/>
      </c>
      <c r="AN320" s="32">
        <f>IF(OR(AE320="",NOT(ISNUMBER(AL320)),NOT(ISNUMBER(AM320))),"",IF(AM320&lt;=0,"",IF(ISNUMBER(Settings!$D$8),DATE(YEAR(AL320)+IF(DATE(YEAR(AL320),MONTH(Settings!$D$8),DAY(Settings!$D$8))&gt;AL320,0,1),MONTH(Settings!$D$8),DAY(Settings!$D$8)),MIN(DATE(YEAR(AL320),MONTH(AL320)+AM320,DAY(AL320)),DATE(YEAR(AL320),MONTH(AL320)+AM320+1,0)))))</f>
        <v/>
      </c>
      <c r="AO320" s="31">
        <f>IF(ISNUMBER(AN320),AN320-Settings!$D$4,"")</f>
        <v/>
      </c>
      <c r="AP320" s="31">
        <f>IF(ISNUMBER(AL320),AL320+0+ROW()/100000,"")</f>
        <v/>
      </c>
      <c r="AQ320" s="31">
        <f>IF(OR(AG320="",NOT(ISNUMBER(AP320))),0,IF(SUMPRODUCT(('Responses'!$AG$2:$AG$501=AG320)*('Responses'!$AJ$2:$AJ$501=1)*ISNUMBER('Responses'!$AP$2:$AP$501)*('Responses'!$AP$2:$AP$501&gt;AP320)) + SUMPRODUCT(('Paper sign-ups'!$K$2:$K$101=AG320)*('Paper sign-ups'!$N$2:$N$101=1)*ISNUMBER('Paper sign-ups'!$T$2:$T$101)*('Paper sign-ups'!$T$2:$T$101&gt;AP320))&gt;0,1,0))</f>
        <v/>
      </c>
      <c r="AR320" s="31">
        <f>IF(AE320="","",IF(AQ320=1,"Joined again",IF(AJ320=0,"Unpaid",IF(NOT(ISNUMBER(AL320)),"Add a join date",IF(AN320="","No reminder",IF(AO320&lt;0,"Lapsed",IF(AO320&lt;=Settings!$D$6,"Remind soon","Current")))))))</f>
        <v/>
      </c>
      <c r="AS320" s="33">
        <f>IF(AJ320=1,IFERROR(VALUE(IFERROR(TRIM(INDEX($A320:$Z320,MATCH(Settings!$L$8,$A$1:$Z$1,0))&amp;""),"")),0)-IFERROR(VALUE(IFERROR(TRIM(INDEX($A320:$Z320,MATCH(Settings!$L$9,$A$1:$Z$1,0))&amp;""),"")),0),0)</f>
        <v/>
      </c>
      <c r="AT320" s="31">
        <f>IF(AND(AE320&lt;&gt;"",AQ320=0),1,0)</f>
        <v/>
      </c>
      <c r="AU320" s="31">
        <f>IF(AT320=0,"",IF(ISNUMBER(AN320),AN320,100000)+0+ROW()/1000000)</f>
        <v/>
      </c>
      <c r="AV320" s="31">
        <f>IF(ISNUMBER(AU320),SUMPRODUCT(ISNUMBER('Responses'!$AU$2:$AU$501)*('Responses'!$AU$2:$AU$501&lt;AU320)) + SUMPRODUCT(ISNUMBER('Paper sign-ups'!$Y$2:$Y$101)*('Paper sign-ups'!$Y$2:$Y$101&lt;AU320))+1,"")</f>
        <v/>
      </c>
    </row>
    <row r="321">
      <c r="AA321" s="29" t="n"/>
      <c r="AB321" s="30" t="n"/>
      <c r="AC321" s="30" t="n"/>
      <c r="AD321" s="29" t="n"/>
      <c r="AE321" s="31">
        <f>IFERROR(TRIM(INDEX($A321:$Z321,MATCH(Settings!$L$4,$A$1:$Z$1,0))&amp;""),"")</f>
        <v/>
      </c>
      <c r="AF321" s="31">
        <f>IFERROR(TRIM(INDEX($A321:$Z321,MATCH(Settings!$L$5,$A$1:$Z$1,0))&amp;""),"")</f>
        <v/>
      </c>
      <c r="AG321" s="31">
        <f>IF(AE321="","",LOWER(IF(AF321&lt;&gt;"",AF321,AE321)))</f>
        <v/>
      </c>
      <c r="AH321" s="31">
        <f>IFERROR(TRIM(INDEX($A321:$Z321,MATCH(Settings!$L$6,$A$1:$Z$1,0))&amp;""),"")</f>
        <v/>
      </c>
      <c r="AI321" s="31">
        <f>IF(AE321="","",IF(UPPER(TRIM(AB321&amp;""))="Y","Paid another way",IF(IFERROR(TRIM(INDEX($A321:$Z321,MATCH(Settings!$L$7,$A$1:$Z$1,0))&amp;""),"")="","No payment status",IFERROR(TRIM(INDEX($A321:$Z321,MATCH(Settings!$L$7,$A$1:$Z$1,0))&amp;""),""))))</f>
        <v/>
      </c>
      <c r="AJ321" s="31">
        <f>IF(AE321="",0,IF(IFERROR(INDEX(Settings!$J$4:$J$14,MATCH(AI321,Settings!$I$4:$I$14,0)),"N")="Y",1,0))</f>
        <v/>
      </c>
      <c r="AK321" s="32">
        <f>IFERROR(INT(IFERROR(IF(ISNUMBER(INDEX($A321:$Z321,MATCH(Settings!$L$10,$A$1:$Z$1,0))),INDEX($A321:$Z321,MATCH(Settings!$L$10,$A$1:$Z$1,0)),DATE(VALUE(LEFT(IFERROR(TRIM(INDEX($A321:$Z321,MATCH(Settings!$L$10,$A$1:$Z$1,0))&amp;""),""),4)),VALUE(MID(IFERROR(TRIM(INDEX($A321:$Z321,MATCH(Settings!$L$10,$A$1:$Z$1,0))&amp;""),""),6,2)),VALUE(MID(IFERROR(TRIM(INDEX($A321:$Z321,MATCH(Settings!$L$10,$A$1:$Z$1,0))&amp;""),""),9,2)))+TIME(VALUE(MID(IFERROR(TRIM(INDEX($A321:$Z321,MATCH(Settings!$L$10,$A$1:$Z$1,0))&amp;""),""),12,2)),VALUE(MID(IFERROR(TRIM(INDEX($A321:$Z321,MATCH(Settings!$L$10,$A$1:$Z$1,0))&amp;""),""),15,2)),VALUE(MID(IFERROR(TRIM(INDEX($A321:$Z321,MATCH(Settings!$L$10,$A$1:$Z$1,0))&amp;""),""),18,2)))),"")),"")</f>
        <v/>
      </c>
      <c r="AL321" s="32">
        <f>IF(AE321="","",IF(ISNUMBER(AK321),AK321,IFERROR(INT(IFERROR(IF(ISNUMBER(INDEX($A321:$Z321,MATCH(Settings!$L$11,$A$1:$Z$1,0))),INDEX($A321:$Z321,MATCH(Settings!$L$11,$A$1:$Z$1,0)),DATE(VALUE(LEFT(IFERROR(TRIM(INDEX($A321:$Z321,MATCH(Settings!$L$11,$A$1:$Z$1,0))&amp;""),""),4)),VALUE(MID(IFERROR(TRIM(INDEX($A321:$Z321,MATCH(Settings!$L$11,$A$1:$Z$1,0))&amp;""),""),6,2)),VALUE(MID(IFERROR(TRIM(INDEX($A321:$Z321,MATCH(Settings!$L$11,$A$1:$Z$1,0))&amp;""),""),9,2)))+TIME(VALUE(MID(IFERROR(TRIM(INDEX($A321:$Z321,MATCH(Settings!$L$11,$A$1:$Z$1,0))&amp;""),""),12,2)),VALUE(MID(IFERROR(TRIM(INDEX($A321:$Z321,MATCH(Settings!$L$11,$A$1:$Z$1,0))&amp;""),""),15,2)),VALUE(MID(IFERROR(TRIM(INDEX($A321:$Z321,MATCH(Settings!$L$11,$A$1:$Z$1,0))&amp;""),""),18,2)))),"")),"")))</f>
        <v/>
      </c>
      <c r="AM321" s="31">
        <f>IF(AE321="","",IF(ISNUMBER(IFERROR(INDEX(Settings!$G$4:$G$11,MATCH(AH321,Settings!$F$4:$F$11,0)),"")),INDEX(Settings!$G$4:$G$11,MATCH(AH321,Settings!$F$4:$F$11,0)),Settings!$D$5))</f>
        <v/>
      </c>
      <c r="AN321" s="32">
        <f>IF(OR(AE321="",NOT(ISNUMBER(AL321)),NOT(ISNUMBER(AM321))),"",IF(AM321&lt;=0,"",IF(ISNUMBER(Settings!$D$8),DATE(YEAR(AL321)+IF(DATE(YEAR(AL321),MONTH(Settings!$D$8),DAY(Settings!$D$8))&gt;AL321,0,1),MONTH(Settings!$D$8),DAY(Settings!$D$8)),MIN(DATE(YEAR(AL321),MONTH(AL321)+AM321,DAY(AL321)),DATE(YEAR(AL321),MONTH(AL321)+AM321+1,0)))))</f>
        <v/>
      </c>
      <c r="AO321" s="31">
        <f>IF(ISNUMBER(AN321),AN321-Settings!$D$4,"")</f>
        <v/>
      </c>
      <c r="AP321" s="31">
        <f>IF(ISNUMBER(AL321),AL321+0+ROW()/100000,"")</f>
        <v/>
      </c>
      <c r="AQ321" s="31">
        <f>IF(OR(AG321="",NOT(ISNUMBER(AP321))),0,IF(SUMPRODUCT(('Responses'!$AG$2:$AG$501=AG321)*('Responses'!$AJ$2:$AJ$501=1)*ISNUMBER('Responses'!$AP$2:$AP$501)*('Responses'!$AP$2:$AP$501&gt;AP321)) + SUMPRODUCT(('Paper sign-ups'!$K$2:$K$101=AG321)*('Paper sign-ups'!$N$2:$N$101=1)*ISNUMBER('Paper sign-ups'!$T$2:$T$101)*('Paper sign-ups'!$T$2:$T$101&gt;AP321))&gt;0,1,0))</f>
        <v/>
      </c>
      <c r="AR321" s="31">
        <f>IF(AE321="","",IF(AQ321=1,"Joined again",IF(AJ321=0,"Unpaid",IF(NOT(ISNUMBER(AL321)),"Add a join date",IF(AN321="","No reminder",IF(AO321&lt;0,"Lapsed",IF(AO321&lt;=Settings!$D$6,"Remind soon","Current")))))))</f>
        <v/>
      </c>
      <c r="AS321" s="33">
        <f>IF(AJ321=1,IFERROR(VALUE(IFERROR(TRIM(INDEX($A321:$Z321,MATCH(Settings!$L$8,$A$1:$Z$1,0))&amp;""),"")),0)-IFERROR(VALUE(IFERROR(TRIM(INDEX($A321:$Z321,MATCH(Settings!$L$9,$A$1:$Z$1,0))&amp;""),"")),0),0)</f>
        <v/>
      </c>
      <c r="AT321" s="31">
        <f>IF(AND(AE321&lt;&gt;"",AQ321=0),1,0)</f>
        <v/>
      </c>
      <c r="AU321" s="31">
        <f>IF(AT321=0,"",IF(ISNUMBER(AN321),AN321,100000)+0+ROW()/1000000)</f>
        <v/>
      </c>
      <c r="AV321" s="31">
        <f>IF(ISNUMBER(AU321),SUMPRODUCT(ISNUMBER('Responses'!$AU$2:$AU$501)*('Responses'!$AU$2:$AU$501&lt;AU321)) + SUMPRODUCT(ISNUMBER('Paper sign-ups'!$Y$2:$Y$101)*('Paper sign-ups'!$Y$2:$Y$101&lt;AU321))+1,"")</f>
        <v/>
      </c>
    </row>
    <row r="322">
      <c r="AA322" s="29" t="n"/>
      <c r="AB322" s="30" t="n"/>
      <c r="AC322" s="30" t="n"/>
      <c r="AD322" s="29" t="n"/>
      <c r="AE322" s="31">
        <f>IFERROR(TRIM(INDEX($A322:$Z322,MATCH(Settings!$L$4,$A$1:$Z$1,0))&amp;""),"")</f>
        <v/>
      </c>
      <c r="AF322" s="31">
        <f>IFERROR(TRIM(INDEX($A322:$Z322,MATCH(Settings!$L$5,$A$1:$Z$1,0))&amp;""),"")</f>
        <v/>
      </c>
      <c r="AG322" s="31">
        <f>IF(AE322="","",LOWER(IF(AF322&lt;&gt;"",AF322,AE322)))</f>
        <v/>
      </c>
      <c r="AH322" s="31">
        <f>IFERROR(TRIM(INDEX($A322:$Z322,MATCH(Settings!$L$6,$A$1:$Z$1,0))&amp;""),"")</f>
        <v/>
      </c>
      <c r="AI322" s="31">
        <f>IF(AE322="","",IF(UPPER(TRIM(AB322&amp;""))="Y","Paid another way",IF(IFERROR(TRIM(INDEX($A322:$Z322,MATCH(Settings!$L$7,$A$1:$Z$1,0))&amp;""),"")="","No payment status",IFERROR(TRIM(INDEX($A322:$Z322,MATCH(Settings!$L$7,$A$1:$Z$1,0))&amp;""),""))))</f>
        <v/>
      </c>
      <c r="AJ322" s="31">
        <f>IF(AE322="",0,IF(IFERROR(INDEX(Settings!$J$4:$J$14,MATCH(AI322,Settings!$I$4:$I$14,0)),"N")="Y",1,0))</f>
        <v/>
      </c>
      <c r="AK322" s="32">
        <f>IFERROR(INT(IFERROR(IF(ISNUMBER(INDEX($A322:$Z322,MATCH(Settings!$L$10,$A$1:$Z$1,0))),INDEX($A322:$Z322,MATCH(Settings!$L$10,$A$1:$Z$1,0)),DATE(VALUE(LEFT(IFERROR(TRIM(INDEX($A322:$Z322,MATCH(Settings!$L$10,$A$1:$Z$1,0))&amp;""),""),4)),VALUE(MID(IFERROR(TRIM(INDEX($A322:$Z322,MATCH(Settings!$L$10,$A$1:$Z$1,0))&amp;""),""),6,2)),VALUE(MID(IFERROR(TRIM(INDEX($A322:$Z322,MATCH(Settings!$L$10,$A$1:$Z$1,0))&amp;""),""),9,2)))+TIME(VALUE(MID(IFERROR(TRIM(INDEX($A322:$Z322,MATCH(Settings!$L$10,$A$1:$Z$1,0))&amp;""),""),12,2)),VALUE(MID(IFERROR(TRIM(INDEX($A322:$Z322,MATCH(Settings!$L$10,$A$1:$Z$1,0))&amp;""),""),15,2)),VALUE(MID(IFERROR(TRIM(INDEX($A322:$Z322,MATCH(Settings!$L$10,$A$1:$Z$1,0))&amp;""),""),18,2)))),"")),"")</f>
        <v/>
      </c>
      <c r="AL322" s="32">
        <f>IF(AE322="","",IF(ISNUMBER(AK322),AK322,IFERROR(INT(IFERROR(IF(ISNUMBER(INDEX($A322:$Z322,MATCH(Settings!$L$11,$A$1:$Z$1,0))),INDEX($A322:$Z322,MATCH(Settings!$L$11,$A$1:$Z$1,0)),DATE(VALUE(LEFT(IFERROR(TRIM(INDEX($A322:$Z322,MATCH(Settings!$L$11,$A$1:$Z$1,0))&amp;""),""),4)),VALUE(MID(IFERROR(TRIM(INDEX($A322:$Z322,MATCH(Settings!$L$11,$A$1:$Z$1,0))&amp;""),""),6,2)),VALUE(MID(IFERROR(TRIM(INDEX($A322:$Z322,MATCH(Settings!$L$11,$A$1:$Z$1,0))&amp;""),""),9,2)))+TIME(VALUE(MID(IFERROR(TRIM(INDEX($A322:$Z322,MATCH(Settings!$L$11,$A$1:$Z$1,0))&amp;""),""),12,2)),VALUE(MID(IFERROR(TRIM(INDEX($A322:$Z322,MATCH(Settings!$L$11,$A$1:$Z$1,0))&amp;""),""),15,2)),VALUE(MID(IFERROR(TRIM(INDEX($A322:$Z322,MATCH(Settings!$L$11,$A$1:$Z$1,0))&amp;""),""),18,2)))),"")),"")))</f>
        <v/>
      </c>
      <c r="AM322" s="31">
        <f>IF(AE322="","",IF(ISNUMBER(IFERROR(INDEX(Settings!$G$4:$G$11,MATCH(AH322,Settings!$F$4:$F$11,0)),"")),INDEX(Settings!$G$4:$G$11,MATCH(AH322,Settings!$F$4:$F$11,0)),Settings!$D$5))</f>
        <v/>
      </c>
      <c r="AN322" s="32">
        <f>IF(OR(AE322="",NOT(ISNUMBER(AL322)),NOT(ISNUMBER(AM322))),"",IF(AM322&lt;=0,"",IF(ISNUMBER(Settings!$D$8),DATE(YEAR(AL322)+IF(DATE(YEAR(AL322),MONTH(Settings!$D$8),DAY(Settings!$D$8))&gt;AL322,0,1),MONTH(Settings!$D$8),DAY(Settings!$D$8)),MIN(DATE(YEAR(AL322),MONTH(AL322)+AM322,DAY(AL322)),DATE(YEAR(AL322),MONTH(AL322)+AM322+1,0)))))</f>
        <v/>
      </c>
      <c r="AO322" s="31">
        <f>IF(ISNUMBER(AN322),AN322-Settings!$D$4,"")</f>
        <v/>
      </c>
      <c r="AP322" s="31">
        <f>IF(ISNUMBER(AL322),AL322+0+ROW()/100000,"")</f>
        <v/>
      </c>
      <c r="AQ322" s="31">
        <f>IF(OR(AG322="",NOT(ISNUMBER(AP322))),0,IF(SUMPRODUCT(('Responses'!$AG$2:$AG$501=AG322)*('Responses'!$AJ$2:$AJ$501=1)*ISNUMBER('Responses'!$AP$2:$AP$501)*('Responses'!$AP$2:$AP$501&gt;AP322)) + SUMPRODUCT(('Paper sign-ups'!$K$2:$K$101=AG322)*('Paper sign-ups'!$N$2:$N$101=1)*ISNUMBER('Paper sign-ups'!$T$2:$T$101)*('Paper sign-ups'!$T$2:$T$101&gt;AP322))&gt;0,1,0))</f>
        <v/>
      </c>
      <c r="AR322" s="31">
        <f>IF(AE322="","",IF(AQ322=1,"Joined again",IF(AJ322=0,"Unpaid",IF(NOT(ISNUMBER(AL322)),"Add a join date",IF(AN322="","No reminder",IF(AO322&lt;0,"Lapsed",IF(AO322&lt;=Settings!$D$6,"Remind soon","Current")))))))</f>
        <v/>
      </c>
      <c r="AS322" s="33">
        <f>IF(AJ322=1,IFERROR(VALUE(IFERROR(TRIM(INDEX($A322:$Z322,MATCH(Settings!$L$8,$A$1:$Z$1,0))&amp;""),"")),0)-IFERROR(VALUE(IFERROR(TRIM(INDEX($A322:$Z322,MATCH(Settings!$L$9,$A$1:$Z$1,0))&amp;""),"")),0),0)</f>
        <v/>
      </c>
      <c r="AT322" s="31">
        <f>IF(AND(AE322&lt;&gt;"",AQ322=0),1,0)</f>
        <v/>
      </c>
      <c r="AU322" s="31">
        <f>IF(AT322=0,"",IF(ISNUMBER(AN322),AN322,100000)+0+ROW()/1000000)</f>
        <v/>
      </c>
      <c r="AV322" s="31">
        <f>IF(ISNUMBER(AU322),SUMPRODUCT(ISNUMBER('Responses'!$AU$2:$AU$501)*('Responses'!$AU$2:$AU$501&lt;AU322)) + SUMPRODUCT(ISNUMBER('Paper sign-ups'!$Y$2:$Y$101)*('Paper sign-ups'!$Y$2:$Y$101&lt;AU322))+1,"")</f>
        <v/>
      </c>
    </row>
    <row r="323">
      <c r="AA323" s="29" t="n"/>
      <c r="AB323" s="30" t="n"/>
      <c r="AC323" s="30" t="n"/>
      <c r="AD323" s="29" t="n"/>
      <c r="AE323" s="31">
        <f>IFERROR(TRIM(INDEX($A323:$Z323,MATCH(Settings!$L$4,$A$1:$Z$1,0))&amp;""),"")</f>
        <v/>
      </c>
      <c r="AF323" s="31">
        <f>IFERROR(TRIM(INDEX($A323:$Z323,MATCH(Settings!$L$5,$A$1:$Z$1,0))&amp;""),"")</f>
        <v/>
      </c>
      <c r="AG323" s="31">
        <f>IF(AE323="","",LOWER(IF(AF323&lt;&gt;"",AF323,AE323)))</f>
        <v/>
      </c>
      <c r="AH323" s="31">
        <f>IFERROR(TRIM(INDEX($A323:$Z323,MATCH(Settings!$L$6,$A$1:$Z$1,0))&amp;""),"")</f>
        <v/>
      </c>
      <c r="AI323" s="31">
        <f>IF(AE323="","",IF(UPPER(TRIM(AB323&amp;""))="Y","Paid another way",IF(IFERROR(TRIM(INDEX($A323:$Z323,MATCH(Settings!$L$7,$A$1:$Z$1,0))&amp;""),"")="","No payment status",IFERROR(TRIM(INDEX($A323:$Z323,MATCH(Settings!$L$7,$A$1:$Z$1,0))&amp;""),""))))</f>
        <v/>
      </c>
      <c r="AJ323" s="31">
        <f>IF(AE323="",0,IF(IFERROR(INDEX(Settings!$J$4:$J$14,MATCH(AI323,Settings!$I$4:$I$14,0)),"N")="Y",1,0))</f>
        <v/>
      </c>
      <c r="AK323" s="32">
        <f>IFERROR(INT(IFERROR(IF(ISNUMBER(INDEX($A323:$Z323,MATCH(Settings!$L$10,$A$1:$Z$1,0))),INDEX($A323:$Z323,MATCH(Settings!$L$10,$A$1:$Z$1,0)),DATE(VALUE(LEFT(IFERROR(TRIM(INDEX($A323:$Z323,MATCH(Settings!$L$10,$A$1:$Z$1,0))&amp;""),""),4)),VALUE(MID(IFERROR(TRIM(INDEX($A323:$Z323,MATCH(Settings!$L$10,$A$1:$Z$1,0))&amp;""),""),6,2)),VALUE(MID(IFERROR(TRIM(INDEX($A323:$Z323,MATCH(Settings!$L$10,$A$1:$Z$1,0))&amp;""),""),9,2)))+TIME(VALUE(MID(IFERROR(TRIM(INDEX($A323:$Z323,MATCH(Settings!$L$10,$A$1:$Z$1,0))&amp;""),""),12,2)),VALUE(MID(IFERROR(TRIM(INDEX($A323:$Z323,MATCH(Settings!$L$10,$A$1:$Z$1,0))&amp;""),""),15,2)),VALUE(MID(IFERROR(TRIM(INDEX($A323:$Z323,MATCH(Settings!$L$10,$A$1:$Z$1,0))&amp;""),""),18,2)))),"")),"")</f>
        <v/>
      </c>
      <c r="AL323" s="32">
        <f>IF(AE323="","",IF(ISNUMBER(AK323),AK323,IFERROR(INT(IFERROR(IF(ISNUMBER(INDEX($A323:$Z323,MATCH(Settings!$L$11,$A$1:$Z$1,0))),INDEX($A323:$Z323,MATCH(Settings!$L$11,$A$1:$Z$1,0)),DATE(VALUE(LEFT(IFERROR(TRIM(INDEX($A323:$Z323,MATCH(Settings!$L$11,$A$1:$Z$1,0))&amp;""),""),4)),VALUE(MID(IFERROR(TRIM(INDEX($A323:$Z323,MATCH(Settings!$L$11,$A$1:$Z$1,0))&amp;""),""),6,2)),VALUE(MID(IFERROR(TRIM(INDEX($A323:$Z323,MATCH(Settings!$L$11,$A$1:$Z$1,0))&amp;""),""),9,2)))+TIME(VALUE(MID(IFERROR(TRIM(INDEX($A323:$Z323,MATCH(Settings!$L$11,$A$1:$Z$1,0))&amp;""),""),12,2)),VALUE(MID(IFERROR(TRIM(INDEX($A323:$Z323,MATCH(Settings!$L$11,$A$1:$Z$1,0))&amp;""),""),15,2)),VALUE(MID(IFERROR(TRIM(INDEX($A323:$Z323,MATCH(Settings!$L$11,$A$1:$Z$1,0))&amp;""),""),18,2)))),"")),"")))</f>
        <v/>
      </c>
      <c r="AM323" s="31">
        <f>IF(AE323="","",IF(ISNUMBER(IFERROR(INDEX(Settings!$G$4:$G$11,MATCH(AH323,Settings!$F$4:$F$11,0)),"")),INDEX(Settings!$G$4:$G$11,MATCH(AH323,Settings!$F$4:$F$11,0)),Settings!$D$5))</f>
        <v/>
      </c>
      <c r="AN323" s="32">
        <f>IF(OR(AE323="",NOT(ISNUMBER(AL323)),NOT(ISNUMBER(AM323))),"",IF(AM323&lt;=0,"",IF(ISNUMBER(Settings!$D$8),DATE(YEAR(AL323)+IF(DATE(YEAR(AL323),MONTH(Settings!$D$8),DAY(Settings!$D$8))&gt;AL323,0,1),MONTH(Settings!$D$8),DAY(Settings!$D$8)),MIN(DATE(YEAR(AL323),MONTH(AL323)+AM323,DAY(AL323)),DATE(YEAR(AL323),MONTH(AL323)+AM323+1,0)))))</f>
        <v/>
      </c>
      <c r="AO323" s="31">
        <f>IF(ISNUMBER(AN323),AN323-Settings!$D$4,"")</f>
        <v/>
      </c>
      <c r="AP323" s="31">
        <f>IF(ISNUMBER(AL323),AL323+0+ROW()/100000,"")</f>
        <v/>
      </c>
      <c r="AQ323" s="31">
        <f>IF(OR(AG323="",NOT(ISNUMBER(AP323))),0,IF(SUMPRODUCT(('Responses'!$AG$2:$AG$501=AG323)*('Responses'!$AJ$2:$AJ$501=1)*ISNUMBER('Responses'!$AP$2:$AP$501)*('Responses'!$AP$2:$AP$501&gt;AP323)) + SUMPRODUCT(('Paper sign-ups'!$K$2:$K$101=AG323)*('Paper sign-ups'!$N$2:$N$101=1)*ISNUMBER('Paper sign-ups'!$T$2:$T$101)*('Paper sign-ups'!$T$2:$T$101&gt;AP323))&gt;0,1,0))</f>
        <v/>
      </c>
      <c r="AR323" s="31">
        <f>IF(AE323="","",IF(AQ323=1,"Joined again",IF(AJ323=0,"Unpaid",IF(NOT(ISNUMBER(AL323)),"Add a join date",IF(AN323="","No reminder",IF(AO323&lt;0,"Lapsed",IF(AO323&lt;=Settings!$D$6,"Remind soon","Current")))))))</f>
        <v/>
      </c>
      <c r="AS323" s="33">
        <f>IF(AJ323=1,IFERROR(VALUE(IFERROR(TRIM(INDEX($A323:$Z323,MATCH(Settings!$L$8,$A$1:$Z$1,0))&amp;""),"")),0)-IFERROR(VALUE(IFERROR(TRIM(INDEX($A323:$Z323,MATCH(Settings!$L$9,$A$1:$Z$1,0))&amp;""),"")),0),0)</f>
        <v/>
      </c>
      <c r="AT323" s="31">
        <f>IF(AND(AE323&lt;&gt;"",AQ323=0),1,0)</f>
        <v/>
      </c>
      <c r="AU323" s="31">
        <f>IF(AT323=0,"",IF(ISNUMBER(AN323),AN323,100000)+0+ROW()/1000000)</f>
        <v/>
      </c>
      <c r="AV323" s="31">
        <f>IF(ISNUMBER(AU323),SUMPRODUCT(ISNUMBER('Responses'!$AU$2:$AU$501)*('Responses'!$AU$2:$AU$501&lt;AU323)) + SUMPRODUCT(ISNUMBER('Paper sign-ups'!$Y$2:$Y$101)*('Paper sign-ups'!$Y$2:$Y$101&lt;AU323))+1,"")</f>
        <v/>
      </c>
    </row>
    <row r="324">
      <c r="AA324" s="29" t="n"/>
      <c r="AB324" s="30" t="n"/>
      <c r="AC324" s="30" t="n"/>
      <c r="AD324" s="29" t="n"/>
      <c r="AE324" s="31">
        <f>IFERROR(TRIM(INDEX($A324:$Z324,MATCH(Settings!$L$4,$A$1:$Z$1,0))&amp;""),"")</f>
        <v/>
      </c>
      <c r="AF324" s="31">
        <f>IFERROR(TRIM(INDEX($A324:$Z324,MATCH(Settings!$L$5,$A$1:$Z$1,0))&amp;""),"")</f>
        <v/>
      </c>
      <c r="AG324" s="31">
        <f>IF(AE324="","",LOWER(IF(AF324&lt;&gt;"",AF324,AE324)))</f>
        <v/>
      </c>
      <c r="AH324" s="31">
        <f>IFERROR(TRIM(INDEX($A324:$Z324,MATCH(Settings!$L$6,$A$1:$Z$1,0))&amp;""),"")</f>
        <v/>
      </c>
      <c r="AI324" s="31">
        <f>IF(AE324="","",IF(UPPER(TRIM(AB324&amp;""))="Y","Paid another way",IF(IFERROR(TRIM(INDEX($A324:$Z324,MATCH(Settings!$L$7,$A$1:$Z$1,0))&amp;""),"")="","No payment status",IFERROR(TRIM(INDEX($A324:$Z324,MATCH(Settings!$L$7,$A$1:$Z$1,0))&amp;""),""))))</f>
        <v/>
      </c>
      <c r="AJ324" s="31">
        <f>IF(AE324="",0,IF(IFERROR(INDEX(Settings!$J$4:$J$14,MATCH(AI324,Settings!$I$4:$I$14,0)),"N")="Y",1,0))</f>
        <v/>
      </c>
      <c r="AK324" s="32">
        <f>IFERROR(INT(IFERROR(IF(ISNUMBER(INDEX($A324:$Z324,MATCH(Settings!$L$10,$A$1:$Z$1,0))),INDEX($A324:$Z324,MATCH(Settings!$L$10,$A$1:$Z$1,0)),DATE(VALUE(LEFT(IFERROR(TRIM(INDEX($A324:$Z324,MATCH(Settings!$L$10,$A$1:$Z$1,0))&amp;""),""),4)),VALUE(MID(IFERROR(TRIM(INDEX($A324:$Z324,MATCH(Settings!$L$10,$A$1:$Z$1,0))&amp;""),""),6,2)),VALUE(MID(IFERROR(TRIM(INDEX($A324:$Z324,MATCH(Settings!$L$10,$A$1:$Z$1,0))&amp;""),""),9,2)))+TIME(VALUE(MID(IFERROR(TRIM(INDEX($A324:$Z324,MATCH(Settings!$L$10,$A$1:$Z$1,0))&amp;""),""),12,2)),VALUE(MID(IFERROR(TRIM(INDEX($A324:$Z324,MATCH(Settings!$L$10,$A$1:$Z$1,0))&amp;""),""),15,2)),VALUE(MID(IFERROR(TRIM(INDEX($A324:$Z324,MATCH(Settings!$L$10,$A$1:$Z$1,0))&amp;""),""),18,2)))),"")),"")</f>
        <v/>
      </c>
      <c r="AL324" s="32">
        <f>IF(AE324="","",IF(ISNUMBER(AK324),AK324,IFERROR(INT(IFERROR(IF(ISNUMBER(INDEX($A324:$Z324,MATCH(Settings!$L$11,$A$1:$Z$1,0))),INDEX($A324:$Z324,MATCH(Settings!$L$11,$A$1:$Z$1,0)),DATE(VALUE(LEFT(IFERROR(TRIM(INDEX($A324:$Z324,MATCH(Settings!$L$11,$A$1:$Z$1,0))&amp;""),""),4)),VALUE(MID(IFERROR(TRIM(INDEX($A324:$Z324,MATCH(Settings!$L$11,$A$1:$Z$1,0))&amp;""),""),6,2)),VALUE(MID(IFERROR(TRIM(INDEX($A324:$Z324,MATCH(Settings!$L$11,$A$1:$Z$1,0))&amp;""),""),9,2)))+TIME(VALUE(MID(IFERROR(TRIM(INDEX($A324:$Z324,MATCH(Settings!$L$11,$A$1:$Z$1,0))&amp;""),""),12,2)),VALUE(MID(IFERROR(TRIM(INDEX($A324:$Z324,MATCH(Settings!$L$11,$A$1:$Z$1,0))&amp;""),""),15,2)),VALUE(MID(IFERROR(TRIM(INDEX($A324:$Z324,MATCH(Settings!$L$11,$A$1:$Z$1,0))&amp;""),""),18,2)))),"")),"")))</f>
        <v/>
      </c>
      <c r="AM324" s="31">
        <f>IF(AE324="","",IF(ISNUMBER(IFERROR(INDEX(Settings!$G$4:$G$11,MATCH(AH324,Settings!$F$4:$F$11,0)),"")),INDEX(Settings!$G$4:$G$11,MATCH(AH324,Settings!$F$4:$F$11,0)),Settings!$D$5))</f>
        <v/>
      </c>
      <c r="AN324" s="32">
        <f>IF(OR(AE324="",NOT(ISNUMBER(AL324)),NOT(ISNUMBER(AM324))),"",IF(AM324&lt;=0,"",IF(ISNUMBER(Settings!$D$8),DATE(YEAR(AL324)+IF(DATE(YEAR(AL324),MONTH(Settings!$D$8),DAY(Settings!$D$8))&gt;AL324,0,1),MONTH(Settings!$D$8),DAY(Settings!$D$8)),MIN(DATE(YEAR(AL324),MONTH(AL324)+AM324,DAY(AL324)),DATE(YEAR(AL324),MONTH(AL324)+AM324+1,0)))))</f>
        <v/>
      </c>
      <c r="AO324" s="31">
        <f>IF(ISNUMBER(AN324),AN324-Settings!$D$4,"")</f>
        <v/>
      </c>
      <c r="AP324" s="31">
        <f>IF(ISNUMBER(AL324),AL324+0+ROW()/100000,"")</f>
        <v/>
      </c>
      <c r="AQ324" s="31">
        <f>IF(OR(AG324="",NOT(ISNUMBER(AP324))),0,IF(SUMPRODUCT(('Responses'!$AG$2:$AG$501=AG324)*('Responses'!$AJ$2:$AJ$501=1)*ISNUMBER('Responses'!$AP$2:$AP$501)*('Responses'!$AP$2:$AP$501&gt;AP324)) + SUMPRODUCT(('Paper sign-ups'!$K$2:$K$101=AG324)*('Paper sign-ups'!$N$2:$N$101=1)*ISNUMBER('Paper sign-ups'!$T$2:$T$101)*('Paper sign-ups'!$T$2:$T$101&gt;AP324))&gt;0,1,0))</f>
        <v/>
      </c>
      <c r="AR324" s="31">
        <f>IF(AE324="","",IF(AQ324=1,"Joined again",IF(AJ324=0,"Unpaid",IF(NOT(ISNUMBER(AL324)),"Add a join date",IF(AN324="","No reminder",IF(AO324&lt;0,"Lapsed",IF(AO324&lt;=Settings!$D$6,"Remind soon","Current")))))))</f>
        <v/>
      </c>
      <c r="AS324" s="33">
        <f>IF(AJ324=1,IFERROR(VALUE(IFERROR(TRIM(INDEX($A324:$Z324,MATCH(Settings!$L$8,$A$1:$Z$1,0))&amp;""),"")),0)-IFERROR(VALUE(IFERROR(TRIM(INDEX($A324:$Z324,MATCH(Settings!$L$9,$A$1:$Z$1,0))&amp;""),"")),0),0)</f>
        <v/>
      </c>
      <c r="AT324" s="31">
        <f>IF(AND(AE324&lt;&gt;"",AQ324=0),1,0)</f>
        <v/>
      </c>
      <c r="AU324" s="31">
        <f>IF(AT324=0,"",IF(ISNUMBER(AN324),AN324,100000)+0+ROW()/1000000)</f>
        <v/>
      </c>
      <c r="AV324" s="31">
        <f>IF(ISNUMBER(AU324),SUMPRODUCT(ISNUMBER('Responses'!$AU$2:$AU$501)*('Responses'!$AU$2:$AU$501&lt;AU324)) + SUMPRODUCT(ISNUMBER('Paper sign-ups'!$Y$2:$Y$101)*('Paper sign-ups'!$Y$2:$Y$101&lt;AU324))+1,"")</f>
        <v/>
      </c>
    </row>
    <row r="325">
      <c r="AA325" s="29" t="n"/>
      <c r="AB325" s="30" t="n"/>
      <c r="AC325" s="30" t="n"/>
      <c r="AD325" s="29" t="n"/>
      <c r="AE325" s="31">
        <f>IFERROR(TRIM(INDEX($A325:$Z325,MATCH(Settings!$L$4,$A$1:$Z$1,0))&amp;""),"")</f>
        <v/>
      </c>
      <c r="AF325" s="31">
        <f>IFERROR(TRIM(INDEX($A325:$Z325,MATCH(Settings!$L$5,$A$1:$Z$1,0))&amp;""),"")</f>
        <v/>
      </c>
      <c r="AG325" s="31">
        <f>IF(AE325="","",LOWER(IF(AF325&lt;&gt;"",AF325,AE325)))</f>
        <v/>
      </c>
      <c r="AH325" s="31">
        <f>IFERROR(TRIM(INDEX($A325:$Z325,MATCH(Settings!$L$6,$A$1:$Z$1,0))&amp;""),"")</f>
        <v/>
      </c>
      <c r="AI325" s="31">
        <f>IF(AE325="","",IF(UPPER(TRIM(AB325&amp;""))="Y","Paid another way",IF(IFERROR(TRIM(INDEX($A325:$Z325,MATCH(Settings!$L$7,$A$1:$Z$1,0))&amp;""),"")="","No payment status",IFERROR(TRIM(INDEX($A325:$Z325,MATCH(Settings!$L$7,$A$1:$Z$1,0))&amp;""),""))))</f>
        <v/>
      </c>
      <c r="AJ325" s="31">
        <f>IF(AE325="",0,IF(IFERROR(INDEX(Settings!$J$4:$J$14,MATCH(AI325,Settings!$I$4:$I$14,0)),"N")="Y",1,0))</f>
        <v/>
      </c>
      <c r="AK325" s="32">
        <f>IFERROR(INT(IFERROR(IF(ISNUMBER(INDEX($A325:$Z325,MATCH(Settings!$L$10,$A$1:$Z$1,0))),INDEX($A325:$Z325,MATCH(Settings!$L$10,$A$1:$Z$1,0)),DATE(VALUE(LEFT(IFERROR(TRIM(INDEX($A325:$Z325,MATCH(Settings!$L$10,$A$1:$Z$1,0))&amp;""),""),4)),VALUE(MID(IFERROR(TRIM(INDEX($A325:$Z325,MATCH(Settings!$L$10,$A$1:$Z$1,0))&amp;""),""),6,2)),VALUE(MID(IFERROR(TRIM(INDEX($A325:$Z325,MATCH(Settings!$L$10,$A$1:$Z$1,0))&amp;""),""),9,2)))+TIME(VALUE(MID(IFERROR(TRIM(INDEX($A325:$Z325,MATCH(Settings!$L$10,$A$1:$Z$1,0))&amp;""),""),12,2)),VALUE(MID(IFERROR(TRIM(INDEX($A325:$Z325,MATCH(Settings!$L$10,$A$1:$Z$1,0))&amp;""),""),15,2)),VALUE(MID(IFERROR(TRIM(INDEX($A325:$Z325,MATCH(Settings!$L$10,$A$1:$Z$1,0))&amp;""),""),18,2)))),"")),"")</f>
        <v/>
      </c>
      <c r="AL325" s="32">
        <f>IF(AE325="","",IF(ISNUMBER(AK325),AK325,IFERROR(INT(IFERROR(IF(ISNUMBER(INDEX($A325:$Z325,MATCH(Settings!$L$11,$A$1:$Z$1,0))),INDEX($A325:$Z325,MATCH(Settings!$L$11,$A$1:$Z$1,0)),DATE(VALUE(LEFT(IFERROR(TRIM(INDEX($A325:$Z325,MATCH(Settings!$L$11,$A$1:$Z$1,0))&amp;""),""),4)),VALUE(MID(IFERROR(TRIM(INDEX($A325:$Z325,MATCH(Settings!$L$11,$A$1:$Z$1,0))&amp;""),""),6,2)),VALUE(MID(IFERROR(TRIM(INDEX($A325:$Z325,MATCH(Settings!$L$11,$A$1:$Z$1,0))&amp;""),""),9,2)))+TIME(VALUE(MID(IFERROR(TRIM(INDEX($A325:$Z325,MATCH(Settings!$L$11,$A$1:$Z$1,0))&amp;""),""),12,2)),VALUE(MID(IFERROR(TRIM(INDEX($A325:$Z325,MATCH(Settings!$L$11,$A$1:$Z$1,0))&amp;""),""),15,2)),VALUE(MID(IFERROR(TRIM(INDEX($A325:$Z325,MATCH(Settings!$L$11,$A$1:$Z$1,0))&amp;""),""),18,2)))),"")),"")))</f>
        <v/>
      </c>
      <c r="AM325" s="31">
        <f>IF(AE325="","",IF(ISNUMBER(IFERROR(INDEX(Settings!$G$4:$G$11,MATCH(AH325,Settings!$F$4:$F$11,0)),"")),INDEX(Settings!$G$4:$G$11,MATCH(AH325,Settings!$F$4:$F$11,0)),Settings!$D$5))</f>
        <v/>
      </c>
      <c r="AN325" s="32">
        <f>IF(OR(AE325="",NOT(ISNUMBER(AL325)),NOT(ISNUMBER(AM325))),"",IF(AM325&lt;=0,"",IF(ISNUMBER(Settings!$D$8),DATE(YEAR(AL325)+IF(DATE(YEAR(AL325),MONTH(Settings!$D$8),DAY(Settings!$D$8))&gt;AL325,0,1),MONTH(Settings!$D$8),DAY(Settings!$D$8)),MIN(DATE(YEAR(AL325),MONTH(AL325)+AM325,DAY(AL325)),DATE(YEAR(AL325),MONTH(AL325)+AM325+1,0)))))</f>
        <v/>
      </c>
      <c r="AO325" s="31">
        <f>IF(ISNUMBER(AN325),AN325-Settings!$D$4,"")</f>
        <v/>
      </c>
      <c r="AP325" s="31">
        <f>IF(ISNUMBER(AL325),AL325+0+ROW()/100000,"")</f>
        <v/>
      </c>
      <c r="AQ325" s="31">
        <f>IF(OR(AG325="",NOT(ISNUMBER(AP325))),0,IF(SUMPRODUCT(('Responses'!$AG$2:$AG$501=AG325)*('Responses'!$AJ$2:$AJ$501=1)*ISNUMBER('Responses'!$AP$2:$AP$501)*('Responses'!$AP$2:$AP$501&gt;AP325)) + SUMPRODUCT(('Paper sign-ups'!$K$2:$K$101=AG325)*('Paper sign-ups'!$N$2:$N$101=1)*ISNUMBER('Paper sign-ups'!$T$2:$T$101)*('Paper sign-ups'!$T$2:$T$101&gt;AP325))&gt;0,1,0))</f>
        <v/>
      </c>
      <c r="AR325" s="31">
        <f>IF(AE325="","",IF(AQ325=1,"Joined again",IF(AJ325=0,"Unpaid",IF(NOT(ISNUMBER(AL325)),"Add a join date",IF(AN325="","No reminder",IF(AO325&lt;0,"Lapsed",IF(AO325&lt;=Settings!$D$6,"Remind soon","Current")))))))</f>
        <v/>
      </c>
      <c r="AS325" s="33">
        <f>IF(AJ325=1,IFERROR(VALUE(IFERROR(TRIM(INDEX($A325:$Z325,MATCH(Settings!$L$8,$A$1:$Z$1,0))&amp;""),"")),0)-IFERROR(VALUE(IFERROR(TRIM(INDEX($A325:$Z325,MATCH(Settings!$L$9,$A$1:$Z$1,0))&amp;""),"")),0),0)</f>
        <v/>
      </c>
      <c r="AT325" s="31">
        <f>IF(AND(AE325&lt;&gt;"",AQ325=0),1,0)</f>
        <v/>
      </c>
      <c r="AU325" s="31">
        <f>IF(AT325=0,"",IF(ISNUMBER(AN325),AN325,100000)+0+ROW()/1000000)</f>
        <v/>
      </c>
      <c r="AV325" s="31">
        <f>IF(ISNUMBER(AU325),SUMPRODUCT(ISNUMBER('Responses'!$AU$2:$AU$501)*('Responses'!$AU$2:$AU$501&lt;AU325)) + SUMPRODUCT(ISNUMBER('Paper sign-ups'!$Y$2:$Y$101)*('Paper sign-ups'!$Y$2:$Y$101&lt;AU325))+1,"")</f>
        <v/>
      </c>
    </row>
    <row r="326">
      <c r="AA326" s="29" t="n"/>
      <c r="AB326" s="30" t="n"/>
      <c r="AC326" s="30" t="n"/>
      <c r="AD326" s="29" t="n"/>
      <c r="AE326" s="31">
        <f>IFERROR(TRIM(INDEX($A326:$Z326,MATCH(Settings!$L$4,$A$1:$Z$1,0))&amp;""),"")</f>
        <v/>
      </c>
      <c r="AF326" s="31">
        <f>IFERROR(TRIM(INDEX($A326:$Z326,MATCH(Settings!$L$5,$A$1:$Z$1,0))&amp;""),"")</f>
        <v/>
      </c>
      <c r="AG326" s="31">
        <f>IF(AE326="","",LOWER(IF(AF326&lt;&gt;"",AF326,AE326)))</f>
        <v/>
      </c>
      <c r="AH326" s="31">
        <f>IFERROR(TRIM(INDEX($A326:$Z326,MATCH(Settings!$L$6,$A$1:$Z$1,0))&amp;""),"")</f>
        <v/>
      </c>
      <c r="AI326" s="31">
        <f>IF(AE326="","",IF(UPPER(TRIM(AB326&amp;""))="Y","Paid another way",IF(IFERROR(TRIM(INDEX($A326:$Z326,MATCH(Settings!$L$7,$A$1:$Z$1,0))&amp;""),"")="","No payment status",IFERROR(TRIM(INDEX($A326:$Z326,MATCH(Settings!$L$7,$A$1:$Z$1,0))&amp;""),""))))</f>
        <v/>
      </c>
      <c r="AJ326" s="31">
        <f>IF(AE326="",0,IF(IFERROR(INDEX(Settings!$J$4:$J$14,MATCH(AI326,Settings!$I$4:$I$14,0)),"N")="Y",1,0))</f>
        <v/>
      </c>
      <c r="AK326" s="32">
        <f>IFERROR(INT(IFERROR(IF(ISNUMBER(INDEX($A326:$Z326,MATCH(Settings!$L$10,$A$1:$Z$1,0))),INDEX($A326:$Z326,MATCH(Settings!$L$10,$A$1:$Z$1,0)),DATE(VALUE(LEFT(IFERROR(TRIM(INDEX($A326:$Z326,MATCH(Settings!$L$10,$A$1:$Z$1,0))&amp;""),""),4)),VALUE(MID(IFERROR(TRIM(INDEX($A326:$Z326,MATCH(Settings!$L$10,$A$1:$Z$1,0))&amp;""),""),6,2)),VALUE(MID(IFERROR(TRIM(INDEX($A326:$Z326,MATCH(Settings!$L$10,$A$1:$Z$1,0))&amp;""),""),9,2)))+TIME(VALUE(MID(IFERROR(TRIM(INDEX($A326:$Z326,MATCH(Settings!$L$10,$A$1:$Z$1,0))&amp;""),""),12,2)),VALUE(MID(IFERROR(TRIM(INDEX($A326:$Z326,MATCH(Settings!$L$10,$A$1:$Z$1,0))&amp;""),""),15,2)),VALUE(MID(IFERROR(TRIM(INDEX($A326:$Z326,MATCH(Settings!$L$10,$A$1:$Z$1,0))&amp;""),""),18,2)))),"")),"")</f>
        <v/>
      </c>
      <c r="AL326" s="32">
        <f>IF(AE326="","",IF(ISNUMBER(AK326),AK326,IFERROR(INT(IFERROR(IF(ISNUMBER(INDEX($A326:$Z326,MATCH(Settings!$L$11,$A$1:$Z$1,0))),INDEX($A326:$Z326,MATCH(Settings!$L$11,$A$1:$Z$1,0)),DATE(VALUE(LEFT(IFERROR(TRIM(INDEX($A326:$Z326,MATCH(Settings!$L$11,$A$1:$Z$1,0))&amp;""),""),4)),VALUE(MID(IFERROR(TRIM(INDEX($A326:$Z326,MATCH(Settings!$L$11,$A$1:$Z$1,0))&amp;""),""),6,2)),VALUE(MID(IFERROR(TRIM(INDEX($A326:$Z326,MATCH(Settings!$L$11,$A$1:$Z$1,0))&amp;""),""),9,2)))+TIME(VALUE(MID(IFERROR(TRIM(INDEX($A326:$Z326,MATCH(Settings!$L$11,$A$1:$Z$1,0))&amp;""),""),12,2)),VALUE(MID(IFERROR(TRIM(INDEX($A326:$Z326,MATCH(Settings!$L$11,$A$1:$Z$1,0))&amp;""),""),15,2)),VALUE(MID(IFERROR(TRIM(INDEX($A326:$Z326,MATCH(Settings!$L$11,$A$1:$Z$1,0))&amp;""),""),18,2)))),"")),"")))</f>
        <v/>
      </c>
      <c r="AM326" s="31">
        <f>IF(AE326="","",IF(ISNUMBER(IFERROR(INDEX(Settings!$G$4:$G$11,MATCH(AH326,Settings!$F$4:$F$11,0)),"")),INDEX(Settings!$G$4:$G$11,MATCH(AH326,Settings!$F$4:$F$11,0)),Settings!$D$5))</f>
        <v/>
      </c>
      <c r="AN326" s="32">
        <f>IF(OR(AE326="",NOT(ISNUMBER(AL326)),NOT(ISNUMBER(AM326))),"",IF(AM326&lt;=0,"",IF(ISNUMBER(Settings!$D$8),DATE(YEAR(AL326)+IF(DATE(YEAR(AL326),MONTH(Settings!$D$8),DAY(Settings!$D$8))&gt;AL326,0,1),MONTH(Settings!$D$8),DAY(Settings!$D$8)),MIN(DATE(YEAR(AL326),MONTH(AL326)+AM326,DAY(AL326)),DATE(YEAR(AL326),MONTH(AL326)+AM326+1,0)))))</f>
        <v/>
      </c>
      <c r="AO326" s="31">
        <f>IF(ISNUMBER(AN326),AN326-Settings!$D$4,"")</f>
        <v/>
      </c>
      <c r="AP326" s="31">
        <f>IF(ISNUMBER(AL326),AL326+0+ROW()/100000,"")</f>
        <v/>
      </c>
      <c r="AQ326" s="31">
        <f>IF(OR(AG326="",NOT(ISNUMBER(AP326))),0,IF(SUMPRODUCT(('Responses'!$AG$2:$AG$501=AG326)*('Responses'!$AJ$2:$AJ$501=1)*ISNUMBER('Responses'!$AP$2:$AP$501)*('Responses'!$AP$2:$AP$501&gt;AP326)) + SUMPRODUCT(('Paper sign-ups'!$K$2:$K$101=AG326)*('Paper sign-ups'!$N$2:$N$101=1)*ISNUMBER('Paper sign-ups'!$T$2:$T$101)*('Paper sign-ups'!$T$2:$T$101&gt;AP326))&gt;0,1,0))</f>
        <v/>
      </c>
      <c r="AR326" s="31">
        <f>IF(AE326="","",IF(AQ326=1,"Joined again",IF(AJ326=0,"Unpaid",IF(NOT(ISNUMBER(AL326)),"Add a join date",IF(AN326="","No reminder",IF(AO326&lt;0,"Lapsed",IF(AO326&lt;=Settings!$D$6,"Remind soon","Current")))))))</f>
        <v/>
      </c>
      <c r="AS326" s="33">
        <f>IF(AJ326=1,IFERROR(VALUE(IFERROR(TRIM(INDEX($A326:$Z326,MATCH(Settings!$L$8,$A$1:$Z$1,0))&amp;""),"")),0)-IFERROR(VALUE(IFERROR(TRIM(INDEX($A326:$Z326,MATCH(Settings!$L$9,$A$1:$Z$1,0))&amp;""),"")),0),0)</f>
        <v/>
      </c>
      <c r="AT326" s="31">
        <f>IF(AND(AE326&lt;&gt;"",AQ326=0),1,0)</f>
        <v/>
      </c>
      <c r="AU326" s="31">
        <f>IF(AT326=0,"",IF(ISNUMBER(AN326),AN326,100000)+0+ROW()/1000000)</f>
        <v/>
      </c>
      <c r="AV326" s="31">
        <f>IF(ISNUMBER(AU326),SUMPRODUCT(ISNUMBER('Responses'!$AU$2:$AU$501)*('Responses'!$AU$2:$AU$501&lt;AU326)) + SUMPRODUCT(ISNUMBER('Paper sign-ups'!$Y$2:$Y$101)*('Paper sign-ups'!$Y$2:$Y$101&lt;AU326))+1,"")</f>
        <v/>
      </c>
    </row>
    <row r="327">
      <c r="AA327" s="29" t="n"/>
      <c r="AB327" s="30" t="n"/>
      <c r="AC327" s="30" t="n"/>
      <c r="AD327" s="29" t="n"/>
      <c r="AE327" s="31">
        <f>IFERROR(TRIM(INDEX($A327:$Z327,MATCH(Settings!$L$4,$A$1:$Z$1,0))&amp;""),"")</f>
        <v/>
      </c>
      <c r="AF327" s="31">
        <f>IFERROR(TRIM(INDEX($A327:$Z327,MATCH(Settings!$L$5,$A$1:$Z$1,0))&amp;""),"")</f>
        <v/>
      </c>
      <c r="AG327" s="31">
        <f>IF(AE327="","",LOWER(IF(AF327&lt;&gt;"",AF327,AE327)))</f>
        <v/>
      </c>
      <c r="AH327" s="31">
        <f>IFERROR(TRIM(INDEX($A327:$Z327,MATCH(Settings!$L$6,$A$1:$Z$1,0))&amp;""),"")</f>
        <v/>
      </c>
      <c r="AI327" s="31">
        <f>IF(AE327="","",IF(UPPER(TRIM(AB327&amp;""))="Y","Paid another way",IF(IFERROR(TRIM(INDEX($A327:$Z327,MATCH(Settings!$L$7,$A$1:$Z$1,0))&amp;""),"")="","No payment status",IFERROR(TRIM(INDEX($A327:$Z327,MATCH(Settings!$L$7,$A$1:$Z$1,0))&amp;""),""))))</f>
        <v/>
      </c>
      <c r="AJ327" s="31">
        <f>IF(AE327="",0,IF(IFERROR(INDEX(Settings!$J$4:$J$14,MATCH(AI327,Settings!$I$4:$I$14,0)),"N")="Y",1,0))</f>
        <v/>
      </c>
      <c r="AK327" s="32">
        <f>IFERROR(INT(IFERROR(IF(ISNUMBER(INDEX($A327:$Z327,MATCH(Settings!$L$10,$A$1:$Z$1,0))),INDEX($A327:$Z327,MATCH(Settings!$L$10,$A$1:$Z$1,0)),DATE(VALUE(LEFT(IFERROR(TRIM(INDEX($A327:$Z327,MATCH(Settings!$L$10,$A$1:$Z$1,0))&amp;""),""),4)),VALUE(MID(IFERROR(TRIM(INDEX($A327:$Z327,MATCH(Settings!$L$10,$A$1:$Z$1,0))&amp;""),""),6,2)),VALUE(MID(IFERROR(TRIM(INDEX($A327:$Z327,MATCH(Settings!$L$10,$A$1:$Z$1,0))&amp;""),""),9,2)))+TIME(VALUE(MID(IFERROR(TRIM(INDEX($A327:$Z327,MATCH(Settings!$L$10,$A$1:$Z$1,0))&amp;""),""),12,2)),VALUE(MID(IFERROR(TRIM(INDEX($A327:$Z327,MATCH(Settings!$L$10,$A$1:$Z$1,0))&amp;""),""),15,2)),VALUE(MID(IFERROR(TRIM(INDEX($A327:$Z327,MATCH(Settings!$L$10,$A$1:$Z$1,0))&amp;""),""),18,2)))),"")),"")</f>
        <v/>
      </c>
      <c r="AL327" s="32">
        <f>IF(AE327="","",IF(ISNUMBER(AK327),AK327,IFERROR(INT(IFERROR(IF(ISNUMBER(INDEX($A327:$Z327,MATCH(Settings!$L$11,$A$1:$Z$1,0))),INDEX($A327:$Z327,MATCH(Settings!$L$11,$A$1:$Z$1,0)),DATE(VALUE(LEFT(IFERROR(TRIM(INDEX($A327:$Z327,MATCH(Settings!$L$11,$A$1:$Z$1,0))&amp;""),""),4)),VALUE(MID(IFERROR(TRIM(INDEX($A327:$Z327,MATCH(Settings!$L$11,$A$1:$Z$1,0))&amp;""),""),6,2)),VALUE(MID(IFERROR(TRIM(INDEX($A327:$Z327,MATCH(Settings!$L$11,$A$1:$Z$1,0))&amp;""),""),9,2)))+TIME(VALUE(MID(IFERROR(TRIM(INDEX($A327:$Z327,MATCH(Settings!$L$11,$A$1:$Z$1,0))&amp;""),""),12,2)),VALUE(MID(IFERROR(TRIM(INDEX($A327:$Z327,MATCH(Settings!$L$11,$A$1:$Z$1,0))&amp;""),""),15,2)),VALUE(MID(IFERROR(TRIM(INDEX($A327:$Z327,MATCH(Settings!$L$11,$A$1:$Z$1,0))&amp;""),""),18,2)))),"")),"")))</f>
        <v/>
      </c>
      <c r="AM327" s="31">
        <f>IF(AE327="","",IF(ISNUMBER(IFERROR(INDEX(Settings!$G$4:$G$11,MATCH(AH327,Settings!$F$4:$F$11,0)),"")),INDEX(Settings!$G$4:$G$11,MATCH(AH327,Settings!$F$4:$F$11,0)),Settings!$D$5))</f>
        <v/>
      </c>
      <c r="AN327" s="32">
        <f>IF(OR(AE327="",NOT(ISNUMBER(AL327)),NOT(ISNUMBER(AM327))),"",IF(AM327&lt;=0,"",IF(ISNUMBER(Settings!$D$8),DATE(YEAR(AL327)+IF(DATE(YEAR(AL327),MONTH(Settings!$D$8),DAY(Settings!$D$8))&gt;AL327,0,1),MONTH(Settings!$D$8),DAY(Settings!$D$8)),MIN(DATE(YEAR(AL327),MONTH(AL327)+AM327,DAY(AL327)),DATE(YEAR(AL327),MONTH(AL327)+AM327+1,0)))))</f>
        <v/>
      </c>
      <c r="AO327" s="31">
        <f>IF(ISNUMBER(AN327),AN327-Settings!$D$4,"")</f>
        <v/>
      </c>
      <c r="AP327" s="31">
        <f>IF(ISNUMBER(AL327),AL327+0+ROW()/100000,"")</f>
        <v/>
      </c>
      <c r="AQ327" s="31">
        <f>IF(OR(AG327="",NOT(ISNUMBER(AP327))),0,IF(SUMPRODUCT(('Responses'!$AG$2:$AG$501=AG327)*('Responses'!$AJ$2:$AJ$501=1)*ISNUMBER('Responses'!$AP$2:$AP$501)*('Responses'!$AP$2:$AP$501&gt;AP327)) + SUMPRODUCT(('Paper sign-ups'!$K$2:$K$101=AG327)*('Paper sign-ups'!$N$2:$N$101=1)*ISNUMBER('Paper sign-ups'!$T$2:$T$101)*('Paper sign-ups'!$T$2:$T$101&gt;AP327))&gt;0,1,0))</f>
        <v/>
      </c>
      <c r="AR327" s="31">
        <f>IF(AE327="","",IF(AQ327=1,"Joined again",IF(AJ327=0,"Unpaid",IF(NOT(ISNUMBER(AL327)),"Add a join date",IF(AN327="","No reminder",IF(AO327&lt;0,"Lapsed",IF(AO327&lt;=Settings!$D$6,"Remind soon","Current")))))))</f>
        <v/>
      </c>
      <c r="AS327" s="33">
        <f>IF(AJ327=1,IFERROR(VALUE(IFERROR(TRIM(INDEX($A327:$Z327,MATCH(Settings!$L$8,$A$1:$Z$1,0))&amp;""),"")),0)-IFERROR(VALUE(IFERROR(TRIM(INDEX($A327:$Z327,MATCH(Settings!$L$9,$A$1:$Z$1,0))&amp;""),"")),0),0)</f>
        <v/>
      </c>
      <c r="AT327" s="31">
        <f>IF(AND(AE327&lt;&gt;"",AQ327=0),1,0)</f>
        <v/>
      </c>
      <c r="AU327" s="31">
        <f>IF(AT327=0,"",IF(ISNUMBER(AN327),AN327,100000)+0+ROW()/1000000)</f>
        <v/>
      </c>
      <c r="AV327" s="31">
        <f>IF(ISNUMBER(AU327),SUMPRODUCT(ISNUMBER('Responses'!$AU$2:$AU$501)*('Responses'!$AU$2:$AU$501&lt;AU327)) + SUMPRODUCT(ISNUMBER('Paper sign-ups'!$Y$2:$Y$101)*('Paper sign-ups'!$Y$2:$Y$101&lt;AU327))+1,"")</f>
        <v/>
      </c>
    </row>
    <row r="328">
      <c r="AA328" s="29" t="n"/>
      <c r="AB328" s="30" t="n"/>
      <c r="AC328" s="30" t="n"/>
      <c r="AD328" s="29" t="n"/>
      <c r="AE328" s="31">
        <f>IFERROR(TRIM(INDEX($A328:$Z328,MATCH(Settings!$L$4,$A$1:$Z$1,0))&amp;""),"")</f>
        <v/>
      </c>
      <c r="AF328" s="31">
        <f>IFERROR(TRIM(INDEX($A328:$Z328,MATCH(Settings!$L$5,$A$1:$Z$1,0))&amp;""),"")</f>
        <v/>
      </c>
      <c r="AG328" s="31">
        <f>IF(AE328="","",LOWER(IF(AF328&lt;&gt;"",AF328,AE328)))</f>
        <v/>
      </c>
      <c r="AH328" s="31">
        <f>IFERROR(TRIM(INDEX($A328:$Z328,MATCH(Settings!$L$6,$A$1:$Z$1,0))&amp;""),"")</f>
        <v/>
      </c>
      <c r="AI328" s="31">
        <f>IF(AE328="","",IF(UPPER(TRIM(AB328&amp;""))="Y","Paid another way",IF(IFERROR(TRIM(INDEX($A328:$Z328,MATCH(Settings!$L$7,$A$1:$Z$1,0))&amp;""),"")="","No payment status",IFERROR(TRIM(INDEX($A328:$Z328,MATCH(Settings!$L$7,$A$1:$Z$1,0))&amp;""),""))))</f>
        <v/>
      </c>
      <c r="AJ328" s="31">
        <f>IF(AE328="",0,IF(IFERROR(INDEX(Settings!$J$4:$J$14,MATCH(AI328,Settings!$I$4:$I$14,0)),"N")="Y",1,0))</f>
        <v/>
      </c>
      <c r="AK328" s="32">
        <f>IFERROR(INT(IFERROR(IF(ISNUMBER(INDEX($A328:$Z328,MATCH(Settings!$L$10,$A$1:$Z$1,0))),INDEX($A328:$Z328,MATCH(Settings!$L$10,$A$1:$Z$1,0)),DATE(VALUE(LEFT(IFERROR(TRIM(INDEX($A328:$Z328,MATCH(Settings!$L$10,$A$1:$Z$1,0))&amp;""),""),4)),VALUE(MID(IFERROR(TRIM(INDEX($A328:$Z328,MATCH(Settings!$L$10,$A$1:$Z$1,0))&amp;""),""),6,2)),VALUE(MID(IFERROR(TRIM(INDEX($A328:$Z328,MATCH(Settings!$L$10,$A$1:$Z$1,0))&amp;""),""),9,2)))+TIME(VALUE(MID(IFERROR(TRIM(INDEX($A328:$Z328,MATCH(Settings!$L$10,$A$1:$Z$1,0))&amp;""),""),12,2)),VALUE(MID(IFERROR(TRIM(INDEX($A328:$Z328,MATCH(Settings!$L$10,$A$1:$Z$1,0))&amp;""),""),15,2)),VALUE(MID(IFERROR(TRIM(INDEX($A328:$Z328,MATCH(Settings!$L$10,$A$1:$Z$1,0))&amp;""),""),18,2)))),"")),"")</f>
        <v/>
      </c>
      <c r="AL328" s="32">
        <f>IF(AE328="","",IF(ISNUMBER(AK328),AK328,IFERROR(INT(IFERROR(IF(ISNUMBER(INDEX($A328:$Z328,MATCH(Settings!$L$11,$A$1:$Z$1,0))),INDEX($A328:$Z328,MATCH(Settings!$L$11,$A$1:$Z$1,0)),DATE(VALUE(LEFT(IFERROR(TRIM(INDEX($A328:$Z328,MATCH(Settings!$L$11,$A$1:$Z$1,0))&amp;""),""),4)),VALUE(MID(IFERROR(TRIM(INDEX($A328:$Z328,MATCH(Settings!$L$11,$A$1:$Z$1,0))&amp;""),""),6,2)),VALUE(MID(IFERROR(TRIM(INDEX($A328:$Z328,MATCH(Settings!$L$11,$A$1:$Z$1,0))&amp;""),""),9,2)))+TIME(VALUE(MID(IFERROR(TRIM(INDEX($A328:$Z328,MATCH(Settings!$L$11,$A$1:$Z$1,0))&amp;""),""),12,2)),VALUE(MID(IFERROR(TRIM(INDEX($A328:$Z328,MATCH(Settings!$L$11,$A$1:$Z$1,0))&amp;""),""),15,2)),VALUE(MID(IFERROR(TRIM(INDEX($A328:$Z328,MATCH(Settings!$L$11,$A$1:$Z$1,0))&amp;""),""),18,2)))),"")),"")))</f>
        <v/>
      </c>
      <c r="AM328" s="31">
        <f>IF(AE328="","",IF(ISNUMBER(IFERROR(INDEX(Settings!$G$4:$G$11,MATCH(AH328,Settings!$F$4:$F$11,0)),"")),INDEX(Settings!$G$4:$G$11,MATCH(AH328,Settings!$F$4:$F$11,0)),Settings!$D$5))</f>
        <v/>
      </c>
      <c r="AN328" s="32">
        <f>IF(OR(AE328="",NOT(ISNUMBER(AL328)),NOT(ISNUMBER(AM328))),"",IF(AM328&lt;=0,"",IF(ISNUMBER(Settings!$D$8),DATE(YEAR(AL328)+IF(DATE(YEAR(AL328),MONTH(Settings!$D$8),DAY(Settings!$D$8))&gt;AL328,0,1),MONTH(Settings!$D$8),DAY(Settings!$D$8)),MIN(DATE(YEAR(AL328),MONTH(AL328)+AM328,DAY(AL328)),DATE(YEAR(AL328),MONTH(AL328)+AM328+1,0)))))</f>
        <v/>
      </c>
      <c r="AO328" s="31">
        <f>IF(ISNUMBER(AN328),AN328-Settings!$D$4,"")</f>
        <v/>
      </c>
      <c r="AP328" s="31">
        <f>IF(ISNUMBER(AL328),AL328+0+ROW()/100000,"")</f>
        <v/>
      </c>
      <c r="AQ328" s="31">
        <f>IF(OR(AG328="",NOT(ISNUMBER(AP328))),0,IF(SUMPRODUCT(('Responses'!$AG$2:$AG$501=AG328)*('Responses'!$AJ$2:$AJ$501=1)*ISNUMBER('Responses'!$AP$2:$AP$501)*('Responses'!$AP$2:$AP$501&gt;AP328)) + SUMPRODUCT(('Paper sign-ups'!$K$2:$K$101=AG328)*('Paper sign-ups'!$N$2:$N$101=1)*ISNUMBER('Paper sign-ups'!$T$2:$T$101)*('Paper sign-ups'!$T$2:$T$101&gt;AP328))&gt;0,1,0))</f>
        <v/>
      </c>
      <c r="AR328" s="31">
        <f>IF(AE328="","",IF(AQ328=1,"Joined again",IF(AJ328=0,"Unpaid",IF(NOT(ISNUMBER(AL328)),"Add a join date",IF(AN328="","No reminder",IF(AO328&lt;0,"Lapsed",IF(AO328&lt;=Settings!$D$6,"Remind soon","Current")))))))</f>
        <v/>
      </c>
      <c r="AS328" s="33">
        <f>IF(AJ328=1,IFERROR(VALUE(IFERROR(TRIM(INDEX($A328:$Z328,MATCH(Settings!$L$8,$A$1:$Z$1,0))&amp;""),"")),0)-IFERROR(VALUE(IFERROR(TRIM(INDEX($A328:$Z328,MATCH(Settings!$L$9,$A$1:$Z$1,0))&amp;""),"")),0),0)</f>
        <v/>
      </c>
      <c r="AT328" s="31">
        <f>IF(AND(AE328&lt;&gt;"",AQ328=0),1,0)</f>
        <v/>
      </c>
      <c r="AU328" s="31">
        <f>IF(AT328=0,"",IF(ISNUMBER(AN328),AN328,100000)+0+ROW()/1000000)</f>
        <v/>
      </c>
      <c r="AV328" s="31">
        <f>IF(ISNUMBER(AU328),SUMPRODUCT(ISNUMBER('Responses'!$AU$2:$AU$501)*('Responses'!$AU$2:$AU$501&lt;AU328)) + SUMPRODUCT(ISNUMBER('Paper sign-ups'!$Y$2:$Y$101)*('Paper sign-ups'!$Y$2:$Y$101&lt;AU328))+1,"")</f>
        <v/>
      </c>
    </row>
    <row r="329">
      <c r="AA329" s="29" t="n"/>
      <c r="AB329" s="30" t="n"/>
      <c r="AC329" s="30" t="n"/>
      <c r="AD329" s="29" t="n"/>
      <c r="AE329" s="31">
        <f>IFERROR(TRIM(INDEX($A329:$Z329,MATCH(Settings!$L$4,$A$1:$Z$1,0))&amp;""),"")</f>
        <v/>
      </c>
      <c r="AF329" s="31">
        <f>IFERROR(TRIM(INDEX($A329:$Z329,MATCH(Settings!$L$5,$A$1:$Z$1,0))&amp;""),"")</f>
        <v/>
      </c>
      <c r="AG329" s="31">
        <f>IF(AE329="","",LOWER(IF(AF329&lt;&gt;"",AF329,AE329)))</f>
        <v/>
      </c>
      <c r="AH329" s="31">
        <f>IFERROR(TRIM(INDEX($A329:$Z329,MATCH(Settings!$L$6,$A$1:$Z$1,0))&amp;""),"")</f>
        <v/>
      </c>
      <c r="AI329" s="31">
        <f>IF(AE329="","",IF(UPPER(TRIM(AB329&amp;""))="Y","Paid another way",IF(IFERROR(TRIM(INDEX($A329:$Z329,MATCH(Settings!$L$7,$A$1:$Z$1,0))&amp;""),"")="","No payment status",IFERROR(TRIM(INDEX($A329:$Z329,MATCH(Settings!$L$7,$A$1:$Z$1,0))&amp;""),""))))</f>
        <v/>
      </c>
      <c r="AJ329" s="31">
        <f>IF(AE329="",0,IF(IFERROR(INDEX(Settings!$J$4:$J$14,MATCH(AI329,Settings!$I$4:$I$14,0)),"N")="Y",1,0))</f>
        <v/>
      </c>
      <c r="AK329" s="32">
        <f>IFERROR(INT(IFERROR(IF(ISNUMBER(INDEX($A329:$Z329,MATCH(Settings!$L$10,$A$1:$Z$1,0))),INDEX($A329:$Z329,MATCH(Settings!$L$10,$A$1:$Z$1,0)),DATE(VALUE(LEFT(IFERROR(TRIM(INDEX($A329:$Z329,MATCH(Settings!$L$10,$A$1:$Z$1,0))&amp;""),""),4)),VALUE(MID(IFERROR(TRIM(INDEX($A329:$Z329,MATCH(Settings!$L$10,$A$1:$Z$1,0))&amp;""),""),6,2)),VALUE(MID(IFERROR(TRIM(INDEX($A329:$Z329,MATCH(Settings!$L$10,$A$1:$Z$1,0))&amp;""),""),9,2)))+TIME(VALUE(MID(IFERROR(TRIM(INDEX($A329:$Z329,MATCH(Settings!$L$10,$A$1:$Z$1,0))&amp;""),""),12,2)),VALUE(MID(IFERROR(TRIM(INDEX($A329:$Z329,MATCH(Settings!$L$10,$A$1:$Z$1,0))&amp;""),""),15,2)),VALUE(MID(IFERROR(TRIM(INDEX($A329:$Z329,MATCH(Settings!$L$10,$A$1:$Z$1,0))&amp;""),""),18,2)))),"")),"")</f>
        <v/>
      </c>
      <c r="AL329" s="32">
        <f>IF(AE329="","",IF(ISNUMBER(AK329),AK329,IFERROR(INT(IFERROR(IF(ISNUMBER(INDEX($A329:$Z329,MATCH(Settings!$L$11,$A$1:$Z$1,0))),INDEX($A329:$Z329,MATCH(Settings!$L$11,$A$1:$Z$1,0)),DATE(VALUE(LEFT(IFERROR(TRIM(INDEX($A329:$Z329,MATCH(Settings!$L$11,$A$1:$Z$1,0))&amp;""),""),4)),VALUE(MID(IFERROR(TRIM(INDEX($A329:$Z329,MATCH(Settings!$L$11,$A$1:$Z$1,0))&amp;""),""),6,2)),VALUE(MID(IFERROR(TRIM(INDEX($A329:$Z329,MATCH(Settings!$L$11,$A$1:$Z$1,0))&amp;""),""),9,2)))+TIME(VALUE(MID(IFERROR(TRIM(INDEX($A329:$Z329,MATCH(Settings!$L$11,$A$1:$Z$1,0))&amp;""),""),12,2)),VALUE(MID(IFERROR(TRIM(INDEX($A329:$Z329,MATCH(Settings!$L$11,$A$1:$Z$1,0))&amp;""),""),15,2)),VALUE(MID(IFERROR(TRIM(INDEX($A329:$Z329,MATCH(Settings!$L$11,$A$1:$Z$1,0))&amp;""),""),18,2)))),"")),"")))</f>
        <v/>
      </c>
      <c r="AM329" s="31">
        <f>IF(AE329="","",IF(ISNUMBER(IFERROR(INDEX(Settings!$G$4:$G$11,MATCH(AH329,Settings!$F$4:$F$11,0)),"")),INDEX(Settings!$G$4:$G$11,MATCH(AH329,Settings!$F$4:$F$11,0)),Settings!$D$5))</f>
        <v/>
      </c>
      <c r="AN329" s="32">
        <f>IF(OR(AE329="",NOT(ISNUMBER(AL329)),NOT(ISNUMBER(AM329))),"",IF(AM329&lt;=0,"",IF(ISNUMBER(Settings!$D$8),DATE(YEAR(AL329)+IF(DATE(YEAR(AL329),MONTH(Settings!$D$8),DAY(Settings!$D$8))&gt;AL329,0,1),MONTH(Settings!$D$8),DAY(Settings!$D$8)),MIN(DATE(YEAR(AL329),MONTH(AL329)+AM329,DAY(AL329)),DATE(YEAR(AL329),MONTH(AL329)+AM329+1,0)))))</f>
        <v/>
      </c>
      <c r="AO329" s="31">
        <f>IF(ISNUMBER(AN329),AN329-Settings!$D$4,"")</f>
        <v/>
      </c>
      <c r="AP329" s="31">
        <f>IF(ISNUMBER(AL329),AL329+0+ROW()/100000,"")</f>
        <v/>
      </c>
      <c r="AQ329" s="31">
        <f>IF(OR(AG329="",NOT(ISNUMBER(AP329))),0,IF(SUMPRODUCT(('Responses'!$AG$2:$AG$501=AG329)*('Responses'!$AJ$2:$AJ$501=1)*ISNUMBER('Responses'!$AP$2:$AP$501)*('Responses'!$AP$2:$AP$501&gt;AP329)) + SUMPRODUCT(('Paper sign-ups'!$K$2:$K$101=AG329)*('Paper sign-ups'!$N$2:$N$101=1)*ISNUMBER('Paper sign-ups'!$T$2:$T$101)*('Paper sign-ups'!$T$2:$T$101&gt;AP329))&gt;0,1,0))</f>
        <v/>
      </c>
      <c r="AR329" s="31">
        <f>IF(AE329="","",IF(AQ329=1,"Joined again",IF(AJ329=0,"Unpaid",IF(NOT(ISNUMBER(AL329)),"Add a join date",IF(AN329="","No reminder",IF(AO329&lt;0,"Lapsed",IF(AO329&lt;=Settings!$D$6,"Remind soon","Current")))))))</f>
        <v/>
      </c>
      <c r="AS329" s="33">
        <f>IF(AJ329=1,IFERROR(VALUE(IFERROR(TRIM(INDEX($A329:$Z329,MATCH(Settings!$L$8,$A$1:$Z$1,0))&amp;""),"")),0)-IFERROR(VALUE(IFERROR(TRIM(INDEX($A329:$Z329,MATCH(Settings!$L$9,$A$1:$Z$1,0))&amp;""),"")),0),0)</f>
        <v/>
      </c>
      <c r="AT329" s="31">
        <f>IF(AND(AE329&lt;&gt;"",AQ329=0),1,0)</f>
        <v/>
      </c>
      <c r="AU329" s="31">
        <f>IF(AT329=0,"",IF(ISNUMBER(AN329),AN329,100000)+0+ROW()/1000000)</f>
        <v/>
      </c>
      <c r="AV329" s="31">
        <f>IF(ISNUMBER(AU329),SUMPRODUCT(ISNUMBER('Responses'!$AU$2:$AU$501)*('Responses'!$AU$2:$AU$501&lt;AU329)) + SUMPRODUCT(ISNUMBER('Paper sign-ups'!$Y$2:$Y$101)*('Paper sign-ups'!$Y$2:$Y$101&lt;AU329))+1,"")</f>
        <v/>
      </c>
    </row>
    <row r="330">
      <c r="AA330" s="29" t="n"/>
      <c r="AB330" s="30" t="n"/>
      <c r="AC330" s="30" t="n"/>
      <c r="AD330" s="29" t="n"/>
      <c r="AE330" s="31">
        <f>IFERROR(TRIM(INDEX($A330:$Z330,MATCH(Settings!$L$4,$A$1:$Z$1,0))&amp;""),"")</f>
        <v/>
      </c>
      <c r="AF330" s="31">
        <f>IFERROR(TRIM(INDEX($A330:$Z330,MATCH(Settings!$L$5,$A$1:$Z$1,0))&amp;""),"")</f>
        <v/>
      </c>
      <c r="AG330" s="31">
        <f>IF(AE330="","",LOWER(IF(AF330&lt;&gt;"",AF330,AE330)))</f>
        <v/>
      </c>
      <c r="AH330" s="31">
        <f>IFERROR(TRIM(INDEX($A330:$Z330,MATCH(Settings!$L$6,$A$1:$Z$1,0))&amp;""),"")</f>
        <v/>
      </c>
      <c r="AI330" s="31">
        <f>IF(AE330="","",IF(UPPER(TRIM(AB330&amp;""))="Y","Paid another way",IF(IFERROR(TRIM(INDEX($A330:$Z330,MATCH(Settings!$L$7,$A$1:$Z$1,0))&amp;""),"")="","No payment status",IFERROR(TRIM(INDEX($A330:$Z330,MATCH(Settings!$L$7,$A$1:$Z$1,0))&amp;""),""))))</f>
        <v/>
      </c>
      <c r="AJ330" s="31">
        <f>IF(AE330="",0,IF(IFERROR(INDEX(Settings!$J$4:$J$14,MATCH(AI330,Settings!$I$4:$I$14,0)),"N")="Y",1,0))</f>
        <v/>
      </c>
      <c r="AK330" s="32">
        <f>IFERROR(INT(IFERROR(IF(ISNUMBER(INDEX($A330:$Z330,MATCH(Settings!$L$10,$A$1:$Z$1,0))),INDEX($A330:$Z330,MATCH(Settings!$L$10,$A$1:$Z$1,0)),DATE(VALUE(LEFT(IFERROR(TRIM(INDEX($A330:$Z330,MATCH(Settings!$L$10,$A$1:$Z$1,0))&amp;""),""),4)),VALUE(MID(IFERROR(TRIM(INDEX($A330:$Z330,MATCH(Settings!$L$10,$A$1:$Z$1,0))&amp;""),""),6,2)),VALUE(MID(IFERROR(TRIM(INDEX($A330:$Z330,MATCH(Settings!$L$10,$A$1:$Z$1,0))&amp;""),""),9,2)))+TIME(VALUE(MID(IFERROR(TRIM(INDEX($A330:$Z330,MATCH(Settings!$L$10,$A$1:$Z$1,0))&amp;""),""),12,2)),VALUE(MID(IFERROR(TRIM(INDEX($A330:$Z330,MATCH(Settings!$L$10,$A$1:$Z$1,0))&amp;""),""),15,2)),VALUE(MID(IFERROR(TRIM(INDEX($A330:$Z330,MATCH(Settings!$L$10,$A$1:$Z$1,0))&amp;""),""),18,2)))),"")),"")</f>
        <v/>
      </c>
      <c r="AL330" s="32">
        <f>IF(AE330="","",IF(ISNUMBER(AK330),AK330,IFERROR(INT(IFERROR(IF(ISNUMBER(INDEX($A330:$Z330,MATCH(Settings!$L$11,$A$1:$Z$1,0))),INDEX($A330:$Z330,MATCH(Settings!$L$11,$A$1:$Z$1,0)),DATE(VALUE(LEFT(IFERROR(TRIM(INDEX($A330:$Z330,MATCH(Settings!$L$11,$A$1:$Z$1,0))&amp;""),""),4)),VALUE(MID(IFERROR(TRIM(INDEX($A330:$Z330,MATCH(Settings!$L$11,$A$1:$Z$1,0))&amp;""),""),6,2)),VALUE(MID(IFERROR(TRIM(INDEX($A330:$Z330,MATCH(Settings!$L$11,$A$1:$Z$1,0))&amp;""),""),9,2)))+TIME(VALUE(MID(IFERROR(TRIM(INDEX($A330:$Z330,MATCH(Settings!$L$11,$A$1:$Z$1,0))&amp;""),""),12,2)),VALUE(MID(IFERROR(TRIM(INDEX($A330:$Z330,MATCH(Settings!$L$11,$A$1:$Z$1,0))&amp;""),""),15,2)),VALUE(MID(IFERROR(TRIM(INDEX($A330:$Z330,MATCH(Settings!$L$11,$A$1:$Z$1,0))&amp;""),""),18,2)))),"")),"")))</f>
        <v/>
      </c>
      <c r="AM330" s="31">
        <f>IF(AE330="","",IF(ISNUMBER(IFERROR(INDEX(Settings!$G$4:$G$11,MATCH(AH330,Settings!$F$4:$F$11,0)),"")),INDEX(Settings!$G$4:$G$11,MATCH(AH330,Settings!$F$4:$F$11,0)),Settings!$D$5))</f>
        <v/>
      </c>
      <c r="AN330" s="32">
        <f>IF(OR(AE330="",NOT(ISNUMBER(AL330)),NOT(ISNUMBER(AM330))),"",IF(AM330&lt;=0,"",IF(ISNUMBER(Settings!$D$8),DATE(YEAR(AL330)+IF(DATE(YEAR(AL330),MONTH(Settings!$D$8),DAY(Settings!$D$8))&gt;AL330,0,1),MONTH(Settings!$D$8),DAY(Settings!$D$8)),MIN(DATE(YEAR(AL330),MONTH(AL330)+AM330,DAY(AL330)),DATE(YEAR(AL330),MONTH(AL330)+AM330+1,0)))))</f>
        <v/>
      </c>
      <c r="AO330" s="31">
        <f>IF(ISNUMBER(AN330),AN330-Settings!$D$4,"")</f>
        <v/>
      </c>
      <c r="AP330" s="31">
        <f>IF(ISNUMBER(AL330),AL330+0+ROW()/100000,"")</f>
        <v/>
      </c>
      <c r="AQ330" s="31">
        <f>IF(OR(AG330="",NOT(ISNUMBER(AP330))),0,IF(SUMPRODUCT(('Responses'!$AG$2:$AG$501=AG330)*('Responses'!$AJ$2:$AJ$501=1)*ISNUMBER('Responses'!$AP$2:$AP$501)*('Responses'!$AP$2:$AP$501&gt;AP330)) + SUMPRODUCT(('Paper sign-ups'!$K$2:$K$101=AG330)*('Paper sign-ups'!$N$2:$N$101=1)*ISNUMBER('Paper sign-ups'!$T$2:$T$101)*('Paper sign-ups'!$T$2:$T$101&gt;AP330))&gt;0,1,0))</f>
        <v/>
      </c>
      <c r="AR330" s="31">
        <f>IF(AE330="","",IF(AQ330=1,"Joined again",IF(AJ330=0,"Unpaid",IF(NOT(ISNUMBER(AL330)),"Add a join date",IF(AN330="","No reminder",IF(AO330&lt;0,"Lapsed",IF(AO330&lt;=Settings!$D$6,"Remind soon","Current")))))))</f>
        <v/>
      </c>
      <c r="AS330" s="33">
        <f>IF(AJ330=1,IFERROR(VALUE(IFERROR(TRIM(INDEX($A330:$Z330,MATCH(Settings!$L$8,$A$1:$Z$1,0))&amp;""),"")),0)-IFERROR(VALUE(IFERROR(TRIM(INDEX($A330:$Z330,MATCH(Settings!$L$9,$A$1:$Z$1,0))&amp;""),"")),0),0)</f>
        <v/>
      </c>
      <c r="AT330" s="31">
        <f>IF(AND(AE330&lt;&gt;"",AQ330=0),1,0)</f>
        <v/>
      </c>
      <c r="AU330" s="31">
        <f>IF(AT330=0,"",IF(ISNUMBER(AN330),AN330,100000)+0+ROW()/1000000)</f>
        <v/>
      </c>
      <c r="AV330" s="31">
        <f>IF(ISNUMBER(AU330),SUMPRODUCT(ISNUMBER('Responses'!$AU$2:$AU$501)*('Responses'!$AU$2:$AU$501&lt;AU330)) + SUMPRODUCT(ISNUMBER('Paper sign-ups'!$Y$2:$Y$101)*('Paper sign-ups'!$Y$2:$Y$101&lt;AU330))+1,"")</f>
        <v/>
      </c>
    </row>
    <row r="331">
      <c r="AA331" s="29" t="n"/>
      <c r="AB331" s="30" t="n"/>
      <c r="AC331" s="30" t="n"/>
      <c r="AD331" s="29" t="n"/>
      <c r="AE331" s="31">
        <f>IFERROR(TRIM(INDEX($A331:$Z331,MATCH(Settings!$L$4,$A$1:$Z$1,0))&amp;""),"")</f>
        <v/>
      </c>
      <c r="AF331" s="31">
        <f>IFERROR(TRIM(INDEX($A331:$Z331,MATCH(Settings!$L$5,$A$1:$Z$1,0))&amp;""),"")</f>
        <v/>
      </c>
      <c r="AG331" s="31">
        <f>IF(AE331="","",LOWER(IF(AF331&lt;&gt;"",AF331,AE331)))</f>
        <v/>
      </c>
      <c r="AH331" s="31">
        <f>IFERROR(TRIM(INDEX($A331:$Z331,MATCH(Settings!$L$6,$A$1:$Z$1,0))&amp;""),"")</f>
        <v/>
      </c>
      <c r="AI331" s="31">
        <f>IF(AE331="","",IF(UPPER(TRIM(AB331&amp;""))="Y","Paid another way",IF(IFERROR(TRIM(INDEX($A331:$Z331,MATCH(Settings!$L$7,$A$1:$Z$1,0))&amp;""),"")="","No payment status",IFERROR(TRIM(INDEX($A331:$Z331,MATCH(Settings!$L$7,$A$1:$Z$1,0))&amp;""),""))))</f>
        <v/>
      </c>
      <c r="AJ331" s="31">
        <f>IF(AE331="",0,IF(IFERROR(INDEX(Settings!$J$4:$J$14,MATCH(AI331,Settings!$I$4:$I$14,0)),"N")="Y",1,0))</f>
        <v/>
      </c>
      <c r="AK331" s="32">
        <f>IFERROR(INT(IFERROR(IF(ISNUMBER(INDEX($A331:$Z331,MATCH(Settings!$L$10,$A$1:$Z$1,0))),INDEX($A331:$Z331,MATCH(Settings!$L$10,$A$1:$Z$1,0)),DATE(VALUE(LEFT(IFERROR(TRIM(INDEX($A331:$Z331,MATCH(Settings!$L$10,$A$1:$Z$1,0))&amp;""),""),4)),VALUE(MID(IFERROR(TRIM(INDEX($A331:$Z331,MATCH(Settings!$L$10,$A$1:$Z$1,0))&amp;""),""),6,2)),VALUE(MID(IFERROR(TRIM(INDEX($A331:$Z331,MATCH(Settings!$L$10,$A$1:$Z$1,0))&amp;""),""),9,2)))+TIME(VALUE(MID(IFERROR(TRIM(INDEX($A331:$Z331,MATCH(Settings!$L$10,$A$1:$Z$1,0))&amp;""),""),12,2)),VALUE(MID(IFERROR(TRIM(INDEX($A331:$Z331,MATCH(Settings!$L$10,$A$1:$Z$1,0))&amp;""),""),15,2)),VALUE(MID(IFERROR(TRIM(INDEX($A331:$Z331,MATCH(Settings!$L$10,$A$1:$Z$1,0))&amp;""),""),18,2)))),"")),"")</f>
        <v/>
      </c>
      <c r="AL331" s="32">
        <f>IF(AE331="","",IF(ISNUMBER(AK331),AK331,IFERROR(INT(IFERROR(IF(ISNUMBER(INDEX($A331:$Z331,MATCH(Settings!$L$11,$A$1:$Z$1,0))),INDEX($A331:$Z331,MATCH(Settings!$L$11,$A$1:$Z$1,0)),DATE(VALUE(LEFT(IFERROR(TRIM(INDEX($A331:$Z331,MATCH(Settings!$L$11,$A$1:$Z$1,0))&amp;""),""),4)),VALUE(MID(IFERROR(TRIM(INDEX($A331:$Z331,MATCH(Settings!$L$11,$A$1:$Z$1,0))&amp;""),""),6,2)),VALUE(MID(IFERROR(TRIM(INDEX($A331:$Z331,MATCH(Settings!$L$11,$A$1:$Z$1,0))&amp;""),""),9,2)))+TIME(VALUE(MID(IFERROR(TRIM(INDEX($A331:$Z331,MATCH(Settings!$L$11,$A$1:$Z$1,0))&amp;""),""),12,2)),VALUE(MID(IFERROR(TRIM(INDEX($A331:$Z331,MATCH(Settings!$L$11,$A$1:$Z$1,0))&amp;""),""),15,2)),VALUE(MID(IFERROR(TRIM(INDEX($A331:$Z331,MATCH(Settings!$L$11,$A$1:$Z$1,0))&amp;""),""),18,2)))),"")),"")))</f>
        <v/>
      </c>
      <c r="AM331" s="31">
        <f>IF(AE331="","",IF(ISNUMBER(IFERROR(INDEX(Settings!$G$4:$G$11,MATCH(AH331,Settings!$F$4:$F$11,0)),"")),INDEX(Settings!$G$4:$G$11,MATCH(AH331,Settings!$F$4:$F$11,0)),Settings!$D$5))</f>
        <v/>
      </c>
      <c r="AN331" s="32">
        <f>IF(OR(AE331="",NOT(ISNUMBER(AL331)),NOT(ISNUMBER(AM331))),"",IF(AM331&lt;=0,"",IF(ISNUMBER(Settings!$D$8),DATE(YEAR(AL331)+IF(DATE(YEAR(AL331),MONTH(Settings!$D$8),DAY(Settings!$D$8))&gt;AL331,0,1),MONTH(Settings!$D$8),DAY(Settings!$D$8)),MIN(DATE(YEAR(AL331),MONTH(AL331)+AM331,DAY(AL331)),DATE(YEAR(AL331),MONTH(AL331)+AM331+1,0)))))</f>
        <v/>
      </c>
      <c r="AO331" s="31">
        <f>IF(ISNUMBER(AN331),AN331-Settings!$D$4,"")</f>
        <v/>
      </c>
      <c r="AP331" s="31">
        <f>IF(ISNUMBER(AL331),AL331+0+ROW()/100000,"")</f>
        <v/>
      </c>
      <c r="AQ331" s="31">
        <f>IF(OR(AG331="",NOT(ISNUMBER(AP331))),0,IF(SUMPRODUCT(('Responses'!$AG$2:$AG$501=AG331)*('Responses'!$AJ$2:$AJ$501=1)*ISNUMBER('Responses'!$AP$2:$AP$501)*('Responses'!$AP$2:$AP$501&gt;AP331)) + SUMPRODUCT(('Paper sign-ups'!$K$2:$K$101=AG331)*('Paper sign-ups'!$N$2:$N$101=1)*ISNUMBER('Paper sign-ups'!$T$2:$T$101)*('Paper sign-ups'!$T$2:$T$101&gt;AP331))&gt;0,1,0))</f>
        <v/>
      </c>
      <c r="AR331" s="31">
        <f>IF(AE331="","",IF(AQ331=1,"Joined again",IF(AJ331=0,"Unpaid",IF(NOT(ISNUMBER(AL331)),"Add a join date",IF(AN331="","No reminder",IF(AO331&lt;0,"Lapsed",IF(AO331&lt;=Settings!$D$6,"Remind soon","Current")))))))</f>
        <v/>
      </c>
      <c r="AS331" s="33">
        <f>IF(AJ331=1,IFERROR(VALUE(IFERROR(TRIM(INDEX($A331:$Z331,MATCH(Settings!$L$8,$A$1:$Z$1,0))&amp;""),"")),0)-IFERROR(VALUE(IFERROR(TRIM(INDEX($A331:$Z331,MATCH(Settings!$L$9,$A$1:$Z$1,0))&amp;""),"")),0),0)</f>
        <v/>
      </c>
      <c r="AT331" s="31">
        <f>IF(AND(AE331&lt;&gt;"",AQ331=0),1,0)</f>
        <v/>
      </c>
      <c r="AU331" s="31">
        <f>IF(AT331=0,"",IF(ISNUMBER(AN331),AN331,100000)+0+ROW()/1000000)</f>
        <v/>
      </c>
      <c r="AV331" s="31">
        <f>IF(ISNUMBER(AU331),SUMPRODUCT(ISNUMBER('Responses'!$AU$2:$AU$501)*('Responses'!$AU$2:$AU$501&lt;AU331)) + SUMPRODUCT(ISNUMBER('Paper sign-ups'!$Y$2:$Y$101)*('Paper sign-ups'!$Y$2:$Y$101&lt;AU331))+1,"")</f>
        <v/>
      </c>
    </row>
    <row r="332">
      <c r="AA332" s="29" t="n"/>
      <c r="AB332" s="30" t="n"/>
      <c r="AC332" s="30" t="n"/>
      <c r="AD332" s="29" t="n"/>
      <c r="AE332" s="31">
        <f>IFERROR(TRIM(INDEX($A332:$Z332,MATCH(Settings!$L$4,$A$1:$Z$1,0))&amp;""),"")</f>
        <v/>
      </c>
      <c r="AF332" s="31">
        <f>IFERROR(TRIM(INDEX($A332:$Z332,MATCH(Settings!$L$5,$A$1:$Z$1,0))&amp;""),"")</f>
        <v/>
      </c>
      <c r="AG332" s="31">
        <f>IF(AE332="","",LOWER(IF(AF332&lt;&gt;"",AF332,AE332)))</f>
        <v/>
      </c>
      <c r="AH332" s="31">
        <f>IFERROR(TRIM(INDEX($A332:$Z332,MATCH(Settings!$L$6,$A$1:$Z$1,0))&amp;""),"")</f>
        <v/>
      </c>
      <c r="AI332" s="31">
        <f>IF(AE332="","",IF(UPPER(TRIM(AB332&amp;""))="Y","Paid another way",IF(IFERROR(TRIM(INDEX($A332:$Z332,MATCH(Settings!$L$7,$A$1:$Z$1,0))&amp;""),"")="","No payment status",IFERROR(TRIM(INDEX($A332:$Z332,MATCH(Settings!$L$7,$A$1:$Z$1,0))&amp;""),""))))</f>
        <v/>
      </c>
      <c r="AJ332" s="31">
        <f>IF(AE332="",0,IF(IFERROR(INDEX(Settings!$J$4:$J$14,MATCH(AI332,Settings!$I$4:$I$14,0)),"N")="Y",1,0))</f>
        <v/>
      </c>
      <c r="AK332" s="32">
        <f>IFERROR(INT(IFERROR(IF(ISNUMBER(INDEX($A332:$Z332,MATCH(Settings!$L$10,$A$1:$Z$1,0))),INDEX($A332:$Z332,MATCH(Settings!$L$10,$A$1:$Z$1,0)),DATE(VALUE(LEFT(IFERROR(TRIM(INDEX($A332:$Z332,MATCH(Settings!$L$10,$A$1:$Z$1,0))&amp;""),""),4)),VALUE(MID(IFERROR(TRIM(INDEX($A332:$Z332,MATCH(Settings!$L$10,$A$1:$Z$1,0))&amp;""),""),6,2)),VALUE(MID(IFERROR(TRIM(INDEX($A332:$Z332,MATCH(Settings!$L$10,$A$1:$Z$1,0))&amp;""),""),9,2)))+TIME(VALUE(MID(IFERROR(TRIM(INDEX($A332:$Z332,MATCH(Settings!$L$10,$A$1:$Z$1,0))&amp;""),""),12,2)),VALUE(MID(IFERROR(TRIM(INDEX($A332:$Z332,MATCH(Settings!$L$10,$A$1:$Z$1,0))&amp;""),""),15,2)),VALUE(MID(IFERROR(TRIM(INDEX($A332:$Z332,MATCH(Settings!$L$10,$A$1:$Z$1,0))&amp;""),""),18,2)))),"")),"")</f>
        <v/>
      </c>
      <c r="AL332" s="32">
        <f>IF(AE332="","",IF(ISNUMBER(AK332),AK332,IFERROR(INT(IFERROR(IF(ISNUMBER(INDEX($A332:$Z332,MATCH(Settings!$L$11,$A$1:$Z$1,0))),INDEX($A332:$Z332,MATCH(Settings!$L$11,$A$1:$Z$1,0)),DATE(VALUE(LEFT(IFERROR(TRIM(INDEX($A332:$Z332,MATCH(Settings!$L$11,$A$1:$Z$1,0))&amp;""),""),4)),VALUE(MID(IFERROR(TRIM(INDEX($A332:$Z332,MATCH(Settings!$L$11,$A$1:$Z$1,0))&amp;""),""),6,2)),VALUE(MID(IFERROR(TRIM(INDEX($A332:$Z332,MATCH(Settings!$L$11,$A$1:$Z$1,0))&amp;""),""),9,2)))+TIME(VALUE(MID(IFERROR(TRIM(INDEX($A332:$Z332,MATCH(Settings!$L$11,$A$1:$Z$1,0))&amp;""),""),12,2)),VALUE(MID(IFERROR(TRIM(INDEX($A332:$Z332,MATCH(Settings!$L$11,$A$1:$Z$1,0))&amp;""),""),15,2)),VALUE(MID(IFERROR(TRIM(INDEX($A332:$Z332,MATCH(Settings!$L$11,$A$1:$Z$1,0))&amp;""),""),18,2)))),"")),"")))</f>
        <v/>
      </c>
      <c r="AM332" s="31">
        <f>IF(AE332="","",IF(ISNUMBER(IFERROR(INDEX(Settings!$G$4:$G$11,MATCH(AH332,Settings!$F$4:$F$11,0)),"")),INDEX(Settings!$G$4:$G$11,MATCH(AH332,Settings!$F$4:$F$11,0)),Settings!$D$5))</f>
        <v/>
      </c>
      <c r="AN332" s="32">
        <f>IF(OR(AE332="",NOT(ISNUMBER(AL332)),NOT(ISNUMBER(AM332))),"",IF(AM332&lt;=0,"",IF(ISNUMBER(Settings!$D$8),DATE(YEAR(AL332)+IF(DATE(YEAR(AL332),MONTH(Settings!$D$8),DAY(Settings!$D$8))&gt;AL332,0,1),MONTH(Settings!$D$8),DAY(Settings!$D$8)),MIN(DATE(YEAR(AL332),MONTH(AL332)+AM332,DAY(AL332)),DATE(YEAR(AL332),MONTH(AL332)+AM332+1,0)))))</f>
        <v/>
      </c>
      <c r="AO332" s="31">
        <f>IF(ISNUMBER(AN332),AN332-Settings!$D$4,"")</f>
        <v/>
      </c>
      <c r="AP332" s="31">
        <f>IF(ISNUMBER(AL332),AL332+0+ROW()/100000,"")</f>
        <v/>
      </c>
      <c r="AQ332" s="31">
        <f>IF(OR(AG332="",NOT(ISNUMBER(AP332))),0,IF(SUMPRODUCT(('Responses'!$AG$2:$AG$501=AG332)*('Responses'!$AJ$2:$AJ$501=1)*ISNUMBER('Responses'!$AP$2:$AP$501)*('Responses'!$AP$2:$AP$501&gt;AP332)) + SUMPRODUCT(('Paper sign-ups'!$K$2:$K$101=AG332)*('Paper sign-ups'!$N$2:$N$101=1)*ISNUMBER('Paper sign-ups'!$T$2:$T$101)*('Paper sign-ups'!$T$2:$T$101&gt;AP332))&gt;0,1,0))</f>
        <v/>
      </c>
      <c r="AR332" s="31">
        <f>IF(AE332="","",IF(AQ332=1,"Joined again",IF(AJ332=0,"Unpaid",IF(NOT(ISNUMBER(AL332)),"Add a join date",IF(AN332="","No reminder",IF(AO332&lt;0,"Lapsed",IF(AO332&lt;=Settings!$D$6,"Remind soon","Current")))))))</f>
        <v/>
      </c>
      <c r="AS332" s="33">
        <f>IF(AJ332=1,IFERROR(VALUE(IFERROR(TRIM(INDEX($A332:$Z332,MATCH(Settings!$L$8,$A$1:$Z$1,0))&amp;""),"")),0)-IFERROR(VALUE(IFERROR(TRIM(INDEX($A332:$Z332,MATCH(Settings!$L$9,$A$1:$Z$1,0))&amp;""),"")),0),0)</f>
        <v/>
      </c>
      <c r="AT332" s="31">
        <f>IF(AND(AE332&lt;&gt;"",AQ332=0),1,0)</f>
        <v/>
      </c>
      <c r="AU332" s="31">
        <f>IF(AT332=0,"",IF(ISNUMBER(AN332),AN332,100000)+0+ROW()/1000000)</f>
        <v/>
      </c>
      <c r="AV332" s="31">
        <f>IF(ISNUMBER(AU332),SUMPRODUCT(ISNUMBER('Responses'!$AU$2:$AU$501)*('Responses'!$AU$2:$AU$501&lt;AU332)) + SUMPRODUCT(ISNUMBER('Paper sign-ups'!$Y$2:$Y$101)*('Paper sign-ups'!$Y$2:$Y$101&lt;AU332))+1,"")</f>
        <v/>
      </c>
    </row>
    <row r="333">
      <c r="AA333" s="29" t="n"/>
      <c r="AB333" s="30" t="n"/>
      <c r="AC333" s="30" t="n"/>
      <c r="AD333" s="29" t="n"/>
      <c r="AE333" s="31">
        <f>IFERROR(TRIM(INDEX($A333:$Z333,MATCH(Settings!$L$4,$A$1:$Z$1,0))&amp;""),"")</f>
        <v/>
      </c>
      <c r="AF333" s="31">
        <f>IFERROR(TRIM(INDEX($A333:$Z333,MATCH(Settings!$L$5,$A$1:$Z$1,0))&amp;""),"")</f>
        <v/>
      </c>
      <c r="AG333" s="31">
        <f>IF(AE333="","",LOWER(IF(AF333&lt;&gt;"",AF333,AE333)))</f>
        <v/>
      </c>
      <c r="AH333" s="31">
        <f>IFERROR(TRIM(INDEX($A333:$Z333,MATCH(Settings!$L$6,$A$1:$Z$1,0))&amp;""),"")</f>
        <v/>
      </c>
      <c r="AI333" s="31">
        <f>IF(AE333="","",IF(UPPER(TRIM(AB333&amp;""))="Y","Paid another way",IF(IFERROR(TRIM(INDEX($A333:$Z333,MATCH(Settings!$L$7,$A$1:$Z$1,0))&amp;""),"")="","No payment status",IFERROR(TRIM(INDEX($A333:$Z333,MATCH(Settings!$L$7,$A$1:$Z$1,0))&amp;""),""))))</f>
        <v/>
      </c>
      <c r="AJ333" s="31">
        <f>IF(AE333="",0,IF(IFERROR(INDEX(Settings!$J$4:$J$14,MATCH(AI333,Settings!$I$4:$I$14,0)),"N")="Y",1,0))</f>
        <v/>
      </c>
      <c r="AK333" s="32">
        <f>IFERROR(INT(IFERROR(IF(ISNUMBER(INDEX($A333:$Z333,MATCH(Settings!$L$10,$A$1:$Z$1,0))),INDEX($A333:$Z333,MATCH(Settings!$L$10,$A$1:$Z$1,0)),DATE(VALUE(LEFT(IFERROR(TRIM(INDEX($A333:$Z333,MATCH(Settings!$L$10,$A$1:$Z$1,0))&amp;""),""),4)),VALUE(MID(IFERROR(TRIM(INDEX($A333:$Z333,MATCH(Settings!$L$10,$A$1:$Z$1,0))&amp;""),""),6,2)),VALUE(MID(IFERROR(TRIM(INDEX($A333:$Z333,MATCH(Settings!$L$10,$A$1:$Z$1,0))&amp;""),""),9,2)))+TIME(VALUE(MID(IFERROR(TRIM(INDEX($A333:$Z333,MATCH(Settings!$L$10,$A$1:$Z$1,0))&amp;""),""),12,2)),VALUE(MID(IFERROR(TRIM(INDEX($A333:$Z333,MATCH(Settings!$L$10,$A$1:$Z$1,0))&amp;""),""),15,2)),VALUE(MID(IFERROR(TRIM(INDEX($A333:$Z333,MATCH(Settings!$L$10,$A$1:$Z$1,0))&amp;""),""),18,2)))),"")),"")</f>
        <v/>
      </c>
      <c r="AL333" s="32">
        <f>IF(AE333="","",IF(ISNUMBER(AK333),AK333,IFERROR(INT(IFERROR(IF(ISNUMBER(INDEX($A333:$Z333,MATCH(Settings!$L$11,$A$1:$Z$1,0))),INDEX($A333:$Z333,MATCH(Settings!$L$11,$A$1:$Z$1,0)),DATE(VALUE(LEFT(IFERROR(TRIM(INDEX($A333:$Z333,MATCH(Settings!$L$11,$A$1:$Z$1,0))&amp;""),""),4)),VALUE(MID(IFERROR(TRIM(INDEX($A333:$Z333,MATCH(Settings!$L$11,$A$1:$Z$1,0))&amp;""),""),6,2)),VALUE(MID(IFERROR(TRIM(INDEX($A333:$Z333,MATCH(Settings!$L$11,$A$1:$Z$1,0))&amp;""),""),9,2)))+TIME(VALUE(MID(IFERROR(TRIM(INDEX($A333:$Z333,MATCH(Settings!$L$11,$A$1:$Z$1,0))&amp;""),""),12,2)),VALUE(MID(IFERROR(TRIM(INDEX($A333:$Z333,MATCH(Settings!$L$11,$A$1:$Z$1,0))&amp;""),""),15,2)),VALUE(MID(IFERROR(TRIM(INDEX($A333:$Z333,MATCH(Settings!$L$11,$A$1:$Z$1,0))&amp;""),""),18,2)))),"")),"")))</f>
        <v/>
      </c>
      <c r="AM333" s="31">
        <f>IF(AE333="","",IF(ISNUMBER(IFERROR(INDEX(Settings!$G$4:$G$11,MATCH(AH333,Settings!$F$4:$F$11,0)),"")),INDEX(Settings!$G$4:$G$11,MATCH(AH333,Settings!$F$4:$F$11,0)),Settings!$D$5))</f>
        <v/>
      </c>
      <c r="AN333" s="32">
        <f>IF(OR(AE333="",NOT(ISNUMBER(AL333)),NOT(ISNUMBER(AM333))),"",IF(AM333&lt;=0,"",IF(ISNUMBER(Settings!$D$8),DATE(YEAR(AL333)+IF(DATE(YEAR(AL333),MONTH(Settings!$D$8),DAY(Settings!$D$8))&gt;AL333,0,1),MONTH(Settings!$D$8),DAY(Settings!$D$8)),MIN(DATE(YEAR(AL333),MONTH(AL333)+AM333,DAY(AL333)),DATE(YEAR(AL333),MONTH(AL333)+AM333+1,0)))))</f>
        <v/>
      </c>
      <c r="AO333" s="31">
        <f>IF(ISNUMBER(AN333),AN333-Settings!$D$4,"")</f>
        <v/>
      </c>
      <c r="AP333" s="31">
        <f>IF(ISNUMBER(AL333),AL333+0+ROW()/100000,"")</f>
        <v/>
      </c>
      <c r="AQ333" s="31">
        <f>IF(OR(AG333="",NOT(ISNUMBER(AP333))),0,IF(SUMPRODUCT(('Responses'!$AG$2:$AG$501=AG333)*('Responses'!$AJ$2:$AJ$501=1)*ISNUMBER('Responses'!$AP$2:$AP$501)*('Responses'!$AP$2:$AP$501&gt;AP333)) + SUMPRODUCT(('Paper sign-ups'!$K$2:$K$101=AG333)*('Paper sign-ups'!$N$2:$N$101=1)*ISNUMBER('Paper sign-ups'!$T$2:$T$101)*('Paper sign-ups'!$T$2:$T$101&gt;AP333))&gt;0,1,0))</f>
        <v/>
      </c>
      <c r="AR333" s="31">
        <f>IF(AE333="","",IF(AQ333=1,"Joined again",IF(AJ333=0,"Unpaid",IF(NOT(ISNUMBER(AL333)),"Add a join date",IF(AN333="","No reminder",IF(AO333&lt;0,"Lapsed",IF(AO333&lt;=Settings!$D$6,"Remind soon","Current")))))))</f>
        <v/>
      </c>
      <c r="AS333" s="33">
        <f>IF(AJ333=1,IFERROR(VALUE(IFERROR(TRIM(INDEX($A333:$Z333,MATCH(Settings!$L$8,$A$1:$Z$1,0))&amp;""),"")),0)-IFERROR(VALUE(IFERROR(TRIM(INDEX($A333:$Z333,MATCH(Settings!$L$9,$A$1:$Z$1,0))&amp;""),"")),0),0)</f>
        <v/>
      </c>
      <c r="AT333" s="31">
        <f>IF(AND(AE333&lt;&gt;"",AQ333=0),1,0)</f>
        <v/>
      </c>
      <c r="AU333" s="31">
        <f>IF(AT333=0,"",IF(ISNUMBER(AN333),AN333,100000)+0+ROW()/1000000)</f>
        <v/>
      </c>
      <c r="AV333" s="31">
        <f>IF(ISNUMBER(AU333),SUMPRODUCT(ISNUMBER('Responses'!$AU$2:$AU$501)*('Responses'!$AU$2:$AU$501&lt;AU333)) + SUMPRODUCT(ISNUMBER('Paper sign-ups'!$Y$2:$Y$101)*('Paper sign-ups'!$Y$2:$Y$101&lt;AU333))+1,"")</f>
        <v/>
      </c>
    </row>
    <row r="334">
      <c r="AA334" s="29" t="n"/>
      <c r="AB334" s="30" t="n"/>
      <c r="AC334" s="30" t="n"/>
      <c r="AD334" s="29" t="n"/>
      <c r="AE334" s="31">
        <f>IFERROR(TRIM(INDEX($A334:$Z334,MATCH(Settings!$L$4,$A$1:$Z$1,0))&amp;""),"")</f>
        <v/>
      </c>
      <c r="AF334" s="31">
        <f>IFERROR(TRIM(INDEX($A334:$Z334,MATCH(Settings!$L$5,$A$1:$Z$1,0))&amp;""),"")</f>
        <v/>
      </c>
      <c r="AG334" s="31">
        <f>IF(AE334="","",LOWER(IF(AF334&lt;&gt;"",AF334,AE334)))</f>
        <v/>
      </c>
      <c r="AH334" s="31">
        <f>IFERROR(TRIM(INDEX($A334:$Z334,MATCH(Settings!$L$6,$A$1:$Z$1,0))&amp;""),"")</f>
        <v/>
      </c>
      <c r="AI334" s="31">
        <f>IF(AE334="","",IF(UPPER(TRIM(AB334&amp;""))="Y","Paid another way",IF(IFERROR(TRIM(INDEX($A334:$Z334,MATCH(Settings!$L$7,$A$1:$Z$1,0))&amp;""),"")="","No payment status",IFERROR(TRIM(INDEX($A334:$Z334,MATCH(Settings!$L$7,$A$1:$Z$1,0))&amp;""),""))))</f>
        <v/>
      </c>
      <c r="AJ334" s="31">
        <f>IF(AE334="",0,IF(IFERROR(INDEX(Settings!$J$4:$J$14,MATCH(AI334,Settings!$I$4:$I$14,0)),"N")="Y",1,0))</f>
        <v/>
      </c>
      <c r="AK334" s="32">
        <f>IFERROR(INT(IFERROR(IF(ISNUMBER(INDEX($A334:$Z334,MATCH(Settings!$L$10,$A$1:$Z$1,0))),INDEX($A334:$Z334,MATCH(Settings!$L$10,$A$1:$Z$1,0)),DATE(VALUE(LEFT(IFERROR(TRIM(INDEX($A334:$Z334,MATCH(Settings!$L$10,$A$1:$Z$1,0))&amp;""),""),4)),VALUE(MID(IFERROR(TRIM(INDEX($A334:$Z334,MATCH(Settings!$L$10,$A$1:$Z$1,0))&amp;""),""),6,2)),VALUE(MID(IFERROR(TRIM(INDEX($A334:$Z334,MATCH(Settings!$L$10,$A$1:$Z$1,0))&amp;""),""),9,2)))+TIME(VALUE(MID(IFERROR(TRIM(INDEX($A334:$Z334,MATCH(Settings!$L$10,$A$1:$Z$1,0))&amp;""),""),12,2)),VALUE(MID(IFERROR(TRIM(INDEX($A334:$Z334,MATCH(Settings!$L$10,$A$1:$Z$1,0))&amp;""),""),15,2)),VALUE(MID(IFERROR(TRIM(INDEX($A334:$Z334,MATCH(Settings!$L$10,$A$1:$Z$1,0))&amp;""),""),18,2)))),"")),"")</f>
        <v/>
      </c>
      <c r="AL334" s="32">
        <f>IF(AE334="","",IF(ISNUMBER(AK334),AK334,IFERROR(INT(IFERROR(IF(ISNUMBER(INDEX($A334:$Z334,MATCH(Settings!$L$11,$A$1:$Z$1,0))),INDEX($A334:$Z334,MATCH(Settings!$L$11,$A$1:$Z$1,0)),DATE(VALUE(LEFT(IFERROR(TRIM(INDEX($A334:$Z334,MATCH(Settings!$L$11,$A$1:$Z$1,0))&amp;""),""),4)),VALUE(MID(IFERROR(TRIM(INDEX($A334:$Z334,MATCH(Settings!$L$11,$A$1:$Z$1,0))&amp;""),""),6,2)),VALUE(MID(IFERROR(TRIM(INDEX($A334:$Z334,MATCH(Settings!$L$11,$A$1:$Z$1,0))&amp;""),""),9,2)))+TIME(VALUE(MID(IFERROR(TRIM(INDEX($A334:$Z334,MATCH(Settings!$L$11,$A$1:$Z$1,0))&amp;""),""),12,2)),VALUE(MID(IFERROR(TRIM(INDEX($A334:$Z334,MATCH(Settings!$L$11,$A$1:$Z$1,0))&amp;""),""),15,2)),VALUE(MID(IFERROR(TRIM(INDEX($A334:$Z334,MATCH(Settings!$L$11,$A$1:$Z$1,0))&amp;""),""),18,2)))),"")),"")))</f>
        <v/>
      </c>
      <c r="AM334" s="31">
        <f>IF(AE334="","",IF(ISNUMBER(IFERROR(INDEX(Settings!$G$4:$G$11,MATCH(AH334,Settings!$F$4:$F$11,0)),"")),INDEX(Settings!$G$4:$G$11,MATCH(AH334,Settings!$F$4:$F$11,0)),Settings!$D$5))</f>
        <v/>
      </c>
      <c r="AN334" s="32">
        <f>IF(OR(AE334="",NOT(ISNUMBER(AL334)),NOT(ISNUMBER(AM334))),"",IF(AM334&lt;=0,"",IF(ISNUMBER(Settings!$D$8),DATE(YEAR(AL334)+IF(DATE(YEAR(AL334),MONTH(Settings!$D$8),DAY(Settings!$D$8))&gt;AL334,0,1),MONTH(Settings!$D$8),DAY(Settings!$D$8)),MIN(DATE(YEAR(AL334),MONTH(AL334)+AM334,DAY(AL334)),DATE(YEAR(AL334),MONTH(AL334)+AM334+1,0)))))</f>
        <v/>
      </c>
      <c r="AO334" s="31">
        <f>IF(ISNUMBER(AN334),AN334-Settings!$D$4,"")</f>
        <v/>
      </c>
      <c r="AP334" s="31">
        <f>IF(ISNUMBER(AL334),AL334+0+ROW()/100000,"")</f>
        <v/>
      </c>
      <c r="AQ334" s="31">
        <f>IF(OR(AG334="",NOT(ISNUMBER(AP334))),0,IF(SUMPRODUCT(('Responses'!$AG$2:$AG$501=AG334)*('Responses'!$AJ$2:$AJ$501=1)*ISNUMBER('Responses'!$AP$2:$AP$501)*('Responses'!$AP$2:$AP$501&gt;AP334)) + SUMPRODUCT(('Paper sign-ups'!$K$2:$K$101=AG334)*('Paper sign-ups'!$N$2:$N$101=1)*ISNUMBER('Paper sign-ups'!$T$2:$T$101)*('Paper sign-ups'!$T$2:$T$101&gt;AP334))&gt;0,1,0))</f>
        <v/>
      </c>
      <c r="AR334" s="31">
        <f>IF(AE334="","",IF(AQ334=1,"Joined again",IF(AJ334=0,"Unpaid",IF(NOT(ISNUMBER(AL334)),"Add a join date",IF(AN334="","No reminder",IF(AO334&lt;0,"Lapsed",IF(AO334&lt;=Settings!$D$6,"Remind soon","Current")))))))</f>
        <v/>
      </c>
      <c r="AS334" s="33">
        <f>IF(AJ334=1,IFERROR(VALUE(IFERROR(TRIM(INDEX($A334:$Z334,MATCH(Settings!$L$8,$A$1:$Z$1,0))&amp;""),"")),0)-IFERROR(VALUE(IFERROR(TRIM(INDEX($A334:$Z334,MATCH(Settings!$L$9,$A$1:$Z$1,0))&amp;""),"")),0),0)</f>
        <v/>
      </c>
      <c r="AT334" s="31">
        <f>IF(AND(AE334&lt;&gt;"",AQ334=0),1,0)</f>
        <v/>
      </c>
      <c r="AU334" s="31">
        <f>IF(AT334=0,"",IF(ISNUMBER(AN334),AN334,100000)+0+ROW()/1000000)</f>
        <v/>
      </c>
      <c r="AV334" s="31">
        <f>IF(ISNUMBER(AU334),SUMPRODUCT(ISNUMBER('Responses'!$AU$2:$AU$501)*('Responses'!$AU$2:$AU$501&lt;AU334)) + SUMPRODUCT(ISNUMBER('Paper sign-ups'!$Y$2:$Y$101)*('Paper sign-ups'!$Y$2:$Y$101&lt;AU334))+1,"")</f>
        <v/>
      </c>
    </row>
    <row r="335">
      <c r="AA335" s="29" t="n"/>
      <c r="AB335" s="30" t="n"/>
      <c r="AC335" s="30" t="n"/>
      <c r="AD335" s="29" t="n"/>
      <c r="AE335" s="31">
        <f>IFERROR(TRIM(INDEX($A335:$Z335,MATCH(Settings!$L$4,$A$1:$Z$1,0))&amp;""),"")</f>
        <v/>
      </c>
      <c r="AF335" s="31">
        <f>IFERROR(TRIM(INDEX($A335:$Z335,MATCH(Settings!$L$5,$A$1:$Z$1,0))&amp;""),"")</f>
        <v/>
      </c>
      <c r="AG335" s="31">
        <f>IF(AE335="","",LOWER(IF(AF335&lt;&gt;"",AF335,AE335)))</f>
        <v/>
      </c>
      <c r="AH335" s="31">
        <f>IFERROR(TRIM(INDEX($A335:$Z335,MATCH(Settings!$L$6,$A$1:$Z$1,0))&amp;""),"")</f>
        <v/>
      </c>
      <c r="AI335" s="31">
        <f>IF(AE335="","",IF(UPPER(TRIM(AB335&amp;""))="Y","Paid another way",IF(IFERROR(TRIM(INDEX($A335:$Z335,MATCH(Settings!$L$7,$A$1:$Z$1,0))&amp;""),"")="","No payment status",IFERROR(TRIM(INDEX($A335:$Z335,MATCH(Settings!$L$7,$A$1:$Z$1,0))&amp;""),""))))</f>
        <v/>
      </c>
      <c r="AJ335" s="31">
        <f>IF(AE335="",0,IF(IFERROR(INDEX(Settings!$J$4:$J$14,MATCH(AI335,Settings!$I$4:$I$14,0)),"N")="Y",1,0))</f>
        <v/>
      </c>
      <c r="AK335" s="32">
        <f>IFERROR(INT(IFERROR(IF(ISNUMBER(INDEX($A335:$Z335,MATCH(Settings!$L$10,$A$1:$Z$1,0))),INDEX($A335:$Z335,MATCH(Settings!$L$10,$A$1:$Z$1,0)),DATE(VALUE(LEFT(IFERROR(TRIM(INDEX($A335:$Z335,MATCH(Settings!$L$10,$A$1:$Z$1,0))&amp;""),""),4)),VALUE(MID(IFERROR(TRIM(INDEX($A335:$Z335,MATCH(Settings!$L$10,$A$1:$Z$1,0))&amp;""),""),6,2)),VALUE(MID(IFERROR(TRIM(INDEX($A335:$Z335,MATCH(Settings!$L$10,$A$1:$Z$1,0))&amp;""),""),9,2)))+TIME(VALUE(MID(IFERROR(TRIM(INDEX($A335:$Z335,MATCH(Settings!$L$10,$A$1:$Z$1,0))&amp;""),""),12,2)),VALUE(MID(IFERROR(TRIM(INDEX($A335:$Z335,MATCH(Settings!$L$10,$A$1:$Z$1,0))&amp;""),""),15,2)),VALUE(MID(IFERROR(TRIM(INDEX($A335:$Z335,MATCH(Settings!$L$10,$A$1:$Z$1,0))&amp;""),""),18,2)))),"")),"")</f>
        <v/>
      </c>
      <c r="AL335" s="32">
        <f>IF(AE335="","",IF(ISNUMBER(AK335),AK335,IFERROR(INT(IFERROR(IF(ISNUMBER(INDEX($A335:$Z335,MATCH(Settings!$L$11,$A$1:$Z$1,0))),INDEX($A335:$Z335,MATCH(Settings!$L$11,$A$1:$Z$1,0)),DATE(VALUE(LEFT(IFERROR(TRIM(INDEX($A335:$Z335,MATCH(Settings!$L$11,$A$1:$Z$1,0))&amp;""),""),4)),VALUE(MID(IFERROR(TRIM(INDEX($A335:$Z335,MATCH(Settings!$L$11,$A$1:$Z$1,0))&amp;""),""),6,2)),VALUE(MID(IFERROR(TRIM(INDEX($A335:$Z335,MATCH(Settings!$L$11,$A$1:$Z$1,0))&amp;""),""),9,2)))+TIME(VALUE(MID(IFERROR(TRIM(INDEX($A335:$Z335,MATCH(Settings!$L$11,$A$1:$Z$1,0))&amp;""),""),12,2)),VALUE(MID(IFERROR(TRIM(INDEX($A335:$Z335,MATCH(Settings!$L$11,$A$1:$Z$1,0))&amp;""),""),15,2)),VALUE(MID(IFERROR(TRIM(INDEX($A335:$Z335,MATCH(Settings!$L$11,$A$1:$Z$1,0))&amp;""),""),18,2)))),"")),"")))</f>
        <v/>
      </c>
      <c r="AM335" s="31">
        <f>IF(AE335="","",IF(ISNUMBER(IFERROR(INDEX(Settings!$G$4:$G$11,MATCH(AH335,Settings!$F$4:$F$11,0)),"")),INDEX(Settings!$G$4:$G$11,MATCH(AH335,Settings!$F$4:$F$11,0)),Settings!$D$5))</f>
        <v/>
      </c>
      <c r="AN335" s="32">
        <f>IF(OR(AE335="",NOT(ISNUMBER(AL335)),NOT(ISNUMBER(AM335))),"",IF(AM335&lt;=0,"",IF(ISNUMBER(Settings!$D$8),DATE(YEAR(AL335)+IF(DATE(YEAR(AL335),MONTH(Settings!$D$8),DAY(Settings!$D$8))&gt;AL335,0,1),MONTH(Settings!$D$8),DAY(Settings!$D$8)),MIN(DATE(YEAR(AL335),MONTH(AL335)+AM335,DAY(AL335)),DATE(YEAR(AL335),MONTH(AL335)+AM335+1,0)))))</f>
        <v/>
      </c>
      <c r="AO335" s="31">
        <f>IF(ISNUMBER(AN335),AN335-Settings!$D$4,"")</f>
        <v/>
      </c>
      <c r="AP335" s="31">
        <f>IF(ISNUMBER(AL335),AL335+0+ROW()/100000,"")</f>
        <v/>
      </c>
      <c r="AQ335" s="31">
        <f>IF(OR(AG335="",NOT(ISNUMBER(AP335))),0,IF(SUMPRODUCT(('Responses'!$AG$2:$AG$501=AG335)*('Responses'!$AJ$2:$AJ$501=1)*ISNUMBER('Responses'!$AP$2:$AP$501)*('Responses'!$AP$2:$AP$501&gt;AP335)) + SUMPRODUCT(('Paper sign-ups'!$K$2:$K$101=AG335)*('Paper sign-ups'!$N$2:$N$101=1)*ISNUMBER('Paper sign-ups'!$T$2:$T$101)*('Paper sign-ups'!$T$2:$T$101&gt;AP335))&gt;0,1,0))</f>
        <v/>
      </c>
      <c r="AR335" s="31">
        <f>IF(AE335="","",IF(AQ335=1,"Joined again",IF(AJ335=0,"Unpaid",IF(NOT(ISNUMBER(AL335)),"Add a join date",IF(AN335="","No reminder",IF(AO335&lt;0,"Lapsed",IF(AO335&lt;=Settings!$D$6,"Remind soon","Current")))))))</f>
        <v/>
      </c>
      <c r="AS335" s="33">
        <f>IF(AJ335=1,IFERROR(VALUE(IFERROR(TRIM(INDEX($A335:$Z335,MATCH(Settings!$L$8,$A$1:$Z$1,0))&amp;""),"")),0)-IFERROR(VALUE(IFERROR(TRIM(INDEX($A335:$Z335,MATCH(Settings!$L$9,$A$1:$Z$1,0))&amp;""),"")),0),0)</f>
        <v/>
      </c>
      <c r="AT335" s="31">
        <f>IF(AND(AE335&lt;&gt;"",AQ335=0),1,0)</f>
        <v/>
      </c>
      <c r="AU335" s="31">
        <f>IF(AT335=0,"",IF(ISNUMBER(AN335),AN335,100000)+0+ROW()/1000000)</f>
        <v/>
      </c>
      <c r="AV335" s="31">
        <f>IF(ISNUMBER(AU335),SUMPRODUCT(ISNUMBER('Responses'!$AU$2:$AU$501)*('Responses'!$AU$2:$AU$501&lt;AU335)) + SUMPRODUCT(ISNUMBER('Paper sign-ups'!$Y$2:$Y$101)*('Paper sign-ups'!$Y$2:$Y$101&lt;AU335))+1,"")</f>
        <v/>
      </c>
    </row>
    <row r="336">
      <c r="AA336" s="29" t="n"/>
      <c r="AB336" s="30" t="n"/>
      <c r="AC336" s="30" t="n"/>
      <c r="AD336" s="29" t="n"/>
      <c r="AE336" s="31">
        <f>IFERROR(TRIM(INDEX($A336:$Z336,MATCH(Settings!$L$4,$A$1:$Z$1,0))&amp;""),"")</f>
        <v/>
      </c>
      <c r="AF336" s="31">
        <f>IFERROR(TRIM(INDEX($A336:$Z336,MATCH(Settings!$L$5,$A$1:$Z$1,0))&amp;""),"")</f>
        <v/>
      </c>
      <c r="AG336" s="31">
        <f>IF(AE336="","",LOWER(IF(AF336&lt;&gt;"",AF336,AE336)))</f>
        <v/>
      </c>
      <c r="AH336" s="31">
        <f>IFERROR(TRIM(INDEX($A336:$Z336,MATCH(Settings!$L$6,$A$1:$Z$1,0))&amp;""),"")</f>
        <v/>
      </c>
      <c r="AI336" s="31">
        <f>IF(AE336="","",IF(UPPER(TRIM(AB336&amp;""))="Y","Paid another way",IF(IFERROR(TRIM(INDEX($A336:$Z336,MATCH(Settings!$L$7,$A$1:$Z$1,0))&amp;""),"")="","No payment status",IFERROR(TRIM(INDEX($A336:$Z336,MATCH(Settings!$L$7,$A$1:$Z$1,0))&amp;""),""))))</f>
        <v/>
      </c>
      <c r="AJ336" s="31">
        <f>IF(AE336="",0,IF(IFERROR(INDEX(Settings!$J$4:$J$14,MATCH(AI336,Settings!$I$4:$I$14,0)),"N")="Y",1,0))</f>
        <v/>
      </c>
      <c r="AK336" s="32">
        <f>IFERROR(INT(IFERROR(IF(ISNUMBER(INDEX($A336:$Z336,MATCH(Settings!$L$10,$A$1:$Z$1,0))),INDEX($A336:$Z336,MATCH(Settings!$L$10,$A$1:$Z$1,0)),DATE(VALUE(LEFT(IFERROR(TRIM(INDEX($A336:$Z336,MATCH(Settings!$L$10,$A$1:$Z$1,0))&amp;""),""),4)),VALUE(MID(IFERROR(TRIM(INDEX($A336:$Z336,MATCH(Settings!$L$10,$A$1:$Z$1,0))&amp;""),""),6,2)),VALUE(MID(IFERROR(TRIM(INDEX($A336:$Z336,MATCH(Settings!$L$10,$A$1:$Z$1,0))&amp;""),""),9,2)))+TIME(VALUE(MID(IFERROR(TRIM(INDEX($A336:$Z336,MATCH(Settings!$L$10,$A$1:$Z$1,0))&amp;""),""),12,2)),VALUE(MID(IFERROR(TRIM(INDEX($A336:$Z336,MATCH(Settings!$L$10,$A$1:$Z$1,0))&amp;""),""),15,2)),VALUE(MID(IFERROR(TRIM(INDEX($A336:$Z336,MATCH(Settings!$L$10,$A$1:$Z$1,0))&amp;""),""),18,2)))),"")),"")</f>
        <v/>
      </c>
      <c r="AL336" s="32">
        <f>IF(AE336="","",IF(ISNUMBER(AK336),AK336,IFERROR(INT(IFERROR(IF(ISNUMBER(INDEX($A336:$Z336,MATCH(Settings!$L$11,$A$1:$Z$1,0))),INDEX($A336:$Z336,MATCH(Settings!$L$11,$A$1:$Z$1,0)),DATE(VALUE(LEFT(IFERROR(TRIM(INDEX($A336:$Z336,MATCH(Settings!$L$11,$A$1:$Z$1,0))&amp;""),""),4)),VALUE(MID(IFERROR(TRIM(INDEX($A336:$Z336,MATCH(Settings!$L$11,$A$1:$Z$1,0))&amp;""),""),6,2)),VALUE(MID(IFERROR(TRIM(INDEX($A336:$Z336,MATCH(Settings!$L$11,$A$1:$Z$1,0))&amp;""),""),9,2)))+TIME(VALUE(MID(IFERROR(TRIM(INDEX($A336:$Z336,MATCH(Settings!$L$11,$A$1:$Z$1,0))&amp;""),""),12,2)),VALUE(MID(IFERROR(TRIM(INDEX($A336:$Z336,MATCH(Settings!$L$11,$A$1:$Z$1,0))&amp;""),""),15,2)),VALUE(MID(IFERROR(TRIM(INDEX($A336:$Z336,MATCH(Settings!$L$11,$A$1:$Z$1,0))&amp;""),""),18,2)))),"")),"")))</f>
        <v/>
      </c>
      <c r="AM336" s="31">
        <f>IF(AE336="","",IF(ISNUMBER(IFERROR(INDEX(Settings!$G$4:$G$11,MATCH(AH336,Settings!$F$4:$F$11,0)),"")),INDEX(Settings!$G$4:$G$11,MATCH(AH336,Settings!$F$4:$F$11,0)),Settings!$D$5))</f>
        <v/>
      </c>
      <c r="AN336" s="32">
        <f>IF(OR(AE336="",NOT(ISNUMBER(AL336)),NOT(ISNUMBER(AM336))),"",IF(AM336&lt;=0,"",IF(ISNUMBER(Settings!$D$8),DATE(YEAR(AL336)+IF(DATE(YEAR(AL336),MONTH(Settings!$D$8),DAY(Settings!$D$8))&gt;AL336,0,1),MONTH(Settings!$D$8),DAY(Settings!$D$8)),MIN(DATE(YEAR(AL336),MONTH(AL336)+AM336,DAY(AL336)),DATE(YEAR(AL336),MONTH(AL336)+AM336+1,0)))))</f>
        <v/>
      </c>
      <c r="AO336" s="31">
        <f>IF(ISNUMBER(AN336),AN336-Settings!$D$4,"")</f>
        <v/>
      </c>
      <c r="AP336" s="31">
        <f>IF(ISNUMBER(AL336),AL336+0+ROW()/100000,"")</f>
        <v/>
      </c>
      <c r="AQ336" s="31">
        <f>IF(OR(AG336="",NOT(ISNUMBER(AP336))),0,IF(SUMPRODUCT(('Responses'!$AG$2:$AG$501=AG336)*('Responses'!$AJ$2:$AJ$501=1)*ISNUMBER('Responses'!$AP$2:$AP$501)*('Responses'!$AP$2:$AP$501&gt;AP336)) + SUMPRODUCT(('Paper sign-ups'!$K$2:$K$101=AG336)*('Paper sign-ups'!$N$2:$N$101=1)*ISNUMBER('Paper sign-ups'!$T$2:$T$101)*('Paper sign-ups'!$T$2:$T$101&gt;AP336))&gt;0,1,0))</f>
        <v/>
      </c>
      <c r="AR336" s="31">
        <f>IF(AE336="","",IF(AQ336=1,"Joined again",IF(AJ336=0,"Unpaid",IF(NOT(ISNUMBER(AL336)),"Add a join date",IF(AN336="","No reminder",IF(AO336&lt;0,"Lapsed",IF(AO336&lt;=Settings!$D$6,"Remind soon","Current")))))))</f>
        <v/>
      </c>
      <c r="AS336" s="33">
        <f>IF(AJ336=1,IFERROR(VALUE(IFERROR(TRIM(INDEX($A336:$Z336,MATCH(Settings!$L$8,$A$1:$Z$1,0))&amp;""),"")),0)-IFERROR(VALUE(IFERROR(TRIM(INDEX($A336:$Z336,MATCH(Settings!$L$9,$A$1:$Z$1,0))&amp;""),"")),0),0)</f>
        <v/>
      </c>
      <c r="AT336" s="31">
        <f>IF(AND(AE336&lt;&gt;"",AQ336=0),1,0)</f>
        <v/>
      </c>
      <c r="AU336" s="31">
        <f>IF(AT336=0,"",IF(ISNUMBER(AN336),AN336,100000)+0+ROW()/1000000)</f>
        <v/>
      </c>
      <c r="AV336" s="31">
        <f>IF(ISNUMBER(AU336),SUMPRODUCT(ISNUMBER('Responses'!$AU$2:$AU$501)*('Responses'!$AU$2:$AU$501&lt;AU336)) + SUMPRODUCT(ISNUMBER('Paper sign-ups'!$Y$2:$Y$101)*('Paper sign-ups'!$Y$2:$Y$101&lt;AU336))+1,"")</f>
        <v/>
      </c>
    </row>
    <row r="337">
      <c r="AA337" s="29" t="n"/>
      <c r="AB337" s="30" t="n"/>
      <c r="AC337" s="30" t="n"/>
      <c r="AD337" s="29" t="n"/>
      <c r="AE337" s="31">
        <f>IFERROR(TRIM(INDEX($A337:$Z337,MATCH(Settings!$L$4,$A$1:$Z$1,0))&amp;""),"")</f>
        <v/>
      </c>
      <c r="AF337" s="31">
        <f>IFERROR(TRIM(INDEX($A337:$Z337,MATCH(Settings!$L$5,$A$1:$Z$1,0))&amp;""),"")</f>
        <v/>
      </c>
      <c r="AG337" s="31">
        <f>IF(AE337="","",LOWER(IF(AF337&lt;&gt;"",AF337,AE337)))</f>
        <v/>
      </c>
      <c r="AH337" s="31">
        <f>IFERROR(TRIM(INDEX($A337:$Z337,MATCH(Settings!$L$6,$A$1:$Z$1,0))&amp;""),"")</f>
        <v/>
      </c>
      <c r="AI337" s="31">
        <f>IF(AE337="","",IF(UPPER(TRIM(AB337&amp;""))="Y","Paid another way",IF(IFERROR(TRIM(INDEX($A337:$Z337,MATCH(Settings!$L$7,$A$1:$Z$1,0))&amp;""),"")="","No payment status",IFERROR(TRIM(INDEX($A337:$Z337,MATCH(Settings!$L$7,$A$1:$Z$1,0))&amp;""),""))))</f>
        <v/>
      </c>
      <c r="AJ337" s="31">
        <f>IF(AE337="",0,IF(IFERROR(INDEX(Settings!$J$4:$J$14,MATCH(AI337,Settings!$I$4:$I$14,0)),"N")="Y",1,0))</f>
        <v/>
      </c>
      <c r="AK337" s="32">
        <f>IFERROR(INT(IFERROR(IF(ISNUMBER(INDEX($A337:$Z337,MATCH(Settings!$L$10,$A$1:$Z$1,0))),INDEX($A337:$Z337,MATCH(Settings!$L$10,$A$1:$Z$1,0)),DATE(VALUE(LEFT(IFERROR(TRIM(INDEX($A337:$Z337,MATCH(Settings!$L$10,$A$1:$Z$1,0))&amp;""),""),4)),VALUE(MID(IFERROR(TRIM(INDEX($A337:$Z337,MATCH(Settings!$L$10,$A$1:$Z$1,0))&amp;""),""),6,2)),VALUE(MID(IFERROR(TRIM(INDEX($A337:$Z337,MATCH(Settings!$L$10,$A$1:$Z$1,0))&amp;""),""),9,2)))+TIME(VALUE(MID(IFERROR(TRIM(INDEX($A337:$Z337,MATCH(Settings!$L$10,$A$1:$Z$1,0))&amp;""),""),12,2)),VALUE(MID(IFERROR(TRIM(INDEX($A337:$Z337,MATCH(Settings!$L$10,$A$1:$Z$1,0))&amp;""),""),15,2)),VALUE(MID(IFERROR(TRIM(INDEX($A337:$Z337,MATCH(Settings!$L$10,$A$1:$Z$1,0))&amp;""),""),18,2)))),"")),"")</f>
        <v/>
      </c>
      <c r="AL337" s="32">
        <f>IF(AE337="","",IF(ISNUMBER(AK337),AK337,IFERROR(INT(IFERROR(IF(ISNUMBER(INDEX($A337:$Z337,MATCH(Settings!$L$11,$A$1:$Z$1,0))),INDEX($A337:$Z337,MATCH(Settings!$L$11,$A$1:$Z$1,0)),DATE(VALUE(LEFT(IFERROR(TRIM(INDEX($A337:$Z337,MATCH(Settings!$L$11,$A$1:$Z$1,0))&amp;""),""),4)),VALUE(MID(IFERROR(TRIM(INDEX($A337:$Z337,MATCH(Settings!$L$11,$A$1:$Z$1,0))&amp;""),""),6,2)),VALUE(MID(IFERROR(TRIM(INDEX($A337:$Z337,MATCH(Settings!$L$11,$A$1:$Z$1,0))&amp;""),""),9,2)))+TIME(VALUE(MID(IFERROR(TRIM(INDEX($A337:$Z337,MATCH(Settings!$L$11,$A$1:$Z$1,0))&amp;""),""),12,2)),VALUE(MID(IFERROR(TRIM(INDEX($A337:$Z337,MATCH(Settings!$L$11,$A$1:$Z$1,0))&amp;""),""),15,2)),VALUE(MID(IFERROR(TRIM(INDEX($A337:$Z337,MATCH(Settings!$L$11,$A$1:$Z$1,0))&amp;""),""),18,2)))),"")),"")))</f>
        <v/>
      </c>
      <c r="AM337" s="31">
        <f>IF(AE337="","",IF(ISNUMBER(IFERROR(INDEX(Settings!$G$4:$G$11,MATCH(AH337,Settings!$F$4:$F$11,0)),"")),INDEX(Settings!$G$4:$G$11,MATCH(AH337,Settings!$F$4:$F$11,0)),Settings!$D$5))</f>
        <v/>
      </c>
      <c r="AN337" s="32">
        <f>IF(OR(AE337="",NOT(ISNUMBER(AL337)),NOT(ISNUMBER(AM337))),"",IF(AM337&lt;=0,"",IF(ISNUMBER(Settings!$D$8),DATE(YEAR(AL337)+IF(DATE(YEAR(AL337),MONTH(Settings!$D$8),DAY(Settings!$D$8))&gt;AL337,0,1),MONTH(Settings!$D$8),DAY(Settings!$D$8)),MIN(DATE(YEAR(AL337),MONTH(AL337)+AM337,DAY(AL337)),DATE(YEAR(AL337),MONTH(AL337)+AM337+1,0)))))</f>
        <v/>
      </c>
      <c r="AO337" s="31">
        <f>IF(ISNUMBER(AN337),AN337-Settings!$D$4,"")</f>
        <v/>
      </c>
      <c r="AP337" s="31">
        <f>IF(ISNUMBER(AL337),AL337+0+ROW()/100000,"")</f>
        <v/>
      </c>
      <c r="AQ337" s="31">
        <f>IF(OR(AG337="",NOT(ISNUMBER(AP337))),0,IF(SUMPRODUCT(('Responses'!$AG$2:$AG$501=AG337)*('Responses'!$AJ$2:$AJ$501=1)*ISNUMBER('Responses'!$AP$2:$AP$501)*('Responses'!$AP$2:$AP$501&gt;AP337)) + SUMPRODUCT(('Paper sign-ups'!$K$2:$K$101=AG337)*('Paper sign-ups'!$N$2:$N$101=1)*ISNUMBER('Paper sign-ups'!$T$2:$T$101)*('Paper sign-ups'!$T$2:$T$101&gt;AP337))&gt;0,1,0))</f>
        <v/>
      </c>
      <c r="AR337" s="31">
        <f>IF(AE337="","",IF(AQ337=1,"Joined again",IF(AJ337=0,"Unpaid",IF(NOT(ISNUMBER(AL337)),"Add a join date",IF(AN337="","No reminder",IF(AO337&lt;0,"Lapsed",IF(AO337&lt;=Settings!$D$6,"Remind soon","Current")))))))</f>
        <v/>
      </c>
      <c r="AS337" s="33">
        <f>IF(AJ337=1,IFERROR(VALUE(IFERROR(TRIM(INDEX($A337:$Z337,MATCH(Settings!$L$8,$A$1:$Z$1,0))&amp;""),"")),0)-IFERROR(VALUE(IFERROR(TRIM(INDEX($A337:$Z337,MATCH(Settings!$L$9,$A$1:$Z$1,0))&amp;""),"")),0),0)</f>
        <v/>
      </c>
      <c r="AT337" s="31">
        <f>IF(AND(AE337&lt;&gt;"",AQ337=0),1,0)</f>
        <v/>
      </c>
      <c r="AU337" s="31">
        <f>IF(AT337=0,"",IF(ISNUMBER(AN337),AN337,100000)+0+ROW()/1000000)</f>
        <v/>
      </c>
      <c r="AV337" s="31">
        <f>IF(ISNUMBER(AU337),SUMPRODUCT(ISNUMBER('Responses'!$AU$2:$AU$501)*('Responses'!$AU$2:$AU$501&lt;AU337)) + SUMPRODUCT(ISNUMBER('Paper sign-ups'!$Y$2:$Y$101)*('Paper sign-ups'!$Y$2:$Y$101&lt;AU337))+1,"")</f>
        <v/>
      </c>
    </row>
    <row r="338">
      <c r="AA338" s="29" t="n"/>
      <c r="AB338" s="30" t="n"/>
      <c r="AC338" s="30" t="n"/>
      <c r="AD338" s="29" t="n"/>
      <c r="AE338" s="31">
        <f>IFERROR(TRIM(INDEX($A338:$Z338,MATCH(Settings!$L$4,$A$1:$Z$1,0))&amp;""),"")</f>
        <v/>
      </c>
      <c r="AF338" s="31">
        <f>IFERROR(TRIM(INDEX($A338:$Z338,MATCH(Settings!$L$5,$A$1:$Z$1,0))&amp;""),"")</f>
        <v/>
      </c>
      <c r="AG338" s="31">
        <f>IF(AE338="","",LOWER(IF(AF338&lt;&gt;"",AF338,AE338)))</f>
        <v/>
      </c>
      <c r="AH338" s="31">
        <f>IFERROR(TRIM(INDEX($A338:$Z338,MATCH(Settings!$L$6,$A$1:$Z$1,0))&amp;""),"")</f>
        <v/>
      </c>
      <c r="AI338" s="31">
        <f>IF(AE338="","",IF(UPPER(TRIM(AB338&amp;""))="Y","Paid another way",IF(IFERROR(TRIM(INDEX($A338:$Z338,MATCH(Settings!$L$7,$A$1:$Z$1,0))&amp;""),"")="","No payment status",IFERROR(TRIM(INDEX($A338:$Z338,MATCH(Settings!$L$7,$A$1:$Z$1,0))&amp;""),""))))</f>
        <v/>
      </c>
      <c r="AJ338" s="31">
        <f>IF(AE338="",0,IF(IFERROR(INDEX(Settings!$J$4:$J$14,MATCH(AI338,Settings!$I$4:$I$14,0)),"N")="Y",1,0))</f>
        <v/>
      </c>
      <c r="AK338" s="32">
        <f>IFERROR(INT(IFERROR(IF(ISNUMBER(INDEX($A338:$Z338,MATCH(Settings!$L$10,$A$1:$Z$1,0))),INDEX($A338:$Z338,MATCH(Settings!$L$10,$A$1:$Z$1,0)),DATE(VALUE(LEFT(IFERROR(TRIM(INDEX($A338:$Z338,MATCH(Settings!$L$10,$A$1:$Z$1,0))&amp;""),""),4)),VALUE(MID(IFERROR(TRIM(INDEX($A338:$Z338,MATCH(Settings!$L$10,$A$1:$Z$1,0))&amp;""),""),6,2)),VALUE(MID(IFERROR(TRIM(INDEX($A338:$Z338,MATCH(Settings!$L$10,$A$1:$Z$1,0))&amp;""),""),9,2)))+TIME(VALUE(MID(IFERROR(TRIM(INDEX($A338:$Z338,MATCH(Settings!$L$10,$A$1:$Z$1,0))&amp;""),""),12,2)),VALUE(MID(IFERROR(TRIM(INDEX($A338:$Z338,MATCH(Settings!$L$10,$A$1:$Z$1,0))&amp;""),""),15,2)),VALUE(MID(IFERROR(TRIM(INDEX($A338:$Z338,MATCH(Settings!$L$10,$A$1:$Z$1,0))&amp;""),""),18,2)))),"")),"")</f>
        <v/>
      </c>
      <c r="AL338" s="32">
        <f>IF(AE338="","",IF(ISNUMBER(AK338),AK338,IFERROR(INT(IFERROR(IF(ISNUMBER(INDEX($A338:$Z338,MATCH(Settings!$L$11,$A$1:$Z$1,0))),INDEX($A338:$Z338,MATCH(Settings!$L$11,$A$1:$Z$1,0)),DATE(VALUE(LEFT(IFERROR(TRIM(INDEX($A338:$Z338,MATCH(Settings!$L$11,$A$1:$Z$1,0))&amp;""),""),4)),VALUE(MID(IFERROR(TRIM(INDEX($A338:$Z338,MATCH(Settings!$L$11,$A$1:$Z$1,0))&amp;""),""),6,2)),VALUE(MID(IFERROR(TRIM(INDEX($A338:$Z338,MATCH(Settings!$L$11,$A$1:$Z$1,0))&amp;""),""),9,2)))+TIME(VALUE(MID(IFERROR(TRIM(INDEX($A338:$Z338,MATCH(Settings!$L$11,$A$1:$Z$1,0))&amp;""),""),12,2)),VALUE(MID(IFERROR(TRIM(INDEX($A338:$Z338,MATCH(Settings!$L$11,$A$1:$Z$1,0))&amp;""),""),15,2)),VALUE(MID(IFERROR(TRIM(INDEX($A338:$Z338,MATCH(Settings!$L$11,$A$1:$Z$1,0))&amp;""),""),18,2)))),"")),"")))</f>
        <v/>
      </c>
      <c r="AM338" s="31">
        <f>IF(AE338="","",IF(ISNUMBER(IFERROR(INDEX(Settings!$G$4:$G$11,MATCH(AH338,Settings!$F$4:$F$11,0)),"")),INDEX(Settings!$G$4:$G$11,MATCH(AH338,Settings!$F$4:$F$11,0)),Settings!$D$5))</f>
        <v/>
      </c>
      <c r="AN338" s="32">
        <f>IF(OR(AE338="",NOT(ISNUMBER(AL338)),NOT(ISNUMBER(AM338))),"",IF(AM338&lt;=0,"",IF(ISNUMBER(Settings!$D$8),DATE(YEAR(AL338)+IF(DATE(YEAR(AL338),MONTH(Settings!$D$8),DAY(Settings!$D$8))&gt;AL338,0,1),MONTH(Settings!$D$8),DAY(Settings!$D$8)),MIN(DATE(YEAR(AL338),MONTH(AL338)+AM338,DAY(AL338)),DATE(YEAR(AL338),MONTH(AL338)+AM338+1,0)))))</f>
        <v/>
      </c>
      <c r="AO338" s="31">
        <f>IF(ISNUMBER(AN338),AN338-Settings!$D$4,"")</f>
        <v/>
      </c>
      <c r="AP338" s="31">
        <f>IF(ISNUMBER(AL338),AL338+0+ROW()/100000,"")</f>
        <v/>
      </c>
      <c r="AQ338" s="31">
        <f>IF(OR(AG338="",NOT(ISNUMBER(AP338))),0,IF(SUMPRODUCT(('Responses'!$AG$2:$AG$501=AG338)*('Responses'!$AJ$2:$AJ$501=1)*ISNUMBER('Responses'!$AP$2:$AP$501)*('Responses'!$AP$2:$AP$501&gt;AP338)) + SUMPRODUCT(('Paper sign-ups'!$K$2:$K$101=AG338)*('Paper sign-ups'!$N$2:$N$101=1)*ISNUMBER('Paper sign-ups'!$T$2:$T$101)*('Paper sign-ups'!$T$2:$T$101&gt;AP338))&gt;0,1,0))</f>
        <v/>
      </c>
      <c r="AR338" s="31">
        <f>IF(AE338="","",IF(AQ338=1,"Joined again",IF(AJ338=0,"Unpaid",IF(NOT(ISNUMBER(AL338)),"Add a join date",IF(AN338="","No reminder",IF(AO338&lt;0,"Lapsed",IF(AO338&lt;=Settings!$D$6,"Remind soon","Current")))))))</f>
        <v/>
      </c>
      <c r="AS338" s="33">
        <f>IF(AJ338=1,IFERROR(VALUE(IFERROR(TRIM(INDEX($A338:$Z338,MATCH(Settings!$L$8,$A$1:$Z$1,0))&amp;""),"")),0)-IFERROR(VALUE(IFERROR(TRIM(INDEX($A338:$Z338,MATCH(Settings!$L$9,$A$1:$Z$1,0))&amp;""),"")),0),0)</f>
        <v/>
      </c>
      <c r="AT338" s="31">
        <f>IF(AND(AE338&lt;&gt;"",AQ338=0),1,0)</f>
        <v/>
      </c>
      <c r="AU338" s="31">
        <f>IF(AT338=0,"",IF(ISNUMBER(AN338),AN338,100000)+0+ROW()/1000000)</f>
        <v/>
      </c>
      <c r="AV338" s="31">
        <f>IF(ISNUMBER(AU338),SUMPRODUCT(ISNUMBER('Responses'!$AU$2:$AU$501)*('Responses'!$AU$2:$AU$501&lt;AU338)) + SUMPRODUCT(ISNUMBER('Paper sign-ups'!$Y$2:$Y$101)*('Paper sign-ups'!$Y$2:$Y$101&lt;AU338))+1,"")</f>
        <v/>
      </c>
    </row>
    <row r="339">
      <c r="AA339" s="29" t="n"/>
      <c r="AB339" s="30" t="n"/>
      <c r="AC339" s="30" t="n"/>
      <c r="AD339" s="29" t="n"/>
      <c r="AE339" s="31">
        <f>IFERROR(TRIM(INDEX($A339:$Z339,MATCH(Settings!$L$4,$A$1:$Z$1,0))&amp;""),"")</f>
        <v/>
      </c>
      <c r="AF339" s="31">
        <f>IFERROR(TRIM(INDEX($A339:$Z339,MATCH(Settings!$L$5,$A$1:$Z$1,0))&amp;""),"")</f>
        <v/>
      </c>
      <c r="AG339" s="31">
        <f>IF(AE339="","",LOWER(IF(AF339&lt;&gt;"",AF339,AE339)))</f>
        <v/>
      </c>
      <c r="AH339" s="31">
        <f>IFERROR(TRIM(INDEX($A339:$Z339,MATCH(Settings!$L$6,$A$1:$Z$1,0))&amp;""),"")</f>
        <v/>
      </c>
      <c r="AI339" s="31">
        <f>IF(AE339="","",IF(UPPER(TRIM(AB339&amp;""))="Y","Paid another way",IF(IFERROR(TRIM(INDEX($A339:$Z339,MATCH(Settings!$L$7,$A$1:$Z$1,0))&amp;""),"")="","No payment status",IFERROR(TRIM(INDEX($A339:$Z339,MATCH(Settings!$L$7,$A$1:$Z$1,0))&amp;""),""))))</f>
        <v/>
      </c>
      <c r="AJ339" s="31">
        <f>IF(AE339="",0,IF(IFERROR(INDEX(Settings!$J$4:$J$14,MATCH(AI339,Settings!$I$4:$I$14,0)),"N")="Y",1,0))</f>
        <v/>
      </c>
      <c r="AK339" s="32">
        <f>IFERROR(INT(IFERROR(IF(ISNUMBER(INDEX($A339:$Z339,MATCH(Settings!$L$10,$A$1:$Z$1,0))),INDEX($A339:$Z339,MATCH(Settings!$L$10,$A$1:$Z$1,0)),DATE(VALUE(LEFT(IFERROR(TRIM(INDEX($A339:$Z339,MATCH(Settings!$L$10,$A$1:$Z$1,0))&amp;""),""),4)),VALUE(MID(IFERROR(TRIM(INDEX($A339:$Z339,MATCH(Settings!$L$10,$A$1:$Z$1,0))&amp;""),""),6,2)),VALUE(MID(IFERROR(TRIM(INDEX($A339:$Z339,MATCH(Settings!$L$10,$A$1:$Z$1,0))&amp;""),""),9,2)))+TIME(VALUE(MID(IFERROR(TRIM(INDEX($A339:$Z339,MATCH(Settings!$L$10,$A$1:$Z$1,0))&amp;""),""),12,2)),VALUE(MID(IFERROR(TRIM(INDEX($A339:$Z339,MATCH(Settings!$L$10,$A$1:$Z$1,0))&amp;""),""),15,2)),VALUE(MID(IFERROR(TRIM(INDEX($A339:$Z339,MATCH(Settings!$L$10,$A$1:$Z$1,0))&amp;""),""),18,2)))),"")),"")</f>
        <v/>
      </c>
      <c r="AL339" s="32">
        <f>IF(AE339="","",IF(ISNUMBER(AK339),AK339,IFERROR(INT(IFERROR(IF(ISNUMBER(INDEX($A339:$Z339,MATCH(Settings!$L$11,$A$1:$Z$1,0))),INDEX($A339:$Z339,MATCH(Settings!$L$11,$A$1:$Z$1,0)),DATE(VALUE(LEFT(IFERROR(TRIM(INDEX($A339:$Z339,MATCH(Settings!$L$11,$A$1:$Z$1,0))&amp;""),""),4)),VALUE(MID(IFERROR(TRIM(INDEX($A339:$Z339,MATCH(Settings!$L$11,$A$1:$Z$1,0))&amp;""),""),6,2)),VALUE(MID(IFERROR(TRIM(INDEX($A339:$Z339,MATCH(Settings!$L$11,$A$1:$Z$1,0))&amp;""),""),9,2)))+TIME(VALUE(MID(IFERROR(TRIM(INDEX($A339:$Z339,MATCH(Settings!$L$11,$A$1:$Z$1,0))&amp;""),""),12,2)),VALUE(MID(IFERROR(TRIM(INDEX($A339:$Z339,MATCH(Settings!$L$11,$A$1:$Z$1,0))&amp;""),""),15,2)),VALUE(MID(IFERROR(TRIM(INDEX($A339:$Z339,MATCH(Settings!$L$11,$A$1:$Z$1,0))&amp;""),""),18,2)))),"")),"")))</f>
        <v/>
      </c>
      <c r="AM339" s="31">
        <f>IF(AE339="","",IF(ISNUMBER(IFERROR(INDEX(Settings!$G$4:$G$11,MATCH(AH339,Settings!$F$4:$F$11,0)),"")),INDEX(Settings!$G$4:$G$11,MATCH(AH339,Settings!$F$4:$F$11,0)),Settings!$D$5))</f>
        <v/>
      </c>
      <c r="AN339" s="32">
        <f>IF(OR(AE339="",NOT(ISNUMBER(AL339)),NOT(ISNUMBER(AM339))),"",IF(AM339&lt;=0,"",IF(ISNUMBER(Settings!$D$8),DATE(YEAR(AL339)+IF(DATE(YEAR(AL339),MONTH(Settings!$D$8),DAY(Settings!$D$8))&gt;AL339,0,1),MONTH(Settings!$D$8),DAY(Settings!$D$8)),MIN(DATE(YEAR(AL339),MONTH(AL339)+AM339,DAY(AL339)),DATE(YEAR(AL339),MONTH(AL339)+AM339+1,0)))))</f>
        <v/>
      </c>
      <c r="AO339" s="31">
        <f>IF(ISNUMBER(AN339),AN339-Settings!$D$4,"")</f>
        <v/>
      </c>
      <c r="AP339" s="31">
        <f>IF(ISNUMBER(AL339),AL339+0+ROW()/100000,"")</f>
        <v/>
      </c>
      <c r="AQ339" s="31">
        <f>IF(OR(AG339="",NOT(ISNUMBER(AP339))),0,IF(SUMPRODUCT(('Responses'!$AG$2:$AG$501=AG339)*('Responses'!$AJ$2:$AJ$501=1)*ISNUMBER('Responses'!$AP$2:$AP$501)*('Responses'!$AP$2:$AP$501&gt;AP339)) + SUMPRODUCT(('Paper sign-ups'!$K$2:$K$101=AG339)*('Paper sign-ups'!$N$2:$N$101=1)*ISNUMBER('Paper sign-ups'!$T$2:$T$101)*('Paper sign-ups'!$T$2:$T$101&gt;AP339))&gt;0,1,0))</f>
        <v/>
      </c>
      <c r="AR339" s="31">
        <f>IF(AE339="","",IF(AQ339=1,"Joined again",IF(AJ339=0,"Unpaid",IF(NOT(ISNUMBER(AL339)),"Add a join date",IF(AN339="","No reminder",IF(AO339&lt;0,"Lapsed",IF(AO339&lt;=Settings!$D$6,"Remind soon","Current")))))))</f>
        <v/>
      </c>
      <c r="AS339" s="33">
        <f>IF(AJ339=1,IFERROR(VALUE(IFERROR(TRIM(INDEX($A339:$Z339,MATCH(Settings!$L$8,$A$1:$Z$1,0))&amp;""),"")),0)-IFERROR(VALUE(IFERROR(TRIM(INDEX($A339:$Z339,MATCH(Settings!$L$9,$A$1:$Z$1,0))&amp;""),"")),0),0)</f>
        <v/>
      </c>
      <c r="AT339" s="31">
        <f>IF(AND(AE339&lt;&gt;"",AQ339=0),1,0)</f>
        <v/>
      </c>
      <c r="AU339" s="31">
        <f>IF(AT339=0,"",IF(ISNUMBER(AN339),AN339,100000)+0+ROW()/1000000)</f>
        <v/>
      </c>
      <c r="AV339" s="31">
        <f>IF(ISNUMBER(AU339),SUMPRODUCT(ISNUMBER('Responses'!$AU$2:$AU$501)*('Responses'!$AU$2:$AU$501&lt;AU339)) + SUMPRODUCT(ISNUMBER('Paper sign-ups'!$Y$2:$Y$101)*('Paper sign-ups'!$Y$2:$Y$101&lt;AU339))+1,"")</f>
        <v/>
      </c>
    </row>
    <row r="340">
      <c r="AA340" s="29" t="n"/>
      <c r="AB340" s="30" t="n"/>
      <c r="AC340" s="30" t="n"/>
      <c r="AD340" s="29" t="n"/>
      <c r="AE340" s="31">
        <f>IFERROR(TRIM(INDEX($A340:$Z340,MATCH(Settings!$L$4,$A$1:$Z$1,0))&amp;""),"")</f>
        <v/>
      </c>
      <c r="AF340" s="31">
        <f>IFERROR(TRIM(INDEX($A340:$Z340,MATCH(Settings!$L$5,$A$1:$Z$1,0))&amp;""),"")</f>
        <v/>
      </c>
      <c r="AG340" s="31">
        <f>IF(AE340="","",LOWER(IF(AF340&lt;&gt;"",AF340,AE340)))</f>
        <v/>
      </c>
      <c r="AH340" s="31">
        <f>IFERROR(TRIM(INDEX($A340:$Z340,MATCH(Settings!$L$6,$A$1:$Z$1,0))&amp;""),"")</f>
        <v/>
      </c>
      <c r="AI340" s="31">
        <f>IF(AE340="","",IF(UPPER(TRIM(AB340&amp;""))="Y","Paid another way",IF(IFERROR(TRIM(INDEX($A340:$Z340,MATCH(Settings!$L$7,$A$1:$Z$1,0))&amp;""),"")="","No payment status",IFERROR(TRIM(INDEX($A340:$Z340,MATCH(Settings!$L$7,$A$1:$Z$1,0))&amp;""),""))))</f>
        <v/>
      </c>
      <c r="AJ340" s="31">
        <f>IF(AE340="",0,IF(IFERROR(INDEX(Settings!$J$4:$J$14,MATCH(AI340,Settings!$I$4:$I$14,0)),"N")="Y",1,0))</f>
        <v/>
      </c>
      <c r="AK340" s="32">
        <f>IFERROR(INT(IFERROR(IF(ISNUMBER(INDEX($A340:$Z340,MATCH(Settings!$L$10,$A$1:$Z$1,0))),INDEX($A340:$Z340,MATCH(Settings!$L$10,$A$1:$Z$1,0)),DATE(VALUE(LEFT(IFERROR(TRIM(INDEX($A340:$Z340,MATCH(Settings!$L$10,$A$1:$Z$1,0))&amp;""),""),4)),VALUE(MID(IFERROR(TRIM(INDEX($A340:$Z340,MATCH(Settings!$L$10,$A$1:$Z$1,0))&amp;""),""),6,2)),VALUE(MID(IFERROR(TRIM(INDEX($A340:$Z340,MATCH(Settings!$L$10,$A$1:$Z$1,0))&amp;""),""),9,2)))+TIME(VALUE(MID(IFERROR(TRIM(INDEX($A340:$Z340,MATCH(Settings!$L$10,$A$1:$Z$1,0))&amp;""),""),12,2)),VALUE(MID(IFERROR(TRIM(INDEX($A340:$Z340,MATCH(Settings!$L$10,$A$1:$Z$1,0))&amp;""),""),15,2)),VALUE(MID(IFERROR(TRIM(INDEX($A340:$Z340,MATCH(Settings!$L$10,$A$1:$Z$1,0))&amp;""),""),18,2)))),"")),"")</f>
        <v/>
      </c>
      <c r="AL340" s="32">
        <f>IF(AE340="","",IF(ISNUMBER(AK340),AK340,IFERROR(INT(IFERROR(IF(ISNUMBER(INDEX($A340:$Z340,MATCH(Settings!$L$11,$A$1:$Z$1,0))),INDEX($A340:$Z340,MATCH(Settings!$L$11,$A$1:$Z$1,0)),DATE(VALUE(LEFT(IFERROR(TRIM(INDEX($A340:$Z340,MATCH(Settings!$L$11,$A$1:$Z$1,0))&amp;""),""),4)),VALUE(MID(IFERROR(TRIM(INDEX($A340:$Z340,MATCH(Settings!$L$11,$A$1:$Z$1,0))&amp;""),""),6,2)),VALUE(MID(IFERROR(TRIM(INDEX($A340:$Z340,MATCH(Settings!$L$11,$A$1:$Z$1,0))&amp;""),""),9,2)))+TIME(VALUE(MID(IFERROR(TRIM(INDEX($A340:$Z340,MATCH(Settings!$L$11,$A$1:$Z$1,0))&amp;""),""),12,2)),VALUE(MID(IFERROR(TRIM(INDEX($A340:$Z340,MATCH(Settings!$L$11,$A$1:$Z$1,0))&amp;""),""),15,2)),VALUE(MID(IFERROR(TRIM(INDEX($A340:$Z340,MATCH(Settings!$L$11,$A$1:$Z$1,0))&amp;""),""),18,2)))),"")),"")))</f>
        <v/>
      </c>
      <c r="AM340" s="31">
        <f>IF(AE340="","",IF(ISNUMBER(IFERROR(INDEX(Settings!$G$4:$G$11,MATCH(AH340,Settings!$F$4:$F$11,0)),"")),INDEX(Settings!$G$4:$G$11,MATCH(AH340,Settings!$F$4:$F$11,0)),Settings!$D$5))</f>
        <v/>
      </c>
      <c r="AN340" s="32">
        <f>IF(OR(AE340="",NOT(ISNUMBER(AL340)),NOT(ISNUMBER(AM340))),"",IF(AM340&lt;=0,"",IF(ISNUMBER(Settings!$D$8),DATE(YEAR(AL340)+IF(DATE(YEAR(AL340),MONTH(Settings!$D$8),DAY(Settings!$D$8))&gt;AL340,0,1),MONTH(Settings!$D$8),DAY(Settings!$D$8)),MIN(DATE(YEAR(AL340),MONTH(AL340)+AM340,DAY(AL340)),DATE(YEAR(AL340),MONTH(AL340)+AM340+1,0)))))</f>
        <v/>
      </c>
      <c r="AO340" s="31">
        <f>IF(ISNUMBER(AN340),AN340-Settings!$D$4,"")</f>
        <v/>
      </c>
      <c r="AP340" s="31">
        <f>IF(ISNUMBER(AL340),AL340+0+ROW()/100000,"")</f>
        <v/>
      </c>
      <c r="AQ340" s="31">
        <f>IF(OR(AG340="",NOT(ISNUMBER(AP340))),0,IF(SUMPRODUCT(('Responses'!$AG$2:$AG$501=AG340)*('Responses'!$AJ$2:$AJ$501=1)*ISNUMBER('Responses'!$AP$2:$AP$501)*('Responses'!$AP$2:$AP$501&gt;AP340)) + SUMPRODUCT(('Paper sign-ups'!$K$2:$K$101=AG340)*('Paper sign-ups'!$N$2:$N$101=1)*ISNUMBER('Paper sign-ups'!$T$2:$T$101)*('Paper sign-ups'!$T$2:$T$101&gt;AP340))&gt;0,1,0))</f>
        <v/>
      </c>
      <c r="AR340" s="31">
        <f>IF(AE340="","",IF(AQ340=1,"Joined again",IF(AJ340=0,"Unpaid",IF(NOT(ISNUMBER(AL340)),"Add a join date",IF(AN340="","No reminder",IF(AO340&lt;0,"Lapsed",IF(AO340&lt;=Settings!$D$6,"Remind soon","Current")))))))</f>
        <v/>
      </c>
      <c r="AS340" s="33">
        <f>IF(AJ340=1,IFERROR(VALUE(IFERROR(TRIM(INDEX($A340:$Z340,MATCH(Settings!$L$8,$A$1:$Z$1,0))&amp;""),"")),0)-IFERROR(VALUE(IFERROR(TRIM(INDEX($A340:$Z340,MATCH(Settings!$L$9,$A$1:$Z$1,0))&amp;""),"")),0),0)</f>
        <v/>
      </c>
      <c r="AT340" s="31">
        <f>IF(AND(AE340&lt;&gt;"",AQ340=0),1,0)</f>
        <v/>
      </c>
      <c r="AU340" s="31">
        <f>IF(AT340=0,"",IF(ISNUMBER(AN340),AN340,100000)+0+ROW()/1000000)</f>
        <v/>
      </c>
      <c r="AV340" s="31">
        <f>IF(ISNUMBER(AU340),SUMPRODUCT(ISNUMBER('Responses'!$AU$2:$AU$501)*('Responses'!$AU$2:$AU$501&lt;AU340)) + SUMPRODUCT(ISNUMBER('Paper sign-ups'!$Y$2:$Y$101)*('Paper sign-ups'!$Y$2:$Y$101&lt;AU340))+1,"")</f>
        <v/>
      </c>
    </row>
    <row r="341">
      <c r="AA341" s="29" t="n"/>
      <c r="AB341" s="30" t="n"/>
      <c r="AC341" s="30" t="n"/>
      <c r="AD341" s="29" t="n"/>
      <c r="AE341" s="31">
        <f>IFERROR(TRIM(INDEX($A341:$Z341,MATCH(Settings!$L$4,$A$1:$Z$1,0))&amp;""),"")</f>
        <v/>
      </c>
      <c r="AF341" s="31">
        <f>IFERROR(TRIM(INDEX($A341:$Z341,MATCH(Settings!$L$5,$A$1:$Z$1,0))&amp;""),"")</f>
        <v/>
      </c>
      <c r="AG341" s="31">
        <f>IF(AE341="","",LOWER(IF(AF341&lt;&gt;"",AF341,AE341)))</f>
        <v/>
      </c>
      <c r="AH341" s="31">
        <f>IFERROR(TRIM(INDEX($A341:$Z341,MATCH(Settings!$L$6,$A$1:$Z$1,0))&amp;""),"")</f>
        <v/>
      </c>
      <c r="AI341" s="31">
        <f>IF(AE341="","",IF(UPPER(TRIM(AB341&amp;""))="Y","Paid another way",IF(IFERROR(TRIM(INDEX($A341:$Z341,MATCH(Settings!$L$7,$A$1:$Z$1,0))&amp;""),"")="","No payment status",IFERROR(TRIM(INDEX($A341:$Z341,MATCH(Settings!$L$7,$A$1:$Z$1,0))&amp;""),""))))</f>
        <v/>
      </c>
      <c r="AJ341" s="31">
        <f>IF(AE341="",0,IF(IFERROR(INDEX(Settings!$J$4:$J$14,MATCH(AI341,Settings!$I$4:$I$14,0)),"N")="Y",1,0))</f>
        <v/>
      </c>
      <c r="AK341" s="32">
        <f>IFERROR(INT(IFERROR(IF(ISNUMBER(INDEX($A341:$Z341,MATCH(Settings!$L$10,$A$1:$Z$1,0))),INDEX($A341:$Z341,MATCH(Settings!$L$10,$A$1:$Z$1,0)),DATE(VALUE(LEFT(IFERROR(TRIM(INDEX($A341:$Z341,MATCH(Settings!$L$10,$A$1:$Z$1,0))&amp;""),""),4)),VALUE(MID(IFERROR(TRIM(INDEX($A341:$Z341,MATCH(Settings!$L$10,$A$1:$Z$1,0))&amp;""),""),6,2)),VALUE(MID(IFERROR(TRIM(INDEX($A341:$Z341,MATCH(Settings!$L$10,$A$1:$Z$1,0))&amp;""),""),9,2)))+TIME(VALUE(MID(IFERROR(TRIM(INDEX($A341:$Z341,MATCH(Settings!$L$10,$A$1:$Z$1,0))&amp;""),""),12,2)),VALUE(MID(IFERROR(TRIM(INDEX($A341:$Z341,MATCH(Settings!$L$10,$A$1:$Z$1,0))&amp;""),""),15,2)),VALUE(MID(IFERROR(TRIM(INDEX($A341:$Z341,MATCH(Settings!$L$10,$A$1:$Z$1,0))&amp;""),""),18,2)))),"")),"")</f>
        <v/>
      </c>
      <c r="AL341" s="32">
        <f>IF(AE341="","",IF(ISNUMBER(AK341),AK341,IFERROR(INT(IFERROR(IF(ISNUMBER(INDEX($A341:$Z341,MATCH(Settings!$L$11,$A$1:$Z$1,0))),INDEX($A341:$Z341,MATCH(Settings!$L$11,$A$1:$Z$1,0)),DATE(VALUE(LEFT(IFERROR(TRIM(INDEX($A341:$Z341,MATCH(Settings!$L$11,$A$1:$Z$1,0))&amp;""),""),4)),VALUE(MID(IFERROR(TRIM(INDEX($A341:$Z341,MATCH(Settings!$L$11,$A$1:$Z$1,0))&amp;""),""),6,2)),VALUE(MID(IFERROR(TRIM(INDEX($A341:$Z341,MATCH(Settings!$L$11,$A$1:$Z$1,0))&amp;""),""),9,2)))+TIME(VALUE(MID(IFERROR(TRIM(INDEX($A341:$Z341,MATCH(Settings!$L$11,$A$1:$Z$1,0))&amp;""),""),12,2)),VALUE(MID(IFERROR(TRIM(INDEX($A341:$Z341,MATCH(Settings!$L$11,$A$1:$Z$1,0))&amp;""),""),15,2)),VALUE(MID(IFERROR(TRIM(INDEX($A341:$Z341,MATCH(Settings!$L$11,$A$1:$Z$1,0))&amp;""),""),18,2)))),"")),"")))</f>
        <v/>
      </c>
      <c r="AM341" s="31">
        <f>IF(AE341="","",IF(ISNUMBER(IFERROR(INDEX(Settings!$G$4:$G$11,MATCH(AH341,Settings!$F$4:$F$11,0)),"")),INDEX(Settings!$G$4:$G$11,MATCH(AH341,Settings!$F$4:$F$11,0)),Settings!$D$5))</f>
        <v/>
      </c>
      <c r="AN341" s="32">
        <f>IF(OR(AE341="",NOT(ISNUMBER(AL341)),NOT(ISNUMBER(AM341))),"",IF(AM341&lt;=0,"",IF(ISNUMBER(Settings!$D$8),DATE(YEAR(AL341)+IF(DATE(YEAR(AL341),MONTH(Settings!$D$8),DAY(Settings!$D$8))&gt;AL341,0,1),MONTH(Settings!$D$8),DAY(Settings!$D$8)),MIN(DATE(YEAR(AL341),MONTH(AL341)+AM341,DAY(AL341)),DATE(YEAR(AL341),MONTH(AL341)+AM341+1,0)))))</f>
        <v/>
      </c>
      <c r="AO341" s="31">
        <f>IF(ISNUMBER(AN341),AN341-Settings!$D$4,"")</f>
        <v/>
      </c>
      <c r="AP341" s="31">
        <f>IF(ISNUMBER(AL341),AL341+0+ROW()/100000,"")</f>
        <v/>
      </c>
      <c r="AQ341" s="31">
        <f>IF(OR(AG341="",NOT(ISNUMBER(AP341))),0,IF(SUMPRODUCT(('Responses'!$AG$2:$AG$501=AG341)*('Responses'!$AJ$2:$AJ$501=1)*ISNUMBER('Responses'!$AP$2:$AP$501)*('Responses'!$AP$2:$AP$501&gt;AP341)) + SUMPRODUCT(('Paper sign-ups'!$K$2:$K$101=AG341)*('Paper sign-ups'!$N$2:$N$101=1)*ISNUMBER('Paper sign-ups'!$T$2:$T$101)*('Paper sign-ups'!$T$2:$T$101&gt;AP341))&gt;0,1,0))</f>
        <v/>
      </c>
      <c r="AR341" s="31">
        <f>IF(AE341="","",IF(AQ341=1,"Joined again",IF(AJ341=0,"Unpaid",IF(NOT(ISNUMBER(AL341)),"Add a join date",IF(AN341="","No reminder",IF(AO341&lt;0,"Lapsed",IF(AO341&lt;=Settings!$D$6,"Remind soon","Current")))))))</f>
        <v/>
      </c>
      <c r="AS341" s="33">
        <f>IF(AJ341=1,IFERROR(VALUE(IFERROR(TRIM(INDEX($A341:$Z341,MATCH(Settings!$L$8,$A$1:$Z$1,0))&amp;""),"")),0)-IFERROR(VALUE(IFERROR(TRIM(INDEX($A341:$Z341,MATCH(Settings!$L$9,$A$1:$Z$1,0))&amp;""),"")),0),0)</f>
        <v/>
      </c>
      <c r="AT341" s="31">
        <f>IF(AND(AE341&lt;&gt;"",AQ341=0),1,0)</f>
        <v/>
      </c>
      <c r="AU341" s="31">
        <f>IF(AT341=0,"",IF(ISNUMBER(AN341),AN341,100000)+0+ROW()/1000000)</f>
        <v/>
      </c>
      <c r="AV341" s="31">
        <f>IF(ISNUMBER(AU341),SUMPRODUCT(ISNUMBER('Responses'!$AU$2:$AU$501)*('Responses'!$AU$2:$AU$501&lt;AU341)) + SUMPRODUCT(ISNUMBER('Paper sign-ups'!$Y$2:$Y$101)*('Paper sign-ups'!$Y$2:$Y$101&lt;AU341))+1,"")</f>
        <v/>
      </c>
    </row>
    <row r="342">
      <c r="AA342" s="29" t="n"/>
      <c r="AB342" s="30" t="n"/>
      <c r="AC342" s="30" t="n"/>
      <c r="AD342" s="29" t="n"/>
      <c r="AE342" s="31">
        <f>IFERROR(TRIM(INDEX($A342:$Z342,MATCH(Settings!$L$4,$A$1:$Z$1,0))&amp;""),"")</f>
        <v/>
      </c>
      <c r="AF342" s="31">
        <f>IFERROR(TRIM(INDEX($A342:$Z342,MATCH(Settings!$L$5,$A$1:$Z$1,0))&amp;""),"")</f>
        <v/>
      </c>
      <c r="AG342" s="31">
        <f>IF(AE342="","",LOWER(IF(AF342&lt;&gt;"",AF342,AE342)))</f>
        <v/>
      </c>
      <c r="AH342" s="31">
        <f>IFERROR(TRIM(INDEX($A342:$Z342,MATCH(Settings!$L$6,$A$1:$Z$1,0))&amp;""),"")</f>
        <v/>
      </c>
      <c r="AI342" s="31">
        <f>IF(AE342="","",IF(UPPER(TRIM(AB342&amp;""))="Y","Paid another way",IF(IFERROR(TRIM(INDEX($A342:$Z342,MATCH(Settings!$L$7,$A$1:$Z$1,0))&amp;""),"")="","No payment status",IFERROR(TRIM(INDEX($A342:$Z342,MATCH(Settings!$L$7,$A$1:$Z$1,0))&amp;""),""))))</f>
        <v/>
      </c>
      <c r="AJ342" s="31">
        <f>IF(AE342="",0,IF(IFERROR(INDEX(Settings!$J$4:$J$14,MATCH(AI342,Settings!$I$4:$I$14,0)),"N")="Y",1,0))</f>
        <v/>
      </c>
      <c r="AK342" s="32">
        <f>IFERROR(INT(IFERROR(IF(ISNUMBER(INDEX($A342:$Z342,MATCH(Settings!$L$10,$A$1:$Z$1,0))),INDEX($A342:$Z342,MATCH(Settings!$L$10,$A$1:$Z$1,0)),DATE(VALUE(LEFT(IFERROR(TRIM(INDEX($A342:$Z342,MATCH(Settings!$L$10,$A$1:$Z$1,0))&amp;""),""),4)),VALUE(MID(IFERROR(TRIM(INDEX($A342:$Z342,MATCH(Settings!$L$10,$A$1:$Z$1,0))&amp;""),""),6,2)),VALUE(MID(IFERROR(TRIM(INDEX($A342:$Z342,MATCH(Settings!$L$10,$A$1:$Z$1,0))&amp;""),""),9,2)))+TIME(VALUE(MID(IFERROR(TRIM(INDEX($A342:$Z342,MATCH(Settings!$L$10,$A$1:$Z$1,0))&amp;""),""),12,2)),VALUE(MID(IFERROR(TRIM(INDEX($A342:$Z342,MATCH(Settings!$L$10,$A$1:$Z$1,0))&amp;""),""),15,2)),VALUE(MID(IFERROR(TRIM(INDEX($A342:$Z342,MATCH(Settings!$L$10,$A$1:$Z$1,0))&amp;""),""),18,2)))),"")),"")</f>
        <v/>
      </c>
      <c r="AL342" s="32">
        <f>IF(AE342="","",IF(ISNUMBER(AK342),AK342,IFERROR(INT(IFERROR(IF(ISNUMBER(INDEX($A342:$Z342,MATCH(Settings!$L$11,$A$1:$Z$1,0))),INDEX($A342:$Z342,MATCH(Settings!$L$11,$A$1:$Z$1,0)),DATE(VALUE(LEFT(IFERROR(TRIM(INDEX($A342:$Z342,MATCH(Settings!$L$11,$A$1:$Z$1,0))&amp;""),""),4)),VALUE(MID(IFERROR(TRIM(INDEX($A342:$Z342,MATCH(Settings!$L$11,$A$1:$Z$1,0))&amp;""),""),6,2)),VALUE(MID(IFERROR(TRIM(INDEX($A342:$Z342,MATCH(Settings!$L$11,$A$1:$Z$1,0))&amp;""),""),9,2)))+TIME(VALUE(MID(IFERROR(TRIM(INDEX($A342:$Z342,MATCH(Settings!$L$11,$A$1:$Z$1,0))&amp;""),""),12,2)),VALUE(MID(IFERROR(TRIM(INDEX($A342:$Z342,MATCH(Settings!$L$11,$A$1:$Z$1,0))&amp;""),""),15,2)),VALUE(MID(IFERROR(TRIM(INDEX($A342:$Z342,MATCH(Settings!$L$11,$A$1:$Z$1,0))&amp;""),""),18,2)))),"")),"")))</f>
        <v/>
      </c>
      <c r="AM342" s="31">
        <f>IF(AE342="","",IF(ISNUMBER(IFERROR(INDEX(Settings!$G$4:$G$11,MATCH(AH342,Settings!$F$4:$F$11,0)),"")),INDEX(Settings!$G$4:$G$11,MATCH(AH342,Settings!$F$4:$F$11,0)),Settings!$D$5))</f>
        <v/>
      </c>
      <c r="AN342" s="32">
        <f>IF(OR(AE342="",NOT(ISNUMBER(AL342)),NOT(ISNUMBER(AM342))),"",IF(AM342&lt;=0,"",IF(ISNUMBER(Settings!$D$8),DATE(YEAR(AL342)+IF(DATE(YEAR(AL342),MONTH(Settings!$D$8),DAY(Settings!$D$8))&gt;AL342,0,1),MONTH(Settings!$D$8),DAY(Settings!$D$8)),MIN(DATE(YEAR(AL342),MONTH(AL342)+AM342,DAY(AL342)),DATE(YEAR(AL342),MONTH(AL342)+AM342+1,0)))))</f>
        <v/>
      </c>
      <c r="AO342" s="31">
        <f>IF(ISNUMBER(AN342),AN342-Settings!$D$4,"")</f>
        <v/>
      </c>
      <c r="AP342" s="31">
        <f>IF(ISNUMBER(AL342),AL342+0+ROW()/100000,"")</f>
        <v/>
      </c>
      <c r="AQ342" s="31">
        <f>IF(OR(AG342="",NOT(ISNUMBER(AP342))),0,IF(SUMPRODUCT(('Responses'!$AG$2:$AG$501=AG342)*('Responses'!$AJ$2:$AJ$501=1)*ISNUMBER('Responses'!$AP$2:$AP$501)*('Responses'!$AP$2:$AP$501&gt;AP342)) + SUMPRODUCT(('Paper sign-ups'!$K$2:$K$101=AG342)*('Paper sign-ups'!$N$2:$N$101=1)*ISNUMBER('Paper sign-ups'!$T$2:$T$101)*('Paper sign-ups'!$T$2:$T$101&gt;AP342))&gt;0,1,0))</f>
        <v/>
      </c>
      <c r="AR342" s="31">
        <f>IF(AE342="","",IF(AQ342=1,"Joined again",IF(AJ342=0,"Unpaid",IF(NOT(ISNUMBER(AL342)),"Add a join date",IF(AN342="","No reminder",IF(AO342&lt;0,"Lapsed",IF(AO342&lt;=Settings!$D$6,"Remind soon","Current")))))))</f>
        <v/>
      </c>
      <c r="AS342" s="33">
        <f>IF(AJ342=1,IFERROR(VALUE(IFERROR(TRIM(INDEX($A342:$Z342,MATCH(Settings!$L$8,$A$1:$Z$1,0))&amp;""),"")),0)-IFERROR(VALUE(IFERROR(TRIM(INDEX($A342:$Z342,MATCH(Settings!$L$9,$A$1:$Z$1,0))&amp;""),"")),0),0)</f>
        <v/>
      </c>
      <c r="AT342" s="31">
        <f>IF(AND(AE342&lt;&gt;"",AQ342=0),1,0)</f>
        <v/>
      </c>
      <c r="AU342" s="31">
        <f>IF(AT342=0,"",IF(ISNUMBER(AN342),AN342,100000)+0+ROW()/1000000)</f>
        <v/>
      </c>
      <c r="AV342" s="31">
        <f>IF(ISNUMBER(AU342),SUMPRODUCT(ISNUMBER('Responses'!$AU$2:$AU$501)*('Responses'!$AU$2:$AU$501&lt;AU342)) + SUMPRODUCT(ISNUMBER('Paper sign-ups'!$Y$2:$Y$101)*('Paper sign-ups'!$Y$2:$Y$101&lt;AU342))+1,"")</f>
        <v/>
      </c>
    </row>
    <row r="343">
      <c r="AA343" s="29" t="n"/>
      <c r="AB343" s="30" t="n"/>
      <c r="AC343" s="30" t="n"/>
      <c r="AD343" s="29" t="n"/>
      <c r="AE343" s="31">
        <f>IFERROR(TRIM(INDEX($A343:$Z343,MATCH(Settings!$L$4,$A$1:$Z$1,0))&amp;""),"")</f>
        <v/>
      </c>
      <c r="AF343" s="31">
        <f>IFERROR(TRIM(INDEX($A343:$Z343,MATCH(Settings!$L$5,$A$1:$Z$1,0))&amp;""),"")</f>
        <v/>
      </c>
      <c r="AG343" s="31">
        <f>IF(AE343="","",LOWER(IF(AF343&lt;&gt;"",AF343,AE343)))</f>
        <v/>
      </c>
      <c r="AH343" s="31">
        <f>IFERROR(TRIM(INDEX($A343:$Z343,MATCH(Settings!$L$6,$A$1:$Z$1,0))&amp;""),"")</f>
        <v/>
      </c>
      <c r="AI343" s="31">
        <f>IF(AE343="","",IF(UPPER(TRIM(AB343&amp;""))="Y","Paid another way",IF(IFERROR(TRIM(INDEX($A343:$Z343,MATCH(Settings!$L$7,$A$1:$Z$1,0))&amp;""),"")="","No payment status",IFERROR(TRIM(INDEX($A343:$Z343,MATCH(Settings!$L$7,$A$1:$Z$1,0))&amp;""),""))))</f>
        <v/>
      </c>
      <c r="AJ343" s="31">
        <f>IF(AE343="",0,IF(IFERROR(INDEX(Settings!$J$4:$J$14,MATCH(AI343,Settings!$I$4:$I$14,0)),"N")="Y",1,0))</f>
        <v/>
      </c>
      <c r="AK343" s="32">
        <f>IFERROR(INT(IFERROR(IF(ISNUMBER(INDEX($A343:$Z343,MATCH(Settings!$L$10,$A$1:$Z$1,0))),INDEX($A343:$Z343,MATCH(Settings!$L$10,$A$1:$Z$1,0)),DATE(VALUE(LEFT(IFERROR(TRIM(INDEX($A343:$Z343,MATCH(Settings!$L$10,$A$1:$Z$1,0))&amp;""),""),4)),VALUE(MID(IFERROR(TRIM(INDEX($A343:$Z343,MATCH(Settings!$L$10,$A$1:$Z$1,0))&amp;""),""),6,2)),VALUE(MID(IFERROR(TRIM(INDEX($A343:$Z343,MATCH(Settings!$L$10,$A$1:$Z$1,0))&amp;""),""),9,2)))+TIME(VALUE(MID(IFERROR(TRIM(INDEX($A343:$Z343,MATCH(Settings!$L$10,$A$1:$Z$1,0))&amp;""),""),12,2)),VALUE(MID(IFERROR(TRIM(INDEX($A343:$Z343,MATCH(Settings!$L$10,$A$1:$Z$1,0))&amp;""),""),15,2)),VALUE(MID(IFERROR(TRIM(INDEX($A343:$Z343,MATCH(Settings!$L$10,$A$1:$Z$1,0))&amp;""),""),18,2)))),"")),"")</f>
        <v/>
      </c>
      <c r="AL343" s="32">
        <f>IF(AE343="","",IF(ISNUMBER(AK343),AK343,IFERROR(INT(IFERROR(IF(ISNUMBER(INDEX($A343:$Z343,MATCH(Settings!$L$11,$A$1:$Z$1,0))),INDEX($A343:$Z343,MATCH(Settings!$L$11,$A$1:$Z$1,0)),DATE(VALUE(LEFT(IFERROR(TRIM(INDEX($A343:$Z343,MATCH(Settings!$L$11,$A$1:$Z$1,0))&amp;""),""),4)),VALUE(MID(IFERROR(TRIM(INDEX($A343:$Z343,MATCH(Settings!$L$11,$A$1:$Z$1,0))&amp;""),""),6,2)),VALUE(MID(IFERROR(TRIM(INDEX($A343:$Z343,MATCH(Settings!$L$11,$A$1:$Z$1,0))&amp;""),""),9,2)))+TIME(VALUE(MID(IFERROR(TRIM(INDEX($A343:$Z343,MATCH(Settings!$L$11,$A$1:$Z$1,0))&amp;""),""),12,2)),VALUE(MID(IFERROR(TRIM(INDEX($A343:$Z343,MATCH(Settings!$L$11,$A$1:$Z$1,0))&amp;""),""),15,2)),VALUE(MID(IFERROR(TRIM(INDEX($A343:$Z343,MATCH(Settings!$L$11,$A$1:$Z$1,0))&amp;""),""),18,2)))),"")),"")))</f>
        <v/>
      </c>
      <c r="AM343" s="31">
        <f>IF(AE343="","",IF(ISNUMBER(IFERROR(INDEX(Settings!$G$4:$G$11,MATCH(AH343,Settings!$F$4:$F$11,0)),"")),INDEX(Settings!$G$4:$G$11,MATCH(AH343,Settings!$F$4:$F$11,0)),Settings!$D$5))</f>
        <v/>
      </c>
      <c r="AN343" s="32">
        <f>IF(OR(AE343="",NOT(ISNUMBER(AL343)),NOT(ISNUMBER(AM343))),"",IF(AM343&lt;=0,"",IF(ISNUMBER(Settings!$D$8),DATE(YEAR(AL343)+IF(DATE(YEAR(AL343),MONTH(Settings!$D$8),DAY(Settings!$D$8))&gt;AL343,0,1),MONTH(Settings!$D$8),DAY(Settings!$D$8)),MIN(DATE(YEAR(AL343),MONTH(AL343)+AM343,DAY(AL343)),DATE(YEAR(AL343),MONTH(AL343)+AM343+1,0)))))</f>
        <v/>
      </c>
      <c r="AO343" s="31">
        <f>IF(ISNUMBER(AN343),AN343-Settings!$D$4,"")</f>
        <v/>
      </c>
      <c r="AP343" s="31">
        <f>IF(ISNUMBER(AL343),AL343+0+ROW()/100000,"")</f>
        <v/>
      </c>
      <c r="AQ343" s="31">
        <f>IF(OR(AG343="",NOT(ISNUMBER(AP343))),0,IF(SUMPRODUCT(('Responses'!$AG$2:$AG$501=AG343)*('Responses'!$AJ$2:$AJ$501=1)*ISNUMBER('Responses'!$AP$2:$AP$501)*('Responses'!$AP$2:$AP$501&gt;AP343)) + SUMPRODUCT(('Paper sign-ups'!$K$2:$K$101=AG343)*('Paper sign-ups'!$N$2:$N$101=1)*ISNUMBER('Paper sign-ups'!$T$2:$T$101)*('Paper sign-ups'!$T$2:$T$101&gt;AP343))&gt;0,1,0))</f>
        <v/>
      </c>
      <c r="AR343" s="31">
        <f>IF(AE343="","",IF(AQ343=1,"Joined again",IF(AJ343=0,"Unpaid",IF(NOT(ISNUMBER(AL343)),"Add a join date",IF(AN343="","No reminder",IF(AO343&lt;0,"Lapsed",IF(AO343&lt;=Settings!$D$6,"Remind soon","Current")))))))</f>
        <v/>
      </c>
      <c r="AS343" s="33">
        <f>IF(AJ343=1,IFERROR(VALUE(IFERROR(TRIM(INDEX($A343:$Z343,MATCH(Settings!$L$8,$A$1:$Z$1,0))&amp;""),"")),0)-IFERROR(VALUE(IFERROR(TRIM(INDEX($A343:$Z343,MATCH(Settings!$L$9,$A$1:$Z$1,0))&amp;""),"")),0),0)</f>
        <v/>
      </c>
      <c r="AT343" s="31">
        <f>IF(AND(AE343&lt;&gt;"",AQ343=0),1,0)</f>
        <v/>
      </c>
      <c r="AU343" s="31">
        <f>IF(AT343=0,"",IF(ISNUMBER(AN343),AN343,100000)+0+ROW()/1000000)</f>
        <v/>
      </c>
      <c r="AV343" s="31">
        <f>IF(ISNUMBER(AU343),SUMPRODUCT(ISNUMBER('Responses'!$AU$2:$AU$501)*('Responses'!$AU$2:$AU$501&lt;AU343)) + SUMPRODUCT(ISNUMBER('Paper sign-ups'!$Y$2:$Y$101)*('Paper sign-ups'!$Y$2:$Y$101&lt;AU343))+1,"")</f>
        <v/>
      </c>
    </row>
    <row r="344">
      <c r="AA344" s="29" t="n"/>
      <c r="AB344" s="30" t="n"/>
      <c r="AC344" s="30" t="n"/>
      <c r="AD344" s="29" t="n"/>
      <c r="AE344" s="31">
        <f>IFERROR(TRIM(INDEX($A344:$Z344,MATCH(Settings!$L$4,$A$1:$Z$1,0))&amp;""),"")</f>
        <v/>
      </c>
      <c r="AF344" s="31">
        <f>IFERROR(TRIM(INDEX($A344:$Z344,MATCH(Settings!$L$5,$A$1:$Z$1,0))&amp;""),"")</f>
        <v/>
      </c>
      <c r="AG344" s="31">
        <f>IF(AE344="","",LOWER(IF(AF344&lt;&gt;"",AF344,AE344)))</f>
        <v/>
      </c>
      <c r="AH344" s="31">
        <f>IFERROR(TRIM(INDEX($A344:$Z344,MATCH(Settings!$L$6,$A$1:$Z$1,0))&amp;""),"")</f>
        <v/>
      </c>
      <c r="AI344" s="31">
        <f>IF(AE344="","",IF(UPPER(TRIM(AB344&amp;""))="Y","Paid another way",IF(IFERROR(TRIM(INDEX($A344:$Z344,MATCH(Settings!$L$7,$A$1:$Z$1,0))&amp;""),"")="","No payment status",IFERROR(TRIM(INDEX($A344:$Z344,MATCH(Settings!$L$7,$A$1:$Z$1,0))&amp;""),""))))</f>
        <v/>
      </c>
      <c r="AJ344" s="31">
        <f>IF(AE344="",0,IF(IFERROR(INDEX(Settings!$J$4:$J$14,MATCH(AI344,Settings!$I$4:$I$14,0)),"N")="Y",1,0))</f>
        <v/>
      </c>
      <c r="AK344" s="32">
        <f>IFERROR(INT(IFERROR(IF(ISNUMBER(INDEX($A344:$Z344,MATCH(Settings!$L$10,$A$1:$Z$1,0))),INDEX($A344:$Z344,MATCH(Settings!$L$10,$A$1:$Z$1,0)),DATE(VALUE(LEFT(IFERROR(TRIM(INDEX($A344:$Z344,MATCH(Settings!$L$10,$A$1:$Z$1,0))&amp;""),""),4)),VALUE(MID(IFERROR(TRIM(INDEX($A344:$Z344,MATCH(Settings!$L$10,$A$1:$Z$1,0))&amp;""),""),6,2)),VALUE(MID(IFERROR(TRIM(INDEX($A344:$Z344,MATCH(Settings!$L$10,$A$1:$Z$1,0))&amp;""),""),9,2)))+TIME(VALUE(MID(IFERROR(TRIM(INDEX($A344:$Z344,MATCH(Settings!$L$10,$A$1:$Z$1,0))&amp;""),""),12,2)),VALUE(MID(IFERROR(TRIM(INDEX($A344:$Z344,MATCH(Settings!$L$10,$A$1:$Z$1,0))&amp;""),""),15,2)),VALUE(MID(IFERROR(TRIM(INDEX($A344:$Z344,MATCH(Settings!$L$10,$A$1:$Z$1,0))&amp;""),""),18,2)))),"")),"")</f>
        <v/>
      </c>
      <c r="AL344" s="32">
        <f>IF(AE344="","",IF(ISNUMBER(AK344),AK344,IFERROR(INT(IFERROR(IF(ISNUMBER(INDEX($A344:$Z344,MATCH(Settings!$L$11,$A$1:$Z$1,0))),INDEX($A344:$Z344,MATCH(Settings!$L$11,$A$1:$Z$1,0)),DATE(VALUE(LEFT(IFERROR(TRIM(INDEX($A344:$Z344,MATCH(Settings!$L$11,$A$1:$Z$1,0))&amp;""),""),4)),VALUE(MID(IFERROR(TRIM(INDEX($A344:$Z344,MATCH(Settings!$L$11,$A$1:$Z$1,0))&amp;""),""),6,2)),VALUE(MID(IFERROR(TRIM(INDEX($A344:$Z344,MATCH(Settings!$L$11,$A$1:$Z$1,0))&amp;""),""),9,2)))+TIME(VALUE(MID(IFERROR(TRIM(INDEX($A344:$Z344,MATCH(Settings!$L$11,$A$1:$Z$1,0))&amp;""),""),12,2)),VALUE(MID(IFERROR(TRIM(INDEX($A344:$Z344,MATCH(Settings!$L$11,$A$1:$Z$1,0))&amp;""),""),15,2)),VALUE(MID(IFERROR(TRIM(INDEX($A344:$Z344,MATCH(Settings!$L$11,$A$1:$Z$1,0))&amp;""),""),18,2)))),"")),"")))</f>
        <v/>
      </c>
      <c r="AM344" s="31">
        <f>IF(AE344="","",IF(ISNUMBER(IFERROR(INDEX(Settings!$G$4:$G$11,MATCH(AH344,Settings!$F$4:$F$11,0)),"")),INDEX(Settings!$G$4:$G$11,MATCH(AH344,Settings!$F$4:$F$11,0)),Settings!$D$5))</f>
        <v/>
      </c>
      <c r="AN344" s="32">
        <f>IF(OR(AE344="",NOT(ISNUMBER(AL344)),NOT(ISNUMBER(AM344))),"",IF(AM344&lt;=0,"",IF(ISNUMBER(Settings!$D$8),DATE(YEAR(AL344)+IF(DATE(YEAR(AL344),MONTH(Settings!$D$8),DAY(Settings!$D$8))&gt;AL344,0,1),MONTH(Settings!$D$8),DAY(Settings!$D$8)),MIN(DATE(YEAR(AL344),MONTH(AL344)+AM344,DAY(AL344)),DATE(YEAR(AL344),MONTH(AL344)+AM344+1,0)))))</f>
        <v/>
      </c>
      <c r="AO344" s="31">
        <f>IF(ISNUMBER(AN344),AN344-Settings!$D$4,"")</f>
        <v/>
      </c>
      <c r="AP344" s="31">
        <f>IF(ISNUMBER(AL344),AL344+0+ROW()/100000,"")</f>
        <v/>
      </c>
      <c r="AQ344" s="31">
        <f>IF(OR(AG344="",NOT(ISNUMBER(AP344))),0,IF(SUMPRODUCT(('Responses'!$AG$2:$AG$501=AG344)*('Responses'!$AJ$2:$AJ$501=1)*ISNUMBER('Responses'!$AP$2:$AP$501)*('Responses'!$AP$2:$AP$501&gt;AP344)) + SUMPRODUCT(('Paper sign-ups'!$K$2:$K$101=AG344)*('Paper sign-ups'!$N$2:$N$101=1)*ISNUMBER('Paper sign-ups'!$T$2:$T$101)*('Paper sign-ups'!$T$2:$T$101&gt;AP344))&gt;0,1,0))</f>
        <v/>
      </c>
      <c r="AR344" s="31">
        <f>IF(AE344="","",IF(AQ344=1,"Joined again",IF(AJ344=0,"Unpaid",IF(NOT(ISNUMBER(AL344)),"Add a join date",IF(AN344="","No reminder",IF(AO344&lt;0,"Lapsed",IF(AO344&lt;=Settings!$D$6,"Remind soon","Current")))))))</f>
        <v/>
      </c>
      <c r="AS344" s="33">
        <f>IF(AJ344=1,IFERROR(VALUE(IFERROR(TRIM(INDEX($A344:$Z344,MATCH(Settings!$L$8,$A$1:$Z$1,0))&amp;""),"")),0)-IFERROR(VALUE(IFERROR(TRIM(INDEX($A344:$Z344,MATCH(Settings!$L$9,$A$1:$Z$1,0))&amp;""),"")),0),0)</f>
        <v/>
      </c>
      <c r="AT344" s="31">
        <f>IF(AND(AE344&lt;&gt;"",AQ344=0),1,0)</f>
        <v/>
      </c>
      <c r="AU344" s="31">
        <f>IF(AT344=0,"",IF(ISNUMBER(AN344),AN344,100000)+0+ROW()/1000000)</f>
        <v/>
      </c>
      <c r="AV344" s="31">
        <f>IF(ISNUMBER(AU344),SUMPRODUCT(ISNUMBER('Responses'!$AU$2:$AU$501)*('Responses'!$AU$2:$AU$501&lt;AU344)) + SUMPRODUCT(ISNUMBER('Paper sign-ups'!$Y$2:$Y$101)*('Paper sign-ups'!$Y$2:$Y$101&lt;AU344))+1,"")</f>
        <v/>
      </c>
    </row>
    <row r="345">
      <c r="AA345" s="29" t="n"/>
      <c r="AB345" s="30" t="n"/>
      <c r="AC345" s="30" t="n"/>
      <c r="AD345" s="29" t="n"/>
      <c r="AE345" s="31">
        <f>IFERROR(TRIM(INDEX($A345:$Z345,MATCH(Settings!$L$4,$A$1:$Z$1,0))&amp;""),"")</f>
        <v/>
      </c>
      <c r="AF345" s="31">
        <f>IFERROR(TRIM(INDEX($A345:$Z345,MATCH(Settings!$L$5,$A$1:$Z$1,0))&amp;""),"")</f>
        <v/>
      </c>
      <c r="AG345" s="31">
        <f>IF(AE345="","",LOWER(IF(AF345&lt;&gt;"",AF345,AE345)))</f>
        <v/>
      </c>
      <c r="AH345" s="31">
        <f>IFERROR(TRIM(INDEX($A345:$Z345,MATCH(Settings!$L$6,$A$1:$Z$1,0))&amp;""),"")</f>
        <v/>
      </c>
      <c r="AI345" s="31">
        <f>IF(AE345="","",IF(UPPER(TRIM(AB345&amp;""))="Y","Paid another way",IF(IFERROR(TRIM(INDEX($A345:$Z345,MATCH(Settings!$L$7,$A$1:$Z$1,0))&amp;""),"")="","No payment status",IFERROR(TRIM(INDEX($A345:$Z345,MATCH(Settings!$L$7,$A$1:$Z$1,0))&amp;""),""))))</f>
        <v/>
      </c>
      <c r="AJ345" s="31">
        <f>IF(AE345="",0,IF(IFERROR(INDEX(Settings!$J$4:$J$14,MATCH(AI345,Settings!$I$4:$I$14,0)),"N")="Y",1,0))</f>
        <v/>
      </c>
      <c r="AK345" s="32">
        <f>IFERROR(INT(IFERROR(IF(ISNUMBER(INDEX($A345:$Z345,MATCH(Settings!$L$10,$A$1:$Z$1,0))),INDEX($A345:$Z345,MATCH(Settings!$L$10,$A$1:$Z$1,0)),DATE(VALUE(LEFT(IFERROR(TRIM(INDEX($A345:$Z345,MATCH(Settings!$L$10,$A$1:$Z$1,0))&amp;""),""),4)),VALUE(MID(IFERROR(TRIM(INDEX($A345:$Z345,MATCH(Settings!$L$10,$A$1:$Z$1,0))&amp;""),""),6,2)),VALUE(MID(IFERROR(TRIM(INDEX($A345:$Z345,MATCH(Settings!$L$10,$A$1:$Z$1,0))&amp;""),""),9,2)))+TIME(VALUE(MID(IFERROR(TRIM(INDEX($A345:$Z345,MATCH(Settings!$L$10,$A$1:$Z$1,0))&amp;""),""),12,2)),VALUE(MID(IFERROR(TRIM(INDEX($A345:$Z345,MATCH(Settings!$L$10,$A$1:$Z$1,0))&amp;""),""),15,2)),VALUE(MID(IFERROR(TRIM(INDEX($A345:$Z345,MATCH(Settings!$L$10,$A$1:$Z$1,0))&amp;""),""),18,2)))),"")),"")</f>
        <v/>
      </c>
      <c r="AL345" s="32">
        <f>IF(AE345="","",IF(ISNUMBER(AK345),AK345,IFERROR(INT(IFERROR(IF(ISNUMBER(INDEX($A345:$Z345,MATCH(Settings!$L$11,$A$1:$Z$1,0))),INDEX($A345:$Z345,MATCH(Settings!$L$11,$A$1:$Z$1,0)),DATE(VALUE(LEFT(IFERROR(TRIM(INDEX($A345:$Z345,MATCH(Settings!$L$11,$A$1:$Z$1,0))&amp;""),""),4)),VALUE(MID(IFERROR(TRIM(INDEX($A345:$Z345,MATCH(Settings!$L$11,$A$1:$Z$1,0))&amp;""),""),6,2)),VALUE(MID(IFERROR(TRIM(INDEX($A345:$Z345,MATCH(Settings!$L$11,$A$1:$Z$1,0))&amp;""),""),9,2)))+TIME(VALUE(MID(IFERROR(TRIM(INDEX($A345:$Z345,MATCH(Settings!$L$11,$A$1:$Z$1,0))&amp;""),""),12,2)),VALUE(MID(IFERROR(TRIM(INDEX($A345:$Z345,MATCH(Settings!$L$11,$A$1:$Z$1,0))&amp;""),""),15,2)),VALUE(MID(IFERROR(TRIM(INDEX($A345:$Z345,MATCH(Settings!$L$11,$A$1:$Z$1,0))&amp;""),""),18,2)))),"")),"")))</f>
        <v/>
      </c>
      <c r="AM345" s="31">
        <f>IF(AE345="","",IF(ISNUMBER(IFERROR(INDEX(Settings!$G$4:$G$11,MATCH(AH345,Settings!$F$4:$F$11,0)),"")),INDEX(Settings!$G$4:$G$11,MATCH(AH345,Settings!$F$4:$F$11,0)),Settings!$D$5))</f>
        <v/>
      </c>
      <c r="AN345" s="32">
        <f>IF(OR(AE345="",NOT(ISNUMBER(AL345)),NOT(ISNUMBER(AM345))),"",IF(AM345&lt;=0,"",IF(ISNUMBER(Settings!$D$8),DATE(YEAR(AL345)+IF(DATE(YEAR(AL345),MONTH(Settings!$D$8),DAY(Settings!$D$8))&gt;AL345,0,1),MONTH(Settings!$D$8),DAY(Settings!$D$8)),MIN(DATE(YEAR(AL345),MONTH(AL345)+AM345,DAY(AL345)),DATE(YEAR(AL345),MONTH(AL345)+AM345+1,0)))))</f>
        <v/>
      </c>
      <c r="AO345" s="31">
        <f>IF(ISNUMBER(AN345),AN345-Settings!$D$4,"")</f>
        <v/>
      </c>
      <c r="AP345" s="31">
        <f>IF(ISNUMBER(AL345),AL345+0+ROW()/100000,"")</f>
        <v/>
      </c>
      <c r="AQ345" s="31">
        <f>IF(OR(AG345="",NOT(ISNUMBER(AP345))),0,IF(SUMPRODUCT(('Responses'!$AG$2:$AG$501=AG345)*('Responses'!$AJ$2:$AJ$501=1)*ISNUMBER('Responses'!$AP$2:$AP$501)*('Responses'!$AP$2:$AP$501&gt;AP345)) + SUMPRODUCT(('Paper sign-ups'!$K$2:$K$101=AG345)*('Paper sign-ups'!$N$2:$N$101=1)*ISNUMBER('Paper sign-ups'!$T$2:$T$101)*('Paper sign-ups'!$T$2:$T$101&gt;AP345))&gt;0,1,0))</f>
        <v/>
      </c>
      <c r="AR345" s="31">
        <f>IF(AE345="","",IF(AQ345=1,"Joined again",IF(AJ345=0,"Unpaid",IF(NOT(ISNUMBER(AL345)),"Add a join date",IF(AN345="","No reminder",IF(AO345&lt;0,"Lapsed",IF(AO345&lt;=Settings!$D$6,"Remind soon","Current")))))))</f>
        <v/>
      </c>
      <c r="AS345" s="33">
        <f>IF(AJ345=1,IFERROR(VALUE(IFERROR(TRIM(INDEX($A345:$Z345,MATCH(Settings!$L$8,$A$1:$Z$1,0))&amp;""),"")),0)-IFERROR(VALUE(IFERROR(TRIM(INDEX($A345:$Z345,MATCH(Settings!$L$9,$A$1:$Z$1,0))&amp;""),"")),0),0)</f>
        <v/>
      </c>
      <c r="AT345" s="31">
        <f>IF(AND(AE345&lt;&gt;"",AQ345=0),1,0)</f>
        <v/>
      </c>
      <c r="AU345" s="31">
        <f>IF(AT345=0,"",IF(ISNUMBER(AN345),AN345,100000)+0+ROW()/1000000)</f>
        <v/>
      </c>
      <c r="AV345" s="31">
        <f>IF(ISNUMBER(AU345),SUMPRODUCT(ISNUMBER('Responses'!$AU$2:$AU$501)*('Responses'!$AU$2:$AU$501&lt;AU345)) + SUMPRODUCT(ISNUMBER('Paper sign-ups'!$Y$2:$Y$101)*('Paper sign-ups'!$Y$2:$Y$101&lt;AU345))+1,"")</f>
        <v/>
      </c>
    </row>
    <row r="346">
      <c r="AA346" s="29" t="n"/>
      <c r="AB346" s="30" t="n"/>
      <c r="AC346" s="30" t="n"/>
      <c r="AD346" s="29" t="n"/>
      <c r="AE346" s="31">
        <f>IFERROR(TRIM(INDEX($A346:$Z346,MATCH(Settings!$L$4,$A$1:$Z$1,0))&amp;""),"")</f>
        <v/>
      </c>
      <c r="AF346" s="31">
        <f>IFERROR(TRIM(INDEX($A346:$Z346,MATCH(Settings!$L$5,$A$1:$Z$1,0))&amp;""),"")</f>
        <v/>
      </c>
      <c r="AG346" s="31">
        <f>IF(AE346="","",LOWER(IF(AF346&lt;&gt;"",AF346,AE346)))</f>
        <v/>
      </c>
      <c r="AH346" s="31">
        <f>IFERROR(TRIM(INDEX($A346:$Z346,MATCH(Settings!$L$6,$A$1:$Z$1,0))&amp;""),"")</f>
        <v/>
      </c>
      <c r="AI346" s="31">
        <f>IF(AE346="","",IF(UPPER(TRIM(AB346&amp;""))="Y","Paid another way",IF(IFERROR(TRIM(INDEX($A346:$Z346,MATCH(Settings!$L$7,$A$1:$Z$1,0))&amp;""),"")="","No payment status",IFERROR(TRIM(INDEX($A346:$Z346,MATCH(Settings!$L$7,$A$1:$Z$1,0))&amp;""),""))))</f>
        <v/>
      </c>
      <c r="AJ346" s="31">
        <f>IF(AE346="",0,IF(IFERROR(INDEX(Settings!$J$4:$J$14,MATCH(AI346,Settings!$I$4:$I$14,0)),"N")="Y",1,0))</f>
        <v/>
      </c>
      <c r="AK346" s="32">
        <f>IFERROR(INT(IFERROR(IF(ISNUMBER(INDEX($A346:$Z346,MATCH(Settings!$L$10,$A$1:$Z$1,0))),INDEX($A346:$Z346,MATCH(Settings!$L$10,$A$1:$Z$1,0)),DATE(VALUE(LEFT(IFERROR(TRIM(INDEX($A346:$Z346,MATCH(Settings!$L$10,$A$1:$Z$1,0))&amp;""),""),4)),VALUE(MID(IFERROR(TRIM(INDEX($A346:$Z346,MATCH(Settings!$L$10,$A$1:$Z$1,0))&amp;""),""),6,2)),VALUE(MID(IFERROR(TRIM(INDEX($A346:$Z346,MATCH(Settings!$L$10,$A$1:$Z$1,0))&amp;""),""),9,2)))+TIME(VALUE(MID(IFERROR(TRIM(INDEX($A346:$Z346,MATCH(Settings!$L$10,$A$1:$Z$1,0))&amp;""),""),12,2)),VALUE(MID(IFERROR(TRIM(INDEX($A346:$Z346,MATCH(Settings!$L$10,$A$1:$Z$1,0))&amp;""),""),15,2)),VALUE(MID(IFERROR(TRIM(INDEX($A346:$Z346,MATCH(Settings!$L$10,$A$1:$Z$1,0))&amp;""),""),18,2)))),"")),"")</f>
        <v/>
      </c>
      <c r="AL346" s="32">
        <f>IF(AE346="","",IF(ISNUMBER(AK346),AK346,IFERROR(INT(IFERROR(IF(ISNUMBER(INDEX($A346:$Z346,MATCH(Settings!$L$11,$A$1:$Z$1,0))),INDEX($A346:$Z346,MATCH(Settings!$L$11,$A$1:$Z$1,0)),DATE(VALUE(LEFT(IFERROR(TRIM(INDEX($A346:$Z346,MATCH(Settings!$L$11,$A$1:$Z$1,0))&amp;""),""),4)),VALUE(MID(IFERROR(TRIM(INDEX($A346:$Z346,MATCH(Settings!$L$11,$A$1:$Z$1,0))&amp;""),""),6,2)),VALUE(MID(IFERROR(TRIM(INDEX($A346:$Z346,MATCH(Settings!$L$11,$A$1:$Z$1,0))&amp;""),""),9,2)))+TIME(VALUE(MID(IFERROR(TRIM(INDEX($A346:$Z346,MATCH(Settings!$L$11,$A$1:$Z$1,0))&amp;""),""),12,2)),VALUE(MID(IFERROR(TRIM(INDEX($A346:$Z346,MATCH(Settings!$L$11,$A$1:$Z$1,0))&amp;""),""),15,2)),VALUE(MID(IFERROR(TRIM(INDEX($A346:$Z346,MATCH(Settings!$L$11,$A$1:$Z$1,0))&amp;""),""),18,2)))),"")),"")))</f>
        <v/>
      </c>
      <c r="AM346" s="31">
        <f>IF(AE346="","",IF(ISNUMBER(IFERROR(INDEX(Settings!$G$4:$G$11,MATCH(AH346,Settings!$F$4:$F$11,0)),"")),INDEX(Settings!$G$4:$G$11,MATCH(AH346,Settings!$F$4:$F$11,0)),Settings!$D$5))</f>
        <v/>
      </c>
      <c r="AN346" s="32">
        <f>IF(OR(AE346="",NOT(ISNUMBER(AL346)),NOT(ISNUMBER(AM346))),"",IF(AM346&lt;=0,"",IF(ISNUMBER(Settings!$D$8),DATE(YEAR(AL346)+IF(DATE(YEAR(AL346),MONTH(Settings!$D$8),DAY(Settings!$D$8))&gt;AL346,0,1),MONTH(Settings!$D$8),DAY(Settings!$D$8)),MIN(DATE(YEAR(AL346),MONTH(AL346)+AM346,DAY(AL346)),DATE(YEAR(AL346),MONTH(AL346)+AM346+1,0)))))</f>
        <v/>
      </c>
      <c r="AO346" s="31">
        <f>IF(ISNUMBER(AN346),AN346-Settings!$D$4,"")</f>
        <v/>
      </c>
      <c r="AP346" s="31">
        <f>IF(ISNUMBER(AL346),AL346+0+ROW()/100000,"")</f>
        <v/>
      </c>
      <c r="AQ346" s="31">
        <f>IF(OR(AG346="",NOT(ISNUMBER(AP346))),0,IF(SUMPRODUCT(('Responses'!$AG$2:$AG$501=AG346)*('Responses'!$AJ$2:$AJ$501=1)*ISNUMBER('Responses'!$AP$2:$AP$501)*('Responses'!$AP$2:$AP$501&gt;AP346)) + SUMPRODUCT(('Paper sign-ups'!$K$2:$K$101=AG346)*('Paper sign-ups'!$N$2:$N$101=1)*ISNUMBER('Paper sign-ups'!$T$2:$T$101)*('Paper sign-ups'!$T$2:$T$101&gt;AP346))&gt;0,1,0))</f>
        <v/>
      </c>
      <c r="AR346" s="31">
        <f>IF(AE346="","",IF(AQ346=1,"Joined again",IF(AJ346=0,"Unpaid",IF(NOT(ISNUMBER(AL346)),"Add a join date",IF(AN346="","No reminder",IF(AO346&lt;0,"Lapsed",IF(AO346&lt;=Settings!$D$6,"Remind soon","Current")))))))</f>
        <v/>
      </c>
      <c r="AS346" s="33">
        <f>IF(AJ346=1,IFERROR(VALUE(IFERROR(TRIM(INDEX($A346:$Z346,MATCH(Settings!$L$8,$A$1:$Z$1,0))&amp;""),"")),0)-IFERROR(VALUE(IFERROR(TRIM(INDEX($A346:$Z346,MATCH(Settings!$L$9,$A$1:$Z$1,0))&amp;""),"")),0),0)</f>
        <v/>
      </c>
      <c r="AT346" s="31">
        <f>IF(AND(AE346&lt;&gt;"",AQ346=0),1,0)</f>
        <v/>
      </c>
      <c r="AU346" s="31">
        <f>IF(AT346=0,"",IF(ISNUMBER(AN346),AN346,100000)+0+ROW()/1000000)</f>
        <v/>
      </c>
      <c r="AV346" s="31">
        <f>IF(ISNUMBER(AU346),SUMPRODUCT(ISNUMBER('Responses'!$AU$2:$AU$501)*('Responses'!$AU$2:$AU$501&lt;AU346)) + SUMPRODUCT(ISNUMBER('Paper sign-ups'!$Y$2:$Y$101)*('Paper sign-ups'!$Y$2:$Y$101&lt;AU346))+1,"")</f>
        <v/>
      </c>
    </row>
    <row r="347">
      <c r="AA347" s="29" t="n"/>
      <c r="AB347" s="30" t="n"/>
      <c r="AC347" s="30" t="n"/>
      <c r="AD347" s="29" t="n"/>
      <c r="AE347" s="31">
        <f>IFERROR(TRIM(INDEX($A347:$Z347,MATCH(Settings!$L$4,$A$1:$Z$1,0))&amp;""),"")</f>
        <v/>
      </c>
      <c r="AF347" s="31">
        <f>IFERROR(TRIM(INDEX($A347:$Z347,MATCH(Settings!$L$5,$A$1:$Z$1,0))&amp;""),"")</f>
        <v/>
      </c>
      <c r="AG347" s="31">
        <f>IF(AE347="","",LOWER(IF(AF347&lt;&gt;"",AF347,AE347)))</f>
        <v/>
      </c>
      <c r="AH347" s="31">
        <f>IFERROR(TRIM(INDEX($A347:$Z347,MATCH(Settings!$L$6,$A$1:$Z$1,0))&amp;""),"")</f>
        <v/>
      </c>
      <c r="AI347" s="31">
        <f>IF(AE347="","",IF(UPPER(TRIM(AB347&amp;""))="Y","Paid another way",IF(IFERROR(TRIM(INDEX($A347:$Z347,MATCH(Settings!$L$7,$A$1:$Z$1,0))&amp;""),"")="","No payment status",IFERROR(TRIM(INDEX($A347:$Z347,MATCH(Settings!$L$7,$A$1:$Z$1,0))&amp;""),""))))</f>
        <v/>
      </c>
      <c r="AJ347" s="31">
        <f>IF(AE347="",0,IF(IFERROR(INDEX(Settings!$J$4:$J$14,MATCH(AI347,Settings!$I$4:$I$14,0)),"N")="Y",1,0))</f>
        <v/>
      </c>
      <c r="AK347" s="32">
        <f>IFERROR(INT(IFERROR(IF(ISNUMBER(INDEX($A347:$Z347,MATCH(Settings!$L$10,$A$1:$Z$1,0))),INDEX($A347:$Z347,MATCH(Settings!$L$10,$A$1:$Z$1,0)),DATE(VALUE(LEFT(IFERROR(TRIM(INDEX($A347:$Z347,MATCH(Settings!$L$10,$A$1:$Z$1,0))&amp;""),""),4)),VALUE(MID(IFERROR(TRIM(INDEX($A347:$Z347,MATCH(Settings!$L$10,$A$1:$Z$1,0))&amp;""),""),6,2)),VALUE(MID(IFERROR(TRIM(INDEX($A347:$Z347,MATCH(Settings!$L$10,$A$1:$Z$1,0))&amp;""),""),9,2)))+TIME(VALUE(MID(IFERROR(TRIM(INDEX($A347:$Z347,MATCH(Settings!$L$10,$A$1:$Z$1,0))&amp;""),""),12,2)),VALUE(MID(IFERROR(TRIM(INDEX($A347:$Z347,MATCH(Settings!$L$10,$A$1:$Z$1,0))&amp;""),""),15,2)),VALUE(MID(IFERROR(TRIM(INDEX($A347:$Z347,MATCH(Settings!$L$10,$A$1:$Z$1,0))&amp;""),""),18,2)))),"")),"")</f>
        <v/>
      </c>
      <c r="AL347" s="32">
        <f>IF(AE347="","",IF(ISNUMBER(AK347),AK347,IFERROR(INT(IFERROR(IF(ISNUMBER(INDEX($A347:$Z347,MATCH(Settings!$L$11,$A$1:$Z$1,0))),INDEX($A347:$Z347,MATCH(Settings!$L$11,$A$1:$Z$1,0)),DATE(VALUE(LEFT(IFERROR(TRIM(INDEX($A347:$Z347,MATCH(Settings!$L$11,$A$1:$Z$1,0))&amp;""),""),4)),VALUE(MID(IFERROR(TRIM(INDEX($A347:$Z347,MATCH(Settings!$L$11,$A$1:$Z$1,0))&amp;""),""),6,2)),VALUE(MID(IFERROR(TRIM(INDEX($A347:$Z347,MATCH(Settings!$L$11,$A$1:$Z$1,0))&amp;""),""),9,2)))+TIME(VALUE(MID(IFERROR(TRIM(INDEX($A347:$Z347,MATCH(Settings!$L$11,$A$1:$Z$1,0))&amp;""),""),12,2)),VALUE(MID(IFERROR(TRIM(INDEX($A347:$Z347,MATCH(Settings!$L$11,$A$1:$Z$1,0))&amp;""),""),15,2)),VALUE(MID(IFERROR(TRIM(INDEX($A347:$Z347,MATCH(Settings!$L$11,$A$1:$Z$1,0))&amp;""),""),18,2)))),"")),"")))</f>
        <v/>
      </c>
      <c r="AM347" s="31">
        <f>IF(AE347="","",IF(ISNUMBER(IFERROR(INDEX(Settings!$G$4:$G$11,MATCH(AH347,Settings!$F$4:$F$11,0)),"")),INDEX(Settings!$G$4:$G$11,MATCH(AH347,Settings!$F$4:$F$11,0)),Settings!$D$5))</f>
        <v/>
      </c>
      <c r="AN347" s="32">
        <f>IF(OR(AE347="",NOT(ISNUMBER(AL347)),NOT(ISNUMBER(AM347))),"",IF(AM347&lt;=0,"",IF(ISNUMBER(Settings!$D$8),DATE(YEAR(AL347)+IF(DATE(YEAR(AL347),MONTH(Settings!$D$8),DAY(Settings!$D$8))&gt;AL347,0,1),MONTH(Settings!$D$8),DAY(Settings!$D$8)),MIN(DATE(YEAR(AL347),MONTH(AL347)+AM347,DAY(AL347)),DATE(YEAR(AL347),MONTH(AL347)+AM347+1,0)))))</f>
        <v/>
      </c>
      <c r="AO347" s="31">
        <f>IF(ISNUMBER(AN347),AN347-Settings!$D$4,"")</f>
        <v/>
      </c>
      <c r="AP347" s="31">
        <f>IF(ISNUMBER(AL347),AL347+0+ROW()/100000,"")</f>
        <v/>
      </c>
      <c r="AQ347" s="31">
        <f>IF(OR(AG347="",NOT(ISNUMBER(AP347))),0,IF(SUMPRODUCT(('Responses'!$AG$2:$AG$501=AG347)*('Responses'!$AJ$2:$AJ$501=1)*ISNUMBER('Responses'!$AP$2:$AP$501)*('Responses'!$AP$2:$AP$501&gt;AP347)) + SUMPRODUCT(('Paper sign-ups'!$K$2:$K$101=AG347)*('Paper sign-ups'!$N$2:$N$101=1)*ISNUMBER('Paper sign-ups'!$T$2:$T$101)*('Paper sign-ups'!$T$2:$T$101&gt;AP347))&gt;0,1,0))</f>
        <v/>
      </c>
      <c r="AR347" s="31">
        <f>IF(AE347="","",IF(AQ347=1,"Joined again",IF(AJ347=0,"Unpaid",IF(NOT(ISNUMBER(AL347)),"Add a join date",IF(AN347="","No reminder",IF(AO347&lt;0,"Lapsed",IF(AO347&lt;=Settings!$D$6,"Remind soon","Current")))))))</f>
        <v/>
      </c>
      <c r="AS347" s="33">
        <f>IF(AJ347=1,IFERROR(VALUE(IFERROR(TRIM(INDEX($A347:$Z347,MATCH(Settings!$L$8,$A$1:$Z$1,0))&amp;""),"")),0)-IFERROR(VALUE(IFERROR(TRIM(INDEX($A347:$Z347,MATCH(Settings!$L$9,$A$1:$Z$1,0))&amp;""),"")),0),0)</f>
        <v/>
      </c>
      <c r="AT347" s="31">
        <f>IF(AND(AE347&lt;&gt;"",AQ347=0),1,0)</f>
        <v/>
      </c>
      <c r="AU347" s="31">
        <f>IF(AT347=0,"",IF(ISNUMBER(AN347),AN347,100000)+0+ROW()/1000000)</f>
        <v/>
      </c>
      <c r="AV347" s="31">
        <f>IF(ISNUMBER(AU347),SUMPRODUCT(ISNUMBER('Responses'!$AU$2:$AU$501)*('Responses'!$AU$2:$AU$501&lt;AU347)) + SUMPRODUCT(ISNUMBER('Paper sign-ups'!$Y$2:$Y$101)*('Paper sign-ups'!$Y$2:$Y$101&lt;AU347))+1,"")</f>
        <v/>
      </c>
    </row>
    <row r="348">
      <c r="AA348" s="29" t="n"/>
      <c r="AB348" s="30" t="n"/>
      <c r="AC348" s="30" t="n"/>
      <c r="AD348" s="29" t="n"/>
      <c r="AE348" s="31">
        <f>IFERROR(TRIM(INDEX($A348:$Z348,MATCH(Settings!$L$4,$A$1:$Z$1,0))&amp;""),"")</f>
        <v/>
      </c>
      <c r="AF348" s="31">
        <f>IFERROR(TRIM(INDEX($A348:$Z348,MATCH(Settings!$L$5,$A$1:$Z$1,0))&amp;""),"")</f>
        <v/>
      </c>
      <c r="AG348" s="31">
        <f>IF(AE348="","",LOWER(IF(AF348&lt;&gt;"",AF348,AE348)))</f>
        <v/>
      </c>
      <c r="AH348" s="31">
        <f>IFERROR(TRIM(INDEX($A348:$Z348,MATCH(Settings!$L$6,$A$1:$Z$1,0))&amp;""),"")</f>
        <v/>
      </c>
      <c r="AI348" s="31">
        <f>IF(AE348="","",IF(UPPER(TRIM(AB348&amp;""))="Y","Paid another way",IF(IFERROR(TRIM(INDEX($A348:$Z348,MATCH(Settings!$L$7,$A$1:$Z$1,0))&amp;""),"")="","No payment status",IFERROR(TRIM(INDEX($A348:$Z348,MATCH(Settings!$L$7,$A$1:$Z$1,0))&amp;""),""))))</f>
        <v/>
      </c>
      <c r="AJ348" s="31">
        <f>IF(AE348="",0,IF(IFERROR(INDEX(Settings!$J$4:$J$14,MATCH(AI348,Settings!$I$4:$I$14,0)),"N")="Y",1,0))</f>
        <v/>
      </c>
      <c r="AK348" s="32">
        <f>IFERROR(INT(IFERROR(IF(ISNUMBER(INDEX($A348:$Z348,MATCH(Settings!$L$10,$A$1:$Z$1,0))),INDEX($A348:$Z348,MATCH(Settings!$L$10,$A$1:$Z$1,0)),DATE(VALUE(LEFT(IFERROR(TRIM(INDEX($A348:$Z348,MATCH(Settings!$L$10,$A$1:$Z$1,0))&amp;""),""),4)),VALUE(MID(IFERROR(TRIM(INDEX($A348:$Z348,MATCH(Settings!$L$10,$A$1:$Z$1,0))&amp;""),""),6,2)),VALUE(MID(IFERROR(TRIM(INDEX($A348:$Z348,MATCH(Settings!$L$10,$A$1:$Z$1,0))&amp;""),""),9,2)))+TIME(VALUE(MID(IFERROR(TRIM(INDEX($A348:$Z348,MATCH(Settings!$L$10,$A$1:$Z$1,0))&amp;""),""),12,2)),VALUE(MID(IFERROR(TRIM(INDEX($A348:$Z348,MATCH(Settings!$L$10,$A$1:$Z$1,0))&amp;""),""),15,2)),VALUE(MID(IFERROR(TRIM(INDEX($A348:$Z348,MATCH(Settings!$L$10,$A$1:$Z$1,0))&amp;""),""),18,2)))),"")),"")</f>
        <v/>
      </c>
      <c r="AL348" s="32">
        <f>IF(AE348="","",IF(ISNUMBER(AK348),AK348,IFERROR(INT(IFERROR(IF(ISNUMBER(INDEX($A348:$Z348,MATCH(Settings!$L$11,$A$1:$Z$1,0))),INDEX($A348:$Z348,MATCH(Settings!$L$11,$A$1:$Z$1,0)),DATE(VALUE(LEFT(IFERROR(TRIM(INDEX($A348:$Z348,MATCH(Settings!$L$11,$A$1:$Z$1,0))&amp;""),""),4)),VALUE(MID(IFERROR(TRIM(INDEX($A348:$Z348,MATCH(Settings!$L$11,$A$1:$Z$1,0))&amp;""),""),6,2)),VALUE(MID(IFERROR(TRIM(INDEX($A348:$Z348,MATCH(Settings!$L$11,$A$1:$Z$1,0))&amp;""),""),9,2)))+TIME(VALUE(MID(IFERROR(TRIM(INDEX($A348:$Z348,MATCH(Settings!$L$11,$A$1:$Z$1,0))&amp;""),""),12,2)),VALUE(MID(IFERROR(TRIM(INDEX($A348:$Z348,MATCH(Settings!$L$11,$A$1:$Z$1,0))&amp;""),""),15,2)),VALUE(MID(IFERROR(TRIM(INDEX($A348:$Z348,MATCH(Settings!$L$11,$A$1:$Z$1,0))&amp;""),""),18,2)))),"")),"")))</f>
        <v/>
      </c>
      <c r="AM348" s="31">
        <f>IF(AE348="","",IF(ISNUMBER(IFERROR(INDEX(Settings!$G$4:$G$11,MATCH(AH348,Settings!$F$4:$F$11,0)),"")),INDEX(Settings!$G$4:$G$11,MATCH(AH348,Settings!$F$4:$F$11,0)),Settings!$D$5))</f>
        <v/>
      </c>
      <c r="AN348" s="32">
        <f>IF(OR(AE348="",NOT(ISNUMBER(AL348)),NOT(ISNUMBER(AM348))),"",IF(AM348&lt;=0,"",IF(ISNUMBER(Settings!$D$8),DATE(YEAR(AL348)+IF(DATE(YEAR(AL348),MONTH(Settings!$D$8),DAY(Settings!$D$8))&gt;AL348,0,1),MONTH(Settings!$D$8),DAY(Settings!$D$8)),MIN(DATE(YEAR(AL348),MONTH(AL348)+AM348,DAY(AL348)),DATE(YEAR(AL348),MONTH(AL348)+AM348+1,0)))))</f>
        <v/>
      </c>
      <c r="AO348" s="31">
        <f>IF(ISNUMBER(AN348),AN348-Settings!$D$4,"")</f>
        <v/>
      </c>
      <c r="AP348" s="31">
        <f>IF(ISNUMBER(AL348),AL348+0+ROW()/100000,"")</f>
        <v/>
      </c>
      <c r="AQ348" s="31">
        <f>IF(OR(AG348="",NOT(ISNUMBER(AP348))),0,IF(SUMPRODUCT(('Responses'!$AG$2:$AG$501=AG348)*('Responses'!$AJ$2:$AJ$501=1)*ISNUMBER('Responses'!$AP$2:$AP$501)*('Responses'!$AP$2:$AP$501&gt;AP348)) + SUMPRODUCT(('Paper sign-ups'!$K$2:$K$101=AG348)*('Paper sign-ups'!$N$2:$N$101=1)*ISNUMBER('Paper sign-ups'!$T$2:$T$101)*('Paper sign-ups'!$T$2:$T$101&gt;AP348))&gt;0,1,0))</f>
        <v/>
      </c>
      <c r="AR348" s="31">
        <f>IF(AE348="","",IF(AQ348=1,"Joined again",IF(AJ348=0,"Unpaid",IF(NOT(ISNUMBER(AL348)),"Add a join date",IF(AN348="","No reminder",IF(AO348&lt;0,"Lapsed",IF(AO348&lt;=Settings!$D$6,"Remind soon","Current")))))))</f>
        <v/>
      </c>
      <c r="AS348" s="33">
        <f>IF(AJ348=1,IFERROR(VALUE(IFERROR(TRIM(INDEX($A348:$Z348,MATCH(Settings!$L$8,$A$1:$Z$1,0))&amp;""),"")),0)-IFERROR(VALUE(IFERROR(TRIM(INDEX($A348:$Z348,MATCH(Settings!$L$9,$A$1:$Z$1,0))&amp;""),"")),0),0)</f>
        <v/>
      </c>
      <c r="AT348" s="31">
        <f>IF(AND(AE348&lt;&gt;"",AQ348=0),1,0)</f>
        <v/>
      </c>
      <c r="AU348" s="31">
        <f>IF(AT348=0,"",IF(ISNUMBER(AN348),AN348,100000)+0+ROW()/1000000)</f>
        <v/>
      </c>
      <c r="AV348" s="31">
        <f>IF(ISNUMBER(AU348),SUMPRODUCT(ISNUMBER('Responses'!$AU$2:$AU$501)*('Responses'!$AU$2:$AU$501&lt;AU348)) + SUMPRODUCT(ISNUMBER('Paper sign-ups'!$Y$2:$Y$101)*('Paper sign-ups'!$Y$2:$Y$101&lt;AU348))+1,"")</f>
        <v/>
      </c>
    </row>
    <row r="349">
      <c r="AA349" s="29" t="n"/>
      <c r="AB349" s="30" t="n"/>
      <c r="AC349" s="30" t="n"/>
      <c r="AD349" s="29" t="n"/>
      <c r="AE349" s="31">
        <f>IFERROR(TRIM(INDEX($A349:$Z349,MATCH(Settings!$L$4,$A$1:$Z$1,0))&amp;""),"")</f>
        <v/>
      </c>
      <c r="AF349" s="31">
        <f>IFERROR(TRIM(INDEX($A349:$Z349,MATCH(Settings!$L$5,$A$1:$Z$1,0))&amp;""),"")</f>
        <v/>
      </c>
      <c r="AG349" s="31">
        <f>IF(AE349="","",LOWER(IF(AF349&lt;&gt;"",AF349,AE349)))</f>
        <v/>
      </c>
      <c r="AH349" s="31">
        <f>IFERROR(TRIM(INDEX($A349:$Z349,MATCH(Settings!$L$6,$A$1:$Z$1,0))&amp;""),"")</f>
        <v/>
      </c>
      <c r="AI349" s="31">
        <f>IF(AE349="","",IF(UPPER(TRIM(AB349&amp;""))="Y","Paid another way",IF(IFERROR(TRIM(INDEX($A349:$Z349,MATCH(Settings!$L$7,$A$1:$Z$1,0))&amp;""),"")="","No payment status",IFERROR(TRIM(INDEX($A349:$Z349,MATCH(Settings!$L$7,$A$1:$Z$1,0))&amp;""),""))))</f>
        <v/>
      </c>
      <c r="AJ349" s="31">
        <f>IF(AE349="",0,IF(IFERROR(INDEX(Settings!$J$4:$J$14,MATCH(AI349,Settings!$I$4:$I$14,0)),"N")="Y",1,0))</f>
        <v/>
      </c>
      <c r="AK349" s="32">
        <f>IFERROR(INT(IFERROR(IF(ISNUMBER(INDEX($A349:$Z349,MATCH(Settings!$L$10,$A$1:$Z$1,0))),INDEX($A349:$Z349,MATCH(Settings!$L$10,$A$1:$Z$1,0)),DATE(VALUE(LEFT(IFERROR(TRIM(INDEX($A349:$Z349,MATCH(Settings!$L$10,$A$1:$Z$1,0))&amp;""),""),4)),VALUE(MID(IFERROR(TRIM(INDEX($A349:$Z349,MATCH(Settings!$L$10,$A$1:$Z$1,0))&amp;""),""),6,2)),VALUE(MID(IFERROR(TRIM(INDEX($A349:$Z349,MATCH(Settings!$L$10,$A$1:$Z$1,0))&amp;""),""),9,2)))+TIME(VALUE(MID(IFERROR(TRIM(INDEX($A349:$Z349,MATCH(Settings!$L$10,$A$1:$Z$1,0))&amp;""),""),12,2)),VALUE(MID(IFERROR(TRIM(INDEX($A349:$Z349,MATCH(Settings!$L$10,$A$1:$Z$1,0))&amp;""),""),15,2)),VALUE(MID(IFERROR(TRIM(INDEX($A349:$Z349,MATCH(Settings!$L$10,$A$1:$Z$1,0))&amp;""),""),18,2)))),"")),"")</f>
        <v/>
      </c>
      <c r="AL349" s="32">
        <f>IF(AE349="","",IF(ISNUMBER(AK349),AK349,IFERROR(INT(IFERROR(IF(ISNUMBER(INDEX($A349:$Z349,MATCH(Settings!$L$11,$A$1:$Z$1,0))),INDEX($A349:$Z349,MATCH(Settings!$L$11,$A$1:$Z$1,0)),DATE(VALUE(LEFT(IFERROR(TRIM(INDEX($A349:$Z349,MATCH(Settings!$L$11,$A$1:$Z$1,0))&amp;""),""),4)),VALUE(MID(IFERROR(TRIM(INDEX($A349:$Z349,MATCH(Settings!$L$11,$A$1:$Z$1,0))&amp;""),""),6,2)),VALUE(MID(IFERROR(TRIM(INDEX($A349:$Z349,MATCH(Settings!$L$11,$A$1:$Z$1,0))&amp;""),""),9,2)))+TIME(VALUE(MID(IFERROR(TRIM(INDEX($A349:$Z349,MATCH(Settings!$L$11,$A$1:$Z$1,0))&amp;""),""),12,2)),VALUE(MID(IFERROR(TRIM(INDEX($A349:$Z349,MATCH(Settings!$L$11,$A$1:$Z$1,0))&amp;""),""),15,2)),VALUE(MID(IFERROR(TRIM(INDEX($A349:$Z349,MATCH(Settings!$L$11,$A$1:$Z$1,0))&amp;""),""),18,2)))),"")),"")))</f>
        <v/>
      </c>
      <c r="AM349" s="31">
        <f>IF(AE349="","",IF(ISNUMBER(IFERROR(INDEX(Settings!$G$4:$G$11,MATCH(AH349,Settings!$F$4:$F$11,0)),"")),INDEX(Settings!$G$4:$G$11,MATCH(AH349,Settings!$F$4:$F$11,0)),Settings!$D$5))</f>
        <v/>
      </c>
      <c r="AN349" s="32">
        <f>IF(OR(AE349="",NOT(ISNUMBER(AL349)),NOT(ISNUMBER(AM349))),"",IF(AM349&lt;=0,"",IF(ISNUMBER(Settings!$D$8),DATE(YEAR(AL349)+IF(DATE(YEAR(AL349),MONTH(Settings!$D$8),DAY(Settings!$D$8))&gt;AL349,0,1),MONTH(Settings!$D$8),DAY(Settings!$D$8)),MIN(DATE(YEAR(AL349),MONTH(AL349)+AM349,DAY(AL349)),DATE(YEAR(AL349),MONTH(AL349)+AM349+1,0)))))</f>
        <v/>
      </c>
      <c r="AO349" s="31">
        <f>IF(ISNUMBER(AN349),AN349-Settings!$D$4,"")</f>
        <v/>
      </c>
      <c r="AP349" s="31">
        <f>IF(ISNUMBER(AL349),AL349+0+ROW()/100000,"")</f>
        <v/>
      </c>
      <c r="AQ349" s="31">
        <f>IF(OR(AG349="",NOT(ISNUMBER(AP349))),0,IF(SUMPRODUCT(('Responses'!$AG$2:$AG$501=AG349)*('Responses'!$AJ$2:$AJ$501=1)*ISNUMBER('Responses'!$AP$2:$AP$501)*('Responses'!$AP$2:$AP$501&gt;AP349)) + SUMPRODUCT(('Paper sign-ups'!$K$2:$K$101=AG349)*('Paper sign-ups'!$N$2:$N$101=1)*ISNUMBER('Paper sign-ups'!$T$2:$T$101)*('Paper sign-ups'!$T$2:$T$101&gt;AP349))&gt;0,1,0))</f>
        <v/>
      </c>
      <c r="AR349" s="31">
        <f>IF(AE349="","",IF(AQ349=1,"Joined again",IF(AJ349=0,"Unpaid",IF(NOT(ISNUMBER(AL349)),"Add a join date",IF(AN349="","No reminder",IF(AO349&lt;0,"Lapsed",IF(AO349&lt;=Settings!$D$6,"Remind soon","Current")))))))</f>
        <v/>
      </c>
      <c r="AS349" s="33">
        <f>IF(AJ349=1,IFERROR(VALUE(IFERROR(TRIM(INDEX($A349:$Z349,MATCH(Settings!$L$8,$A$1:$Z$1,0))&amp;""),"")),0)-IFERROR(VALUE(IFERROR(TRIM(INDEX($A349:$Z349,MATCH(Settings!$L$9,$A$1:$Z$1,0))&amp;""),"")),0),0)</f>
        <v/>
      </c>
      <c r="AT349" s="31">
        <f>IF(AND(AE349&lt;&gt;"",AQ349=0),1,0)</f>
        <v/>
      </c>
      <c r="AU349" s="31">
        <f>IF(AT349=0,"",IF(ISNUMBER(AN349),AN349,100000)+0+ROW()/1000000)</f>
        <v/>
      </c>
      <c r="AV349" s="31">
        <f>IF(ISNUMBER(AU349),SUMPRODUCT(ISNUMBER('Responses'!$AU$2:$AU$501)*('Responses'!$AU$2:$AU$501&lt;AU349)) + SUMPRODUCT(ISNUMBER('Paper sign-ups'!$Y$2:$Y$101)*('Paper sign-ups'!$Y$2:$Y$101&lt;AU349))+1,"")</f>
        <v/>
      </c>
    </row>
    <row r="350">
      <c r="AA350" s="29" t="n"/>
      <c r="AB350" s="30" t="n"/>
      <c r="AC350" s="30" t="n"/>
      <c r="AD350" s="29" t="n"/>
      <c r="AE350" s="31">
        <f>IFERROR(TRIM(INDEX($A350:$Z350,MATCH(Settings!$L$4,$A$1:$Z$1,0))&amp;""),"")</f>
        <v/>
      </c>
      <c r="AF350" s="31">
        <f>IFERROR(TRIM(INDEX($A350:$Z350,MATCH(Settings!$L$5,$A$1:$Z$1,0))&amp;""),"")</f>
        <v/>
      </c>
      <c r="AG350" s="31">
        <f>IF(AE350="","",LOWER(IF(AF350&lt;&gt;"",AF350,AE350)))</f>
        <v/>
      </c>
      <c r="AH350" s="31">
        <f>IFERROR(TRIM(INDEX($A350:$Z350,MATCH(Settings!$L$6,$A$1:$Z$1,0))&amp;""),"")</f>
        <v/>
      </c>
      <c r="AI350" s="31">
        <f>IF(AE350="","",IF(UPPER(TRIM(AB350&amp;""))="Y","Paid another way",IF(IFERROR(TRIM(INDEX($A350:$Z350,MATCH(Settings!$L$7,$A$1:$Z$1,0))&amp;""),"")="","No payment status",IFERROR(TRIM(INDEX($A350:$Z350,MATCH(Settings!$L$7,$A$1:$Z$1,0))&amp;""),""))))</f>
        <v/>
      </c>
      <c r="AJ350" s="31">
        <f>IF(AE350="",0,IF(IFERROR(INDEX(Settings!$J$4:$J$14,MATCH(AI350,Settings!$I$4:$I$14,0)),"N")="Y",1,0))</f>
        <v/>
      </c>
      <c r="AK350" s="32">
        <f>IFERROR(INT(IFERROR(IF(ISNUMBER(INDEX($A350:$Z350,MATCH(Settings!$L$10,$A$1:$Z$1,0))),INDEX($A350:$Z350,MATCH(Settings!$L$10,$A$1:$Z$1,0)),DATE(VALUE(LEFT(IFERROR(TRIM(INDEX($A350:$Z350,MATCH(Settings!$L$10,$A$1:$Z$1,0))&amp;""),""),4)),VALUE(MID(IFERROR(TRIM(INDEX($A350:$Z350,MATCH(Settings!$L$10,$A$1:$Z$1,0))&amp;""),""),6,2)),VALUE(MID(IFERROR(TRIM(INDEX($A350:$Z350,MATCH(Settings!$L$10,$A$1:$Z$1,0))&amp;""),""),9,2)))+TIME(VALUE(MID(IFERROR(TRIM(INDEX($A350:$Z350,MATCH(Settings!$L$10,$A$1:$Z$1,0))&amp;""),""),12,2)),VALUE(MID(IFERROR(TRIM(INDEX($A350:$Z350,MATCH(Settings!$L$10,$A$1:$Z$1,0))&amp;""),""),15,2)),VALUE(MID(IFERROR(TRIM(INDEX($A350:$Z350,MATCH(Settings!$L$10,$A$1:$Z$1,0))&amp;""),""),18,2)))),"")),"")</f>
        <v/>
      </c>
      <c r="AL350" s="32">
        <f>IF(AE350="","",IF(ISNUMBER(AK350),AK350,IFERROR(INT(IFERROR(IF(ISNUMBER(INDEX($A350:$Z350,MATCH(Settings!$L$11,$A$1:$Z$1,0))),INDEX($A350:$Z350,MATCH(Settings!$L$11,$A$1:$Z$1,0)),DATE(VALUE(LEFT(IFERROR(TRIM(INDEX($A350:$Z350,MATCH(Settings!$L$11,$A$1:$Z$1,0))&amp;""),""),4)),VALUE(MID(IFERROR(TRIM(INDEX($A350:$Z350,MATCH(Settings!$L$11,$A$1:$Z$1,0))&amp;""),""),6,2)),VALUE(MID(IFERROR(TRIM(INDEX($A350:$Z350,MATCH(Settings!$L$11,$A$1:$Z$1,0))&amp;""),""),9,2)))+TIME(VALUE(MID(IFERROR(TRIM(INDEX($A350:$Z350,MATCH(Settings!$L$11,$A$1:$Z$1,0))&amp;""),""),12,2)),VALUE(MID(IFERROR(TRIM(INDEX($A350:$Z350,MATCH(Settings!$L$11,$A$1:$Z$1,0))&amp;""),""),15,2)),VALUE(MID(IFERROR(TRIM(INDEX($A350:$Z350,MATCH(Settings!$L$11,$A$1:$Z$1,0))&amp;""),""),18,2)))),"")),"")))</f>
        <v/>
      </c>
      <c r="AM350" s="31">
        <f>IF(AE350="","",IF(ISNUMBER(IFERROR(INDEX(Settings!$G$4:$G$11,MATCH(AH350,Settings!$F$4:$F$11,0)),"")),INDEX(Settings!$G$4:$G$11,MATCH(AH350,Settings!$F$4:$F$11,0)),Settings!$D$5))</f>
        <v/>
      </c>
      <c r="AN350" s="32">
        <f>IF(OR(AE350="",NOT(ISNUMBER(AL350)),NOT(ISNUMBER(AM350))),"",IF(AM350&lt;=0,"",IF(ISNUMBER(Settings!$D$8),DATE(YEAR(AL350)+IF(DATE(YEAR(AL350),MONTH(Settings!$D$8),DAY(Settings!$D$8))&gt;AL350,0,1),MONTH(Settings!$D$8),DAY(Settings!$D$8)),MIN(DATE(YEAR(AL350),MONTH(AL350)+AM350,DAY(AL350)),DATE(YEAR(AL350),MONTH(AL350)+AM350+1,0)))))</f>
        <v/>
      </c>
      <c r="AO350" s="31">
        <f>IF(ISNUMBER(AN350),AN350-Settings!$D$4,"")</f>
        <v/>
      </c>
      <c r="AP350" s="31">
        <f>IF(ISNUMBER(AL350),AL350+0+ROW()/100000,"")</f>
        <v/>
      </c>
      <c r="AQ350" s="31">
        <f>IF(OR(AG350="",NOT(ISNUMBER(AP350))),0,IF(SUMPRODUCT(('Responses'!$AG$2:$AG$501=AG350)*('Responses'!$AJ$2:$AJ$501=1)*ISNUMBER('Responses'!$AP$2:$AP$501)*('Responses'!$AP$2:$AP$501&gt;AP350)) + SUMPRODUCT(('Paper sign-ups'!$K$2:$K$101=AG350)*('Paper sign-ups'!$N$2:$N$101=1)*ISNUMBER('Paper sign-ups'!$T$2:$T$101)*('Paper sign-ups'!$T$2:$T$101&gt;AP350))&gt;0,1,0))</f>
        <v/>
      </c>
      <c r="AR350" s="31">
        <f>IF(AE350="","",IF(AQ350=1,"Joined again",IF(AJ350=0,"Unpaid",IF(NOT(ISNUMBER(AL350)),"Add a join date",IF(AN350="","No reminder",IF(AO350&lt;0,"Lapsed",IF(AO350&lt;=Settings!$D$6,"Remind soon","Current")))))))</f>
        <v/>
      </c>
      <c r="AS350" s="33">
        <f>IF(AJ350=1,IFERROR(VALUE(IFERROR(TRIM(INDEX($A350:$Z350,MATCH(Settings!$L$8,$A$1:$Z$1,0))&amp;""),"")),0)-IFERROR(VALUE(IFERROR(TRIM(INDEX($A350:$Z350,MATCH(Settings!$L$9,$A$1:$Z$1,0))&amp;""),"")),0),0)</f>
        <v/>
      </c>
      <c r="AT350" s="31">
        <f>IF(AND(AE350&lt;&gt;"",AQ350=0),1,0)</f>
        <v/>
      </c>
      <c r="AU350" s="31">
        <f>IF(AT350=0,"",IF(ISNUMBER(AN350),AN350,100000)+0+ROW()/1000000)</f>
        <v/>
      </c>
      <c r="AV350" s="31">
        <f>IF(ISNUMBER(AU350),SUMPRODUCT(ISNUMBER('Responses'!$AU$2:$AU$501)*('Responses'!$AU$2:$AU$501&lt;AU350)) + SUMPRODUCT(ISNUMBER('Paper sign-ups'!$Y$2:$Y$101)*('Paper sign-ups'!$Y$2:$Y$101&lt;AU350))+1,"")</f>
        <v/>
      </c>
    </row>
    <row r="351">
      <c r="AA351" s="29" t="n"/>
      <c r="AB351" s="30" t="n"/>
      <c r="AC351" s="30" t="n"/>
      <c r="AD351" s="29" t="n"/>
      <c r="AE351" s="31">
        <f>IFERROR(TRIM(INDEX($A351:$Z351,MATCH(Settings!$L$4,$A$1:$Z$1,0))&amp;""),"")</f>
        <v/>
      </c>
      <c r="AF351" s="31">
        <f>IFERROR(TRIM(INDEX($A351:$Z351,MATCH(Settings!$L$5,$A$1:$Z$1,0))&amp;""),"")</f>
        <v/>
      </c>
      <c r="AG351" s="31">
        <f>IF(AE351="","",LOWER(IF(AF351&lt;&gt;"",AF351,AE351)))</f>
        <v/>
      </c>
      <c r="AH351" s="31">
        <f>IFERROR(TRIM(INDEX($A351:$Z351,MATCH(Settings!$L$6,$A$1:$Z$1,0))&amp;""),"")</f>
        <v/>
      </c>
      <c r="AI351" s="31">
        <f>IF(AE351="","",IF(UPPER(TRIM(AB351&amp;""))="Y","Paid another way",IF(IFERROR(TRIM(INDEX($A351:$Z351,MATCH(Settings!$L$7,$A$1:$Z$1,0))&amp;""),"")="","No payment status",IFERROR(TRIM(INDEX($A351:$Z351,MATCH(Settings!$L$7,$A$1:$Z$1,0))&amp;""),""))))</f>
        <v/>
      </c>
      <c r="AJ351" s="31">
        <f>IF(AE351="",0,IF(IFERROR(INDEX(Settings!$J$4:$J$14,MATCH(AI351,Settings!$I$4:$I$14,0)),"N")="Y",1,0))</f>
        <v/>
      </c>
      <c r="AK351" s="32">
        <f>IFERROR(INT(IFERROR(IF(ISNUMBER(INDEX($A351:$Z351,MATCH(Settings!$L$10,$A$1:$Z$1,0))),INDEX($A351:$Z351,MATCH(Settings!$L$10,$A$1:$Z$1,0)),DATE(VALUE(LEFT(IFERROR(TRIM(INDEX($A351:$Z351,MATCH(Settings!$L$10,$A$1:$Z$1,0))&amp;""),""),4)),VALUE(MID(IFERROR(TRIM(INDEX($A351:$Z351,MATCH(Settings!$L$10,$A$1:$Z$1,0))&amp;""),""),6,2)),VALUE(MID(IFERROR(TRIM(INDEX($A351:$Z351,MATCH(Settings!$L$10,$A$1:$Z$1,0))&amp;""),""),9,2)))+TIME(VALUE(MID(IFERROR(TRIM(INDEX($A351:$Z351,MATCH(Settings!$L$10,$A$1:$Z$1,0))&amp;""),""),12,2)),VALUE(MID(IFERROR(TRIM(INDEX($A351:$Z351,MATCH(Settings!$L$10,$A$1:$Z$1,0))&amp;""),""),15,2)),VALUE(MID(IFERROR(TRIM(INDEX($A351:$Z351,MATCH(Settings!$L$10,$A$1:$Z$1,0))&amp;""),""),18,2)))),"")),"")</f>
        <v/>
      </c>
      <c r="AL351" s="32">
        <f>IF(AE351="","",IF(ISNUMBER(AK351),AK351,IFERROR(INT(IFERROR(IF(ISNUMBER(INDEX($A351:$Z351,MATCH(Settings!$L$11,$A$1:$Z$1,0))),INDEX($A351:$Z351,MATCH(Settings!$L$11,$A$1:$Z$1,0)),DATE(VALUE(LEFT(IFERROR(TRIM(INDEX($A351:$Z351,MATCH(Settings!$L$11,$A$1:$Z$1,0))&amp;""),""),4)),VALUE(MID(IFERROR(TRIM(INDEX($A351:$Z351,MATCH(Settings!$L$11,$A$1:$Z$1,0))&amp;""),""),6,2)),VALUE(MID(IFERROR(TRIM(INDEX($A351:$Z351,MATCH(Settings!$L$11,$A$1:$Z$1,0))&amp;""),""),9,2)))+TIME(VALUE(MID(IFERROR(TRIM(INDEX($A351:$Z351,MATCH(Settings!$L$11,$A$1:$Z$1,0))&amp;""),""),12,2)),VALUE(MID(IFERROR(TRIM(INDEX($A351:$Z351,MATCH(Settings!$L$11,$A$1:$Z$1,0))&amp;""),""),15,2)),VALUE(MID(IFERROR(TRIM(INDEX($A351:$Z351,MATCH(Settings!$L$11,$A$1:$Z$1,0))&amp;""),""),18,2)))),"")),"")))</f>
        <v/>
      </c>
      <c r="AM351" s="31">
        <f>IF(AE351="","",IF(ISNUMBER(IFERROR(INDEX(Settings!$G$4:$G$11,MATCH(AH351,Settings!$F$4:$F$11,0)),"")),INDEX(Settings!$G$4:$G$11,MATCH(AH351,Settings!$F$4:$F$11,0)),Settings!$D$5))</f>
        <v/>
      </c>
      <c r="AN351" s="32">
        <f>IF(OR(AE351="",NOT(ISNUMBER(AL351)),NOT(ISNUMBER(AM351))),"",IF(AM351&lt;=0,"",IF(ISNUMBER(Settings!$D$8),DATE(YEAR(AL351)+IF(DATE(YEAR(AL351),MONTH(Settings!$D$8),DAY(Settings!$D$8))&gt;AL351,0,1),MONTH(Settings!$D$8),DAY(Settings!$D$8)),MIN(DATE(YEAR(AL351),MONTH(AL351)+AM351,DAY(AL351)),DATE(YEAR(AL351),MONTH(AL351)+AM351+1,0)))))</f>
        <v/>
      </c>
      <c r="AO351" s="31">
        <f>IF(ISNUMBER(AN351),AN351-Settings!$D$4,"")</f>
        <v/>
      </c>
      <c r="AP351" s="31">
        <f>IF(ISNUMBER(AL351),AL351+0+ROW()/100000,"")</f>
        <v/>
      </c>
      <c r="AQ351" s="31">
        <f>IF(OR(AG351="",NOT(ISNUMBER(AP351))),0,IF(SUMPRODUCT(('Responses'!$AG$2:$AG$501=AG351)*('Responses'!$AJ$2:$AJ$501=1)*ISNUMBER('Responses'!$AP$2:$AP$501)*('Responses'!$AP$2:$AP$501&gt;AP351)) + SUMPRODUCT(('Paper sign-ups'!$K$2:$K$101=AG351)*('Paper sign-ups'!$N$2:$N$101=1)*ISNUMBER('Paper sign-ups'!$T$2:$T$101)*('Paper sign-ups'!$T$2:$T$101&gt;AP351))&gt;0,1,0))</f>
        <v/>
      </c>
      <c r="AR351" s="31">
        <f>IF(AE351="","",IF(AQ351=1,"Joined again",IF(AJ351=0,"Unpaid",IF(NOT(ISNUMBER(AL351)),"Add a join date",IF(AN351="","No reminder",IF(AO351&lt;0,"Lapsed",IF(AO351&lt;=Settings!$D$6,"Remind soon","Current")))))))</f>
        <v/>
      </c>
      <c r="AS351" s="33">
        <f>IF(AJ351=1,IFERROR(VALUE(IFERROR(TRIM(INDEX($A351:$Z351,MATCH(Settings!$L$8,$A$1:$Z$1,0))&amp;""),"")),0)-IFERROR(VALUE(IFERROR(TRIM(INDEX($A351:$Z351,MATCH(Settings!$L$9,$A$1:$Z$1,0))&amp;""),"")),0),0)</f>
        <v/>
      </c>
      <c r="AT351" s="31">
        <f>IF(AND(AE351&lt;&gt;"",AQ351=0),1,0)</f>
        <v/>
      </c>
      <c r="AU351" s="31">
        <f>IF(AT351=0,"",IF(ISNUMBER(AN351),AN351,100000)+0+ROW()/1000000)</f>
        <v/>
      </c>
      <c r="AV351" s="31">
        <f>IF(ISNUMBER(AU351),SUMPRODUCT(ISNUMBER('Responses'!$AU$2:$AU$501)*('Responses'!$AU$2:$AU$501&lt;AU351)) + SUMPRODUCT(ISNUMBER('Paper sign-ups'!$Y$2:$Y$101)*('Paper sign-ups'!$Y$2:$Y$101&lt;AU351))+1,"")</f>
        <v/>
      </c>
    </row>
    <row r="352">
      <c r="AA352" s="29" t="n"/>
      <c r="AB352" s="30" t="n"/>
      <c r="AC352" s="30" t="n"/>
      <c r="AD352" s="29" t="n"/>
      <c r="AE352" s="31">
        <f>IFERROR(TRIM(INDEX($A352:$Z352,MATCH(Settings!$L$4,$A$1:$Z$1,0))&amp;""),"")</f>
        <v/>
      </c>
      <c r="AF352" s="31">
        <f>IFERROR(TRIM(INDEX($A352:$Z352,MATCH(Settings!$L$5,$A$1:$Z$1,0))&amp;""),"")</f>
        <v/>
      </c>
      <c r="AG352" s="31">
        <f>IF(AE352="","",LOWER(IF(AF352&lt;&gt;"",AF352,AE352)))</f>
        <v/>
      </c>
      <c r="AH352" s="31">
        <f>IFERROR(TRIM(INDEX($A352:$Z352,MATCH(Settings!$L$6,$A$1:$Z$1,0))&amp;""),"")</f>
        <v/>
      </c>
      <c r="AI352" s="31">
        <f>IF(AE352="","",IF(UPPER(TRIM(AB352&amp;""))="Y","Paid another way",IF(IFERROR(TRIM(INDEX($A352:$Z352,MATCH(Settings!$L$7,$A$1:$Z$1,0))&amp;""),"")="","No payment status",IFERROR(TRIM(INDEX($A352:$Z352,MATCH(Settings!$L$7,$A$1:$Z$1,0))&amp;""),""))))</f>
        <v/>
      </c>
      <c r="AJ352" s="31">
        <f>IF(AE352="",0,IF(IFERROR(INDEX(Settings!$J$4:$J$14,MATCH(AI352,Settings!$I$4:$I$14,0)),"N")="Y",1,0))</f>
        <v/>
      </c>
      <c r="AK352" s="32">
        <f>IFERROR(INT(IFERROR(IF(ISNUMBER(INDEX($A352:$Z352,MATCH(Settings!$L$10,$A$1:$Z$1,0))),INDEX($A352:$Z352,MATCH(Settings!$L$10,$A$1:$Z$1,0)),DATE(VALUE(LEFT(IFERROR(TRIM(INDEX($A352:$Z352,MATCH(Settings!$L$10,$A$1:$Z$1,0))&amp;""),""),4)),VALUE(MID(IFERROR(TRIM(INDEX($A352:$Z352,MATCH(Settings!$L$10,$A$1:$Z$1,0))&amp;""),""),6,2)),VALUE(MID(IFERROR(TRIM(INDEX($A352:$Z352,MATCH(Settings!$L$10,$A$1:$Z$1,0))&amp;""),""),9,2)))+TIME(VALUE(MID(IFERROR(TRIM(INDEX($A352:$Z352,MATCH(Settings!$L$10,$A$1:$Z$1,0))&amp;""),""),12,2)),VALUE(MID(IFERROR(TRIM(INDEX($A352:$Z352,MATCH(Settings!$L$10,$A$1:$Z$1,0))&amp;""),""),15,2)),VALUE(MID(IFERROR(TRIM(INDEX($A352:$Z352,MATCH(Settings!$L$10,$A$1:$Z$1,0))&amp;""),""),18,2)))),"")),"")</f>
        <v/>
      </c>
      <c r="AL352" s="32">
        <f>IF(AE352="","",IF(ISNUMBER(AK352),AK352,IFERROR(INT(IFERROR(IF(ISNUMBER(INDEX($A352:$Z352,MATCH(Settings!$L$11,$A$1:$Z$1,0))),INDEX($A352:$Z352,MATCH(Settings!$L$11,$A$1:$Z$1,0)),DATE(VALUE(LEFT(IFERROR(TRIM(INDEX($A352:$Z352,MATCH(Settings!$L$11,$A$1:$Z$1,0))&amp;""),""),4)),VALUE(MID(IFERROR(TRIM(INDEX($A352:$Z352,MATCH(Settings!$L$11,$A$1:$Z$1,0))&amp;""),""),6,2)),VALUE(MID(IFERROR(TRIM(INDEX($A352:$Z352,MATCH(Settings!$L$11,$A$1:$Z$1,0))&amp;""),""),9,2)))+TIME(VALUE(MID(IFERROR(TRIM(INDEX($A352:$Z352,MATCH(Settings!$L$11,$A$1:$Z$1,0))&amp;""),""),12,2)),VALUE(MID(IFERROR(TRIM(INDEX($A352:$Z352,MATCH(Settings!$L$11,$A$1:$Z$1,0))&amp;""),""),15,2)),VALUE(MID(IFERROR(TRIM(INDEX($A352:$Z352,MATCH(Settings!$L$11,$A$1:$Z$1,0))&amp;""),""),18,2)))),"")),"")))</f>
        <v/>
      </c>
      <c r="AM352" s="31">
        <f>IF(AE352="","",IF(ISNUMBER(IFERROR(INDEX(Settings!$G$4:$G$11,MATCH(AH352,Settings!$F$4:$F$11,0)),"")),INDEX(Settings!$G$4:$G$11,MATCH(AH352,Settings!$F$4:$F$11,0)),Settings!$D$5))</f>
        <v/>
      </c>
      <c r="AN352" s="32">
        <f>IF(OR(AE352="",NOT(ISNUMBER(AL352)),NOT(ISNUMBER(AM352))),"",IF(AM352&lt;=0,"",IF(ISNUMBER(Settings!$D$8),DATE(YEAR(AL352)+IF(DATE(YEAR(AL352),MONTH(Settings!$D$8),DAY(Settings!$D$8))&gt;AL352,0,1),MONTH(Settings!$D$8),DAY(Settings!$D$8)),MIN(DATE(YEAR(AL352),MONTH(AL352)+AM352,DAY(AL352)),DATE(YEAR(AL352),MONTH(AL352)+AM352+1,0)))))</f>
        <v/>
      </c>
      <c r="AO352" s="31">
        <f>IF(ISNUMBER(AN352),AN352-Settings!$D$4,"")</f>
        <v/>
      </c>
      <c r="AP352" s="31">
        <f>IF(ISNUMBER(AL352),AL352+0+ROW()/100000,"")</f>
        <v/>
      </c>
      <c r="AQ352" s="31">
        <f>IF(OR(AG352="",NOT(ISNUMBER(AP352))),0,IF(SUMPRODUCT(('Responses'!$AG$2:$AG$501=AG352)*('Responses'!$AJ$2:$AJ$501=1)*ISNUMBER('Responses'!$AP$2:$AP$501)*('Responses'!$AP$2:$AP$501&gt;AP352)) + SUMPRODUCT(('Paper sign-ups'!$K$2:$K$101=AG352)*('Paper sign-ups'!$N$2:$N$101=1)*ISNUMBER('Paper sign-ups'!$T$2:$T$101)*('Paper sign-ups'!$T$2:$T$101&gt;AP352))&gt;0,1,0))</f>
        <v/>
      </c>
      <c r="AR352" s="31">
        <f>IF(AE352="","",IF(AQ352=1,"Joined again",IF(AJ352=0,"Unpaid",IF(NOT(ISNUMBER(AL352)),"Add a join date",IF(AN352="","No reminder",IF(AO352&lt;0,"Lapsed",IF(AO352&lt;=Settings!$D$6,"Remind soon","Current")))))))</f>
        <v/>
      </c>
      <c r="AS352" s="33">
        <f>IF(AJ352=1,IFERROR(VALUE(IFERROR(TRIM(INDEX($A352:$Z352,MATCH(Settings!$L$8,$A$1:$Z$1,0))&amp;""),"")),0)-IFERROR(VALUE(IFERROR(TRIM(INDEX($A352:$Z352,MATCH(Settings!$L$9,$A$1:$Z$1,0))&amp;""),"")),0),0)</f>
        <v/>
      </c>
      <c r="AT352" s="31">
        <f>IF(AND(AE352&lt;&gt;"",AQ352=0),1,0)</f>
        <v/>
      </c>
      <c r="AU352" s="31">
        <f>IF(AT352=0,"",IF(ISNUMBER(AN352),AN352,100000)+0+ROW()/1000000)</f>
        <v/>
      </c>
      <c r="AV352" s="31">
        <f>IF(ISNUMBER(AU352),SUMPRODUCT(ISNUMBER('Responses'!$AU$2:$AU$501)*('Responses'!$AU$2:$AU$501&lt;AU352)) + SUMPRODUCT(ISNUMBER('Paper sign-ups'!$Y$2:$Y$101)*('Paper sign-ups'!$Y$2:$Y$101&lt;AU352))+1,"")</f>
        <v/>
      </c>
    </row>
    <row r="353">
      <c r="AA353" s="29" t="n"/>
      <c r="AB353" s="30" t="n"/>
      <c r="AC353" s="30" t="n"/>
      <c r="AD353" s="29" t="n"/>
      <c r="AE353" s="31">
        <f>IFERROR(TRIM(INDEX($A353:$Z353,MATCH(Settings!$L$4,$A$1:$Z$1,0))&amp;""),"")</f>
        <v/>
      </c>
      <c r="AF353" s="31">
        <f>IFERROR(TRIM(INDEX($A353:$Z353,MATCH(Settings!$L$5,$A$1:$Z$1,0))&amp;""),"")</f>
        <v/>
      </c>
      <c r="AG353" s="31">
        <f>IF(AE353="","",LOWER(IF(AF353&lt;&gt;"",AF353,AE353)))</f>
        <v/>
      </c>
      <c r="AH353" s="31">
        <f>IFERROR(TRIM(INDEX($A353:$Z353,MATCH(Settings!$L$6,$A$1:$Z$1,0))&amp;""),"")</f>
        <v/>
      </c>
      <c r="AI353" s="31">
        <f>IF(AE353="","",IF(UPPER(TRIM(AB353&amp;""))="Y","Paid another way",IF(IFERROR(TRIM(INDEX($A353:$Z353,MATCH(Settings!$L$7,$A$1:$Z$1,0))&amp;""),"")="","No payment status",IFERROR(TRIM(INDEX($A353:$Z353,MATCH(Settings!$L$7,$A$1:$Z$1,0))&amp;""),""))))</f>
        <v/>
      </c>
      <c r="AJ353" s="31">
        <f>IF(AE353="",0,IF(IFERROR(INDEX(Settings!$J$4:$J$14,MATCH(AI353,Settings!$I$4:$I$14,0)),"N")="Y",1,0))</f>
        <v/>
      </c>
      <c r="AK353" s="32">
        <f>IFERROR(INT(IFERROR(IF(ISNUMBER(INDEX($A353:$Z353,MATCH(Settings!$L$10,$A$1:$Z$1,0))),INDEX($A353:$Z353,MATCH(Settings!$L$10,$A$1:$Z$1,0)),DATE(VALUE(LEFT(IFERROR(TRIM(INDEX($A353:$Z353,MATCH(Settings!$L$10,$A$1:$Z$1,0))&amp;""),""),4)),VALUE(MID(IFERROR(TRIM(INDEX($A353:$Z353,MATCH(Settings!$L$10,$A$1:$Z$1,0))&amp;""),""),6,2)),VALUE(MID(IFERROR(TRIM(INDEX($A353:$Z353,MATCH(Settings!$L$10,$A$1:$Z$1,0))&amp;""),""),9,2)))+TIME(VALUE(MID(IFERROR(TRIM(INDEX($A353:$Z353,MATCH(Settings!$L$10,$A$1:$Z$1,0))&amp;""),""),12,2)),VALUE(MID(IFERROR(TRIM(INDEX($A353:$Z353,MATCH(Settings!$L$10,$A$1:$Z$1,0))&amp;""),""),15,2)),VALUE(MID(IFERROR(TRIM(INDEX($A353:$Z353,MATCH(Settings!$L$10,$A$1:$Z$1,0))&amp;""),""),18,2)))),"")),"")</f>
        <v/>
      </c>
      <c r="AL353" s="32">
        <f>IF(AE353="","",IF(ISNUMBER(AK353),AK353,IFERROR(INT(IFERROR(IF(ISNUMBER(INDEX($A353:$Z353,MATCH(Settings!$L$11,$A$1:$Z$1,0))),INDEX($A353:$Z353,MATCH(Settings!$L$11,$A$1:$Z$1,0)),DATE(VALUE(LEFT(IFERROR(TRIM(INDEX($A353:$Z353,MATCH(Settings!$L$11,$A$1:$Z$1,0))&amp;""),""),4)),VALUE(MID(IFERROR(TRIM(INDEX($A353:$Z353,MATCH(Settings!$L$11,$A$1:$Z$1,0))&amp;""),""),6,2)),VALUE(MID(IFERROR(TRIM(INDEX($A353:$Z353,MATCH(Settings!$L$11,$A$1:$Z$1,0))&amp;""),""),9,2)))+TIME(VALUE(MID(IFERROR(TRIM(INDEX($A353:$Z353,MATCH(Settings!$L$11,$A$1:$Z$1,0))&amp;""),""),12,2)),VALUE(MID(IFERROR(TRIM(INDEX($A353:$Z353,MATCH(Settings!$L$11,$A$1:$Z$1,0))&amp;""),""),15,2)),VALUE(MID(IFERROR(TRIM(INDEX($A353:$Z353,MATCH(Settings!$L$11,$A$1:$Z$1,0))&amp;""),""),18,2)))),"")),"")))</f>
        <v/>
      </c>
      <c r="AM353" s="31">
        <f>IF(AE353="","",IF(ISNUMBER(IFERROR(INDEX(Settings!$G$4:$G$11,MATCH(AH353,Settings!$F$4:$F$11,0)),"")),INDEX(Settings!$G$4:$G$11,MATCH(AH353,Settings!$F$4:$F$11,0)),Settings!$D$5))</f>
        <v/>
      </c>
      <c r="AN353" s="32">
        <f>IF(OR(AE353="",NOT(ISNUMBER(AL353)),NOT(ISNUMBER(AM353))),"",IF(AM353&lt;=0,"",IF(ISNUMBER(Settings!$D$8),DATE(YEAR(AL353)+IF(DATE(YEAR(AL353),MONTH(Settings!$D$8),DAY(Settings!$D$8))&gt;AL353,0,1),MONTH(Settings!$D$8),DAY(Settings!$D$8)),MIN(DATE(YEAR(AL353),MONTH(AL353)+AM353,DAY(AL353)),DATE(YEAR(AL353),MONTH(AL353)+AM353+1,0)))))</f>
        <v/>
      </c>
      <c r="AO353" s="31">
        <f>IF(ISNUMBER(AN353),AN353-Settings!$D$4,"")</f>
        <v/>
      </c>
      <c r="AP353" s="31">
        <f>IF(ISNUMBER(AL353),AL353+0+ROW()/100000,"")</f>
        <v/>
      </c>
      <c r="AQ353" s="31">
        <f>IF(OR(AG353="",NOT(ISNUMBER(AP353))),0,IF(SUMPRODUCT(('Responses'!$AG$2:$AG$501=AG353)*('Responses'!$AJ$2:$AJ$501=1)*ISNUMBER('Responses'!$AP$2:$AP$501)*('Responses'!$AP$2:$AP$501&gt;AP353)) + SUMPRODUCT(('Paper sign-ups'!$K$2:$K$101=AG353)*('Paper sign-ups'!$N$2:$N$101=1)*ISNUMBER('Paper sign-ups'!$T$2:$T$101)*('Paper sign-ups'!$T$2:$T$101&gt;AP353))&gt;0,1,0))</f>
        <v/>
      </c>
      <c r="AR353" s="31">
        <f>IF(AE353="","",IF(AQ353=1,"Joined again",IF(AJ353=0,"Unpaid",IF(NOT(ISNUMBER(AL353)),"Add a join date",IF(AN353="","No reminder",IF(AO353&lt;0,"Lapsed",IF(AO353&lt;=Settings!$D$6,"Remind soon","Current")))))))</f>
        <v/>
      </c>
      <c r="AS353" s="33">
        <f>IF(AJ353=1,IFERROR(VALUE(IFERROR(TRIM(INDEX($A353:$Z353,MATCH(Settings!$L$8,$A$1:$Z$1,0))&amp;""),"")),0)-IFERROR(VALUE(IFERROR(TRIM(INDEX($A353:$Z353,MATCH(Settings!$L$9,$A$1:$Z$1,0))&amp;""),"")),0),0)</f>
        <v/>
      </c>
      <c r="AT353" s="31">
        <f>IF(AND(AE353&lt;&gt;"",AQ353=0),1,0)</f>
        <v/>
      </c>
      <c r="AU353" s="31">
        <f>IF(AT353=0,"",IF(ISNUMBER(AN353),AN353,100000)+0+ROW()/1000000)</f>
        <v/>
      </c>
      <c r="AV353" s="31">
        <f>IF(ISNUMBER(AU353),SUMPRODUCT(ISNUMBER('Responses'!$AU$2:$AU$501)*('Responses'!$AU$2:$AU$501&lt;AU353)) + SUMPRODUCT(ISNUMBER('Paper sign-ups'!$Y$2:$Y$101)*('Paper sign-ups'!$Y$2:$Y$101&lt;AU353))+1,"")</f>
        <v/>
      </c>
    </row>
    <row r="354">
      <c r="AA354" s="29" t="n"/>
      <c r="AB354" s="30" t="n"/>
      <c r="AC354" s="30" t="n"/>
      <c r="AD354" s="29" t="n"/>
      <c r="AE354" s="31">
        <f>IFERROR(TRIM(INDEX($A354:$Z354,MATCH(Settings!$L$4,$A$1:$Z$1,0))&amp;""),"")</f>
        <v/>
      </c>
      <c r="AF354" s="31">
        <f>IFERROR(TRIM(INDEX($A354:$Z354,MATCH(Settings!$L$5,$A$1:$Z$1,0))&amp;""),"")</f>
        <v/>
      </c>
      <c r="AG354" s="31">
        <f>IF(AE354="","",LOWER(IF(AF354&lt;&gt;"",AF354,AE354)))</f>
        <v/>
      </c>
      <c r="AH354" s="31">
        <f>IFERROR(TRIM(INDEX($A354:$Z354,MATCH(Settings!$L$6,$A$1:$Z$1,0))&amp;""),"")</f>
        <v/>
      </c>
      <c r="AI354" s="31">
        <f>IF(AE354="","",IF(UPPER(TRIM(AB354&amp;""))="Y","Paid another way",IF(IFERROR(TRIM(INDEX($A354:$Z354,MATCH(Settings!$L$7,$A$1:$Z$1,0))&amp;""),"")="","No payment status",IFERROR(TRIM(INDEX($A354:$Z354,MATCH(Settings!$L$7,$A$1:$Z$1,0))&amp;""),""))))</f>
        <v/>
      </c>
      <c r="AJ354" s="31">
        <f>IF(AE354="",0,IF(IFERROR(INDEX(Settings!$J$4:$J$14,MATCH(AI354,Settings!$I$4:$I$14,0)),"N")="Y",1,0))</f>
        <v/>
      </c>
      <c r="AK354" s="32">
        <f>IFERROR(INT(IFERROR(IF(ISNUMBER(INDEX($A354:$Z354,MATCH(Settings!$L$10,$A$1:$Z$1,0))),INDEX($A354:$Z354,MATCH(Settings!$L$10,$A$1:$Z$1,0)),DATE(VALUE(LEFT(IFERROR(TRIM(INDEX($A354:$Z354,MATCH(Settings!$L$10,$A$1:$Z$1,0))&amp;""),""),4)),VALUE(MID(IFERROR(TRIM(INDEX($A354:$Z354,MATCH(Settings!$L$10,$A$1:$Z$1,0))&amp;""),""),6,2)),VALUE(MID(IFERROR(TRIM(INDEX($A354:$Z354,MATCH(Settings!$L$10,$A$1:$Z$1,0))&amp;""),""),9,2)))+TIME(VALUE(MID(IFERROR(TRIM(INDEX($A354:$Z354,MATCH(Settings!$L$10,$A$1:$Z$1,0))&amp;""),""),12,2)),VALUE(MID(IFERROR(TRIM(INDEX($A354:$Z354,MATCH(Settings!$L$10,$A$1:$Z$1,0))&amp;""),""),15,2)),VALUE(MID(IFERROR(TRIM(INDEX($A354:$Z354,MATCH(Settings!$L$10,$A$1:$Z$1,0))&amp;""),""),18,2)))),"")),"")</f>
        <v/>
      </c>
      <c r="AL354" s="32">
        <f>IF(AE354="","",IF(ISNUMBER(AK354),AK354,IFERROR(INT(IFERROR(IF(ISNUMBER(INDEX($A354:$Z354,MATCH(Settings!$L$11,$A$1:$Z$1,0))),INDEX($A354:$Z354,MATCH(Settings!$L$11,$A$1:$Z$1,0)),DATE(VALUE(LEFT(IFERROR(TRIM(INDEX($A354:$Z354,MATCH(Settings!$L$11,$A$1:$Z$1,0))&amp;""),""),4)),VALUE(MID(IFERROR(TRIM(INDEX($A354:$Z354,MATCH(Settings!$L$11,$A$1:$Z$1,0))&amp;""),""),6,2)),VALUE(MID(IFERROR(TRIM(INDEX($A354:$Z354,MATCH(Settings!$L$11,$A$1:$Z$1,0))&amp;""),""),9,2)))+TIME(VALUE(MID(IFERROR(TRIM(INDEX($A354:$Z354,MATCH(Settings!$L$11,$A$1:$Z$1,0))&amp;""),""),12,2)),VALUE(MID(IFERROR(TRIM(INDEX($A354:$Z354,MATCH(Settings!$L$11,$A$1:$Z$1,0))&amp;""),""),15,2)),VALUE(MID(IFERROR(TRIM(INDEX($A354:$Z354,MATCH(Settings!$L$11,$A$1:$Z$1,0))&amp;""),""),18,2)))),"")),"")))</f>
        <v/>
      </c>
      <c r="AM354" s="31">
        <f>IF(AE354="","",IF(ISNUMBER(IFERROR(INDEX(Settings!$G$4:$G$11,MATCH(AH354,Settings!$F$4:$F$11,0)),"")),INDEX(Settings!$G$4:$G$11,MATCH(AH354,Settings!$F$4:$F$11,0)),Settings!$D$5))</f>
        <v/>
      </c>
      <c r="AN354" s="32">
        <f>IF(OR(AE354="",NOT(ISNUMBER(AL354)),NOT(ISNUMBER(AM354))),"",IF(AM354&lt;=0,"",IF(ISNUMBER(Settings!$D$8),DATE(YEAR(AL354)+IF(DATE(YEAR(AL354),MONTH(Settings!$D$8),DAY(Settings!$D$8))&gt;AL354,0,1),MONTH(Settings!$D$8),DAY(Settings!$D$8)),MIN(DATE(YEAR(AL354),MONTH(AL354)+AM354,DAY(AL354)),DATE(YEAR(AL354),MONTH(AL354)+AM354+1,0)))))</f>
        <v/>
      </c>
      <c r="AO354" s="31">
        <f>IF(ISNUMBER(AN354),AN354-Settings!$D$4,"")</f>
        <v/>
      </c>
      <c r="AP354" s="31">
        <f>IF(ISNUMBER(AL354),AL354+0+ROW()/100000,"")</f>
        <v/>
      </c>
      <c r="AQ354" s="31">
        <f>IF(OR(AG354="",NOT(ISNUMBER(AP354))),0,IF(SUMPRODUCT(('Responses'!$AG$2:$AG$501=AG354)*('Responses'!$AJ$2:$AJ$501=1)*ISNUMBER('Responses'!$AP$2:$AP$501)*('Responses'!$AP$2:$AP$501&gt;AP354)) + SUMPRODUCT(('Paper sign-ups'!$K$2:$K$101=AG354)*('Paper sign-ups'!$N$2:$N$101=1)*ISNUMBER('Paper sign-ups'!$T$2:$T$101)*('Paper sign-ups'!$T$2:$T$101&gt;AP354))&gt;0,1,0))</f>
        <v/>
      </c>
      <c r="AR354" s="31">
        <f>IF(AE354="","",IF(AQ354=1,"Joined again",IF(AJ354=0,"Unpaid",IF(NOT(ISNUMBER(AL354)),"Add a join date",IF(AN354="","No reminder",IF(AO354&lt;0,"Lapsed",IF(AO354&lt;=Settings!$D$6,"Remind soon","Current")))))))</f>
        <v/>
      </c>
      <c r="AS354" s="33">
        <f>IF(AJ354=1,IFERROR(VALUE(IFERROR(TRIM(INDEX($A354:$Z354,MATCH(Settings!$L$8,$A$1:$Z$1,0))&amp;""),"")),0)-IFERROR(VALUE(IFERROR(TRIM(INDEX($A354:$Z354,MATCH(Settings!$L$9,$A$1:$Z$1,0))&amp;""),"")),0),0)</f>
        <v/>
      </c>
      <c r="AT354" s="31">
        <f>IF(AND(AE354&lt;&gt;"",AQ354=0),1,0)</f>
        <v/>
      </c>
      <c r="AU354" s="31">
        <f>IF(AT354=0,"",IF(ISNUMBER(AN354),AN354,100000)+0+ROW()/1000000)</f>
        <v/>
      </c>
      <c r="AV354" s="31">
        <f>IF(ISNUMBER(AU354),SUMPRODUCT(ISNUMBER('Responses'!$AU$2:$AU$501)*('Responses'!$AU$2:$AU$501&lt;AU354)) + SUMPRODUCT(ISNUMBER('Paper sign-ups'!$Y$2:$Y$101)*('Paper sign-ups'!$Y$2:$Y$101&lt;AU354))+1,"")</f>
        <v/>
      </c>
    </row>
    <row r="355">
      <c r="AA355" s="29" t="n"/>
      <c r="AB355" s="30" t="n"/>
      <c r="AC355" s="30" t="n"/>
      <c r="AD355" s="29" t="n"/>
      <c r="AE355" s="31">
        <f>IFERROR(TRIM(INDEX($A355:$Z355,MATCH(Settings!$L$4,$A$1:$Z$1,0))&amp;""),"")</f>
        <v/>
      </c>
      <c r="AF355" s="31">
        <f>IFERROR(TRIM(INDEX($A355:$Z355,MATCH(Settings!$L$5,$A$1:$Z$1,0))&amp;""),"")</f>
        <v/>
      </c>
      <c r="AG355" s="31">
        <f>IF(AE355="","",LOWER(IF(AF355&lt;&gt;"",AF355,AE355)))</f>
        <v/>
      </c>
      <c r="AH355" s="31">
        <f>IFERROR(TRIM(INDEX($A355:$Z355,MATCH(Settings!$L$6,$A$1:$Z$1,0))&amp;""),"")</f>
        <v/>
      </c>
      <c r="AI355" s="31">
        <f>IF(AE355="","",IF(UPPER(TRIM(AB355&amp;""))="Y","Paid another way",IF(IFERROR(TRIM(INDEX($A355:$Z355,MATCH(Settings!$L$7,$A$1:$Z$1,0))&amp;""),"")="","No payment status",IFERROR(TRIM(INDEX($A355:$Z355,MATCH(Settings!$L$7,$A$1:$Z$1,0))&amp;""),""))))</f>
        <v/>
      </c>
      <c r="AJ355" s="31">
        <f>IF(AE355="",0,IF(IFERROR(INDEX(Settings!$J$4:$J$14,MATCH(AI355,Settings!$I$4:$I$14,0)),"N")="Y",1,0))</f>
        <v/>
      </c>
      <c r="AK355" s="32">
        <f>IFERROR(INT(IFERROR(IF(ISNUMBER(INDEX($A355:$Z355,MATCH(Settings!$L$10,$A$1:$Z$1,0))),INDEX($A355:$Z355,MATCH(Settings!$L$10,$A$1:$Z$1,0)),DATE(VALUE(LEFT(IFERROR(TRIM(INDEX($A355:$Z355,MATCH(Settings!$L$10,$A$1:$Z$1,0))&amp;""),""),4)),VALUE(MID(IFERROR(TRIM(INDEX($A355:$Z355,MATCH(Settings!$L$10,$A$1:$Z$1,0))&amp;""),""),6,2)),VALUE(MID(IFERROR(TRIM(INDEX($A355:$Z355,MATCH(Settings!$L$10,$A$1:$Z$1,0))&amp;""),""),9,2)))+TIME(VALUE(MID(IFERROR(TRIM(INDEX($A355:$Z355,MATCH(Settings!$L$10,$A$1:$Z$1,0))&amp;""),""),12,2)),VALUE(MID(IFERROR(TRIM(INDEX($A355:$Z355,MATCH(Settings!$L$10,$A$1:$Z$1,0))&amp;""),""),15,2)),VALUE(MID(IFERROR(TRIM(INDEX($A355:$Z355,MATCH(Settings!$L$10,$A$1:$Z$1,0))&amp;""),""),18,2)))),"")),"")</f>
        <v/>
      </c>
      <c r="AL355" s="32">
        <f>IF(AE355="","",IF(ISNUMBER(AK355),AK355,IFERROR(INT(IFERROR(IF(ISNUMBER(INDEX($A355:$Z355,MATCH(Settings!$L$11,$A$1:$Z$1,0))),INDEX($A355:$Z355,MATCH(Settings!$L$11,$A$1:$Z$1,0)),DATE(VALUE(LEFT(IFERROR(TRIM(INDEX($A355:$Z355,MATCH(Settings!$L$11,$A$1:$Z$1,0))&amp;""),""),4)),VALUE(MID(IFERROR(TRIM(INDEX($A355:$Z355,MATCH(Settings!$L$11,$A$1:$Z$1,0))&amp;""),""),6,2)),VALUE(MID(IFERROR(TRIM(INDEX($A355:$Z355,MATCH(Settings!$L$11,$A$1:$Z$1,0))&amp;""),""),9,2)))+TIME(VALUE(MID(IFERROR(TRIM(INDEX($A355:$Z355,MATCH(Settings!$L$11,$A$1:$Z$1,0))&amp;""),""),12,2)),VALUE(MID(IFERROR(TRIM(INDEX($A355:$Z355,MATCH(Settings!$L$11,$A$1:$Z$1,0))&amp;""),""),15,2)),VALUE(MID(IFERROR(TRIM(INDEX($A355:$Z355,MATCH(Settings!$L$11,$A$1:$Z$1,0))&amp;""),""),18,2)))),"")),"")))</f>
        <v/>
      </c>
      <c r="AM355" s="31">
        <f>IF(AE355="","",IF(ISNUMBER(IFERROR(INDEX(Settings!$G$4:$G$11,MATCH(AH355,Settings!$F$4:$F$11,0)),"")),INDEX(Settings!$G$4:$G$11,MATCH(AH355,Settings!$F$4:$F$11,0)),Settings!$D$5))</f>
        <v/>
      </c>
      <c r="AN355" s="32">
        <f>IF(OR(AE355="",NOT(ISNUMBER(AL355)),NOT(ISNUMBER(AM355))),"",IF(AM355&lt;=0,"",IF(ISNUMBER(Settings!$D$8),DATE(YEAR(AL355)+IF(DATE(YEAR(AL355),MONTH(Settings!$D$8),DAY(Settings!$D$8))&gt;AL355,0,1),MONTH(Settings!$D$8),DAY(Settings!$D$8)),MIN(DATE(YEAR(AL355),MONTH(AL355)+AM355,DAY(AL355)),DATE(YEAR(AL355),MONTH(AL355)+AM355+1,0)))))</f>
        <v/>
      </c>
      <c r="AO355" s="31">
        <f>IF(ISNUMBER(AN355),AN355-Settings!$D$4,"")</f>
        <v/>
      </c>
      <c r="AP355" s="31">
        <f>IF(ISNUMBER(AL355),AL355+0+ROW()/100000,"")</f>
        <v/>
      </c>
      <c r="AQ355" s="31">
        <f>IF(OR(AG355="",NOT(ISNUMBER(AP355))),0,IF(SUMPRODUCT(('Responses'!$AG$2:$AG$501=AG355)*('Responses'!$AJ$2:$AJ$501=1)*ISNUMBER('Responses'!$AP$2:$AP$501)*('Responses'!$AP$2:$AP$501&gt;AP355)) + SUMPRODUCT(('Paper sign-ups'!$K$2:$K$101=AG355)*('Paper sign-ups'!$N$2:$N$101=1)*ISNUMBER('Paper sign-ups'!$T$2:$T$101)*('Paper sign-ups'!$T$2:$T$101&gt;AP355))&gt;0,1,0))</f>
        <v/>
      </c>
      <c r="AR355" s="31">
        <f>IF(AE355="","",IF(AQ355=1,"Joined again",IF(AJ355=0,"Unpaid",IF(NOT(ISNUMBER(AL355)),"Add a join date",IF(AN355="","No reminder",IF(AO355&lt;0,"Lapsed",IF(AO355&lt;=Settings!$D$6,"Remind soon","Current")))))))</f>
        <v/>
      </c>
      <c r="AS355" s="33">
        <f>IF(AJ355=1,IFERROR(VALUE(IFERROR(TRIM(INDEX($A355:$Z355,MATCH(Settings!$L$8,$A$1:$Z$1,0))&amp;""),"")),0)-IFERROR(VALUE(IFERROR(TRIM(INDEX($A355:$Z355,MATCH(Settings!$L$9,$A$1:$Z$1,0))&amp;""),"")),0),0)</f>
        <v/>
      </c>
      <c r="AT355" s="31">
        <f>IF(AND(AE355&lt;&gt;"",AQ355=0),1,0)</f>
        <v/>
      </c>
      <c r="AU355" s="31">
        <f>IF(AT355=0,"",IF(ISNUMBER(AN355),AN355,100000)+0+ROW()/1000000)</f>
        <v/>
      </c>
      <c r="AV355" s="31">
        <f>IF(ISNUMBER(AU355),SUMPRODUCT(ISNUMBER('Responses'!$AU$2:$AU$501)*('Responses'!$AU$2:$AU$501&lt;AU355)) + SUMPRODUCT(ISNUMBER('Paper sign-ups'!$Y$2:$Y$101)*('Paper sign-ups'!$Y$2:$Y$101&lt;AU355))+1,"")</f>
        <v/>
      </c>
    </row>
    <row r="356">
      <c r="AA356" s="29" t="n"/>
      <c r="AB356" s="30" t="n"/>
      <c r="AC356" s="30" t="n"/>
      <c r="AD356" s="29" t="n"/>
      <c r="AE356" s="31">
        <f>IFERROR(TRIM(INDEX($A356:$Z356,MATCH(Settings!$L$4,$A$1:$Z$1,0))&amp;""),"")</f>
        <v/>
      </c>
      <c r="AF356" s="31">
        <f>IFERROR(TRIM(INDEX($A356:$Z356,MATCH(Settings!$L$5,$A$1:$Z$1,0))&amp;""),"")</f>
        <v/>
      </c>
      <c r="AG356" s="31">
        <f>IF(AE356="","",LOWER(IF(AF356&lt;&gt;"",AF356,AE356)))</f>
        <v/>
      </c>
      <c r="AH356" s="31">
        <f>IFERROR(TRIM(INDEX($A356:$Z356,MATCH(Settings!$L$6,$A$1:$Z$1,0))&amp;""),"")</f>
        <v/>
      </c>
      <c r="AI356" s="31">
        <f>IF(AE356="","",IF(UPPER(TRIM(AB356&amp;""))="Y","Paid another way",IF(IFERROR(TRIM(INDEX($A356:$Z356,MATCH(Settings!$L$7,$A$1:$Z$1,0))&amp;""),"")="","No payment status",IFERROR(TRIM(INDEX($A356:$Z356,MATCH(Settings!$L$7,$A$1:$Z$1,0))&amp;""),""))))</f>
        <v/>
      </c>
      <c r="AJ356" s="31">
        <f>IF(AE356="",0,IF(IFERROR(INDEX(Settings!$J$4:$J$14,MATCH(AI356,Settings!$I$4:$I$14,0)),"N")="Y",1,0))</f>
        <v/>
      </c>
      <c r="AK356" s="32">
        <f>IFERROR(INT(IFERROR(IF(ISNUMBER(INDEX($A356:$Z356,MATCH(Settings!$L$10,$A$1:$Z$1,0))),INDEX($A356:$Z356,MATCH(Settings!$L$10,$A$1:$Z$1,0)),DATE(VALUE(LEFT(IFERROR(TRIM(INDEX($A356:$Z356,MATCH(Settings!$L$10,$A$1:$Z$1,0))&amp;""),""),4)),VALUE(MID(IFERROR(TRIM(INDEX($A356:$Z356,MATCH(Settings!$L$10,$A$1:$Z$1,0))&amp;""),""),6,2)),VALUE(MID(IFERROR(TRIM(INDEX($A356:$Z356,MATCH(Settings!$L$10,$A$1:$Z$1,0))&amp;""),""),9,2)))+TIME(VALUE(MID(IFERROR(TRIM(INDEX($A356:$Z356,MATCH(Settings!$L$10,$A$1:$Z$1,0))&amp;""),""),12,2)),VALUE(MID(IFERROR(TRIM(INDEX($A356:$Z356,MATCH(Settings!$L$10,$A$1:$Z$1,0))&amp;""),""),15,2)),VALUE(MID(IFERROR(TRIM(INDEX($A356:$Z356,MATCH(Settings!$L$10,$A$1:$Z$1,0))&amp;""),""),18,2)))),"")),"")</f>
        <v/>
      </c>
      <c r="AL356" s="32">
        <f>IF(AE356="","",IF(ISNUMBER(AK356),AK356,IFERROR(INT(IFERROR(IF(ISNUMBER(INDEX($A356:$Z356,MATCH(Settings!$L$11,$A$1:$Z$1,0))),INDEX($A356:$Z356,MATCH(Settings!$L$11,$A$1:$Z$1,0)),DATE(VALUE(LEFT(IFERROR(TRIM(INDEX($A356:$Z356,MATCH(Settings!$L$11,$A$1:$Z$1,0))&amp;""),""),4)),VALUE(MID(IFERROR(TRIM(INDEX($A356:$Z356,MATCH(Settings!$L$11,$A$1:$Z$1,0))&amp;""),""),6,2)),VALUE(MID(IFERROR(TRIM(INDEX($A356:$Z356,MATCH(Settings!$L$11,$A$1:$Z$1,0))&amp;""),""),9,2)))+TIME(VALUE(MID(IFERROR(TRIM(INDEX($A356:$Z356,MATCH(Settings!$L$11,$A$1:$Z$1,0))&amp;""),""),12,2)),VALUE(MID(IFERROR(TRIM(INDEX($A356:$Z356,MATCH(Settings!$L$11,$A$1:$Z$1,0))&amp;""),""),15,2)),VALUE(MID(IFERROR(TRIM(INDEX($A356:$Z356,MATCH(Settings!$L$11,$A$1:$Z$1,0))&amp;""),""),18,2)))),"")),"")))</f>
        <v/>
      </c>
      <c r="AM356" s="31">
        <f>IF(AE356="","",IF(ISNUMBER(IFERROR(INDEX(Settings!$G$4:$G$11,MATCH(AH356,Settings!$F$4:$F$11,0)),"")),INDEX(Settings!$G$4:$G$11,MATCH(AH356,Settings!$F$4:$F$11,0)),Settings!$D$5))</f>
        <v/>
      </c>
      <c r="AN356" s="32">
        <f>IF(OR(AE356="",NOT(ISNUMBER(AL356)),NOT(ISNUMBER(AM356))),"",IF(AM356&lt;=0,"",IF(ISNUMBER(Settings!$D$8),DATE(YEAR(AL356)+IF(DATE(YEAR(AL356),MONTH(Settings!$D$8),DAY(Settings!$D$8))&gt;AL356,0,1),MONTH(Settings!$D$8),DAY(Settings!$D$8)),MIN(DATE(YEAR(AL356),MONTH(AL356)+AM356,DAY(AL356)),DATE(YEAR(AL356),MONTH(AL356)+AM356+1,0)))))</f>
        <v/>
      </c>
      <c r="AO356" s="31">
        <f>IF(ISNUMBER(AN356),AN356-Settings!$D$4,"")</f>
        <v/>
      </c>
      <c r="AP356" s="31">
        <f>IF(ISNUMBER(AL356),AL356+0+ROW()/100000,"")</f>
        <v/>
      </c>
      <c r="AQ356" s="31">
        <f>IF(OR(AG356="",NOT(ISNUMBER(AP356))),0,IF(SUMPRODUCT(('Responses'!$AG$2:$AG$501=AG356)*('Responses'!$AJ$2:$AJ$501=1)*ISNUMBER('Responses'!$AP$2:$AP$501)*('Responses'!$AP$2:$AP$501&gt;AP356)) + SUMPRODUCT(('Paper sign-ups'!$K$2:$K$101=AG356)*('Paper sign-ups'!$N$2:$N$101=1)*ISNUMBER('Paper sign-ups'!$T$2:$T$101)*('Paper sign-ups'!$T$2:$T$101&gt;AP356))&gt;0,1,0))</f>
        <v/>
      </c>
      <c r="AR356" s="31">
        <f>IF(AE356="","",IF(AQ356=1,"Joined again",IF(AJ356=0,"Unpaid",IF(NOT(ISNUMBER(AL356)),"Add a join date",IF(AN356="","No reminder",IF(AO356&lt;0,"Lapsed",IF(AO356&lt;=Settings!$D$6,"Remind soon","Current")))))))</f>
        <v/>
      </c>
      <c r="AS356" s="33">
        <f>IF(AJ356=1,IFERROR(VALUE(IFERROR(TRIM(INDEX($A356:$Z356,MATCH(Settings!$L$8,$A$1:$Z$1,0))&amp;""),"")),0)-IFERROR(VALUE(IFERROR(TRIM(INDEX($A356:$Z356,MATCH(Settings!$L$9,$A$1:$Z$1,0))&amp;""),"")),0),0)</f>
        <v/>
      </c>
      <c r="AT356" s="31">
        <f>IF(AND(AE356&lt;&gt;"",AQ356=0),1,0)</f>
        <v/>
      </c>
      <c r="AU356" s="31">
        <f>IF(AT356=0,"",IF(ISNUMBER(AN356),AN356,100000)+0+ROW()/1000000)</f>
        <v/>
      </c>
      <c r="AV356" s="31">
        <f>IF(ISNUMBER(AU356),SUMPRODUCT(ISNUMBER('Responses'!$AU$2:$AU$501)*('Responses'!$AU$2:$AU$501&lt;AU356)) + SUMPRODUCT(ISNUMBER('Paper sign-ups'!$Y$2:$Y$101)*('Paper sign-ups'!$Y$2:$Y$101&lt;AU356))+1,"")</f>
        <v/>
      </c>
    </row>
    <row r="357">
      <c r="AA357" s="29" t="n"/>
      <c r="AB357" s="30" t="n"/>
      <c r="AC357" s="30" t="n"/>
      <c r="AD357" s="29" t="n"/>
      <c r="AE357" s="31">
        <f>IFERROR(TRIM(INDEX($A357:$Z357,MATCH(Settings!$L$4,$A$1:$Z$1,0))&amp;""),"")</f>
        <v/>
      </c>
      <c r="AF357" s="31">
        <f>IFERROR(TRIM(INDEX($A357:$Z357,MATCH(Settings!$L$5,$A$1:$Z$1,0))&amp;""),"")</f>
        <v/>
      </c>
      <c r="AG357" s="31">
        <f>IF(AE357="","",LOWER(IF(AF357&lt;&gt;"",AF357,AE357)))</f>
        <v/>
      </c>
      <c r="AH357" s="31">
        <f>IFERROR(TRIM(INDEX($A357:$Z357,MATCH(Settings!$L$6,$A$1:$Z$1,0))&amp;""),"")</f>
        <v/>
      </c>
      <c r="AI357" s="31">
        <f>IF(AE357="","",IF(UPPER(TRIM(AB357&amp;""))="Y","Paid another way",IF(IFERROR(TRIM(INDEX($A357:$Z357,MATCH(Settings!$L$7,$A$1:$Z$1,0))&amp;""),"")="","No payment status",IFERROR(TRIM(INDEX($A357:$Z357,MATCH(Settings!$L$7,$A$1:$Z$1,0))&amp;""),""))))</f>
        <v/>
      </c>
      <c r="AJ357" s="31">
        <f>IF(AE357="",0,IF(IFERROR(INDEX(Settings!$J$4:$J$14,MATCH(AI357,Settings!$I$4:$I$14,0)),"N")="Y",1,0))</f>
        <v/>
      </c>
      <c r="AK357" s="32">
        <f>IFERROR(INT(IFERROR(IF(ISNUMBER(INDEX($A357:$Z357,MATCH(Settings!$L$10,$A$1:$Z$1,0))),INDEX($A357:$Z357,MATCH(Settings!$L$10,$A$1:$Z$1,0)),DATE(VALUE(LEFT(IFERROR(TRIM(INDEX($A357:$Z357,MATCH(Settings!$L$10,$A$1:$Z$1,0))&amp;""),""),4)),VALUE(MID(IFERROR(TRIM(INDEX($A357:$Z357,MATCH(Settings!$L$10,$A$1:$Z$1,0))&amp;""),""),6,2)),VALUE(MID(IFERROR(TRIM(INDEX($A357:$Z357,MATCH(Settings!$L$10,$A$1:$Z$1,0))&amp;""),""),9,2)))+TIME(VALUE(MID(IFERROR(TRIM(INDEX($A357:$Z357,MATCH(Settings!$L$10,$A$1:$Z$1,0))&amp;""),""),12,2)),VALUE(MID(IFERROR(TRIM(INDEX($A357:$Z357,MATCH(Settings!$L$10,$A$1:$Z$1,0))&amp;""),""),15,2)),VALUE(MID(IFERROR(TRIM(INDEX($A357:$Z357,MATCH(Settings!$L$10,$A$1:$Z$1,0))&amp;""),""),18,2)))),"")),"")</f>
        <v/>
      </c>
      <c r="AL357" s="32">
        <f>IF(AE357="","",IF(ISNUMBER(AK357),AK357,IFERROR(INT(IFERROR(IF(ISNUMBER(INDEX($A357:$Z357,MATCH(Settings!$L$11,$A$1:$Z$1,0))),INDEX($A357:$Z357,MATCH(Settings!$L$11,$A$1:$Z$1,0)),DATE(VALUE(LEFT(IFERROR(TRIM(INDEX($A357:$Z357,MATCH(Settings!$L$11,$A$1:$Z$1,0))&amp;""),""),4)),VALUE(MID(IFERROR(TRIM(INDEX($A357:$Z357,MATCH(Settings!$L$11,$A$1:$Z$1,0))&amp;""),""),6,2)),VALUE(MID(IFERROR(TRIM(INDEX($A357:$Z357,MATCH(Settings!$L$11,$A$1:$Z$1,0))&amp;""),""),9,2)))+TIME(VALUE(MID(IFERROR(TRIM(INDEX($A357:$Z357,MATCH(Settings!$L$11,$A$1:$Z$1,0))&amp;""),""),12,2)),VALUE(MID(IFERROR(TRIM(INDEX($A357:$Z357,MATCH(Settings!$L$11,$A$1:$Z$1,0))&amp;""),""),15,2)),VALUE(MID(IFERROR(TRIM(INDEX($A357:$Z357,MATCH(Settings!$L$11,$A$1:$Z$1,0))&amp;""),""),18,2)))),"")),"")))</f>
        <v/>
      </c>
      <c r="AM357" s="31">
        <f>IF(AE357="","",IF(ISNUMBER(IFERROR(INDEX(Settings!$G$4:$G$11,MATCH(AH357,Settings!$F$4:$F$11,0)),"")),INDEX(Settings!$G$4:$G$11,MATCH(AH357,Settings!$F$4:$F$11,0)),Settings!$D$5))</f>
        <v/>
      </c>
      <c r="AN357" s="32">
        <f>IF(OR(AE357="",NOT(ISNUMBER(AL357)),NOT(ISNUMBER(AM357))),"",IF(AM357&lt;=0,"",IF(ISNUMBER(Settings!$D$8),DATE(YEAR(AL357)+IF(DATE(YEAR(AL357),MONTH(Settings!$D$8),DAY(Settings!$D$8))&gt;AL357,0,1),MONTH(Settings!$D$8),DAY(Settings!$D$8)),MIN(DATE(YEAR(AL357),MONTH(AL357)+AM357,DAY(AL357)),DATE(YEAR(AL357),MONTH(AL357)+AM357+1,0)))))</f>
        <v/>
      </c>
      <c r="AO357" s="31">
        <f>IF(ISNUMBER(AN357),AN357-Settings!$D$4,"")</f>
        <v/>
      </c>
      <c r="AP357" s="31">
        <f>IF(ISNUMBER(AL357),AL357+0+ROW()/100000,"")</f>
        <v/>
      </c>
      <c r="AQ357" s="31">
        <f>IF(OR(AG357="",NOT(ISNUMBER(AP357))),0,IF(SUMPRODUCT(('Responses'!$AG$2:$AG$501=AG357)*('Responses'!$AJ$2:$AJ$501=1)*ISNUMBER('Responses'!$AP$2:$AP$501)*('Responses'!$AP$2:$AP$501&gt;AP357)) + SUMPRODUCT(('Paper sign-ups'!$K$2:$K$101=AG357)*('Paper sign-ups'!$N$2:$N$101=1)*ISNUMBER('Paper sign-ups'!$T$2:$T$101)*('Paper sign-ups'!$T$2:$T$101&gt;AP357))&gt;0,1,0))</f>
        <v/>
      </c>
      <c r="AR357" s="31">
        <f>IF(AE357="","",IF(AQ357=1,"Joined again",IF(AJ357=0,"Unpaid",IF(NOT(ISNUMBER(AL357)),"Add a join date",IF(AN357="","No reminder",IF(AO357&lt;0,"Lapsed",IF(AO357&lt;=Settings!$D$6,"Remind soon","Current")))))))</f>
        <v/>
      </c>
      <c r="AS357" s="33">
        <f>IF(AJ357=1,IFERROR(VALUE(IFERROR(TRIM(INDEX($A357:$Z357,MATCH(Settings!$L$8,$A$1:$Z$1,0))&amp;""),"")),0)-IFERROR(VALUE(IFERROR(TRIM(INDEX($A357:$Z357,MATCH(Settings!$L$9,$A$1:$Z$1,0))&amp;""),"")),0),0)</f>
        <v/>
      </c>
      <c r="AT357" s="31">
        <f>IF(AND(AE357&lt;&gt;"",AQ357=0),1,0)</f>
        <v/>
      </c>
      <c r="AU357" s="31">
        <f>IF(AT357=0,"",IF(ISNUMBER(AN357),AN357,100000)+0+ROW()/1000000)</f>
        <v/>
      </c>
      <c r="AV357" s="31">
        <f>IF(ISNUMBER(AU357),SUMPRODUCT(ISNUMBER('Responses'!$AU$2:$AU$501)*('Responses'!$AU$2:$AU$501&lt;AU357)) + SUMPRODUCT(ISNUMBER('Paper sign-ups'!$Y$2:$Y$101)*('Paper sign-ups'!$Y$2:$Y$101&lt;AU357))+1,"")</f>
        <v/>
      </c>
    </row>
    <row r="358">
      <c r="AA358" s="29" t="n"/>
      <c r="AB358" s="30" t="n"/>
      <c r="AC358" s="30" t="n"/>
      <c r="AD358" s="29" t="n"/>
      <c r="AE358" s="31">
        <f>IFERROR(TRIM(INDEX($A358:$Z358,MATCH(Settings!$L$4,$A$1:$Z$1,0))&amp;""),"")</f>
        <v/>
      </c>
      <c r="AF358" s="31">
        <f>IFERROR(TRIM(INDEX($A358:$Z358,MATCH(Settings!$L$5,$A$1:$Z$1,0))&amp;""),"")</f>
        <v/>
      </c>
      <c r="AG358" s="31">
        <f>IF(AE358="","",LOWER(IF(AF358&lt;&gt;"",AF358,AE358)))</f>
        <v/>
      </c>
      <c r="AH358" s="31">
        <f>IFERROR(TRIM(INDEX($A358:$Z358,MATCH(Settings!$L$6,$A$1:$Z$1,0))&amp;""),"")</f>
        <v/>
      </c>
      <c r="AI358" s="31">
        <f>IF(AE358="","",IF(UPPER(TRIM(AB358&amp;""))="Y","Paid another way",IF(IFERROR(TRIM(INDEX($A358:$Z358,MATCH(Settings!$L$7,$A$1:$Z$1,0))&amp;""),"")="","No payment status",IFERROR(TRIM(INDEX($A358:$Z358,MATCH(Settings!$L$7,$A$1:$Z$1,0))&amp;""),""))))</f>
        <v/>
      </c>
      <c r="AJ358" s="31">
        <f>IF(AE358="",0,IF(IFERROR(INDEX(Settings!$J$4:$J$14,MATCH(AI358,Settings!$I$4:$I$14,0)),"N")="Y",1,0))</f>
        <v/>
      </c>
      <c r="AK358" s="32">
        <f>IFERROR(INT(IFERROR(IF(ISNUMBER(INDEX($A358:$Z358,MATCH(Settings!$L$10,$A$1:$Z$1,0))),INDEX($A358:$Z358,MATCH(Settings!$L$10,$A$1:$Z$1,0)),DATE(VALUE(LEFT(IFERROR(TRIM(INDEX($A358:$Z358,MATCH(Settings!$L$10,$A$1:$Z$1,0))&amp;""),""),4)),VALUE(MID(IFERROR(TRIM(INDEX($A358:$Z358,MATCH(Settings!$L$10,$A$1:$Z$1,0))&amp;""),""),6,2)),VALUE(MID(IFERROR(TRIM(INDEX($A358:$Z358,MATCH(Settings!$L$10,$A$1:$Z$1,0))&amp;""),""),9,2)))+TIME(VALUE(MID(IFERROR(TRIM(INDEX($A358:$Z358,MATCH(Settings!$L$10,$A$1:$Z$1,0))&amp;""),""),12,2)),VALUE(MID(IFERROR(TRIM(INDEX($A358:$Z358,MATCH(Settings!$L$10,$A$1:$Z$1,0))&amp;""),""),15,2)),VALUE(MID(IFERROR(TRIM(INDEX($A358:$Z358,MATCH(Settings!$L$10,$A$1:$Z$1,0))&amp;""),""),18,2)))),"")),"")</f>
        <v/>
      </c>
      <c r="AL358" s="32">
        <f>IF(AE358="","",IF(ISNUMBER(AK358),AK358,IFERROR(INT(IFERROR(IF(ISNUMBER(INDEX($A358:$Z358,MATCH(Settings!$L$11,$A$1:$Z$1,0))),INDEX($A358:$Z358,MATCH(Settings!$L$11,$A$1:$Z$1,0)),DATE(VALUE(LEFT(IFERROR(TRIM(INDEX($A358:$Z358,MATCH(Settings!$L$11,$A$1:$Z$1,0))&amp;""),""),4)),VALUE(MID(IFERROR(TRIM(INDEX($A358:$Z358,MATCH(Settings!$L$11,$A$1:$Z$1,0))&amp;""),""),6,2)),VALUE(MID(IFERROR(TRIM(INDEX($A358:$Z358,MATCH(Settings!$L$11,$A$1:$Z$1,0))&amp;""),""),9,2)))+TIME(VALUE(MID(IFERROR(TRIM(INDEX($A358:$Z358,MATCH(Settings!$L$11,$A$1:$Z$1,0))&amp;""),""),12,2)),VALUE(MID(IFERROR(TRIM(INDEX($A358:$Z358,MATCH(Settings!$L$11,$A$1:$Z$1,0))&amp;""),""),15,2)),VALUE(MID(IFERROR(TRIM(INDEX($A358:$Z358,MATCH(Settings!$L$11,$A$1:$Z$1,0))&amp;""),""),18,2)))),"")),"")))</f>
        <v/>
      </c>
      <c r="AM358" s="31">
        <f>IF(AE358="","",IF(ISNUMBER(IFERROR(INDEX(Settings!$G$4:$G$11,MATCH(AH358,Settings!$F$4:$F$11,0)),"")),INDEX(Settings!$G$4:$G$11,MATCH(AH358,Settings!$F$4:$F$11,0)),Settings!$D$5))</f>
        <v/>
      </c>
      <c r="AN358" s="32">
        <f>IF(OR(AE358="",NOT(ISNUMBER(AL358)),NOT(ISNUMBER(AM358))),"",IF(AM358&lt;=0,"",IF(ISNUMBER(Settings!$D$8),DATE(YEAR(AL358)+IF(DATE(YEAR(AL358),MONTH(Settings!$D$8),DAY(Settings!$D$8))&gt;AL358,0,1),MONTH(Settings!$D$8),DAY(Settings!$D$8)),MIN(DATE(YEAR(AL358),MONTH(AL358)+AM358,DAY(AL358)),DATE(YEAR(AL358),MONTH(AL358)+AM358+1,0)))))</f>
        <v/>
      </c>
      <c r="AO358" s="31">
        <f>IF(ISNUMBER(AN358),AN358-Settings!$D$4,"")</f>
        <v/>
      </c>
      <c r="AP358" s="31">
        <f>IF(ISNUMBER(AL358),AL358+0+ROW()/100000,"")</f>
        <v/>
      </c>
      <c r="AQ358" s="31">
        <f>IF(OR(AG358="",NOT(ISNUMBER(AP358))),0,IF(SUMPRODUCT(('Responses'!$AG$2:$AG$501=AG358)*('Responses'!$AJ$2:$AJ$501=1)*ISNUMBER('Responses'!$AP$2:$AP$501)*('Responses'!$AP$2:$AP$501&gt;AP358)) + SUMPRODUCT(('Paper sign-ups'!$K$2:$K$101=AG358)*('Paper sign-ups'!$N$2:$N$101=1)*ISNUMBER('Paper sign-ups'!$T$2:$T$101)*('Paper sign-ups'!$T$2:$T$101&gt;AP358))&gt;0,1,0))</f>
        <v/>
      </c>
      <c r="AR358" s="31">
        <f>IF(AE358="","",IF(AQ358=1,"Joined again",IF(AJ358=0,"Unpaid",IF(NOT(ISNUMBER(AL358)),"Add a join date",IF(AN358="","No reminder",IF(AO358&lt;0,"Lapsed",IF(AO358&lt;=Settings!$D$6,"Remind soon","Current")))))))</f>
        <v/>
      </c>
      <c r="AS358" s="33">
        <f>IF(AJ358=1,IFERROR(VALUE(IFERROR(TRIM(INDEX($A358:$Z358,MATCH(Settings!$L$8,$A$1:$Z$1,0))&amp;""),"")),0)-IFERROR(VALUE(IFERROR(TRIM(INDEX($A358:$Z358,MATCH(Settings!$L$9,$A$1:$Z$1,0))&amp;""),"")),0),0)</f>
        <v/>
      </c>
      <c r="AT358" s="31">
        <f>IF(AND(AE358&lt;&gt;"",AQ358=0),1,0)</f>
        <v/>
      </c>
      <c r="AU358" s="31">
        <f>IF(AT358=0,"",IF(ISNUMBER(AN358),AN358,100000)+0+ROW()/1000000)</f>
        <v/>
      </c>
      <c r="AV358" s="31">
        <f>IF(ISNUMBER(AU358),SUMPRODUCT(ISNUMBER('Responses'!$AU$2:$AU$501)*('Responses'!$AU$2:$AU$501&lt;AU358)) + SUMPRODUCT(ISNUMBER('Paper sign-ups'!$Y$2:$Y$101)*('Paper sign-ups'!$Y$2:$Y$101&lt;AU358))+1,"")</f>
        <v/>
      </c>
    </row>
    <row r="359">
      <c r="AA359" s="29" t="n"/>
      <c r="AB359" s="30" t="n"/>
      <c r="AC359" s="30" t="n"/>
      <c r="AD359" s="29" t="n"/>
      <c r="AE359" s="31">
        <f>IFERROR(TRIM(INDEX($A359:$Z359,MATCH(Settings!$L$4,$A$1:$Z$1,0))&amp;""),"")</f>
        <v/>
      </c>
      <c r="AF359" s="31">
        <f>IFERROR(TRIM(INDEX($A359:$Z359,MATCH(Settings!$L$5,$A$1:$Z$1,0))&amp;""),"")</f>
        <v/>
      </c>
      <c r="AG359" s="31">
        <f>IF(AE359="","",LOWER(IF(AF359&lt;&gt;"",AF359,AE359)))</f>
        <v/>
      </c>
      <c r="AH359" s="31">
        <f>IFERROR(TRIM(INDEX($A359:$Z359,MATCH(Settings!$L$6,$A$1:$Z$1,0))&amp;""),"")</f>
        <v/>
      </c>
      <c r="AI359" s="31">
        <f>IF(AE359="","",IF(UPPER(TRIM(AB359&amp;""))="Y","Paid another way",IF(IFERROR(TRIM(INDEX($A359:$Z359,MATCH(Settings!$L$7,$A$1:$Z$1,0))&amp;""),"")="","No payment status",IFERROR(TRIM(INDEX($A359:$Z359,MATCH(Settings!$L$7,$A$1:$Z$1,0))&amp;""),""))))</f>
        <v/>
      </c>
      <c r="AJ359" s="31">
        <f>IF(AE359="",0,IF(IFERROR(INDEX(Settings!$J$4:$J$14,MATCH(AI359,Settings!$I$4:$I$14,0)),"N")="Y",1,0))</f>
        <v/>
      </c>
      <c r="AK359" s="32">
        <f>IFERROR(INT(IFERROR(IF(ISNUMBER(INDEX($A359:$Z359,MATCH(Settings!$L$10,$A$1:$Z$1,0))),INDEX($A359:$Z359,MATCH(Settings!$L$10,$A$1:$Z$1,0)),DATE(VALUE(LEFT(IFERROR(TRIM(INDEX($A359:$Z359,MATCH(Settings!$L$10,$A$1:$Z$1,0))&amp;""),""),4)),VALUE(MID(IFERROR(TRIM(INDEX($A359:$Z359,MATCH(Settings!$L$10,$A$1:$Z$1,0))&amp;""),""),6,2)),VALUE(MID(IFERROR(TRIM(INDEX($A359:$Z359,MATCH(Settings!$L$10,$A$1:$Z$1,0))&amp;""),""),9,2)))+TIME(VALUE(MID(IFERROR(TRIM(INDEX($A359:$Z359,MATCH(Settings!$L$10,$A$1:$Z$1,0))&amp;""),""),12,2)),VALUE(MID(IFERROR(TRIM(INDEX($A359:$Z359,MATCH(Settings!$L$10,$A$1:$Z$1,0))&amp;""),""),15,2)),VALUE(MID(IFERROR(TRIM(INDEX($A359:$Z359,MATCH(Settings!$L$10,$A$1:$Z$1,0))&amp;""),""),18,2)))),"")),"")</f>
        <v/>
      </c>
      <c r="AL359" s="32">
        <f>IF(AE359="","",IF(ISNUMBER(AK359),AK359,IFERROR(INT(IFERROR(IF(ISNUMBER(INDEX($A359:$Z359,MATCH(Settings!$L$11,$A$1:$Z$1,0))),INDEX($A359:$Z359,MATCH(Settings!$L$11,$A$1:$Z$1,0)),DATE(VALUE(LEFT(IFERROR(TRIM(INDEX($A359:$Z359,MATCH(Settings!$L$11,$A$1:$Z$1,0))&amp;""),""),4)),VALUE(MID(IFERROR(TRIM(INDEX($A359:$Z359,MATCH(Settings!$L$11,$A$1:$Z$1,0))&amp;""),""),6,2)),VALUE(MID(IFERROR(TRIM(INDEX($A359:$Z359,MATCH(Settings!$L$11,$A$1:$Z$1,0))&amp;""),""),9,2)))+TIME(VALUE(MID(IFERROR(TRIM(INDEX($A359:$Z359,MATCH(Settings!$L$11,$A$1:$Z$1,0))&amp;""),""),12,2)),VALUE(MID(IFERROR(TRIM(INDEX($A359:$Z359,MATCH(Settings!$L$11,$A$1:$Z$1,0))&amp;""),""),15,2)),VALUE(MID(IFERROR(TRIM(INDEX($A359:$Z359,MATCH(Settings!$L$11,$A$1:$Z$1,0))&amp;""),""),18,2)))),"")),"")))</f>
        <v/>
      </c>
      <c r="AM359" s="31">
        <f>IF(AE359="","",IF(ISNUMBER(IFERROR(INDEX(Settings!$G$4:$G$11,MATCH(AH359,Settings!$F$4:$F$11,0)),"")),INDEX(Settings!$G$4:$G$11,MATCH(AH359,Settings!$F$4:$F$11,0)),Settings!$D$5))</f>
        <v/>
      </c>
      <c r="AN359" s="32">
        <f>IF(OR(AE359="",NOT(ISNUMBER(AL359)),NOT(ISNUMBER(AM359))),"",IF(AM359&lt;=0,"",IF(ISNUMBER(Settings!$D$8),DATE(YEAR(AL359)+IF(DATE(YEAR(AL359),MONTH(Settings!$D$8),DAY(Settings!$D$8))&gt;AL359,0,1),MONTH(Settings!$D$8),DAY(Settings!$D$8)),MIN(DATE(YEAR(AL359),MONTH(AL359)+AM359,DAY(AL359)),DATE(YEAR(AL359),MONTH(AL359)+AM359+1,0)))))</f>
        <v/>
      </c>
      <c r="AO359" s="31">
        <f>IF(ISNUMBER(AN359),AN359-Settings!$D$4,"")</f>
        <v/>
      </c>
      <c r="AP359" s="31">
        <f>IF(ISNUMBER(AL359),AL359+0+ROW()/100000,"")</f>
        <v/>
      </c>
      <c r="AQ359" s="31">
        <f>IF(OR(AG359="",NOT(ISNUMBER(AP359))),0,IF(SUMPRODUCT(('Responses'!$AG$2:$AG$501=AG359)*('Responses'!$AJ$2:$AJ$501=1)*ISNUMBER('Responses'!$AP$2:$AP$501)*('Responses'!$AP$2:$AP$501&gt;AP359)) + SUMPRODUCT(('Paper sign-ups'!$K$2:$K$101=AG359)*('Paper sign-ups'!$N$2:$N$101=1)*ISNUMBER('Paper sign-ups'!$T$2:$T$101)*('Paper sign-ups'!$T$2:$T$101&gt;AP359))&gt;0,1,0))</f>
        <v/>
      </c>
      <c r="AR359" s="31">
        <f>IF(AE359="","",IF(AQ359=1,"Joined again",IF(AJ359=0,"Unpaid",IF(NOT(ISNUMBER(AL359)),"Add a join date",IF(AN359="","No reminder",IF(AO359&lt;0,"Lapsed",IF(AO359&lt;=Settings!$D$6,"Remind soon","Current")))))))</f>
        <v/>
      </c>
      <c r="AS359" s="33">
        <f>IF(AJ359=1,IFERROR(VALUE(IFERROR(TRIM(INDEX($A359:$Z359,MATCH(Settings!$L$8,$A$1:$Z$1,0))&amp;""),"")),0)-IFERROR(VALUE(IFERROR(TRIM(INDEX($A359:$Z359,MATCH(Settings!$L$9,$A$1:$Z$1,0))&amp;""),"")),0),0)</f>
        <v/>
      </c>
      <c r="AT359" s="31">
        <f>IF(AND(AE359&lt;&gt;"",AQ359=0),1,0)</f>
        <v/>
      </c>
      <c r="AU359" s="31">
        <f>IF(AT359=0,"",IF(ISNUMBER(AN359),AN359,100000)+0+ROW()/1000000)</f>
        <v/>
      </c>
      <c r="AV359" s="31">
        <f>IF(ISNUMBER(AU359),SUMPRODUCT(ISNUMBER('Responses'!$AU$2:$AU$501)*('Responses'!$AU$2:$AU$501&lt;AU359)) + SUMPRODUCT(ISNUMBER('Paper sign-ups'!$Y$2:$Y$101)*('Paper sign-ups'!$Y$2:$Y$101&lt;AU359))+1,"")</f>
        <v/>
      </c>
    </row>
    <row r="360">
      <c r="AA360" s="29" t="n"/>
      <c r="AB360" s="30" t="n"/>
      <c r="AC360" s="30" t="n"/>
      <c r="AD360" s="29" t="n"/>
      <c r="AE360" s="31">
        <f>IFERROR(TRIM(INDEX($A360:$Z360,MATCH(Settings!$L$4,$A$1:$Z$1,0))&amp;""),"")</f>
        <v/>
      </c>
      <c r="AF360" s="31">
        <f>IFERROR(TRIM(INDEX($A360:$Z360,MATCH(Settings!$L$5,$A$1:$Z$1,0))&amp;""),"")</f>
        <v/>
      </c>
      <c r="AG360" s="31">
        <f>IF(AE360="","",LOWER(IF(AF360&lt;&gt;"",AF360,AE360)))</f>
        <v/>
      </c>
      <c r="AH360" s="31">
        <f>IFERROR(TRIM(INDEX($A360:$Z360,MATCH(Settings!$L$6,$A$1:$Z$1,0))&amp;""),"")</f>
        <v/>
      </c>
      <c r="AI360" s="31">
        <f>IF(AE360="","",IF(UPPER(TRIM(AB360&amp;""))="Y","Paid another way",IF(IFERROR(TRIM(INDEX($A360:$Z360,MATCH(Settings!$L$7,$A$1:$Z$1,0))&amp;""),"")="","No payment status",IFERROR(TRIM(INDEX($A360:$Z360,MATCH(Settings!$L$7,$A$1:$Z$1,0))&amp;""),""))))</f>
        <v/>
      </c>
      <c r="AJ360" s="31">
        <f>IF(AE360="",0,IF(IFERROR(INDEX(Settings!$J$4:$J$14,MATCH(AI360,Settings!$I$4:$I$14,0)),"N")="Y",1,0))</f>
        <v/>
      </c>
      <c r="AK360" s="32">
        <f>IFERROR(INT(IFERROR(IF(ISNUMBER(INDEX($A360:$Z360,MATCH(Settings!$L$10,$A$1:$Z$1,0))),INDEX($A360:$Z360,MATCH(Settings!$L$10,$A$1:$Z$1,0)),DATE(VALUE(LEFT(IFERROR(TRIM(INDEX($A360:$Z360,MATCH(Settings!$L$10,$A$1:$Z$1,0))&amp;""),""),4)),VALUE(MID(IFERROR(TRIM(INDEX($A360:$Z360,MATCH(Settings!$L$10,$A$1:$Z$1,0))&amp;""),""),6,2)),VALUE(MID(IFERROR(TRIM(INDEX($A360:$Z360,MATCH(Settings!$L$10,$A$1:$Z$1,0))&amp;""),""),9,2)))+TIME(VALUE(MID(IFERROR(TRIM(INDEX($A360:$Z360,MATCH(Settings!$L$10,$A$1:$Z$1,0))&amp;""),""),12,2)),VALUE(MID(IFERROR(TRIM(INDEX($A360:$Z360,MATCH(Settings!$L$10,$A$1:$Z$1,0))&amp;""),""),15,2)),VALUE(MID(IFERROR(TRIM(INDEX($A360:$Z360,MATCH(Settings!$L$10,$A$1:$Z$1,0))&amp;""),""),18,2)))),"")),"")</f>
        <v/>
      </c>
      <c r="AL360" s="32">
        <f>IF(AE360="","",IF(ISNUMBER(AK360),AK360,IFERROR(INT(IFERROR(IF(ISNUMBER(INDEX($A360:$Z360,MATCH(Settings!$L$11,$A$1:$Z$1,0))),INDEX($A360:$Z360,MATCH(Settings!$L$11,$A$1:$Z$1,0)),DATE(VALUE(LEFT(IFERROR(TRIM(INDEX($A360:$Z360,MATCH(Settings!$L$11,$A$1:$Z$1,0))&amp;""),""),4)),VALUE(MID(IFERROR(TRIM(INDEX($A360:$Z360,MATCH(Settings!$L$11,$A$1:$Z$1,0))&amp;""),""),6,2)),VALUE(MID(IFERROR(TRIM(INDEX($A360:$Z360,MATCH(Settings!$L$11,$A$1:$Z$1,0))&amp;""),""),9,2)))+TIME(VALUE(MID(IFERROR(TRIM(INDEX($A360:$Z360,MATCH(Settings!$L$11,$A$1:$Z$1,0))&amp;""),""),12,2)),VALUE(MID(IFERROR(TRIM(INDEX($A360:$Z360,MATCH(Settings!$L$11,$A$1:$Z$1,0))&amp;""),""),15,2)),VALUE(MID(IFERROR(TRIM(INDEX($A360:$Z360,MATCH(Settings!$L$11,$A$1:$Z$1,0))&amp;""),""),18,2)))),"")),"")))</f>
        <v/>
      </c>
      <c r="AM360" s="31">
        <f>IF(AE360="","",IF(ISNUMBER(IFERROR(INDEX(Settings!$G$4:$G$11,MATCH(AH360,Settings!$F$4:$F$11,0)),"")),INDEX(Settings!$G$4:$G$11,MATCH(AH360,Settings!$F$4:$F$11,0)),Settings!$D$5))</f>
        <v/>
      </c>
      <c r="AN360" s="32">
        <f>IF(OR(AE360="",NOT(ISNUMBER(AL360)),NOT(ISNUMBER(AM360))),"",IF(AM360&lt;=0,"",IF(ISNUMBER(Settings!$D$8),DATE(YEAR(AL360)+IF(DATE(YEAR(AL360),MONTH(Settings!$D$8),DAY(Settings!$D$8))&gt;AL360,0,1),MONTH(Settings!$D$8),DAY(Settings!$D$8)),MIN(DATE(YEAR(AL360),MONTH(AL360)+AM360,DAY(AL360)),DATE(YEAR(AL360),MONTH(AL360)+AM360+1,0)))))</f>
        <v/>
      </c>
      <c r="AO360" s="31">
        <f>IF(ISNUMBER(AN360),AN360-Settings!$D$4,"")</f>
        <v/>
      </c>
      <c r="AP360" s="31">
        <f>IF(ISNUMBER(AL360),AL360+0+ROW()/100000,"")</f>
        <v/>
      </c>
      <c r="AQ360" s="31">
        <f>IF(OR(AG360="",NOT(ISNUMBER(AP360))),0,IF(SUMPRODUCT(('Responses'!$AG$2:$AG$501=AG360)*('Responses'!$AJ$2:$AJ$501=1)*ISNUMBER('Responses'!$AP$2:$AP$501)*('Responses'!$AP$2:$AP$501&gt;AP360)) + SUMPRODUCT(('Paper sign-ups'!$K$2:$K$101=AG360)*('Paper sign-ups'!$N$2:$N$101=1)*ISNUMBER('Paper sign-ups'!$T$2:$T$101)*('Paper sign-ups'!$T$2:$T$101&gt;AP360))&gt;0,1,0))</f>
        <v/>
      </c>
      <c r="AR360" s="31">
        <f>IF(AE360="","",IF(AQ360=1,"Joined again",IF(AJ360=0,"Unpaid",IF(NOT(ISNUMBER(AL360)),"Add a join date",IF(AN360="","No reminder",IF(AO360&lt;0,"Lapsed",IF(AO360&lt;=Settings!$D$6,"Remind soon","Current")))))))</f>
        <v/>
      </c>
      <c r="AS360" s="33">
        <f>IF(AJ360=1,IFERROR(VALUE(IFERROR(TRIM(INDEX($A360:$Z360,MATCH(Settings!$L$8,$A$1:$Z$1,0))&amp;""),"")),0)-IFERROR(VALUE(IFERROR(TRIM(INDEX($A360:$Z360,MATCH(Settings!$L$9,$A$1:$Z$1,0))&amp;""),"")),0),0)</f>
        <v/>
      </c>
      <c r="AT360" s="31">
        <f>IF(AND(AE360&lt;&gt;"",AQ360=0),1,0)</f>
        <v/>
      </c>
      <c r="AU360" s="31">
        <f>IF(AT360=0,"",IF(ISNUMBER(AN360),AN360,100000)+0+ROW()/1000000)</f>
        <v/>
      </c>
      <c r="AV360" s="31">
        <f>IF(ISNUMBER(AU360),SUMPRODUCT(ISNUMBER('Responses'!$AU$2:$AU$501)*('Responses'!$AU$2:$AU$501&lt;AU360)) + SUMPRODUCT(ISNUMBER('Paper sign-ups'!$Y$2:$Y$101)*('Paper sign-ups'!$Y$2:$Y$101&lt;AU360))+1,"")</f>
        <v/>
      </c>
    </row>
    <row r="361">
      <c r="AA361" s="29" t="n"/>
      <c r="AB361" s="30" t="n"/>
      <c r="AC361" s="30" t="n"/>
      <c r="AD361" s="29" t="n"/>
      <c r="AE361" s="31">
        <f>IFERROR(TRIM(INDEX($A361:$Z361,MATCH(Settings!$L$4,$A$1:$Z$1,0))&amp;""),"")</f>
        <v/>
      </c>
      <c r="AF361" s="31">
        <f>IFERROR(TRIM(INDEX($A361:$Z361,MATCH(Settings!$L$5,$A$1:$Z$1,0))&amp;""),"")</f>
        <v/>
      </c>
      <c r="AG361" s="31">
        <f>IF(AE361="","",LOWER(IF(AF361&lt;&gt;"",AF361,AE361)))</f>
        <v/>
      </c>
      <c r="AH361" s="31">
        <f>IFERROR(TRIM(INDEX($A361:$Z361,MATCH(Settings!$L$6,$A$1:$Z$1,0))&amp;""),"")</f>
        <v/>
      </c>
      <c r="AI361" s="31">
        <f>IF(AE361="","",IF(UPPER(TRIM(AB361&amp;""))="Y","Paid another way",IF(IFERROR(TRIM(INDEX($A361:$Z361,MATCH(Settings!$L$7,$A$1:$Z$1,0))&amp;""),"")="","No payment status",IFERROR(TRIM(INDEX($A361:$Z361,MATCH(Settings!$L$7,$A$1:$Z$1,0))&amp;""),""))))</f>
        <v/>
      </c>
      <c r="AJ361" s="31">
        <f>IF(AE361="",0,IF(IFERROR(INDEX(Settings!$J$4:$J$14,MATCH(AI361,Settings!$I$4:$I$14,0)),"N")="Y",1,0))</f>
        <v/>
      </c>
      <c r="AK361" s="32">
        <f>IFERROR(INT(IFERROR(IF(ISNUMBER(INDEX($A361:$Z361,MATCH(Settings!$L$10,$A$1:$Z$1,0))),INDEX($A361:$Z361,MATCH(Settings!$L$10,$A$1:$Z$1,0)),DATE(VALUE(LEFT(IFERROR(TRIM(INDEX($A361:$Z361,MATCH(Settings!$L$10,$A$1:$Z$1,0))&amp;""),""),4)),VALUE(MID(IFERROR(TRIM(INDEX($A361:$Z361,MATCH(Settings!$L$10,$A$1:$Z$1,0))&amp;""),""),6,2)),VALUE(MID(IFERROR(TRIM(INDEX($A361:$Z361,MATCH(Settings!$L$10,$A$1:$Z$1,0))&amp;""),""),9,2)))+TIME(VALUE(MID(IFERROR(TRIM(INDEX($A361:$Z361,MATCH(Settings!$L$10,$A$1:$Z$1,0))&amp;""),""),12,2)),VALUE(MID(IFERROR(TRIM(INDEX($A361:$Z361,MATCH(Settings!$L$10,$A$1:$Z$1,0))&amp;""),""),15,2)),VALUE(MID(IFERROR(TRIM(INDEX($A361:$Z361,MATCH(Settings!$L$10,$A$1:$Z$1,0))&amp;""),""),18,2)))),"")),"")</f>
        <v/>
      </c>
      <c r="AL361" s="32">
        <f>IF(AE361="","",IF(ISNUMBER(AK361),AK361,IFERROR(INT(IFERROR(IF(ISNUMBER(INDEX($A361:$Z361,MATCH(Settings!$L$11,$A$1:$Z$1,0))),INDEX($A361:$Z361,MATCH(Settings!$L$11,$A$1:$Z$1,0)),DATE(VALUE(LEFT(IFERROR(TRIM(INDEX($A361:$Z361,MATCH(Settings!$L$11,$A$1:$Z$1,0))&amp;""),""),4)),VALUE(MID(IFERROR(TRIM(INDEX($A361:$Z361,MATCH(Settings!$L$11,$A$1:$Z$1,0))&amp;""),""),6,2)),VALUE(MID(IFERROR(TRIM(INDEX($A361:$Z361,MATCH(Settings!$L$11,$A$1:$Z$1,0))&amp;""),""),9,2)))+TIME(VALUE(MID(IFERROR(TRIM(INDEX($A361:$Z361,MATCH(Settings!$L$11,$A$1:$Z$1,0))&amp;""),""),12,2)),VALUE(MID(IFERROR(TRIM(INDEX($A361:$Z361,MATCH(Settings!$L$11,$A$1:$Z$1,0))&amp;""),""),15,2)),VALUE(MID(IFERROR(TRIM(INDEX($A361:$Z361,MATCH(Settings!$L$11,$A$1:$Z$1,0))&amp;""),""),18,2)))),"")),"")))</f>
        <v/>
      </c>
      <c r="AM361" s="31">
        <f>IF(AE361="","",IF(ISNUMBER(IFERROR(INDEX(Settings!$G$4:$G$11,MATCH(AH361,Settings!$F$4:$F$11,0)),"")),INDEX(Settings!$G$4:$G$11,MATCH(AH361,Settings!$F$4:$F$11,0)),Settings!$D$5))</f>
        <v/>
      </c>
      <c r="AN361" s="32">
        <f>IF(OR(AE361="",NOT(ISNUMBER(AL361)),NOT(ISNUMBER(AM361))),"",IF(AM361&lt;=0,"",IF(ISNUMBER(Settings!$D$8),DATE(YEAR(AL361)+IF(DATE(YEAR(AL361),MONTH(Settings!$D$8),DAY(Settings!$D$8))&gt;AL361,0,1),MONTH(Settings!$D$8),DAY(Settings!$D$8)),MIN(DATE(YEAR(AL361),MONTH(AL361)+AM361,DAY(AL361)),DATE(YEAR(AL361),MONTH(AL361)+AM361+1,0)))))</f>
        <v/>
      </c>
      <c r="AO361" s="31">
        <f>IF(ISNUMBER(AN361),AN361-Settings!$D$4,"")</f>
        <v/>
      </c>
      <c r="AP361" s="31">
        <f>IF(ISNUMBER(AL361),AL361+0+ROW()/100000,"")</f>
        <v/>
      </c>
      <c r="AQ361" s="31">
        <f>IF(OR(AG361="",NOT(ISNUMBER(AP361))),0,IF(SUMPRODUCT(('Responses'!$AG$2:$AG$501=AG361)*('Responses'!$AJ$2:$AJ$501=1)*ISNUMBER('Responses'!$AP$2:$AP$501)*('Responses'!$AP$2:$AP$501&gt;AP361)) + SUMPRODUCT(('Paper sign-ups'!$K$2:$K$101=AG361)*('Paper sign-ups'!$N$2:$N$101=1)*ISNUMBER('Paper sign-ups'!$T$2:$T$101)*('Paper sign-ups'!$T$2:$T$101&gt;AP361))&gt;0,1,0))</f>
        <v/>
      </c>
      <c r="AR361" s="31">
        <f>IF(AE361="","",IF(AQ361=1,"Joined again",IF(AJ361=0,"Unpaid",IF(NOT(ISNUMBER(AL361)),"Add a join date",IF(AN361="","No reminder",IF(AO361&lt;0,"Lapsed",IF(AO361&lt;=Settings!$D$6,"Remind soon","Current")))))))</f>
        <v/>
      </c>
      <c r="AS361" s="33">
        <f>IF(AJ361=1,IFERROR(VALUE(IFERROR(TRIM(INDEX($A361:$Z361,MATCH(Settings!$L$8,$A$1:$Z$1,0))&amp;""),"")),0)-IFERROR(VALUE(IFERROR(TRIM(INDEX($A361:$Z361,MATCH(Settings!$L$9,$A$1:$Z$1,0))&amp;""),"")),0),0)</f>
        <v/>
      </c>
      <c r="AT361" s="31">
        <f>IF(AND(AE361&lt;&gt;"",AQ361=0),1,0)</f>
        <v/>
      </c>
      <c r="AU361" s="31">
        <f>IF(AT361=0,"",IF(ISNUMBER(AN361),AN361,100000)+0+ROW()/1000000)</f>
        <v/>
      </c>
      <c r="AV361" s="31">
        <f>IF(ISNUMBER(AU361),SUMPRODUCT(ISNUMBER('Responses'!$AU$2:$AU$501)*('Responses'!$AU$2:$AU$501&lt;AU361)) + SUMPRODUCT(ISNUMBER('Paper sign-ups'!$Y$2:$Y$101)*('Paper sign-ups'!$Y$2:$Y$101&lt;AU361))+1,"")</f>
        <v/>
      </c>
    </row>
    <row r="362">
      <c r="AA362" s="29" t="n"/>
      <c r="AB362" s="30" t="n"/>
      <c r="AC362" s="30" t="n"/>
      <c r="AD362" s="29" t="n"/>
      <c r="AE362" s="31">
        <f>IFERROR(TRIM(INDEX($A362:$Z362,MATCH(Settings!$L$4,$A$1:$Z$1,0))&amp;""),"")</f>
        <v/>
      </c>
      <c r="AF362" s="31">
        <f>IFERROR(TRIM(INDEX($A362:$Z362,MATCH(Settings!$L$5,$A$1:$Z$1,0))&amp;""),"")</f>
        <v/>
      </c>
      <c r="AG362" s="31">
        <f>IF(AE362="","",LOWER(IF(AF362&lt;&gt;"",AF362,AE362)))</f>
        <v/>
      </c>
      <c r="AH362" s="31">
        <f>IFERROR(TRIM(INDEX($A362:$Z362,MATCH(Settings!$L$6,$A$1:$Z$1,0))&amp;""),"")</f>
        <v/>
      </c>
      <c r="AI362" s="31">
        <f>IF(AE362="","",IF(UPPER(TRIM(AB362&amp;""))="Y","Paid another way",IF(IFERROR(TRIM(INDEX($A362:$Z362,MATCH(Settings!$L$7,$A$1:$Z$1,0))&amp;""),"")="","No payment status",IFERROR(TRIM(INDEX($A362:$Z362,MATCH(Settings!$L$7,$A$1:$Z$1,0))&amp;""),""))))</f>
        <v/>
      </c>
      <c r="AJ362" s="31">
        <f>IF(AE362="",0,IF(IFERROR(INDEX(Settings!$J$4:$J$14,MATCH(AI362,Settings!$I$4:$I$14,0)),"N")="Y",1,0))</f>
        <v/>
      </c>
      <c r="AK362" s="32">
        <f>IFERROR(INT(IFERROR(IF(ISNUMBER(INDEX($A362:$Z362,MATCH(Settings!$L$10,$A$1:$Z$1,0))),INDEX($A362:$Z362,MATCH(Settings!$L$10,$A$1:$Z$1,0)),DATE(VALUE(LEFT(IFERROR(TRIM(INDEX($A362:$Z362,MATCH(Settings!$L$10,$A$1:$Z$1,0))&amp;""),""),4)),VALUE(MID(IFERROR(TRIM(INDEX($A362:$Z362,MATCH(Settings!$L$10,$A$1:$Z$1,0))&amp;""),""),6,2)),VALUE(MID(IFERROR(TRIM(INDEX($A362:$Z362,MATCH(Settings!$L$10,$A$1:$Z$1,0))&amp;""),""),9,2)))+TIME(VALUE(MID(IFERROR(TRIM(INDEX($A362:$Z362,MATCH(Settings!$L$10,$A$1:$Z$1,0))&amp;""),""),12,2)),VALUE(MID(IFERROR(TRIM(INDEX($A362:$Z362,MATCH(Settings!$L$10,$A$1:$Z$1,0))&amp;""),""),15,2)),VALUE(MID(IFERROR(TRIM(INDEX($A362:$Z362,MATCH(Settings!$L$10,$A$1:$Z$1,0))&amp;""),""),18,2)))),"")),"")</f>
        <v/>
      </c>
      <c r="AL362" s="32">
        <f>IF(AE362="","",IF(ISNUMBER(AK362),AK362,IFERROR(INT(IFERROR(IF(ISNUMBER(INDEX($A362:$Z362,MATCH(Settings!$L$11,$A$1:$Z$1,0))),INDEX($A362:$Z362,MATCH(Settings!$L$11,$A$1:$Z$1,0)),DATE(VALUE(LEFT(IFERROR(TRIM(INDEX($A362:$Z362,MATCH(Settings!$L$11,$A$1:$Z$1,0))&amp;""),""),4)),VALUE(MID(IFERROR(TRIM(INDEX($A362:$Z362,MATCH(Settings!$L$11,$A$1:$Z$1,0))&amp;""),""),6,2)),VALUE(MID(IFERROR(TRIM(INDEX($A362:$Z362,MATCH(Settings!$L$11,$A$1:$Z$1,0))&amp;""),""),9,2)))+TIME(VALUE(MID(IFERROR(TRIM(INDEX($A362:$Z362,MATCH(Settings!$L$11,$A$1:$Z$1,0))&amp;""),""),12,2)),VALUE(MID(IFERROR(TRIM(INDEX($A362:$Z362,MATCH(Settings!$L$11,$A$1:$Z$1,0))&amp;""),""),15,2)),VALUE(MID(IFERROR(TRIM(INDEX($A362:$Z362,MATCH(Settings!$L$11,$A$1:$Z$1,0))&amp;""),""),18,2)))),"")),"")))</f>
        <v/>
      </c>
      <c r="AM362" s="31">
        <f>IF(AE362="","",IF(ISNUMBER(IFERROR(INDEX(Settings!$G$4:$G$11,MATCH(AH362,Settings!$F$4:$F$11,0)),"")),INDEX(Settings!$G$4:$G$11,MATCH(AH362,Settings!$F$4:$F$11,0)),Settings!$D$5))</f>
        <v/>
      </c>
      <c r="AN362" s="32">
        <f>IF(OR(AE362="",NOT(ISNUMBER(AL362)),NOT(ISNUMBER(AM362))),"",IF(AM362&lt;=0,"",IF(ISNUMBER(Settings!$D$8),DATE(YEAR(AL362)+IF(DATE(YEAR(AL362),MONTH(Settings!$D$8),DAY(Settings!$D$8))&gt;AL362,0,1),MONTH(Settings!$D$8),DAY(Settings!$D$8)),MIN(DATE(YEAR(AL362),MONTH(AL362)+AM362,DAY(AL362)),DATE(YEAR(AL362),MONTH(AL362)+AM362+1,0)))))</f>
        <v/>
      </c>
      <c r="AO362" s="31">
        <f>IF(ISNUMBER(AN362),AN362-Settings!$D$4,"")</f>
        <v/>
      </c>
      <c r="AP362" s="31">
        <f>IF(ISNUMBER(AL362),AL362+0+ROW()/100000,"")</f>
        <v/>
      </c>
      <c r="AQ362" s="31">
        <f>IF(OR(AG362="",NOT(ISNUMBER(AP362))),0,IF(SUMPRODUCT(('Responses'!$AG$2:$AG$501=AG362)*('Responses'!$AJ$2:$AJ$501=1)*ISNUMBER('Responses'!$AP$2:$AP$501)*('Responses'!$AP$2:$AP$501&gt;AP362)) + SUMPRODUCT(('Paper sign-ups'!$K$2:$K$101=AG362)*('Paper sign-ups'!$N$2:$N$101=1)*ISNUMBER('Paper sign-ups'!$T$2:$T$101)*('Paper sign-ups'!$T$2:$T$101&gt;AP362))&gt;0,1,0))</f>
        <v/>
      </c>
      <c r="AR362" s="31">
        <f>IF(AE362="","",IF(AQ362=1,"Joined again",IF(AJ362=0,"Unpaid",IF(NOT(ISNUMBER(AL362)),"Add a join date",IF(AN362="","No reminder",IF(AO362&lt;0,"Lapsed",IF(AO362&lt;=Settings!$D$6,"Remind soon","Current")))))))</f>
        <v/>
      </c>
      <c r="AS362" s="33">
        <f>IF(AJ362=1,IFERROR(VALUE(IFERROR(TRIM(INDEX($A362:$Z362,MATCH(Settings!$L$8,$A$1:$Z$1,0))&amp;""),"")),0)-IFERROR(VALUE(IFERROR(TRIM(INDEX($A362:$Z362,MATCH(Settings!$L$9,$A$1:$Z$1,0))&amp;""),"")),0),0)</f>
        <v/>
      </c>
      <c r="AT362" s="31">
        <f>IF(AND(AE362&lt;&gt;"",AQ362=0),1,0)</f>
        <v/>
      </c>
      <c r="AU362" s="31">
        <f>IF(AT362=0,"",IF(ISNUMBER(AN362),AN362,100000)+0+ROW()/1000000)</f>
        <v/>
      </c>
      <c r="AV362" s="31">
        <f>IF(ISNUMBER(AU362),SUMPRODUCT(ISNUMBER('Responses'!$AU$2:$AU$501)*('Responses'!$AU$2:$AU$501&lt;AU362)) + SUMPRODUCT(ISNUMBER('Paper sign-ups'!$Y$2:$Y$101)*('Paper sign-ups'!$Y$2:$Y$101&lt;AU362))+1,"")</f>
        <v/>
      </c>
    </row>
    <row r="363">
      <c r="AA363" s="29" t="n"/>
      <c r="AB363" s="30" t="n"/>
      <c r="AC363" s="30" t="n"/>
      <c r="AD363" s="29" t="n"/>
      <c r="AE363" s="31">
        <f>IFERROR(TRIM(INDEX($A363:$Z363,MATCH(Settings!$L$4,$A$1:$Z$1,0))&amp;""),"")</f>
        <v/>
      </c>
      <c r="AF363" s="31">
        <f>IFERROR(TRIM(INDEX($A363:$Z363,MATCH(Settings!$L$5,$A$1:$Z$1,0))&amp;""),"")</f>
        <v/>
      </c>
      <c r="AG363" s="31">
        <f>IF(AE363="","",LOWER(IF(AF363&lt;&gt;"",AF363,AE363)))</f>
        <v/>
      </c>
      <c r="AH363" s="31">
        <f>IFERROR(TRIM(INDEX($A363:$Z363,MATCH(Settings!$L$6,$A$1:$Z$1,0))&amp;""),"")</f>
        <v/>
      </c>
      <c r="AI363" s="31">
        <f>IF(AE363="","",IF(UPPER(TRIM(AB363&amp;""))="Y","Paid another way",IF(IFERROR(TRIM(INDEX($A363:$Z363,MATCH(Settings!$L$7,$A$1:$Z$1,0))&amp;""),"")="","No payment status",IFERROR(TRIM(INDEX($A363:$Z363,MATCH(Settings!$L$7,$A$1:$Z$1,0))&amp;""),""))))</f>
        <v/>
      </c>
      <c r="AJ363" s="31">
        <f>IF(AE363="",0,IF(IFERROR(INDEX(Settings!$J$4:$J$14,MATCH(AI363,Settings!$I$4:$I$14,0)),"N")="Y",1,0))</f>
        <v/>
      </c>
      <c r="AK363" s="32">
        <f>IFERROR(INT(IFERROR(IF(ISNUMBER(INDEX($A363:$Z363,MATCH(Settings!$L$10,$A$1:$Z$1,0))),INDEX($A363:$Z363,MATCH(Settings!$L$10,$A$1:$Z$1,0)),DATE(VALUE(LEFT(IFERROR(TRIM(INDEX($A363:$Z363,MATCH(Settings!$L$10,$A$1:$Z$1,0))&amp;""),""),4)),VALUE(MID(IFERROR(TRIM(INDEX($A363:$Z363,MATCH(Settings!$L$10,$A$1:$Z$1,0))&amp;""),""),6,2)),VALUE(MID(IFERROR(TRIM(INDEX($A363:$Z363,MATCH(Settings!$L$10,$A$1:$Z$1,0))&amp;""),""),9,2)))+TIME(VALUE(MID(IFERROR(TRIM(INDEX($A363:$Z363,MATCH(Settings!$L$10,$A$1:$Z$1,0))&amp;""),""),12,2)),VALUE(MID(IFERROR(TRIM(INDEX($A363:$Z363,MATCH(Settings!$L$10,$A$1:$Z$1,0))&amp;""),""),15,2)),VALUE(MID(IFERROR(TRIM(INDEX($A363:$Z363,MATCH(Settings!$L$10,$A$1:$Z$1,0))&amp;""),""),18,2)))),"")),"")</f>
        <v/>
      </c>
      <c r="AL363" s="32">
        <f>IF(AE363="","",IF(ISNUMBER(AK363),AK363,IFERROR(INT(IFERROR(IF(ISNUMBER(INDEX($A363:$Z363,MATCH(Settings!$L$11,$A$1:$Z$1,0))),INDEX($A363:$Z363,MATCH(Settings!$L$11,$A$1:$Z$1,0)),DATE(VALUE(LEFT(IFERROR(TRIM(INDEX($A363:$Z363,MATCH(Settings!$L$11,$A$1:$Z$1,0))&amp;""),""),4)),VALUE(MID(IFERROR(TRIM(INDEX($A363:$Z363,MATCH(Settings!$L$11,$A$1:$Z$1,0))&amp;""),""),6,2)),VALUE(MID(IFERROR(TRIM(INDEX($A363:$Z363,MATCH(Settings!$L$11,$A$1:$Z$1,0))&amp;""),""),9,2)))+TIME(VALUE(MID(IFERROR(TRIM(INDEX($A363:$Z363,MATCH(Settings!$L$11,$A$1:$Z$1,0))&amp;""),""),12,2)),VALUE(MID(IFERROR(TRIM(INDEX($A363:$Z363,MATCH(Settings!$L$11,$A$1:$Z$1,0))&amp;""),""),15,2)),VALUE(MID(IFERROR(TRIM(INDEX($A363:$Z363,MATCH(Settings!$L$11,$A$1:$Z$1,0))&amp;""),""),18,2)))),"")),"")))</f>
        <v/>
      </c>
      <c r="AM363" s="31">
        <f>IF(AE363="","",IF(ISNUMBER(IFERROR(INDEX(Settings!$G$4:$G$11,MATCH(AH363,Settings!$F$4:$F$11,0)),"")),INDEX(Settings!$G$4:$G$11,MATCH(AH363,Settings!$F$4:$F$11,0)),Settings!$D$5))</f>
        <v/>
      </c>
      <c r="AN363" s="32">
        <f>IF(OR(AE363="",NOT(ISNUMBER(AL363)),NOT(ISNUMBER(AM363))),"",IF(AM363&lt;=0,"",IF(ISNUMBER(Settings!$D$8),DATE(YEAR(AL363)+IF(DATE(YEAR(AL363),MONTH(Settings!$D$8),DAY(Settings!$D$8))&gt;AL363,0,1),MONTH(Settings!$D$8),DAY(Settings!$D$8)),MIN(DATE(YEAR(AL363),MONTH(AL363)+AM363,DAY(AL363)),DATE(YEAR(AL363),MONTH(AL363)+AM363+1,0)))))</f>
        <v/>
      </c>
      <c r="AO363" s="31">
        <f>IF(ISNUMBER(AN363),AN363-Settings!$D$4,"")</f>
        <v/>
      </c>
      <c r="AP363" s="31">
        <f>IF(ISNUMBER(AL363),AL363+0+ROW()/100000,"")</f>
        <v/>
      </c>
      <c r="AQ363" s="31">
        <f>IF(OR(AG363="",NOT(ISNUMBER(AP363))),0,IF(SUMPRODUCT(('Responses'!$AG$2:$AG$501=AG363)*('Responses'!$AJ$2:$AJ$501=1)*ISNUMBER('Responses'!$AP$2:$AP$501)*('Responses'!$AP$2:$AP$501&gt;AP363)) + SUMPRODUCT(('Paper sign-ups'!$K$2:$K$101=AG363)*('Paper sign-ups'!$N$2:$N$101=1)*ISNUMBER('Paper sign-ups'!$T$2:$T$101)*('Paper sign-ups'!$T$2:$T$101&gt;AP363))&gt;0,1,0))</f>
        <v/>
      </c>
      <c r="AR363" s="31">
        <f>IF(AE363="","",IF(AQ363=1,"Joined again",IF(AJ363=0,"Unpaid",IF(NOT(ISNUMBER(AL363)),"Add a join date",IF(AN363="","No reminder",IF(AO363&lt;0,"Lapsed",IF(AO363&lt;=Settings!$D$6,"Remind soon","Current")))))))</f>
        <v/>
      </c>
      <c r="AS363" s="33">
        <f>IF(AJ363=1,IFERROR(VALUE(IFERROR(TRIM(INDEX($A363:$Z363,MATCH(Settings!$L$8,$A$1:$Z$1,0))&amp;""),"")),0)-IFERROR(VALUE(IFERROR(TRIM(INDEX($A363:$Z363,MATCH(Settings!$L$9,$A$1:$Z$1,0))&amp;""),"")),0),0)</f>
        <v/>
      </c>
      <c r="AT363" s="31">
        <f>IF(AND(AE363&lt;&gt;"",AQ363=0),1,0)</f>
        <v/>
      </c>
      <c r="AU363" s="31">
        <f>IF(AT363=0,"",IF(ISNUMBER(AN363),AN363,100000)+0+ROW()/1000000)</f>
        <v/>
      </c>
      <c r="AV363" s="31">
        <f>IF(ISNUMBER(AU363),SUMPRODUCT(ISNUMBER('Responses'!$AU$2:$AU$501)*('Responses'!$AU$2:$AU$501&lt;AU363)) + SUMPRODUCT(ISNUMBER('Paper sign-ups'!$Y$2:$Y$101)*('Paper sign-ups'!$Y$2:$Y$101&lt;AU363))+1,"")</f>
        <v/>
      </c>
    </row>
    <row r="364">
      <c r="AA364" s="29" t="n"/>
      <c r="AB364" s="30" t="n"/>
      <c r="AC364" s="30" t="n"/>
      <c r="AD364" s="29" t="n"/>
      <c r="AE364" s="31">
        <f>IFERROR(TRIM(INDEX($A364:$Z364,MATCH(Settings!$L$4,$A$1:$Z$1,0))&amp;""),"")</f>
        <v/>
      </c>
      <c r="AF364" s="31">
        <f>IFERROR(TRIM(INDEX($A364:$Z364,MATCH(Settings!$L$5,$A$1:$Z$1,0))&amp;""),"")</f>
        <v/>
      </c>
      <c r="AG364" s="31">
        <f>IF(AE364="","",LOWER(IF(AF364&lt;&gt;"",AF364,AE364)))</f>
        <v/>
      </c>
      <c r="AH364" s="31">
        <f>IFERROR(TRIM(INDEX($A364:$Z364,MATCH(Settings!$L$6,$A$1:$Z$1,0))&amp;""),"")</f>
        <v/>
      </c>
      <c r="AI364" s="31">
        <f>IF(AE364="","",IF(UPPER(TRIM(AB364&amp;""))="Y","Paid another way",IF(IFERROR(TRIM(INDEX($A364:$Z364,MATCH(Settings!$L$7,$A$1:$Z$1,0))&amp;""),"")="","No payment status",IFERROR(TRIM(INDEX($A364:$Z364,MATCH(Settings!$L$7,$A$1:$Z$1,0))&amp;""),""))))</f>
        <v/>
      </c>
      <c r="AJ364" s="31">
        <f>IF(AE364="",0,IF(IFERROR(INDEX(Settings!$J$4:$J$14,MATCH(AI364,Settings!$I$4:$I$14,0)),"N")="Y",1,0))</f>
        <v/>
      </c>
      <c r="AK364" s="32">
        <f>IFERROR(INT(IFERROR(IF(ISNUMBER(INDEX($A364:$Z364,MATCH(Settings!$L$10,$A$1:$Z$1,0))),INDEX($A364:$Z364,MATCH(Settings!$L$10,$A$1:$Z$1,0)),DATE(VALUE(LEFT(IFERROR(TRIM(INDEX($A364:$Z364,MATCH(Settings!$L$10,$A$1:$Z$1,0))&amp;""),""),4)),VALUE(MID(IFERROR(TRIM(INDEX($A364:$Z364,MATCH(Settings!$L$10,$A$1:$Z$1,0))&amp;""),""),6,2)),VALUE(MID(IFERROR(TRIM(INDEX($A364:$Z364,MATCH(Settings!$L$10,$A$1:$Z$1,0))&amp;""),""),9,2)))+TIME(VALUE(MID(IFERROR(TRIM(INDEX($A364:$Z364,MATCH(Settings!$L$10,$A$1:$Z$1,0))&amp;""),""),12,2)),VALUE(MID(IFERROR(TRIM(INDEX($A364:$Z364,MATCH(Settings!$L$10,$A$1:$Z$1,0))&amp;""),""),15,2)),VALUE(MID(IFERROR(TRIM(INDEX($A364:$Z364,MATCH(Settings!$L$10,$A$1:$Z$1,0))&amp;""),""),18,2)))),"")),"")</f>
        <v/>
      </c>
      <c r="AL364" s="32">
        <f>IF(AE364="","",IF(ISNUMBER(AK364),AK364,IFERROR(INT(IFERROR(IF(ISNUMBER(INDEX($A364:$Z364,MATCH(Settings!$L$11,$A$1:$Z$1,0))),INDEX($A364:$Z364,MATCH(Settings!$L$11,$A$1:$Z$1,0)),DATE(VALUE(LEFT(IFERROR(TRIM(INDEX($A364:$Z364,MATCH(Settings!$L$11,$A$1:$Z$1,0))&amp;""),""),4)),VALUE(MID(IFERROR(TRIM(INDEX($A364:$Z364,MATCH(Settings!$L$11,$A$1:$Z$1,0))&amp;""),""),6,2)),VALUE(MID(IFERROR(TRIM(INDEX($A364:$Z364,MATCH(Settings!$L$11,$A$1:$Z$1,0))&amp;""),""),9,2)))+TIME(VALUE(MID(IFERROR(TRIM(INDEX($A364:$Z364,MATCH(Settings!$L$11,$A$1:$Z$1,0))&amp;""),""),12,2)),VALUE(MID(IFERROR(TRIM(INDEX($A364:$Z364,MATCH(Settings!$L$11,$A$1:$Z$1,0))&amp;""),""),15,2)),VALUE(MID(IFERROR(TRIM(INDEX($A364:$Z364,MATCH(Settings!$L$11,$A$1:$Z$1,0))&amp;""),""),18,2)))),"")),"")))</f>
        <v/>
      </c>
      <c r="AM364" s="31">
        <f>IF(AE364="","",IF(ISNUMBER(IFERROR(INDEX(Settings!$G$4:$G$11,MATCH(AH364,Settings!$F$4:$F$11,0)),"")),INDEX(Settings!$G$4:$G$11,MATCH(AH364,Settings!$F$4:$F$11,0)),Settings!$D$5))</f>
        <v/>
      </c>
      <c r="AN364" s="32">
        <f>IF(OR(AE364="",NOT(ISNUMBER(AL364)),NOT(ISNUMBER(AM364))),"",IF(AM364&lt;=0,"",IF(ISNUMBER(Settings!$D$8),DATE(YEAR(AL364)+IF(DATE(YEAR(AL364),MONTH(Settings!$D$8),DAY(Settings!$D$8))&gt;AL364,0,1),MONTH(Settings!$D$8),DAY(Settings!$D$8)),MIN(DATE(YEAR(AL364),MONTH(AL364)+AM364,DAY(AL364)),DATE(YEAR(AL364),MONTH(AL364)+AM364+1,0)))))</f>
        <v/>
      </c>
      <c r="AO364" s="31">
        <f>IF(ISNUMBER(AN364),AN364-Settings!$D$4,"")</f>
        <v/>
      </c>
      <c r="AP364" s="31">
        <f>IF(ISNUMBER(AL364),AL364+0+ROW()/100000,"")</f>
        <v/>
      </c>
      <c r="AQ364" s="31">
        <f>IF(OR(AG364="",NOT(ISNUMBER(AP364))),0,IF(SUMPRODUCT(('Responses'!$AG$2:$AG$501=AG364)*('Responses'!$AJ$2:$AJ$501=1)*ISNUMBER('Responses'!$AP$2:$AP$501)*('Responses'!$AP$2:$AP$501&gt;AP364)) + SUMPRODUCT(('Paper sign-ups'!$K$2:$K$101=AG364)*('Paper sign-ups'!$N$2:$N$101=1)*ISNUMBER('Paper sign-ups'!$T$2:$T$101)*('Paper sign-ups'!$T$2:$T$101&gt;AP364))&gt;0,1,0))</f>
        <v/>
      </c>
      <c r="AR364" s="31">
        <f>IF(AE364="","",IF(AQ364=1,"Joined again",IF(AJ364=0,"Unpaid",IF(NOT(ISNUMBER(AL364)),"Add a join date",IF(AN364="","No reminder",IF(AO364&lt;0,"Lapsed",IF(AO364&lt;=Settings!$D$6,"Remind soon","Current")))))))</f>
        <v/>
      </c>
      <c r="AS364" s="33">
        <f>IF(AJ364=1,IFERROR(VALUE(IFERROR(TRIM(INDEX($A364:$Z364,MATCH(Settings!$L$8,$A$1:$Z$1,0))&amp;""),"")),0)-IFERROR(VALUE(IFERROR(TRIM(INDEX($A364:$Z364,MATCH(Settings!$L$9,$A$1:$Z$1,0))&amp;""),"")),0),0)</f>
        <v/>
      </c>
      <c r="AT364" s="31">
        <f>IF(AND(AE364&lt;&gt;"",AQ364=0),1,0)</f>
        <v/>
      </c>
      <c r="AU364" s="31">
        <f>IF(AT364=0,"",IF(ISNUMBER(AN364),AN364,100000)+0+ROW()/1000000)</f>
        <v/>
      </c>
      <c r="AV364" s="31">
        <f>IF(ISNUMBER(AU364),SUMPRODUCT(ISNUMBER('Responses'!$AU$2:$AU$501)*('Responses'!$AU$2:$AU$501&lt;AU364)) + SUMPRODUCT(ISNUMBER('Paper sign-ups'!$Y$2:$Y$101)*('Paper sign-ups'!$Y$2:$Y$101&lt;AU364))+1,"")</f>
        <v/>
      </c>
    </row>
    <row r="365">
      <c r="AA365" s="29" t="n"/>
      <c r="AB365" s="30" t="n"/>
      <c r="AC365" s="30" t="n"/>
      <c r="AD365" s="29" t="n"/>
      <c r="AE365" s="31">
        <f>IFERROR(TRIM(INDEX($A365:$Z365,MATCH(Settings!$L$4,$A$1:$Z$1,0))&amp;""),"")</f>
        <v/>
      </c>
      <c r="AF365" s="31">
        <f>IFERROR(TRIM(INDEX($A365:$Z365,MATCH(Settings!$L$5,$A$1:$Z$1,0))&amp;""),"")</f>
        <v/>
      </c>
      <c r="AG365" s="31">
        <f>IF(AE365="","",LOWER(IF(AF365&lt;&gt;"",AF365,AE365)))</f>
        <v/>
      </c>
      <c r="AH365" s="31">
        <f>IFERROR(TRIM(INDEX($A365:$Z365,MATCH(Settings!$L$6,$A$1:$Z$1,0))&amp;""),"")</f>
        <v/>
      </c>
      <c r="AI365" s="31">
        <f>IF(AE365="","",IF(UPPER(TRIM(AB365&amp;""))="Y","Paid another way",IF(IFERROR(TRIM(INDEX($A365:$Z365,MATCH(Settings!$L$7,$A$1:$Z$1,0))&amp;""),"")="","No payment status",IFERROR(TRIM(INDEX($A365:$Z365,MATCH(Settings!$L$7,$A$1:$Z$1,0))&amp;""),""))))</f>
        <v/>
      </c>
      <c r="AJ365" s="31">
        <f>IF(AE365="",0,IF(IFERROR(INDEX(Settings!$J$4:$J$14,MATCH(AI365,Settings!$I$4:$I$14,0)),"N")="Y",1,0))</f>
        <v/>
      </c>
      <c r="AK365" s="32">
        <f>IFERROR(INT(IFERROR(IF(ISNUMBER(INDEX($A365:$Z365,MATCH(Settings!$L$10,$A$1:$Z$1,0))),INDEX($A365:$Z365,MATCH(Settings!$L$10,$A$1:$Z$1,0)),DATE(VALUE(LEFT(IFERROR(TRIM(INDEX($A365:$Z365,MATCH(Settings!$L$10,$A$1:$Z$1,0))&amp;""),""),4)),VALUE(MID(IFERROR(TRIM(INDEX($A365:$Z365,MATCH(Settings!$L$10,$A$1:$Z$1,0))&amp;""),""),6,2)),VALUE(MID(IFERROR(TRIM(INDEX($A365:$Z365,MATCH(Settings!$L$10,$A$1:$Z$1,0))&amp;""),""),9,2)))+TIME(VALUE(MID(IFERROR(TRIM(INDEX($A365:$Z365,MATCH(Settings!$L$10,$A$1:$Z$1,0))&amp;""),""),12,2)),VALUE(MID(IFERROR(TRIM(INDEX($A365:$Z365,MATCH(Settings!$L$10,$A$1:$Z$1,0))&amp;""),""),15,2)),VALUE(MID(IFERROR(TRIM(INDEX($A365:$Z365,MATCH(Settings!$L$10,$A$1:$Z$1,0))&amp;""),""),18,2)))),"")),"")</f>
        <v/>
      </c>
      <c r="AL365" s="32">
        <f>IF(AE365="","",IF(ISNUMBER(AK365),AK365,IFERROR(INT(IFERROR(IF(ISNUMBER(INDEX($A365:$Z365,MATCH(Settings!$L$11,$A$1:$Z$1,0))),INDEX($A365:$Z365,MATCH(Settings!$L$11,$A$1:$Z$1,0)),DATE(VALUE(LEFT(IFERROR(TRIM(INDEX($A365:$Z365,MATCH(Settings!$L$11,$A$1:$Z$1,0))&amp;""),""),4)),VALUE(MID(IFERROR(TRIM(INDEX($A365:$Z365,MATCH(Settings!$L$11,$A$1:$Z$1,0))&amp;""),""),6,2)),VALUE(MID(IFERROR(TRIM(INDEX($A365:$Z365,MATCH(Settings!$L$11,$A$1:$Z$1,0))&amp;""),""),9,2)))+TIME(VALUE(MID(IFERROR(TRIM(INDEX($A365:$Z365,MATCH(Settings!$L$11,$A$1:$Z$1,0))&amp;""),""),12,2)),VALUE(MID(IFERROR(TRIM(INDEX($A365:$Z365,MATCH(Settings!$L$11,$A$1:$Z$1,0))&amp;""),""),15,2)),VALUE(MID(IFERROR(TRIM(INDEX($A365:$Z365,MATCH(Settings!$L$11,$A$1:$Z$1,0))&amp;""),""),18,2)))),"")),"")))</f>
        <v/>
      </c>
      <c r="AM365" s="31">
        <f>IF(AE365="","",IF(ISNUMBER(IFERROR(INDEX(Settings!$G$4:$G$11,MATCH(AH365,Settings!$F$4:$F$11,0)),"")),INDEX(Settings!$G$4:$G$11,MATCH(AH365,Settings!$F$4:$F$11,0)),Settings!$D$5))</f>
        <v/>
      </c>
      <c r="AN365" s="32">
        <f>IF(OR(AE365="",NOT(ISNUMBER(AL365)),NOT(ISNUMBER(AM365))),"",IF(AM365&lt;=0,"",IF(ISNUMBER(Settings!$D$8),DATE(YEAR(AL365)+IF(DATE(YEAR(AL365),MONTH(Settings!$D$8),DAY(Settings!$D$8))&gt;AL365,0,1),MONTH(Settings!$D$8),DAY(Settings!$D$8)),MIN(DATE(YEAR(AL365),MONTH(AL365)+AM365,DAY(AL365)),DATE(YEAR(AL365),MONTH(AL365)+AM365+1,0)))))</f>
        <v/>
      </c>
      <c r="AO365" s="31">
        <f>IF(ISNUMBER(AN365),AN365-Settings!$D$4,"")</f>
        <v/>
      </c>
      <c r="AP365" s="31">
        <f>IF(ISNUMBER(AL365),AL365+0+ROW()/100000,"")</f>
        <v/>
      </c>
      <c r="AQ365" s="31">
        <f>IF(OR(AG365="",NOT(ISNUMBER(AP365))),0,IF(SUMPRODUCT(('Responses'!$AG$2:$AG$501=AG365)*('Responses'!$AJ$2:$AJ$501=1)*ISNUMBER('Responses'!$AP$2:$AP$501)*('Responses'!$AP$2:$AP$501&gt;AP365)) + SUMPRODUCT(('Paper sign-ups'!$K$2:$K$101=AG365)*('Paper sign-ups'!$N$2:$N$101=1)*ISNUMBER('Paper sign-ups'!$T$2:$T$101)*('Paper sign-ups'!$T$2:$T$101&gt;AP365))&gt;0,1,0))</f>
        <v/>
      </c>
      <c r="AR365" s="31">
        <f>IF(AE365="","",IF(AQ365=1,"Joined again",IF(AJ365=0,"Unpaid",IF(NOT(ISNUMBER(AL365)),"Add a join date",IF(AN365="","No reminder",IF(AO365&lt;0,"Lapsed",IF(AO365&lt;=Settings!$D$6,"Remind soon","Current")))))))</f>
        <v/>
      </c>
      <c r="AS365" s="33">
        <f>IF(AJ365=1,IFERROR(VALUE(IFERROR(TRIM(INDEX($A365:$Z365,MATCH(Settings!$L$8,$A$1:$Z$1,0))&amp;""),"")),0)-IFERROR(VALUE(IFERROR(TRIM(INDEX($A365:$Z365,MATCH(Settings!$L$9,$A$1:$Z$1,0))&amp;""),"")),0),0)</f>
        <v/>
      </c>
      <c r="AT365" s="31">
        <f>IF(AND(AE365&lt;&gt;"",AQ365=0),1,0)</f>
        <v/>
      </c>
      <c r="AU365" s="31">
        <f>IF(AT365=0,"",IF(ISNUMBER(AN365),AN365,100000)+0+ROW()/1000000)</f>
        <v/>
      </c>
      <c r="AV365" s="31">
        <f>IF(ISNUMBER(AU365),SUMPRODUCT(ISNUMBER('Responses'!$AU$2:$AU$501)*('Responses'!$AU$2:$AU$501&lt;AU365)) + SUMPRODUCT(ISNUMBER('Paper sign-ups'!$Y$2:$Y$101)*('Paper sign-ups'!$Y$2:$Y$101&lt;AU365))+1,"")</f>
        <v/>
      </c>
    </row>
    <row r="366">
      <c r="AA366" s="29" t="n"/>
      <c r="AB366" s="30" t="n"/>
      <c r="AC366" s="30" t="n"/>
      <c r="AD366" s="29" t="n"/>
      <c r="AE366" s="31">
        <f>IFERROR(TRIM(INDEX($A366:$Z366,MATCH(Settings!$L$4,$A$1:$Z$1,0))&amp;""),"")</f>
        <v/>
      </c>
      <c r="AF366" s="31">
        <f>IFERROR(TRIM(INDEX($A366:$Z366,MATCH(Settings!$L$5,$A$1:$Z$1,0))&amp;""),"")</f>
        <v/>
      </c>
      <c r="AG366" s="31">
        <f>IF(AE366="","",LOWER(IF(AF366&lt;&gt;"",AF366,AE366)))</f>
        <v/>
      </c>
      <c r="AH366" s="31">
        <f>IFERROR(TRIM(INDEX($A366:$Z366,MATCH(Settings!$L$6,$A$1:$Z$1,0))&amp;""),"")</f>
        <v/>
      </c>
      <c r="AI366" s="31">
        <f>IF(AE366="","",IF(UPPER(TRIM(AB366&amp;""))="Y","Paid another way",IF(IFERROR(TRIM(INDEX($A366:$Z366,MATCH(Settings!$L$7,$A$1:$Z$1,0))&amp;""),"")="","No payment status",IFERROR(TRIM(INDEX($A366:$Z366,MATCH(Settings!$L$7,$A$1:$Z$1,0))&amp;""),""))))</f>
        <v/>
      </c>
      <c r="AJ366" s="31">
        <f>IF(AE366="",0,IF(IFERROR(INDEX(Settings!$J$4:$J$14,MATCH(AI366,Settings!$I$4:$I$14,0)),"N")="Y",1,0))</f>
        <v/>
      </c>
      <c r="AK366" s="32">
        <f>IFERROR(INT(IFERROR(IF(ISNUMBER(INDEX($A366:$Z366,MATCH(Settings!$L$10,$A$1:$Z$1,0))),INDEX($A366:$Z366,MATCH(Settings!$L$10,$A$1:$Z$1,0)),DATE(VALUE(LEFT(IFERROR(TRIM(INDEX($A366:$Z366,MATCH(Settings!$L$10,$A$1:$Z$1,0))&amp;""),""),4)),VALUE(MID(IFERROR(TRIM(INDEX($A366:$Z366,MATCH(Settings!$L$10,$A$1:$Z$1,0))&amp;""),""),6,2)),VALUE(MID(IFERROR(TRIM(INDEX($A366:$Z366,MATCH(Settings!$L$10,$A$1:$Z$1,0))&amp;""),""),9,2)))+TIME(VALUE(MID(IFERROR(TRIM(INDEX($A366:$Z366,MATCH(Settings!$L$10,$A$1:$Z$1,0))&amp;""),""),12,2)),VALUE(MID(IFERROR(TRIM(INDEX($A366:$Z366,MATCH(Settings!$L$10,$A$1:$Z$1,0))&amp;""),""),15,2)),VALUE(MID(IFERROR(TRIM(INDEX($A366:$Z366,MATCH(Settings!$L$10,$A$1:$Z$1,0))&amp;""),""),18,2)))),"")),"")</f>
        <v/>
      </c>
      <c r="AL366" s="32">
        <f>IF(AE366="","",IF(ISNUMBER(AK366),AK366,IFERROR(INT(IFERROR(IF(ISNUMBER(INDEX($A366:$Z366,MATCH(Settings!$L$11,$A$1:$Z$1,0))),INDEX($A366:$Z366,MATCH(Settings!$L$11,$A$1:$Z$1,0)),DATE(VALUE(LEFT(IFERROR(TRIM(INDEX($A366:$Z366,MATCH(Settings!$L$11,$A$1:$Z$1,0))&amp;""),""),4)),VALUE(MID(IFERROR(TRIM(INDEX($A366:$Z366,MATCH(Settings!$L$11,$A$1:$Z$1,0))&amp;""),""),6,2)),VALUE(MID(IFERROR(TRIM(INDEX($A366:$Z366,MATCH(Settings!$L$11,$A$1:$Z$1,0))&amp;""),""),9,2)))+TIME(VALUE(MID(IFERROR(TRIM(INDEX($A366:$Z366,MATCH(Settings!$L$11,$A$1:$Z$1,0))&amp;""),""),12,2)),VALUE(MID(IFERROR(TRIM(INDEX($A366:$Z366,MATCH(Settings!$L$11,$A$1:$Z$1,0))&amp;""),""),15,2)),VALUE(MID(IFERROR(TRIM(INDEX($A366:$Z366,MATCH(Settings!$L$11,$A$1:$Z$1,0))&amp;""),""),18,2)))),"")),"")))</f>
        <v/>
      </c>
      <c r="AM366" s="31">
        <f>IF(AE366="","",IF(ISNUMBER(IFERROR(INDEX(Settings!$G$4:$G$11,MATCH(AH366,Settings!$F$4:$F$11,0)),"")),INDEX(Settings!$G$4:$G$11,MATCH(AH366,Settings!$F$4:$F$11,0)),Settings!$D$5))</f>
        <v/>
      </c>
      <c r="AN366" s="32">
        <f>IF(OR(AE366="",NOT(ISNUMBER(AL366)),NOT(ISNUMBER(AM366))),"",IF(AM366&lt;=0,"",IF(ISNUMBER(Settings!$D$8),DATE(YEAR(AL366)+IF(DATE(YEAR(AL366),MONTH(Settings!$D$8),DAY(Settings!$D$8))&gt;AL366,0,1),MONTH(Settings!$D$8),DAY(Settings!$D$8)),MIN(DATE(YEAR(AL366),MONTH(AL366)+AM366,DAY(AL366)),DATE(YEAR(AL366),MONTH(AL366)+AM366+1,0)))))</f>
        <v/>
      </c>
      <c r="AO366" s="31">
        <f>IF(ISNUMBER(AN366),AN366-Settings!$D$4,"")</f>
        <v/>
      </c>
      <c r="AP366" s="31">
        <f>IF(ISNUMBER(AL366),AL366+0+ROW()/100000,"")</f>
        <v/>
      </c>
      <c r="AQ366" s="31">
        <f>IF(OR(AG366="",NOT(ISNUMBER(AP366))),0,IF(SUMPRODUCT(('Responses'!$AG$2:$AG$501=AG366)*('Responses'!$AJ$2:$AJ$501=1)*ISNUMBER('Responses'!$AP$2:$AP$501)*('Responses'!$AP$2:$AP$501&gt;AP366)) + SUMPRODUCT(('Paper sign-ups'!$K$2:$K$101=AG366)*('Paper sign-ups'!$N$2:$N$101=1)*ISNUMBER('Paper sign-ups'!$T$2:$T$101)*('Paper sign-ups'!$T$2:$T$101&gt;AP366))&gt;0,1,0))</f>
        <v/>
      </c>
      <c r="AR366" s="31">
        <f>IF(AE366="","",IF(AQ366=1,"Joined again",IF(AJ366=0,"Unpaid",IF(NOT(ISNUMBER(AL366)),"Add a join date",IF(AN366="","No reminder",IF(AO366&lt;0,"Lapsed",IF(AO366&lt;=Settings!$D$6,"Remind soon","Current")))))))</f>
        <v/>
      </c>
      <c r="AS366" s="33">
        <f>IF(AJ366=1,IFERROR(VALUE(IFERROR(TRIM(INDEX($A366:$Z366,MATCH(Settings!$L$8,$A$1:$Z$1,0))&amp;""),"")),0)-IFERROR(VALUE(IFERROR(TRIM(INDEX($A366:$Z366,MATCH(Settings!$L$9,$A$1:$Z$1,0))&amp;""),"")),0),0)</f>
        <v/>
      </c>
      <c r="AT366" s="31">
        <f>IF(AND(AE366&lt;&gt;"",AQ366=0),1,0)</f>
        <v/>
      </c>
      <c r="AU366" s="31">
        <f>IF(AT366=0,"",IF(ISNUMBER(AN366),AN366,100000)+0+ROW()/1000000)</f>
        <v/>
      </c>
      <c r="AV366" s="31">
        <f>IF(ISNUMBER(AU366),SUMPRODUCT(ISNUMBER('Responses'!$AU$2:$AU$501)*('Responses'!$AU$2:$AU$501&lt;AU366)) + SUMPRODUCT(ISNUMBER('Paper sign-ups'!$Y$2:$Y$101)*('Paper sign-ups'!$Y$2:$Y$101&lt;AU366))+1,"")</f>
        <v/>
      </c>
    </row>
    <row r="367">
      <c r="AA367" s="29" t="n"/>
      <c r="AB367" s="30" t="n"/>
      <c r="AC367" s="30" t="n"/>
      <c r="AD367" s="29" t="n"/>
      <c r="AE367" s="31">
        <f>IFERROR(TRIM(INDEX($A367:$Z367,MATCH(Settings!$L$4,$A$1:$Z$1,0))&amp;""),"")</f>
        <v/>
      </c>
      <c r="AF367" s="31">
        <f>IFERROR(TRIM(INDEX($A367:$Z367,MATCH(Settings!$L$5,$A$1:$Z$1,0))&amp;""),"")</f>
        <v/>
      </c>
      <c r="AG367" s="31">
        <f>IF(AE367="","",LOWER(IF(AF367&lt;&gt;"",AF367,AE367)))</f>
        <v/>
      </c>
      <c r="AH367" s="31">
        <f>IFERROR(TRIM(INDEX($A367:$Z367,MATCH(Settings!$L$6,$A$1:$Z$1,0))&amp;""),"")</f>
        <v/>
      </c>
      <c r="AI367" s="31">
        <f>IF(AE367="","",IF(UPPER(TRIM(AB367&amp;""))="Y","Paid another way",IF(IFERROR(TRIM(INDEX($A367:$Z367,MATCH(Settings!$L$7,$A$1:$Z$1,0))&amp;""),"")="","No payment status",IFERROR(TRIM(INDEX($A367:$Z367,MATCH(Settings!$L$7,$A$1:$Z$1,0))&amp;""),""))))</f>
        <v/>
      </c>
      <c r="AJ367" s="31">
        <f>IF(AE367="",0,IF(IFERROR(INDEX(Settings!$J$4:$J$14,MATCH(AI367,Settings!$I$4:$I$14,0)),"N")="Y",1,0))</f>
        <v/>
      </c>
      <c r="AK367" s="32">
        <f>IFERROR(INT(IFERROR(IF(ISNUMBER(INDEX($A367:$Z367,MATCH(Settings!$L$10,$A$1:$Z$1,0))),INDEX($A367:$Z367,MATCH(Settings!$L$10,$A$1:$Z$1,0)),DATE(VALUE(LEFT(IFERROR(TRIM(INDEX($A367:$Z367,MATCH(Settings!$L$10,$A$1:$Z$1,0))&amp;""),""),4)),VALUE(MID(IFERROR(TRIM(INDEX($A367:$Z367,MATCH(Settings!$L$10,$A$1:$Z$1,0))&amp;""),""),6,2)),VALUE(MID(IFERROR(TRIM(INDEX($A367:$Z367,MATCH(Settings!$L$10,$A$1:$Z$1,0))&amp;""),""),9,2)))+TIME(VALUE(MID(IFERROR(TRIM(INDEX($A367:$Z367,MATCH(Settings!$L$10,$A$1:$Z$1,0))&amp;""),""),12,2)),VALUE(MID(IFERROR(TRIM(INDEX($A367:$Z367,MATCH(Settings!$L$10,$A$1:$Z$1,0))&amp;""),""),15,2)),VALUE(MID(IFERROR(TRIM(INDEX($A367:$Z367,MATCH(Settings!$L$10,$A$1:$Z$1,0))&amp;""),""),18,2)))),"")),"")</f>
        <v/>
      </c>
      <c r="AL367" s="32">
        <f>IF(AE367="","",IF(ISNUMBER(AK367),AK367,IFERROR(INT(IFERROR(IF(ISNUMBER(INDEX($A367:$Z367,MATCH(Settings!$L$11,$A$1:$Z$1,0))),INDEX($A367:$Z367,MATCH(Settings!$L$11,$A$1:$Z$1,0)),DATE(VALUE(LEFT(IFERROR(TRIM(INDEX($A367:$Z367,MATCH(Settings!$L$11,$A$1:$Z$1,0))&amp;""),""),4)),VALUE(MID(IFERROR(TRIM(INDEX($A367:$Z367,MATCH(Settings!$L$11,$A$1:$Z$1,0))&amp;""),""),6,2)),VALUE(MID(IFERROR(TRIM(INDEX($A367:$Z367,MATCH(Settings!$L$11,$A$1:$Z$1,0))&amp;""),""),9,2)))+TIME(VALUE(MID(IFERROR(TRIM(INDEX($A367:$Z367,MATCH(Settings!$L$11,$A$1:$Z$1,0))&amp;""),""),12,2)),VALUE(MID(IFERROR(TRIM(INDEX($A367:$Z367,MATCH(Settings!$L$11,$A$1:$Z$1,0))&amp;""),""),15,2)),VALUE(MID(IFERROR(TRIM(INDEX($A367:$Z367,MATCH(Settings!$L$11,$A$1:$Z$1,0))&amp;""),""),18,2)))),"")),"")))</f>
        <v/>
      </c>
      <c r="AM367" s="31">
        <f>IF(AE367="","",IF(ISNUMBER(IFERROR(INDEX(Settings!$G$4:$G$11,MATCH(AH367,Settings!$F$4:$F$11,0)),"")),INDEX(Settings!$G$4:$G$11,MATCH(AH367,Settings!$F$4:$F$11,0)),Settings!$D$5))</f>
        <v/>
      </c>
      <c r="AN367" s="32">
        <f>IF(OR(AE367="",NOT(ISNUMBER(AL367)),NOT(ISNUMBER(AM367))),"",IF(AM367&lt;=0,"",IF(ISNUMBER(Settings!$D$8),DATE(YEAR(AL367)+IF(DATE(YEAR(AL367),MONTH(Settings!$D$8),DAY(Settings!$D$8))&gt;AL367,0,1),MONTH(Settings!$D$8),DAY(Settings!$D$8)),MIN(DATE(YEAR(AL367),MONTH(AL367)+AM367,DAY(AL367)),DATE(YEAR(AL367),MONTH(AL367)+AM367+1,0)))))</f>
        <v/>
      </c>
      <c r="AO367" s="31">
        <f>IF(ISNUMBER(AN367),AN367-Settings!$D$4,"")</f>
        <v/>
      </c>
      <c r="AP367" s="31">
        <f>IF(ISNUMBER(AL367),AL367+0+ROW()/100000,"")</f>
        <v/>
      </c>
      <c r="AQ367" s="31">
        <f>IF(OR(AG367="",NOT(ISNUMBER(AP367))),0,IF(SUMPRODUCT(('Responses'!$AG$2:$AG$501=AG367)*('Responses'!$AJ$2:$AJ$501=1)*ISNUMBER('Responses'!$AP$2:$AP$501)*('Responses'!$AP$2:$AP$501&gt;AP367)) + SUMPRODUCT(('Paper sign-ups'!$K$2:$K$101=AG367)*('Paper sign-ups'!$N$2:$N$101=1)*ISNUMBER('Paper sign-ups'!$T$2:$T$101)*('Paper sign-ups'!$T$2:$T$101&gt;AP367))&gt;0,1,0))</f>
        <v/>
      </c>
      <c r="AR367" s="31">
        <f>IF(AE367="","",IF(AQ367=1,"Joined again",IF(AJ367=0,"Unpaid",IF(NOT(ISNUMBER(AL367)),"Add a join date",IF(AN367="","No reminder",IF(AO367&lt;0,"Lapsed",IF(AO367&lt;=Settings!$D$6,"Remind soon","Current")))))))</f>
        <v/>
      </c>
      <c r="AS367" s="33">
        <f>IF(AJ367=1,IFERROR(VALUE(IFERROR(TRIM(INDEX($A367:$Z367,MATCH(Settings!$L$8,$A$1:$Z$1,0))&amp;""),"")),0)-IFERROR(VALUE(IFERROR(TRIM(INDEX($A367:$Z367,MATCH(Settings!$L$9,$A$1:$Z$1,0))&amp;""),"")),0),0)</f>
        <v/>
      </c>
      <c r="AT367" s="31">
        <f>IF(AND(AE367&lt;&gt;"",AQ367=0),1,0)</f>
        <v/>
      </c>
      <c r="AU367" s="31">
        <f>IF(AT367=0,"",IF(ISNUMBER(AN367),AN367,100000)+0+ROW()/1000000)</f>
        <v/>
      </c>
      <c r="AV367" s="31">
        <f>IF(ISNUMBER(AU367),SUMPRODUCT(ISNUMBER('Responses'!$AU$2:$AU$501)*('Responses'!$AU$2:$AU$501&lt;AU367)) + SUMPRODUCT(ISNUMBER('Paper sign-ups'!$Y$2:$Y$101)*('Paper sign-ups'!$Y$2:$Y$101&lt;AU367))+1,"")</f>
        <v/>
      </c>
    </row>
    <row r="368">
      <c r="AA368" s="29" t="n"/>
      <c r="AB368" s="30" t="n"/>
      <c r="AC368" s="30" t="n"/>
      <c r="AD368" s="29" t="n"/>
      <c r="AE368" s="31">
        <f>IFERROR(TRIM(INDEX($A368:$Z368,MATCH(Settings!$L$4,$A$1:$Z$1,0))&amp;""),"")</f>
        <v/>
      </c>
      <c r="AF368" s="31">
        <f>IFERROR(TRIM(INDEX($A368:$Z368,MATCH(Settings!$L$5,$A$1:$Z$1,0))&amp;""),"")</f>
        <v/>
      </c>
      <c r="AG368" s="31">
        <f>IF(AE368="","",LOWER(IF(AF368&lt;&gt;"",AF368,AE368)))</f>
        <v/>
      </c>
      <c r="AH368" s="31">
        <f>IFERROR(TRIM(INDEX($A368:$Z368,MATCH(Settings!$L$6,$A$1:$Z$1,0))&amp;""),"")</f>
        <v/>
      </c>
      <c r="AI368" s="31">
        <f>IF(AE368="","",IF(UPPER(TRIM(AB368&amp;""))="Y","Paid another way",IF(IFERROR(TRIM(INDEX($A368:$Z368,MATCH(Settings!$L$7,$A$1:$Z$1,0))&amp;""),"")="","No payment status",IFERROR(TRIM(INDEX($A368:$Z368,MATCH(Settings!$L$7,$A$1:$Z$1,0))&amp;""),""))))</f>
        <v/>
      </c>
      <c r="AJ368" s="31">
        <f>IF(AE368="",0,IF(IFERROR(INDEX(Settings!$J$4:$J$14,MATCH(AI368,Settings!$I$4:$I$14,0)),"N")="Y",1,0))</f>
        <v/>
      </c>
      <c r="AK368" s="32">
        <f>IFERROR(INT(IFERROR(IF(ISNUMBER(INDEX($A368:$Z368,MATCH(Settings!$L$10,$A$1:$Z$1,0))),INDEX($A368:$Z368,MATCH(Settings!$L$10,$A$1:$Z$1,0)),DATE(VALUE(LEFT(IFERROR(TRIM(INDEX($A368:$Z368,MATCH(Settings!$L$10,$A$1:$Z$1,0))&amp;""),""),4)),VALUE(MID(IFERROR(TRIM(INDEX($A368:$Z368,MATCH(Settings!$L$10,$A$1:$Z$1,0))&amp;""),""),6,2)),VALUE(MID(IFERROR(TRIM(INDEX($A368:$Z368,MATCH(Settings!$L$10,$A$1:$Z$1,0))&amp;""),""),9,2)))+TIME(VALUE(MID(IFERROR(TRIM(INDEX($A368:$Z368,MATCH(Settings!$L$10,$A$1:$Z$1,0))&amp;""),""),12,2)),VALUE(MID(IFERROR(TRIM(INDEX($A368:$Z368,MATCH(Settings!$L$10,$A$1:$Z$1,0))&amp;""),""),15,2)),VALUE(MID(IFERROR(TRIM(INDEX($A368:$Z368,MATCH(Settings!$L$10,$A$1:$Z$1,0))&amp;""),""),18,2)))),"")),"")</f>
        <v/>
      </c>
      <c r="AL368" s="32">
        <f>IF(AE368="","",IF(ISNUMBER(AK368),AK368,IFERROR(INT(IFERROR(IF(ISNUMBER(INDEX($A368:$Z368,MATCH(Settings!$L$11,$A$1:$Z$1,0))),INDEX($A368:$Z368,MATCH(Settings!$L$11,$A$1:$Z$1,0)),DATE(VALUE(LEFT(IFERROR(TRIM(INDEX($A368:$Z368,MATCH(Settings!$L$11,$A$1:$Z$1,0))&amp;""),""),4)),VALUE(MID(IFERROR(TRIM(INDEX($A368:$Z368,MATCH(Settings!$L$11,$A$1:$Z$1,0))&amp;""),""),6,2)),VALUE(MID(IFERROR(TRIM(INDEX($A368:$Z368,MATCH(Settings!$L$11,$A$1:$Z$1,0))&amp;""),""),9,2)))+TIME(VALUE(MID(IFERROR(TRIM(INDEX($A368:$Z368,MATCH(Settings!$L$11,$A$1:$Z$1,0))&amp;""),""),12,2)),VALUE(MID(IFERROR(TRIM(INDEX($A368:$Z368,MATCH(Settings!$L$11,$A$1:$Z$1,0))&amp;""),""),15,2)),VALUE(MID(IFERROR(TRIM(INDEX($A368:$Z368,MATCH(Settings!$L$11,$A$1:$Z$1,0))&amp;""),""),18,2)))),"")),"")))</f>
        <v/>
      </c>
      <c r="AM368" s="31">
        <f>IF(AE368="","",IF(ISNUMBER(IFERROR(INDEX(Settings!$G$4:$G$11,MATCH(AH368,Settings!$F$4:$F$11,0)),"")),INDEX(Settings!$G$4:$G$11,MATCH(AH368,Settings!$F$4:$F$11,0)),Settings!$D$5))</f>
        <v/>
      </c>
      <c r="AN368" s="32">
        <f>IF(OR(AE368="",NOT(ISNUMBER(AL368)),NOT(ISNUMBER(AM368))),"",IF(AM368&lt;=0,"",IF(ISNUMBER(Settings!$D$8),DATE(YEAR(AL368)+IF(DATE(YEAR(AL368),MONTH(Settings!$D$8),DAY(Settings!$D$8))&gt;AL368,0,1),MONTH(Settings!$D$8),DAY(Settings!$D$8)),MIN(DATE(YEAR(AL368),MONTH(AL368)+AM368,DAY(AL368)),DATE(YEAR(AL368),MONTH(AL368)+AM368+1,0)))))</f>
        <v/>
      </c>
      <c r="AO368" s="31">
        <f>IF(ISNUMBER(AN368),AN368-Settings!$D$4,"")</f>
        <v/>
      </c>
      <c r="AP368" s="31">
        <f>IF(ISNUMBER(AL368),AL368+0+ROW()/100000,"")</f>
        <v/>
      </c>
      <c r="AQ368" s="31">
        <f>IF(OR(AG368="",NOT(ISNUMBER(AP368))),0,IF(SUMPRODUCT(('Responses'!$AG$2:$AG$501=AG368)*('Responses'!$AJ$2:$AJ$501=1)*ISNUMBER('Responses'!$AP$2:$AP$501)*('Responses'!$AP$2:$AP$501&gt;AP368)) + SUMPRODUCT(('Paper sign-ups'!$K$2:$K$101=AG368)*('Paper sign-ups'!$N$2:$N$101=1)*ISNUMBER('Paper sign-ups'!$T$2:$T$101)*('Paper sign-ups'!$T$2:$T$101&gt;AP368))&gt;0,1,0))</f>
        <v/>
      </c>
      <c r="AR368" s="31">
        <f>IF(AE368="","",IF(AQ368=1,"Joined again",IF(AJ368=0,"Unpaid",IF(NOT(ISNUMBER(AL368)),"Add a join date",IF(AN368="","No reminder",IF(AO368&lt;0,"Lapsed",IF(AO368&lt;=Settings!$D$6,"Remind soon","Current")))))))</f>
        <v/>
      </c>
      <c r="AS368" s="33">
        <f>IF(AJ368=1,IFERROR(VALUE(IFERROR(TRIM(INDEX($A368:$Z368,MATCH(Settings!$L$8,$A$1:$Z$1,0))&amp;""),"")),0)-IFERROR(VALUE(IFERROR(TRIM(INDEX($A368:$Z368,MATCH(Settings!$L$9,$A$1:$Z$1,0))&amp;""),"")),0),0)</f>
        <v/>
      </c>
      <c r="AT368" s="31">
        <f>IF(AND(AE368&lt;&gt;"",AQ368=0),1,0)</f>
        <v/>
      </c>
      <c r="AU368" s="31">
        <f>IF(AT368=0,"",IF(ISNUMBER(AN368),AN368,100000)+0+ROW()/1000000)</f>
        <v/>
      </c>
      <c r="AV368" s="31">
        <f>IF(ISNUMBER(AU368),SUMPRODUCT(ISNUMBER('Responses'!$AU$2:$AU$501)*('Responses'!$AU$2:$AU$501&lt;AU368)) + SUMPRODUCT(ISNUMBER('Paper sign-ups'!$Y$2:$Y$101)*('Paper sign-ups'!$Y$2:$Y$101&lt;AU368))+1,"")</f>
        <v/>
      </c>
    </row>
    <row r="369">
      <c r="AA369" s="29" t="n"/>
      <c r="AB369" s="30" t="n"/>
      <c r="AC369" s="30" t="n"/>
      <c r="AD369" s="29" t="n"/>
      <c r="AE369" s="31">
        <f>IFERROR(TRIM(INDEX($A369:$Z369,MATCH(Settings!$L$4,$A$1:$Z$1,0))&amp;""),"")</f>
        <v/>
      </c>
      <c r="AF369" s="31">
        <f>IFERROR(TRIM(INDEX($A369:$Z369,MATCH(Settings!$L$5,$A$1:$Z$1,0))&amp;""),"")</f>
        <v/>
      </c>
      <c r="AG369" s="31">
        <f>IF(AE369="","",LOWER(IF(AF369&lt;&gt;"",AF369,AE369)))</f>
        <v/>
      </c>
      <c r="AH369" s="31">
        <f>IFERROR(TRIM(INDEX($A369:$Z369,MATCH(Settings!$L$6,$A$1:$Z$1,0))&amp;""),"")</f>
        <v/>
      </c>
      <c r="AI369" s="31">
        <f>IF(AE369="","",IF(UPPER(TRIM(AB369&amp;""))="Y","Paid another way",IF(IFERROR(TRIM(INDEX($A369:$Z369,MATCH(Settings!$L$7,$A$1:$Z$1,0))&amp;""),"")="","No payment status",IFERROR(TRIM(INDEX($A369:$Z369,MATCH(Settings!$L$7,$A$1:$Z$1,0))&amp;""),""))))</f>
        <v/>
      </c>
      <c r="AJ369" s="31">
        <f>IF(AE369="",0,IF(IFERROR(INDEX(Settings!$J$4:$J$14,MATCH(AI369,Settings!$I$4:$I$14,0)),"N")="Y",1,0))</f>
        <v/>
      </c>
      <c r="AK369" s="32">
        <f>IFERROR(INT(IFERROR(IF(ISNUMBER(INDEX($A369:$Z369,MATCH(Settings!$L$10,$A$1:$Z$1,0))),INDEX($A369:$Z369,MATCH(Settings!$L$10,$A$1:$Z$1,0)),DATE(VALUE(LEFT(IFERROR(TRIM(INDEX($A369:$Z369,MATCH(Settings!$L$10,$A$1:$Z$1,0))&amp;""),""),4)),VALUE(MID(IFERROR(TRIM(INDEX($A369:$Z369,MATCH(Settings!$L$10,$A$1:$Z$1,0))&amp;""),""),6,2)),VALUE(MID(IFERROR(TRIM(INDEX($A369:$Z369,MATCH(Settings!$L$10,$A$1:$Z$1,0))&amp;""),""),9,2)))+TIME(VALUE(MID(IFERROR(TRIM(INDEX($A369:$Z369,MATCH(Settings!$L$10,$A$1:$Z$1,0))&amp;""),""),12,2)),VALUE(MID(IFERROR(TRIM(INDEX($A369:$Z369,MATCH(Settings!$L$10,$A$1:$Z$1,0))&amp;""),""),15,2)),VALUE(MID(IFERROR(TRIM(INDEX($A369:$Z369,MATCH(Settings!$L$10,$A$1:$Z$1,0))&amp;""),""),18,2)))),"")),"")</f>
        <v/>
      </c>
      <c r="AL369" s="32">
        <f>IF(AE369="","",IF(ISNUMBER(AK369),AK369,IFERROR(INT(IFERROR(IF(ISNUMBER(INDEX($A369:$Z369,MATCH(Settings!$L$11,$A$1:$Z$1,0))),INDEX($A369:$Z369,MATCH(Settings!$L$11,$A$1:$Z$1,0)),DATE(VALUE(LEFT(IFERROR(TRIM(INDEX($A369:$Z369,MATCH(Settings!$L$11,$A$1:$Z$1,0))&amp;""),""),4)),VALUE(MID(IFERROR(TRIM(INDEX($A369:$Z369,MATCH(Settings!$L$11,$A$1:$Z$1,0))&amp;""),""),6,2)),VALUE(MID(IFERROR(TRIM(INDEX($A369:$Z369,MATCH(Settings!$L$11,$A$1:$Z$1,0))&amp;""),""),9,2)))+TIME(VALUE(MID(IFERROR(TRIM(INDEX($A369:$Z369,MATCH(Settings!$L$11,$A$1:$Z$1,0))&amp;""),""),12,2)),VALUE(MID(IFERROR(TRIM(INDEX($A369:$Z369,MATCH(Settings!$L$11,$A$1:$Z$1,0))&amp;""),""),15,2)),VALUE(MID(IFERROR(TRIM(INDEX($A369:$Z369,MATCH(Settings!$L$11,$A$1:$Z$1,0))&amp;""),""),18,2)))),"")),"")))</f>
        <v/>
      </c>
      <c r="AM369" s="31">
        <f>IF(AE369="","",IF(ISNUMBER(IFERROR(INDEX(Settings!$G$4:$G$11,MATCH(AH369,Settings!$F$4:$F$11,0)),"")),INDEX(Settings!$G$4:$G$11,MATCH(AH369,Settings!$F$4:$F$11,0)),Settings!$D$5))</f>
        <v/>
      </c>
      <c r="AN369" s="32">
        <f>IF(OR(AE369="",NOT(ISNUMBER(AL369)),NOT(ISNUMBER(AM369))),"",IF(AM369&lt;=0,"",IF(ISNUMBER(Settings!$D$8),DATE(YEAR(AL369)+IF(DATE(YEAR(AL369),MONTH(Settings!$D$8),DAY(Settings!$D$8))&gt;AL369,0,1),MONTH(Settings!$D$8),DAY(Settings!$D$8)),MIN(DATE(YEAR(AL369),MONTH(AL369)+AM369,DAY(AL369)),DATE(YEAR(AL369),MONTH(AL369)+AM369+1,0)))))</f>
        <v/>
      </c>
      <c r="AO369" s="31">
        <f>IF(ISNUMBER(AN369),AN369-Settings!$D$4,"")</f>
        <v/>
      </c>
      <c r="AP369" s="31">
        <f>IF(ISNUMBER(AL369),AL369+0+ROW()/100000,"")</f>
        <v/>
      </c>
      <c r="AQ369" s="31">
        <f>IF(OR(AG369="",NOT(ISNUMBER(AP369))),0,IF(SUMPRODUCT(('Responses'!$AG$2:$AG$501=AG369)*('Responses'!$AJ$2:$AJ$501=1)*ISNUMBER('Responses'!$AP$2:$AP$501)*('Responses'!$AP$2:$AP$501&gt;AP369)) + SUMPRODUCT(('Paper sign-ups'!$K$2:$K$101=AG369)*('Paper sign-ups'!$N$2:$N$101=1)*ISNUMBER('Paper sign-ups'!$T$2:$T$101)*('Paper sign-ups'!$T$2:$T$101&gt;AP369))&gt;0,1,0))</f>
        <v/>
      </c>
      <c r="AR369" s="31">
        <f>IF(AE369="","",IF(AQ369=1,"Joined again",IF(AJ369=0,"Unpaid",IF(NOT(ISNUMBER(AL369)),"Add a join date",IF(AN369="","No reminder",IF(AO369&lt;0,"Lapsed",IF(AO369&lt;=Settings!$D$6,"Remind soon","Current")))))))</f>
        <v/>
      </c>
      <c r="AS369" s="33">
        <f>IF(AJ369=1,IFERROR(VALUE(IFERROR(TRIM(INDEX($A369:$Z369,MATCH(Settings!$L$8,$A$1:$Z$1,0))&amp;""),"")),0)-IFERROR(VALUE(IFERROR(TRIM(INDEX($A369:$Z369,MATCH(Settings!$L$9,$A$1:$Z$1,0))&amp;""),"")),0),0)</f>
        <v/>
      </c>
      <c r="AT369" s="31">
        <f>IF(AND(AE369&lt;&gt;"",AQ369=0),1,0)</f>
        <v/>
      </c>
      <c r="AU369" s="31">
        <f>IF(AT369=0,"",IF(ISNUMBER(AN369),AN369,100000)+0+ROW()/1000000)</f>
        <v/>
      </c>
      <c r="AV369" s="31">
        <f>IF(ISNUMBER(AU369),SUMPRODUCT(ISNUMBER('Responses'!$AU$2:$AU$501)*('Responses'!$AU$2:$AU$501&lt;AU369)) + SUMPRODUCT(ISNUMBER('Paper sign-ups'!$Y$2:$Y$101)*('Paper sign-ups'!$Y$2:$Y$101&lt;AU369))+1,"")</f>
        <v/>
      </c>
    </row>
    <row r="370">
      <c r="AA370" s="29" t="n"/>
      <c r="AB370" s="30" t="n"/>
      <c r="AC370" s="30" t="n"/>
      <c r="AD370" s="29" t="n"/>
      <c r="AE370" s="31">
        <f>IFERROR(TRIM(INDEX($A370:$Z370,MATCH(Settings!$L$4,$A$1:$Z$1,0))&amp;""),"")</f>
        <v/>
      </c>
      <c r="AF370" s="31">
        <f>IFERROR(TRIM(INDEX($A370:$Z370,MATCH(Settings!$L$5,$A$1:$Z$1,0))&amp;""),"")</f>
        <v/>
      </c>
      <c r="AG370" s="31">
        <f>IF(AE370="","",LOWER(IF(AF370&lt;&gt;"",AF370,AE370)))</f>
        <v/>
      </c>
      <c r="AH370" s="31">
        <f>IFERROR(TRIM(INDEX($A370:$Z370,MATCH(Settings!$L$6,$A$1:$Z$1,0))&amp;""),"")</f>
        <v/>
      </c>
      <c r="AI370" s="31">
        <f>IF(AE370="","",IF(UPPER(TRIM(AB370&amp;""))="Y","Paid another way",IF(IFERROR(TRIM(INDEX($A370:$Z370,MATCH(Settings!$L$7,$A$1:$Z$1,0))&amp;""),"")="","No payment status",IFERROR(TRIM(INDEX($A370:$Z370,MATCH(Settings!$L$7,$A$1:$Z$1,0))&amp;""),""))))</f>
        <v/>
      </c>
      <c r="AJ370" s="31">
        <f>IF(AE370="",0,IF(IFERROR(INDEX(Settings!$J$4:$J$14,MATCH(AI370,Settings!$I$4:$I$14,0)),"N")="Y",1,0))</f>
        <v/>
      </c>
      <c r="AK370" s="32">
        <f>IFERROR(INT(IFERROR(IF(ISNUMBER(INDEX($A370:$Z370,MATCH(Settings!$L$10,$A$1:$Z$1,0))),INDEX($A370:$Z370,MATCH(Settings!$L$10,$A$1:$Z$1,0)),DATE(VALUE(LEFT(IFERROR(TRIM(INDEX($A370:$Z370,MATCH(Settings!$L$10,$A$1:$Z$1,0))&amp;""),""),4)),VALUE(MID(IFERROR(TRIM(INDEX($A370:$Z370,MATCH(Settings!$L$10,$A$1:$Z$1,0))&amp;""),""),6,2)),VALUE(MID(IFERROR(TRIM(INDEX($A370:$Z370,MATCH(Settings!$L$10,$A$1:$Z$1,0))&amp;""),""),9,2)))+TIME(VALUE(MID(IFERROR(TRIM(INDEX($A370:$Z370,MATCH(Settings!$L$10,$A$1:$Z$1,0))&amp;""),""),12,2)),VALUE(MID(IFERROR(TRIM(INDEX($A370:$Z370,MATCH(Settings!$L$10,$A$1:$Z$1,0))&amp;""),""),15,2)),VALUE(MID(IFERROR(TRIM(INDEX($A370:$Z370,MATCH(Settings!$L$10,$A$1:$Z$1,0))&amp;""),""),18,2)))),"")),"")</f>
        <v/>
      </c>
      <c r="AL370" s="32">
        <f>IF(AE370="","",IF(ISNUMBER(AK370),AK370,IFERROR(INT(IFERROR(IF(ISNUMBER(INDEX($A370:$Z370,MATCH(Settings!$L$11,$A$1:$Z$1,0))),INDEX($A370:$Z370,MATCH(Settings!$L$11,$A$1:$Z$1,0)),DATE(VALUE(LEFT(IFERROR(TRIM(INDEX($A370:$Z370,MATCH(Settings!$L$11,$A$1:$Z$1,0))&amp;""),""),4)),VALUE(MID(IFERROR(TRIM(INDEX($A370:$Z370,MATCH(Settings!$L$11,$A$1:$Z$1,0))&amp;""),""),6,2)),VALUE(MID(IFERROR(TRIM(INDEX($A370:$Z370,MATCH(Settings!$L$11,$A$1:$Z$1,0))&amp;""),""),9,2)))+TIME(VALUE(MID(IFERROR(TRIM(INDEX($A370:$Z370,MATCH(Settings!$L$11,$A$1:$Z$1,0))&amp;""),""),12,2)),VALUE(MID(IFERROR(TRIM(INDEX($A370:$Z370,MATCH(Settings!$L$11,$A$1:$Z$1,0))&amp;""),""),15,2)),VALUE(MID(IFERROR(TRIM(INDEX($A370:$Z370,MATCH(Settings!$L$11,$A$1:$Z$1,0))&amp;""),""),18,2)))),"")),"")))</f>
        <v/>
      </c>
      <c r="AM370" s="31">
        <f>IF(AE370="","",IF(ISNUMBER(IFERROR(INDEX(Settings!$G$4:$G$11,MATCH(AH370,Settings!$F$4:$F$11,0)),"")),INDEX(Settings!$G$4:$G$11,MATCH(AH370,Settings!$F$4:$F$11,0)),Settings!$D$5))</f>
        <v/>
      </c>
      <c r="AN370" s="32">
        <f>IF(OR(AE370="",NOT(ISNUMBER(AL370)),NOT(ISNUMBER(AM370))),"",IF(AM370&lt;=0,"",IF(ISNUMBER(Settings!$D$8),DATE(YEAR(AL370)+IF(DATE(YEAR(AL370),MONTH(Settings!$D$8),DAY(Settings!$D$8))&gt;AL370,0,1),MONTH(Settings!$D$8),DAY(Settings!$D$8)),MIN(DATE(YEAR(AL370),MONTH(AL370)+AM370,DAY(AL370)),DATE(YEAR(AL370),MONTH(AL370)+AM370+1,0)))))</f>
        <v/>
      </c>
      <c r="AO370" s="31">
        <f>IF(ISNUMBER(AN370),AN370-Settings!$D$4,"")</f>
        <v/>
      </c>
      <c r="AP370" s="31">
        <f>IF(ISNUMBER(AL370),AL370+0+ROW()/100000,"")</f>
        <v/>
      </c>
      <c r="AQ370" s="31">
        <f>IF(OR(AG370="",NOT(ISNUMBER(AP370))),0,IF(SUMPRODUCT(('Responses'!$AG$2:$AG$501=AG370)*('Responses'!$AJ$2:$AJ$501=1)*ISNUMBER('Responses'!$AP$2:$AP$501)*('Responses'!$AP$2:$AP$501&gt;AP370)) + SUMPRODUCT(('Paper sign-ups'!$K$2:$K$101=AG370)*('Paper sign-ups'!$N$2:$N$101=1)*ISNUMBER('Paper sign-ups'!$T$2:$T$101)*('Paper sign-ups'!$T$2:$T$101&gt;AP370))&gt;0,1,0))</f>
        <v/>
      </c>
      <c r="AR370" s="31">
        <f>IF(AE370="","",IF(AQ370=1,"Joined again",IF(AJ370=0,"Unpaid",IF(NOT(ISNUMBER(AL370)),"Add a join date",IF(AN370="","No reminder",IF(AO370&lt;0,"Lapsed",IF(AO370&lt;=Settings!$D$6,"Remind soon","Current")))))))</f>
        <v/>
      </c>
      <c r="AS370" s="33">
        <f>IF(AJ370=1,IFERROR(VALUE(IFERROR(TRIM(INDEX($A370:$Z370,MATCH(Settings!$L$8,$A$1:$Z$1,0))&amp;""),"")),0)-IFERROR(VALUE(IFERROR(TRIM(INDEX($A370:$Z370,MATCH(Settings!$L$9,$A$1:$Z$1,0))&amp;""),"")),0),0)</f>
        <v/>
      </c>
      <c r="AT370" s="31">
        <f>IF(AND(AE370&lt;&gt;"",AQ370=0),1,0)</f>
        <v/>
      </c>
      <c r="AU370" s="31">
        <f>IF(AT370=0,"",IF(ISNUMBER(AN370),AN370,100000)+0+ROW()/1000000)</f>
        <v/>
      </c>
      <c r="AV370" s="31">
        <f>IF(ISNUMBER(AU370),SUMPRODUCT(ISNUMBER('Responses'!$AU$2:$AU$501)*('Responses'!$AU$2:$AU$501&lt;AU370)) + SUMPRODUCT(ISNUMBER('Paper sign-ups'!$Y$2:$Y$101)*('Paper sign-ups'!$Y$2:$Y$101&lt;AU370))+1,"")</f>
        <v/>
      </c>
    </row>
    <row r="371">
      <c r="AA371" s="29" t="n"/>
      <c r="AB371" s="30" t="n"/>
      <c r="AC371" s="30" t="n"/>
      <c r="AD371" s="29" t="n"/>
      <c r="AE371" s="31">
        <f>IFERROR(TRIM(INDEX($A371:$Z371,MATCH(Settings!$L$4,$A$1:$Z$1,0))&amp;""),"")</f>
        <v/>
      </c>
      <c r="AF371" s="31">
        <f>IFERROR(TRIM(INDEX($A371:$Z371,MATCH(Settings!$L$5,$A$1:$Z$1,0))&amp;""),"")</f>
        <v/>
      </c>
      <c r="AG371" s="31">
        <f>IF(AE371="","",LOWER(IF(AF371&lt;&gt;"",AF371,AE371)))</f>
        <v/>
      </c>
      <c r="AH371" s="31">
        <f>IFERROR(TRIM(INDEX($A371:$Z371,MATCH(Settings!$L$6,$A$1:$Z$1,0))&amp;""),"")</f>
        <v/>
      </c>
      <c r="AI371" s="31">
        <f>IF(AE371="","",IF(UPPER(TRIM(AB371&amp;""))="Y","Paid another way",IF(IFERROR(TRIM(INDEX($A371:$Z371,MATCH(Settings!$L$7,$A$1:$Z$1,0))&amp;""),"")="","No payment status",IFERROR(TRIM(INDEX($A371:$Z371,MATCH(Settings!$L$7,$A$1:$Z$1,0))&amp;""),""))))</f>
        <v/>
      </c>
      <c r="AJ371" s="31">
        <f>IF(AE371="",0,IF(IFERROR(INDEX(Settings!$J$4:$J$14,MATCH(AI371,Settings!$I$4:$I$14,0)),"N")="Y",1,0))</f>
        <v/>
      </c>
      <c r="AK371" s="32">
        <f>IFERROR(INT(IFERROR(IF(ISNUMBER(INDEX($A371:$Z371,MATCH(Settings!$L$10,$A$1:$Z$1,0))),INDEX($A371:$Z371,MATCH(Settings!$L$10,$A$1:$Z$1,0)),DATE(VALUE(LEFT(IFERROR(TRIM(INDEX($A371:$Z371,MATCH(Settings!$L$10,$A$1:$Z$1,0))&amp;""),""),4)),VALUE(MID(IFERROR(TRIM(INDEX($A371:$Z371,MATCH(Settings!$L$10,$A$1:$Z$1,0))&amp;""),""),6,2)),VALUE(MID(IFERROR(TRIM(INDEX($A371:$Z371,MATCH(Settings!$L$10,$A$1:$Z$1,0))&amp;""),""),9,2)))+TIME(VALUE(MID(IFERROR(TRIM(INDEX($A371:$Z371,MATCH(Settings!$L$10,$A$1:$Z$1,0))&amp;""),""),12,2)),VALUE(MID(IFERROR(TRIM(INDEX($A371:$Z371,MATCH(Settings!$L$10,$A$1:$Z$1,0))&amp;""),""),15,2)),VALUE(MID(IFERROR(TRIM(INDEX($A371:$Z371,MATCH(Settings!$L$10,$A$1:$Z$1,0))&amp;""),""),18,2)))),"")),"")</f>
        <v/>
      </c>
      <c r="AL371" s="32">
        <f>IF(AE371="","",IF(ISNUMBER(AK371),AK371,IFERROR(INT(IFERROR(IF(ISNUMBER(INDEX($A371:$Z371,MATCH(Settings!$L$11,$A$1:$Z$1,0))),INDEX($A371:$Z371,MATCH(Settings!$L$11,$A$1:$Z$1,0)),DATE(VALUE(LEFT(IFERROR(TRIM(INDEX($A371:$Z371,MATCH(Settings!$L$11,$A$1:$Z$1,0))&amp;""),""),4)),VALUE(MID(IFERROR(TRIM(INDEX($A371:$Z371,MATCH(Settings!$L$11,$A$1:$Z$1,0))&amp;""),""),6,2)),VALUE(MID(IFERROR(TRIM(INDEX($A371:$Z371,MATCH(Settings!$L$11,$A$1:$Z$1,0))&amp;""),""),9,2)))+TIME(VALUE(MID(IFERROR(TRIM(INDEX($A371:$Z371,MATCH(Settings!$L$11,$A$1:$Z$1,0))&amp;""),""),12,2)),VALUE(MID(IFERROR(TRIM(INDEX($A371:$Z371,MATCH(Settings!$L$11,$A$1:$Z$1,0))&amp;""),""),15,2)),VALUE(MID(IFERROR(TRIM(INDEX($A371:$Z371,MATCH(Settings!$L$11,$A$1:$Z$1,0))&amp;""),""),18,2)))),"")),"")))</f>
        <v/>
      </c>
      <c r="AM371" s="31">
        <f>IF(AE371="","",IF(ISNUMBER(IFERROR(INDEX(Settings!$G$4:$G$11,MATCH(AH371,Settings!$F$4:$F$11,0)),"")),INDEX(Settings!$G$4:$G$11,MATCH(AH371,Settings!$F$4:$F$11,0)),Settings!$D$5))</f>
        <v/>
      </c>
      <c r="AN371" s="32">
        <f>IF(OR(AE371="",NOT(ISNUMBER(AL371)),NOT(ISNUMBER(AM371))),"",IF(AM371&lt;=0,"",IF(ISNUMBER(Settings!$D$8),DATE(YEAR(AL371)+IF(DATE(YEAR(AL371),MONTH(Settings!$D$8),DAY(Settings!$D$8))&gt;AL371,0,1),MONTH(Settings!$D$8),DAY(Settings!$D$8)),MIN(DATE(YEAR(AL371),MONTH(AL371)+AM371,DAY(AL371)),DATE(YEAR(AL371),MONTH(AL371)+AM371+1,0)))))</f>
        <v/>
      </c>
      <c r="AO371" s="31">
        <f>IF(ISNUMBER(AN371),AN371-Settings!$D$4,"")</f>
        <v/>
      </c>
      <c r="AP371" s="31">
        <f>IF(ISNUMBER(AL371),AL371+0+ROW()/100000,"")</f>
        <v/>
      </c>
      <c r="AQ371" s="31">
        <f>IF(OR(AG371="",NOT(ISNUMBER(AP371))),0,IF(SUMPRODUCT(('Responses'!$AG$2:$AG$501=AG371)*('Responses'!$AJ$2:$AJ$501=1)*ISNUMBER('Responses'!$AP$2:$AP$501)*('Responses'!$AP$2:$AP$501&gt;AP371)) + SUMPRODUCT(('Paper sign-ups'!$K$2:$K$101=AG371)*('Paper sign-ups'!$N$2:$N$101=1)*ISNUMBER('Paper sign-ups'!$T$2:$T$101)*('Paper sign-ups'!$T$2:$T$101&gt;AP371))&gt;0,1,0))</f>
        <v/>
      </c>
      <c r="AR371" s="31">
        <f>IF(AE371="","",IF(AQ371=1,"Joined again",IF(AJ371=0,"Unpaid",IF(NOT(ISNUMBER(AL371)),"Add a join date",IF(AN371="","No reminder",IF(AO371&lt;0,"Lapsed",IF(AO371&lt;=Settings!$D$6,"Remind soon","Current")))))))</f>
        <v/>
      </c>
      <c r="AS371" s="33">
        <f>IF(AJ371=1,IFERROR(VALUE(IFERROR(TRIM(INDEX($A371:$Z371,MATCH(Settings!$L$8,$A$1:$Z$1,0))&amp;""),"")),0)-IFERROR(VALUE(IFERROR(TRIM(INDEX($A371:$Z371,MATCH(Settings!$L$9,$A$1:$Z$1,0))&amp;""),"")),0),0)</f>
        <v/>
      </c>
      <c r="AT371" s="31">
        <f>IF(AND(AE371&lt;&gt;"",AQ371=0),1,0)</f>
        <v/>
      </c>
      <c r="AU371" s="31">
        <f>IF(AT371=0,"",IF(ISNUMBER(AN371),AN371,100000)+0+ROW()/1000000)</f>
        <v/>
      </c>
      <c r="AV371" s="31">
        <f>IF(ISNUMBER(AU371),SUMPRODUCT(ISNUMBER('Responses'!$AU$2:$AU$501)*('Responses'!$AU$2:$AU$501&lt;AU371)) + SUMPRODUCT(ISNUMBER('Paper sign-ups'!$Y$2:$Y$101)*('Paper sign-ups'!$Y$2:$Y$101&lt;AU371))+1,"")</f>
        <v/>
      </c>
    </row>
    <row r="372">
      <c r="AA372" s="29" t="n"/>
      <c r="AB372" s="30" t="n"/>
      <c r="AC372" s="30" t="n"/>
      <c r="AD372" s="29" t="n"/>
      <c r="AE372" s="31">
        <f>IFERROR(TRIM(INDEX($A372:$Z372,MATCH(Settings!$L$4,$A$1:$Z$1,0))&amp;""),"")</f>
        <v/>
      </c>
      <c r="AF372" s="31">
        <f>IFERROR(TRIM(INDEX($A372:$Z372,MATCH(Settings!$L$5,$A$1:$Z$1,0))&amp;""),"")</f>
        <v/>
      </c>
      <c r="AG372" s="31">
        <f>IF(AE372="","",LOWER(IF(AF372&lt;&gt;"",AF372,AE372)))</f>
        <v/>
      </c>
      <c r="AH372" s="31">
        <f>IFERROR(TRIM(INDEX($A372:$Z372,MATCH(Settings!$L$6,$A$1:$Z$1,0))&amp;""),"")</f>
        <v/>
      </c>
      <c r="AI372" s="31">
        <f>IF(AE372="","",IF(UPPER(TRIM(AB372&amp;""))="Y","Paid another way",IF(IFERROR(TRIM(INDEX($A372:$Z372,MATCH(Settings!$L$7,$A$1:$Z$1,0))&amp;""),"")="","No payment status",IFERROR(TRIM(INDEX($A372:$Z372,MATCH(Settings!$L$7,$A$1:$Z$1,0))&amp;""),""))))</f>
        <v/>
      </c>
      <c r="AJ372" s="31">
        <f>IF(AE372="",0,IF(IFERROR(INDEX(Settings!$J$4:$J$14,MATCH(AI372,Settings!$I$4:$I$14,0)),"N")="Y",1,0))</f>
        <v/>
      </c>
      <c r="AK372" s="32">
        <f>IFERROR(INT(IFERROR(IF(ISNUMBER(INDEX($A372:$Z372,MATCH(Settings!$L$10,$A$1:$Z$1,0))),INDEX($A372:$Z372,MATCH(Settings!$L$10,$A$1:$Z$1,0)),DATE(VALUE(LEFT(IFERROR(TRIM(INDEX($A372:$Z372,MATCH(Settings!$L$10,$A$1:$Z$1,0))&amp;""),""),4)),VALUE(MID(IFERROR(TRIM(INDEX($A372:$Z372,MATCH(Settings!$L$10,$A$1:$Z$1,0))&amp;""),""),6,2)),VALUE(MID(IFERROR(TRIM(INDEX($A372:$Z372,MATCH(Settings!$L$10,$A$1:$Z$1,0))&amp;""),""),9,2)))+TIME(VALUE(MID(IFERROR(TRIM(INDEX($A372:$Z372,MATCH(Settings!$L$10,$A$1:$Z$1,0))&amp;""),""),12,2)),VALUE(MID(IFERROR(TRIM(INDEX($A372:$Z372,MATCH(Settings!$L$10,$A$1:$Z$1,0))&amp;""),""),15,2)),VALUE(MID(IFERROR(TRIM(INDEX($A372:$Z372,MATCH(Settings!$L$10,$A$1:$Z$1,0))&amp;""),""),18,2)))),"")),"")</f>
        <v/>
      </c>
      <c r="AL372" s="32">
        <f>IF(AE372="","",IF(ISNUMBER(AK372),AK372,IFERROR(INT(IFERROR(IF(ISNUMBER(INDEX($A372:$Z372,MATCH(Settings!$L$11,$A$1:$Z$1,0))),INDEX($A372:$Z372,MATCH(Settings!$L$11,$A$1:$Z$1,0)),DATE(VALUE(LEFT(IFERROR(TRIM(INDEX($A372:$Z372,MATCH(Settings!$L$11,$A$1:$Z$1,0))&amp;""),""),4)),VALUE(MID(IFERROR(TRIM(INDEX($A372:$Z372,MATCH(Settings!$L$11,$A$1:$Z$1,0))&amp;""),""),6,2)),VALUE(MID(IFERROR(TRIM(INDEX($A372:$Z372,MATCH(Settings!$L$11,$A$1:$Z$1,0))&amp;""),""),9,2)))+TIME(VALUE(MID(IFERROR(TRIM(INDEX($A372:$Z372,MATCH(Settings!$L$11,$A$1:$Z$1,0))&amp;""),""),12,2)),VALUE(MID(IFERROR(TRIM(INDEX($A372:$Z372,MATCH(Settings!$L$11,$A$1:$Z$1,0))&amp;""),""),15,2)),VALUE(MID(IFERROR(TRIM(INDEX($A372:$Z372,MATCH(Settings!$L$11,$A$1:$Z$1,0))&amp;""),""),18,2)))),"")),"")))</f>
        <v/>
      </c>
      <c r="AM372" s="31">
        <f>IF(AE372="","",IF(ISNUMBER(IFERROR(INDEX(Settings!$G$4:$G$11,MATCH(AH372,Settings!$F$4:$F$11,0)),"")),INDEX(Settings!$G$4:$G$11,MATCH(AH372,Settings!$F$4:$F$11,0)),Settings!$D$5))</f>
        <v/>
      </c>
      <c r="AN372" s="32">
        <f>IF(OR(AE372="",NOT(ISNUMBER(AL372)),NOT(ISNUMBER(AM372))),"",IF(AM372&lt;=0,"",IF(ISNUMBER(Settings!$D$8),DATE(YEAR(AL372)+IF(DATE(YEAR(AL372),MONTH(Settings!$D$8),DAY(Settings!$D$8))&gt;AL372,0,1),MONTH(Settings!$D$8),DAY(Settings!$D$8)),MIN(DATE(YEAR(AL372),MONTH(AL372)+AM372,DAY(AL372)),DATE(YEAR(AL372),MONTH(AL372)+AM372+1,0)))))</f>
        <v/>
      </c>
      <c r="AO372" s="31">
        <f>IF(ISNUMBER(AN372),AN372-Settings!$D$4,"")</f>
        <v/>
      </c>
      <c r="AP372" s="31">
        <f>IF(ISNUMBER(AL372),AL372+0+ROW()/100000,"")</f>
        <v/>
      </c>
      <c r="AQ372" s="31">
        <f>IF(OR(AG372="",NOT(ISNUMBER(AP372))),0,IF(SUMPRODUCT(('Responses'!$AG$2:$AG$501=AG372)*('Responses'!$AJ$2:$AJ$501=1)*ISNUMBER('Responses'!$AP$2:$AP$501)*('Responses'!$AP$2:$AP$501&gt;AP372)) + SUMPRODUCT(('Paper sign-ups'!$K$2:$K$101=AG372)*('Paper sign-ups'!$N$2:$N$101=1)*ISNUMBER('Paper sign-ups'!$T$2:$T$101)*('Paper sign-ups'!$T$2:$T$101&gt;AP372))&gt;0,1,0))</f>
        <v/>
      </c>
      <c r="AR372" s="31">
        <f>IF(AE372="","",IF(AQ372=1,"Joined again",IF(AJ372=0,"Unpaid",IF(NOT(ISNUMBER(AL372)),"Add a join date",IF(AN372="","No reminder",IF(AO372&lt;0,"Lapsed",IF(AO372&lt;=Settings!$D$6,"Remind soon","Current")))))))</f>
        <v/>
      </c>
      <c r="AS372" s="33">
        <f>IF(AJ372=1,IFERROR(VALUE(IFERROR(TRIM(INDEX($A372:$Z372,MATCH(Settings!$L$8,$A$1:$Z$1,0))&amp;""),"")),0)-IFERROR(VALUE(IFERROR(TRIM(INDEX($A372:$Z372,MATCH(Settings!$L$9,$A$1:$Z$1,0))&amp;""),"")),0),0)</f>
        <v/>
      </c>
      <c r="AT372" s="31">
        <f>IF(AND(AE372&lt;&gt;"",AQ372=0),1,0)</f>
        <v/>
      </c>
      <c r="AU372" s="31">
        <f>IF(AT372=0,"",IF(ISNUMBER(AN372),AN372,100000)+0+ROW()/1000000)</f>
        <v/>
      </c>
      <c r="AV372" s="31">
        <f>IF(ISNUMBER(AU372),SUMPRODUCT(ISNUMBER('Responses'!$AU$2:$AU$501)*('Responses'!$AU$2:$AU$501&lt;AU372)) + SUMPRODUCT(ISNUMBER('Paper sign-ups'!$Y$2:$Y$101)*('Paper sign-ups'!$Y$2:$Y$101&lt;AU372))+1,"")</f>
        <v/>
      </c>
    </row>
    <row r="373">
      <c r="AA373" s="29" t="n"/>
      <c r="AB373" s="30" t="n"/>
      <c r="AC373" s="30" t="n"/>
      <c r="AD373" s="29" t="n"/>
      <c r="AE373" s="31">
        <f>IFERROR(TRIM(INDEX($A373:$Z373,MATCH(Settings!$L$4,$A$1:$Z$1,0))&amp;""),"")</f>
        <v/>
      </c>
      <c r="AF373" s="31">
        <f>IFERROR(TRIM(INDEX($A373:$Z373,MATCH(Settings!$L$5,$A$1:$Z$1,0))&amp;""),"")</f>
        <v/>
      </c>
      <c r="AG373" s="31">
        <f>IF(AE373="","",LOWER(IF(AF373&lt;&gt;"",AF373,AE373)))</f>
        <v/>
      </c>
      <c r="AH373" s="31">
        <f>IFERROR(TRIM(INDEX($A373:$Z373,MATCH(Settings!$L$6,$A$1:$Z$1,0))&amp;""),"")</f>
        <v/>
      </c>
      <c r="AI373" s="31">
        <f>IF(AE373="","",IF(UPPER(TRIM(AB373&amp;""))="Y","Paid another way",IF(IFERROR(TRIM(INDEX($A373:$Z373,MATCH(Settings!$L$7,$A$1:$Z$1,0))&amp;""),"")="","No payment status",IFERROR(TRIM(INDEX($A373:$Z373,MATCH(Settings!$L$7,$A$1:$Z$1,0))&amp;""),""))))</f>
        <v/>
      </c>
      <c r="AJ373" s="31">
        <f>IF(AE373="",0,IF(IFERROR(INDEX(Settings!$J$4:$J$14,MATCH(AI373,Settings!$I$4:$I$14,0)),"N")="Y",1,0))</f>
        <v/>
      </c>
      <c r="AK373" s="32">
        <f>IFERROR(INT(IFERROR(IF(ISNUMBER(INDEX($A373:$Z373,MATCH(Settings!$L$10,$A$1:$Z$1,0))),INDEX($A373:$Z373,MATCH(Settings!$L$10,$A$1:$Z$1,0)),DATE(VALUE(LEFT(IFERROR(TRIM(INDEX($A373:$Z373,MATCH(Settings!$L$10,$A$1:$Z$1,0))&amp;""),""),4)),VALUE(MID(IFERROR(TRIM(INDEX($A373:$Z373,MATCH(Settings!$L$10,$A$1:$Z$1,0))&amp;""),""),6,2)),VALUE(MID(IFERROR(TRIM(INDEX($A373:$Z373,MATCH(Settings!$L$10,$A$1:$Z$1,0))&amp;""),""),9,2)))+TIME(VALUE(MID(IFERROR(TRIM(INDEX($A373:$Z373,MATCH(Settings!$L$10,$A$1:$Z$1,0))&amp;""),""),12,2)),VALUE(MID(IFERROR(TRIM(INDEX($A373:$Z373,MATCH(Settings!$L$10,$A$1:$Z$1,0))&amp;""),""),15,2)),VALUE(MID(IFERROR(TRIM(INDEX($A373:$Z373,MATCH(Settings!$L$10,$A$1:$Z$1,0))&amp;""),""),18,2)))),"")),"")</f>
        <v/>
      </c>
      <c r="AL373" s="32">
        <f>IF(AE373="","",IF(ISNUMBER(AK373),AK373,IFERROR(INT(IFERROR(IF(ISNUMBER(INDEX($A373:$Z373,MATCH(Settings!$L$11,$A$1:$Z$1,0))),INDEX($A373:$Z373,MATCH(Settings!$L$11,$A$1:$Z$1,0)),DATE(VALUE(LEFT(IFERROR(TRIM(INDEX($A373:$Z373,MATCH(Settings!$L$11,$A$1:$Z$1,0))&amp;""),""),4)),VALUE(MID(IFERROR(TRIM(INDEX($A373:$Z373,MATCH(Settings!$L$11,$A$1:$Z$1,0))&amp;""),""),6,2)),VALUE(MID(IFERROR(TRIM(INDEX($A373:$Z373,MATCH(Settings!$L$11,$A$1:$Z$1,0))&amp;""),""),9,2)))+TIME(VALUE(MID(IFERROR(TRIM(INDEX($A373:$Z373,MATCH(Settings!$L$11,$A$1:$Z$1,0))&amp;""),""),12,2)),VALUE(MID(IFERROR(TRIM(INDEX($A373:$Z373,MATCH(Settings!$L$11,$A$1:$Z$1,0))&amp;""),""),15,2)),VALUE(MID(IFERROR(TRIM(INDEX($A373:$Z373,MATCH(Settings!$L$11,$A$1:$Z$1,0))&amp;""),""),18,2)))),"")),"")))</f>
        <v/>
      </c>
      <c r="AM373" s="31">
        <f>IF(AE373="","",IF(ISNUMBER(IFERROR(INDEX(Settings!$G$4:$G$11,MATCH(AH373,Settings!$F$4:$F$11,0)),"")),INDEX(Settings!$G$4:$G$11,MATCH(AH373,Settings!$F$4:$F$11,0)),Settings!$D$5))</f>
        <v/>
      </c>
      <c r="AN373" s="32">
        <f>IF(OR(AE373="",NOT(ISNUMBER(AL373)),NOT(ISNUMBER(AM373))),"",IF(AM373&lt;=0,"",IF(ISNUMBER(Settings!$D$8),DATE(YEAR(AL373)+IF(DATE(YEAR(AL373),MONTH(Settings!$D$8),DAY(Settings!$D$8))&gt;AL373,0,1),MONTH(Settings!$D$8),DAY(Settings!$D$8)),MIN(DATE(YEAR(AL373),MONTH(AL373)+AM373,DAY(AL373)),DATE(YEAR(AL373),MONTH(AL373)+AM373+1,0)))))</f>
        <v/>
      </c>
      <c r="AO373" s="31">
        <f>IF(ISNUMBER(AN373),AN373-Settings!$D$4,"")</f>
        <v/>
      </c>
      <c r="AP373" s="31">
        <f>IF(ISNUMBER(AL373),AL373+0+ROW()/100000,"")</f>
        <v/>
      </c>
      <c r="AQ373" s="31">
        <f>IF(OR(AG373="",NOT(ISNUMBER(AP373))),0,IF(SUMPRODUCT(('Responses'!$AG$2:$AG$501=AG373)*('Responses'!$AJ$2:$AJ$501=1)*ISNUMBER('Responses'!$AP$2:$AP$501)*('Responses'!$AP$2:$AP$501&gt;AP373)) + SUMPRODUCT(('Paper sign-ups'!$K$2:$K$101=AG373)*('Paper sign-ups'!$N$2:$N$101=1)*ISNUMBER('Paper sign-ups'!$T$2:$T$101)*('Paper sign-ups'!$T$2:$T$101&gt;AP373))&gt;0,1,0))</f>
        <v/>
      </c>
      <c r="AR373" s="31">
        <f>IF(AE373="","",IF(AQ373=1,"Joined again",IF(AJ373=0,"Unpaid",IF(NOT(ISNUMBER(AL373)),"Add a join date",IF(AN373="","No reminder",IF(AO373&lt;0,"Lapsed",IF(AO373&lt;=Settings!$D$6,"Remind soon","Current")))))))</f>
        <v/>
      </c>
      <c r="AS373" s="33">
        <f>IF(AJ373=1,IFERROR(VALUE(IFERROR(TRIM(INDEX($A373:$Z373,MATCH(Settings!$L$8,$A$1:$Z$1,0))&amp;""),"")),0)-IFERROR(VALUE(IFERROR(TRIM(INDEX($A373:$Z373,MATCH(Settings!$L$9,$A$1:$Z$1,0))&amp;""),"")),0),0)</f>
        <v/>
      </c>
      <c r="AT373" s="31">
        <f>IF(AND(AE373&lt;&gt;"",AQ373=0),1,0)</f>
        <v/>
      </c>
      <c r="AU373" s="31">
        <f>IF(AT373=0,"",IF(ISNUMBER(AN373),AN373,100000)+0+ROW()/1000000)</f>
        <v/>
      </c>
      <c r="AV373" s="31">
        <f>IF(ISNUMBER(AU373),SUMPRODUCT(ISNUMBER('Responses'!$AU$2:$AU$501)*('Responses'!$AU$2:$AU$501&lt;AU373)) + SUMPRODUCT(ISNUMBER('Paper sign-ups'!$Y$2:$Y$101)*('Paper sign-ups'!$Y$2:$Y$101&lt;AU373))+1,"")</f>
        <v/>
      </c>
    </row>
    <row r="374">
      <c r="AA374" s="29" t="n"/>
      <c r="AB374" s="30" t="n"/>
      <c r="AC374" s="30" t="n"/>
      <c r="AD374" s="29" t="n"/>
      <c r="AE374" s="31">
        <f>IFERROR(TRIM(INDEX($A374:$Z374,MATCH(Settings!$L$4,$A$1:$Z$1,0))&amp;""),"")</f>
        <v/>
      </c>
      <c r="AF374" s="31">
        <f>IFERROR(TRIM(INDEX($A374:$Z374,MATCH(Settings!$L$5,$A$1:$Z$1,0))&amp;""),"")</f>
        <v/>
      </c>
      <c r="AG374" s="31">
        <f>IF(AE374="","",LOWER(IF(AF374&lt;&gt;"",AF374,AE374)))</f>
        <v/>
      </c>
      <c r="AH374" s="31">
        <f>IFERROR(TRIM(INDEX($A374:$Z374,MATCH(Settings!$L$6,$A$1:$Z$1,0))&amp;""),"")</f>
        <v/>
      </c>
      <c r="AI374" s="31">
        <f>IF(AE374="","",IF(UPPER(TRIM(AB374&amp;""))="Y","Paid another way",IF(IFERROR(TRIM(INDEX($A374:$Z374,MATCH(Settings!$L$7,$A$1:$Z$1,0))&amp;""),"")="","No payment status",IFERROR(TRIM(INDEX($A374:$Z374,MATCH(Settings!$L$7,$A$1:$Z$1,0))&amp;""),""))))</f>
        <v/>
      </c>
      <c r="AJ374" s="31">
        <f>IF(AE374="",0,IF(IFERROR(INDEX(Settings!$J$4:$J$14,MATCH(AI374,Settings!$I$4:$I$14,0)),"N")="Y",1,0))</f>
        <v/>
      </c>
      <c r="AK374" s="32">
        <f>IFERROR(INT(IFERROR(IF(ISNUMBER(INDEX($A374:$Z374,MATCH(Settings!$L$10,$A$1:$Z$1,0))),INDEX($A374:$Z374,MATCH(Settings!$L$10,$A$1:$Z$1,0)),DATE(VALUE(LEFT(IFERROR(TRIM(INDEX($A374:$Z374,MATCH(Settings!$L$10,$A$1:$Z$1,0))&amp;""),""),4)),VALUE(MID(IFERROR(TRIM(INDEX($A374:$Z374,MATCH(Settings!$L$10,$A$1:$Z$1,0))&amp;""),""),6,2)),VALUE(MID(IFERROR(TRIM(INDEX($A374:$Z374,MATCH(Settings!$L$10,$A$1:$Z$1,0))&amp;""),""),9,2)))+TIME(VALUE(MID(IFERROR(TRIM(INDEX($A374:$Z374,MATCH(Settings!$L$10,$A$1:$Z$1,0))&amp;""),""),12,2)),VALUE(MID(IFERROR(TRIM(INDEX($A374:$Z374,MATCH(Settings!$L$10,$A$1:$Z$1,0))&amp;""),""),15,2)),VALUE(MID(IFERROR(TRIM(INDEX($A374:$Z374,MATCH(Settings!$L$10,$A$1:$Z$1,0))&amp;""),""),18,2)))),"")),"")</f>
        <v/>
      </c>
      <c r="AL374" s="32">
        <f>IF(AE374="","",IF(ISNUMBER(AK374),AK374,IFERROR(INT(IFERROR(IF(ISNUMBER(INDEX($A374:$Z374,MATCH(Settings!$L$11,$A$1:$Z$1,0))),INDEX($A374:$Z374,MATCH(Settings!$L$11,$A$1:$Z$1,0)),DATE(VALUE(LEFT(IFERROR(TRIM(INDEX($A374:$Z374,MATCH(Settings!$L$11,$A$1:$Z$1,0))&amp;""),""),4)),VALUE(MID(IFERROR(TRIM(INDEX($A374:$Z374,MATCH(Settings!$L$11,$A$1:$Z$1,0))&amp;""),""),6,2)),VALUE(MID(IFERROR(TRIM(INDEX($A374:$Z374,MATCH(Settings!$L$11,$A$1:$Z$1,0))&amp;""),""),9,2)))+TIME(VALUE(MID(IFERROR(TRIM(INDEX($A374:$Z374,MATCH(Settings!$L$11,$A$1:$Z$1,0))&amp;""),""),12,2)),VALUE(MID(IFERROR(TRIM(INDEX($A374:$Z374,MATCH(Settings!$L$11,$A$1:$Z$1,0))&amp;""),""),15,2)),VALUE(MID(IFERROR(TRIM(INDEX($A374:$Z374,MATCH(Settings!$L$11,$A$1:$Z$1,0))&amp;""),""),18,2)))),"")),"")))</f>
        <v/>
      </c>
      <c r="AM374" s="31">
        <f>IF(AE374="","",IF(ISNUMBER(IFERROR(INDEX(Settings!$G$4:$G$11,MATCH(AH374,Settings!$F$4:$F$11,0)),"")),INDEX(Settings!$G$4:$G$11,MATCH(AH374,Settings!$F$4:$F$11,0)),Settings!$D$5))</f>
        <v/>
      </c>
      <c r="AN374" s="32">
        <f>IF(OR(AE374="",NOT(ISNUMBER(AL374)),NOT(ISNUMBER(AM374))),"",IF(AM374&lt;=0,"",IF(ISNUMBER(Settings!$D$8),DATE(YEAR(AL374)+IF(DATE(YEAR(AL374),MONTH(Settings!$D$8),DAY(Settings!$D$8))&gt;AL374,0,1),MONTH(Settings!$D$8),DAY(Settings!$D$8)),MIN(DATE(YEAR(AL374),MONTH(AL374)+AM374,DAY(AL374)),DATE(YEAR(AL374),MONTH(AL374)+AM374+1,0)))))</f>
        <v/>
      </c>
      <c r="AO374" s="31">
        <f>IF(ISNUMBER(AN374),AN374-Settings!$D$4,"")</f>
        <v/>
      </c>
      <c r="AP374" s="31">
        <f>IF(ISNUMBER(AL374),AL374+0+ROW()/100000,"")</f>
        <v/>
      </c>
      <c r="AQ374" s="31">
        <f>IF(OR(AG374="",NOT(ISNUMBER(AP374))),0,IF(SUMPRODUCT(('Responses'!$AG$2:$AG$501=AG374)*('Responses'!$AJ$2:$AJ$501=1)*ISNUMBER('Responses'!$AP$2:$AP$501)*('Responses'!$AP$2:$AP$501&gt;AP374)) + SUMPRODUCT(('Paper sign-ups'!$K$2:$K$101=AG374)*('Paper sign-ups'!$N$2:$N$101=1)*ISNUMBER('Paper sign-ups'!$T$2:$T$101)*('Paper sign-ups'!$T$2:$T$101&gt;AP374))&gt;0,1,0))</f>
        <v/>
      </c>
      <c r="AR374" s="31">
        <f>IF(AE374="","",IF(AQ374=1,"Joined again",IF(AJ374=0,"Unpaid",IF(NOT(ISNUMBER(AL374)),"Add a join date",IF(AN374="","No reminder",IF(AO374&lt;0,"Lapsed",IF(AO374&lt;=Settings!$D$6,"Remind soon","Current")))))))</f>
        <v/>
      </c>
      <c r="AS374" s="33">
        <f>IF(AJ374=1,IFERROR(VALUE(IFERROR(TRIM(INDEX($A374:$Z374,MATCH(Settings!$L$8,$A$1:$Z$1,0))&amp;""),"")),0)-IFERROR(VALUE(IFERROR(TRIM(INDEX($A374:$Z374,MATCH(Settings!$L$9,$A$1:$Z$1,0))&amp;""),"")),0),0)</f>
        <v/>
      </c>
      <c r="AT374" s="31">
        <f>IF(AND(AE374&lt;&gt;"",AQ374=0),1,0)</f>
        <v/>
      </c>
      <c r="AU374" s="31">
        <f>IF(AT374=0,"",IF(ISNUMBER(AN374),AN374,100000)+0+ROW()/1000000)</f>
        <v/>
      </c>
      <c r="AV374" s="31">
        <f>IF(ISNUMBER(AU374),SUMPRODUCT(ISNUMBER('Responses'!$AU$2:$AU$501)*('Responses'!$AU$2:$AU$501&lt;AU374)) + SUMPRODUCT(ISNUMBER('Paper sign-ups'!$Y$2:$Y$101)*('Paper sign-ups'!$Y$2:$Y$101&lt;AU374))+1,"")</f>
        <v/>
      </c>
    </row>
    <row r="375">
      <c r="AA375" s="29" t="n"/>
      <c r="AB375" s="30" t="n"/>
      <c r="AC375" s="30" t="n"/>
      <c r="AD375" s="29" t="n"/>
      <c r="AE375" s="31">
        <f>IFERROR(TRIM(INDEX($A375:$Z375,MATCH(Settings!$L$4,$A$1:$Z$1,0))&amp;""),"")</f>
        <v/>
      </c>
      <c r="AF375" s="31">
        <f>IFERROR(TRIM(INDEX($A375:$Z375,MATCH(Settings!$L$5,$A$1:$Z$1,0))&amp;""),"")</f>
        <v/>
      </c>
      <c r="AG375" s="31">
        <f>IF(AE375="","",LOWER(IF(AF375&lt;&gt;"",AF375,AE375)))</f>
        <v/>
      </c>
      <c r="AH375" s="31">
        <f>IFERROR(TRIM(INDEX($A375:$Z375,MATCH(Settings!$L$6,$A$1:$Z$1,0))&amp;""),"")</f>
        <v/>
      </c>
      <c r="AI375" s="31">
        <f>IF(AE375="","",IF(UPPER(TRIM(AB375&amp;""))="Y","Paid another way",IF(IFERROR(TRIM(INDEX($A375:$Z375,MATCH(Settings!$L$7,$A$1:$Z$1,0))&amp;""),"")="","No payment status",IFERROR(TRIM(INDEX($A375:$Z375,MATCH(Settings!$L$7,$A$1:$Z$1,0))&amp;""),""))))</f>
        <v/>
      </c>
      <c r="AJ375" s="31">
        <f>IF(AE375="",0,IF(IFERROR(INDEX(Settings!$J$4:$J$14,MATCH(AI375,Settings!$I$4:$I$14,0)),"N")="Y",1,0))</f>
        <v/>
      </c>
      <c r="AK375" s="32">
        <f>IFERROR(INT(IFERROR(IF(ISNUMBER(INDEX($A375:$Z375,MATCH(Settings!$L$10,$A$1:$Z$1,0))),INDEX($A375:$Z375,MATCH(Settings!$L$10,$A$1:$Z$1,0)),DATE(VALUE(LEFT(IFERROR(TRIM(INDEX($A375:$Z375,MATCH(Settings!$L$10,$A$1:$Z$1,0))&amp;""),""),4)),VALUE(MID(IFERROR(TRIM(INDEX($A375:$Z375,MATCH(Settings!$L$10,$A$1:$Z$1,0))&amp;""),""),6,2)),VALUE(MID(IFERROR(TRIM(INDEX($A375:$Z375,MATCH(Settings!$L$10,$A$1:$Z$1,0))&amp;""),""),9,2)))+TIME(VALUE(MID(IFERROR(TRIM(INDEX($A375:$Z375,MATCH(Settings!$L$10,$A$1:$Z$1,0))&amp;""),""),12,2)),VALUE(MID(IFERROR(TRIM(INDEX($A375:$Z375,MATCH(Settings!$L$10,$A$1:$Z$1,0))&amp;""),""),15,2)),VALUE(MID(IFERROR(TRIM(INDEX($A375:$Z375,MATCH(Settings!$L$10,$A$1:$Z$1,0))&amp;""),""),18,2)))),"")),"")</f>
        <v/>
      </c>
      <c r="AL375" s="32">
        <f>IF(AE375="","",IF(ISNUMBER(AK375),AK375,IFERROR(INT(IFERROR(IF(ISNUMBER(INDEX($A375:$Z375,MATCH(Settings!$L$11,$A$1:$Z$1,0))),INDEX($A375:$Z375,MATCH(Settings!$L$11,$A$1:$Z$1,0)),DATE(VALUE(LEFT(IFERROR(TRIM(INDEX($A375:$Z375,MATCH(Settings!$L$11,$A$1:$Z$1,0))&amp;""),""),4)),VALUE(MID(IFERROR(TRIM(INDEX($A375:$Z375,MATCH(Settings!$L$11,$A$1:$Z$1,0))&amp;""),""),6,2)),VALUE(MID(IFERROR(TRIM(INDEX($A375:$Z375,MATCH(Settings!$L$11,$A$1:$Z$1,0))&amp;""),""),9,2)))+TIME(VALUE(MID(IFERROR(TRIM(INDEX($A375:$Z375,MATCH(Settings!$L$11,$A$1:$Z$1,0))&amp;""),""),12,2)),VALUE(MID(IFERROR(TRIM(INDEX($A375:$Z375,MATCH(Settings!$L$11,$A$1:$Z$1,0))&amp;""),""),15,2)),VALUE(MID(IFERROR(TRIM(INDEX($A375:$Z375,MATCH(Settings!$L$11,$A$1:$Z$1,0))&amp;""),""),18,2)))),"")),"")))</f>
        <v/>
      </c>
      <c r="AM375" s="31">
        <f>IF(AE375="","",IF(ISNUMBER(IFERROR(INDEX(Settings!$G$4:$G$11,MATCH(AH375,Settings!$F$4:$F$11,0)),"")),INDEX(Settings!$G$4:$G$11,MATCH(AH375,Settings!$F$4:$F$11,0)),Settings!$D$5))</f>
        <v/>
      </c>
      <c r="AN375" s="32">
        <f>IF(OR(AE375="",NOT(ISNUMBER(AL375)),NOT(ISNUMBER(AM375))),"",IF(AM375&lt;=0,"",IF(ISNUMBER(Settings!$D$8),DATE(YEAR(AL375)+IF(DATE(YEAR(AL375),MONTH(Settings!$D$8),DAY(Settings!$D$8))&gt;AL375,0,1),MONTH(Settings!$D$8),DAY(Settings!$D$8)),MIN(DATE(YEAR(AL375),MONTH(AL375)+AM375,DAY(AL375)),DATE(YEAR(AL375),MONTH(AL375)+AM375+1,0)))))</f>
        <v/>
      </c>
      <c r="AO375" s="31">
        <f>IF(ISNUMBER(AN375),AN375-Settings!$D$4,"")</f>
        <v/>
      </c>
      <c r="AP375" s="31">
        <f>IF(ISNUMBER(AL375),AL375+0+ROW()/100000,"")</f>
        <v/>
      </c>
      <c r="AQ375" s="31">
        <f>IF(OR(AG375="",NOT(ISNUMBER(AP375))),0,IF(SUMPRODUCT(('Responses'!$AG$2:$AG$501=AG375)*('Responses'!$AJ$2:$AJ$501=1)*ISNUMBER('Responses'!$AP$2:$AP$501)*('Responses'!$AP$2:$AP$501&gt;AP375)) + SUMPRODUCT(('Paper sign-ups'!$K$2:$K$101=AG375)*('Paper sign-ups'!$N$2:$N$101=1)*ISNUMBER('Paper sign-ups'!$T$2:$T$101)*('Paper sign-ups'!$T$2:$T$101&gt;AP375))&gt;0,1,0))</f>
        <v/>
      </c>
      <c r="AR375" s="31">
        <f>IF(AE375="","",IF(AQ375=1,"Joined again",IF(AJ375=0,"Unpaid",IF(NOT(ISNUMBER(AL375)),"Add a join date",IF(AN375="","No reminder",IF(AO375&lt;0,"Lapsed",IF(AO375&lt;=Settings!$D$6,"Remind soon","Current")))))))</f>
        <v/>
      </c>
      <c r="AS375" s="33">
        <f>IF(AJ375=1,IFERROR(VALUE(IFERROR(TRIM(INDEX($A375:$Z375,MATCH(Settings!$L$8,$A$1:$Z$1,0))&amp;""),"")),0)-IFERROR(VALUE(IFERROR(TRIM(INDEX($A375:$Z375,MATCH(Settings!$L$9,$A$1:$Z$1,0))&amp;""),"")),0),0)</f>
        <v/>
      </c>
      <c r="AT375" s="31">
        <f>IF(AND(AE375&lt;&gt;"",AQ375=0),1,0)</f>
        <v/>
      </c>
      <c r="AU375" s="31">
        <f>IF(AT375=0,"",IF(ISNUMBER(AN375),AN375,100000)+0+ROW()/1000000)</f>
        <v/>
      </c>
      <c r="AV375" s="31">
        <f>IF(ISNUMBER(AU375),SUMPRODUCT(ISNUMBER('Responses'!$AU$2:$AU$501)*('Responses'!$AU$2:$AU$501&lt;AU375)) + SUMPRODUCT(ISNUMBER('Paper sign-ups'!$Y$2:$Y$101)*('Paper sign-ups'!$Y$2:$Y$101&lt;AU375))+1,"")</f>
        <v/>
      </c>
    </row>
    <row r="376">
      <c r="AA376" s="29" t="n"/>
      <c r="AB376" s="30" t="n"/>
      <c r="AC376" s="30" t="n"/>
      <c r="AD376" s="29" t="n"/>
      <c r="AE376" s="31">
        <f>IFERROR(TRIM(INDEX($A376:$Z376,MATCH(Settings!$L$4,$A$1:$Z$1,0))&amp;""),"")</f>
        <v/>
      </c>
      <c r="AF376" s="31">
        <f>IFERROR(TRIM(INDEX($A376:$Z376,MATCH(Settings!$L$5,$A$1:$Z$1,0))&amp;""),"")</f>
        <v/>
      </c>
      <c r="AG376" s="31">
        <f>IF(AE376="","",LOWER(IF(AF376&lt;&gt;"",AF376,AE376)))</f>
        <v/>
      </c>
      <c r="AH376" s="31">
        <f>IFERROR(TRIM(INDEX($A376:$Z376,MATCH(Settings!$L$6,$A$1:$Z$1,0))&amp;""),"")</f>
        <v/>
      </c>
      <c r="AI376" s="31">
        <f>IF(AE376="","",IF(UPPER(TRIM(AB376&amp;""))="Y","Paid another way",IF(IFERROR(TRIM(INDEX($A376:$Z376,MATCH(Settings!$L$7,$A$1:$Z$1,0))&amp;""),"")="","No payment status",IFERROR(TRIM(INDEX($A376:$Z376,MATCH(Settings!$L$7,$A$1:$Z$1,0))&amp;""),""))))</f>
        <v/>
      </c>
      <c r="AJ376" s="31">
        <f>IF(AE376="",0,IF(IFERROR(INDEX(Settings!$J$4:$J$14,MATCH(AI376,Settings!$I$4:$I$14,0)),"N")="Y",1,0))</f>
        <v/>
      </c>
      <c r="AK376" s="32">
        <f>IFERROR(INT(IFERROR(IF(ISNUMBER(INDEX($A376:$Z376,MATCH(Settings!$L$10,$A$1:$Z$1,0))),INDEX($A376:$Z376,MATCH(Settings!$L$10,$A$1:$Z$1,0)),DATE(VALUE(LEFT(IFERROR(TRIM(INDEX($A376:$Z376,MATCH(Settings!$L$10,$A$1:$Z$1,0))&amp;""),""),4)),VALUE(MID(IFERROR(TRIM(INDEX($A376:$Z376,MATCH(Settings!$L$10,$A$1:$Z$1,0))&amp;""),""),6,2)),VALUE(MID(IFERROR(TRIM(INDEX($A376:$Z376,MATCH(Settings!$L$10,$A$1:$Z$1,0))&amp;""),""),9,2)))+TIME(VALUE(MID(IFERROR(TRIM(INDEX($A376:$Z376,MATCH(Settings!$L$10,$A$1:$Z$1,0))&amp;""),""),12,2)),VALUE(MID(IFERROR(TRIM(INDEX($A376:$Z376,MATCH(Settings!$L$10,$A$1:$Z$1,0))&amp;""),""),15,2)),VALUE(MID(IFERROR(TRIM(INDEX($A376:$Z376,MATCH(Settings!$L$10,$A$1:$Z$1,0))&amp;""),""),18,2)))),"")),"")</f>
        <v/>
      </c>
      <c r="AL376" s="32">
        <f>IF(AE376="","",IF(ISNUMBER(AK376),AK376,IFERROR(INT(IFERROR(IF(ISNUMBER(INDEX($A376:$Z376,MATCH(Settings!$L$11,$A$1:$Z$1,0))),INDEX($A376:$Z376,MATCH(Settings!$L$11,$A$1:$Z$1,0)),DATE(VALUE(LEFT(IFERROR(TRIM(INDEX($A376:$Z376,MATCH(Settings!$L$11,$A$1:$Z$1,0))&amp;""),""),4)),VALUE(MID(IFERROR(TRIM(INDEX($A376:$Z376,MATCH(Settings!$L$11,$A$1:$Z$1,0))&amp;""),""),6,2)),VALUE(MID(IFERROR(TRIM(INDEX($A376:$Z376,MATCH(Settings!$L$11,$A$1:$Z$1,0))&amp;""),""),9,2)))+TIME(VALUE(MID(IFERROR(TRIM(INDEX($A376:$Z376,MATCH(Settings!$L$11,$A$1:$Z$1,0))&amp;""),""),12,2)),VALUE(MID(IFERROR(TRIM(INDEX($A376:$Z376,MATCH(Settings!$L$11,$A$1:$Z$1,0))&amp;""),""),15,2)),VALUE(MID(IFERROR(TRIM(INDEX($A376:$Z376,MATCH(Settings!$L$11,$A$1:$Z$1,0))&amp;""),""),18,2)))),"")),"")))</f>
        <v/>
      </c>
      <c r="AM376" s="31">
        <f>IF(AE376="","",IF(ISNUMBER(IFERROR(INDEX(Settings!$G$4:$G$11,MATCH(AH376,Settings!$F$4:$F$11,0)),"")),INDEX(Settings!$G$4:$G$11,MATCH(AH376,Settings!$F$4:$F$11,0)),Settings!$D$5))</f>
        <v/>
      </c>
      <c r="AN376" s="32">
        <f>IF(OR(AE376="",NOT(ISNUMBER(AL376)),NOT(ISNUMBER(AM376))),"",IF(AM376&lt;=0,"",IF(ISNUMBER(Settings!$D$8),DATE(YEAR(AL376)+IF(DATE(YEAR(AL376),MONTH(Settings!$D$8),DAY(Settings!$D$8))&gt;AL376,0,1),MONTH(Settings!$D$8),DAY(Settings!$D$8)),MIN(DATE(YEAR(AL376),MONTH(AL376)+AM376,DAY(AL376)),DATE(YEAR(AL376),MONTH(AL376)+AM376+1,0)))))</f>
        <v/>
      </c>
      <c r="AO376" s="31">
        <f>IF(ISNUMBER(AN376),AN376-Settings!$D$4,"")</f>
        <v/>
      </c>
      <c r="AP376" s="31">
        <f>IF(ISNUMBER(AL376),AL376+0+ROW()/100000,"")</f>
        <v/>
      </c>
      <c r="AQ376" s="31">
        <f>IF(OR(AG376="",NOT(ISNUMBER(AP376))),0,IF(SUMPRODUCT(('Responses'!$AG$2:$AG$501=AG376)*('Responses'!$AJ$2:$AJ$501=1)*ISNUMBER('Responses'!$AP$2:$AP$501)*('Responses'!$AP$2:$AP$501&gt;AP376)) + SUMPRODUCT(('Paper sign-ups'!$K$2:$K$101=AG376)*('Paper sign-ups'!$N$2:$N$101=1)*ISNUMBER('Paper sign-ups'!$T$2:$T$101)*('Paper sign-ups'!$T$2:$T$101&gt;AP376))&gt;0,1,0))</f>
        <v/>
      </c>
      <c r="AR376" s="31">
        <f>IF(AE376="","",IF(AQ376=1,"Joined again",IF(AJ376=0,"Unpaid",IF(NOT(ISNUMBER(AL376)),"Add a join date",IF(AN376="","No reminder",IF(AO376&lt;0,"Lapsed",IF(AO376&lt;=Settings!$D$6,"Remind soon","Current")))))))</f>
        <v/>
      </c>
      <c r="AS376" s="33">
        <f>IF(AJ376=1,IFERROR(VALUE(IFERROR(TRIM(INDEX($A376:$Z376,MATCH(Settings!$L$8,$A$1:$Z$1,0))&amp;""),"")),0)-IFERROR(VALUE(IFERROR(TRIM(INDEX($A376:$Z376,MATCH(Settings!$L$9,$A$1:$Z$1,0))&amp;""),"")),0),0)</f>
        <v/>
      </c>
      <c r="AT376" s="31">
        <f>IF(AND(AE376&lt;&gt;"",AQ376=0),1,0)</f>
        <v/>
      </c>
      <c r="AU376" s="31">
        <f>IF(AT376=0,"",IF(ISNUMBER(AN376),AN376,100000)+0+ROW()/1000000)</f>
        <v/>
      </c>
      <c r="AV376" s="31">
        <f>IF(ISNUMBER(AU376),SUMPRODUCT(ISNUMBER('Responses'!$AU$2:$AU$501)*('Responses'!$AU$2:$AU$501&lt;AU376)) + SUMPRODUCT(ISNUMBER('Paper sign-ups'!$Y$2:$Y$101)*('Paper sign-ups'!$Y$2:$Y$101&lt;AU376))+1,"")</f>
        <v/>
      </c>
    </row>
    <row r="377">
      <c r="AA377" s="29" t="n"/>
      <c r="AB377" s="30" t="n"/>
      <c r="AC377" s="30" t="n"/>
      <c r="AD377" s="29" t="n"/>
      <c r="AE377" s="31">
        <f>IFERROR(TRIM(INDEX($A377:$Z377,MATCH(Settings!$L$4,$A$1:$Z$1,0))&amp;""),"")</f>
        <v/>
      </c>
      <c r="AF377" s="31">
        <f>IFERROR(TRIM(INDEX($A377:$Z377,MATCH(Settings!$L$5,$A$1:$Z$1,0))&amp;""),"")</f>
        <v/>
      </c>
      <c r="AG377" s="31">
        <f>IF(AE377="","",LOWER(IF(AF377&lt;&gt;"",AF377,AE377)))</f>
        <v/>
      </c>
      <c r="AH377" s="31">
        <f>IFERROR(TRIM(INDEX($A377:$Z377,MATCH(Settings!$L$6,$A$1:$Z$1,0))&amp;""),"")</f>
        <v/>
      </c>
      <c r="AI377" s="31">
        <f>IF(AE377="","",IF(UPPER(TRIM(AB377&amp;""))="Y","Paid another way",IF(IFERROR(TRIM(INDEX($A377:$Z377,MATCH(Settings!$L$7,$A$1:$Z$1,0))&amp;""),"")="","No payment status",IFERROR(TRIM(INDEX($A377:$Z377,MATCH(Settings!$L$7,$A$1:$Z$1,0))&amp;""),""))))</f>
        <v/>
      </c>
      <c r="AJ377" s="31">
        <f>IF(AE377="",0,IF(IFERROR(INDEX(Settings!$J$4:$J$14,MATCH(AI377,Settings!$I$4:$I$14,0)),"N")="Y",1,0))</f>
        <v/>
      </c>
      <c r="AK377" s="32">
        <f>IFERROR(INT(IFERROR(IF(ISNUMBER(INDEX($A377:$Z377,MATCH(Settings!$L$10,$A$1:$Z$1,0))),INDEX($A377:$Z377,MATCH(Settings!$L$10,$A$1:$Z$1,0)),DATE(VALUE(LEFT(IFERROR(TRIM(INDEX($A377:$Z377,MATCH(Settings!$L$10,$A$1:$Z$1,0))&amp;""),""),4)),VALUE(MID(IFERROR(TRIM(INDEX($A377:$Z377,MATCH(Settings!$L$10,$A$1:$Z$1,0))&amp;""),""),6,2)),VALUE(MID(IFERROR(TRIM(INDEX($A377:$Z377,MATCH(Settings!$L$10,$A$1:$Z$1,0))&amp;""),""),9,2)))+TIME(VALUE(MID(IFERROR(TRIM(INDEX($A377:$Z377,MATCH(Settings!$L$10,$A$1:$Z$1,0))&amp;""),""),12,2)),VALUE(MID(IFERROR(TRIM(INDEX($A377:$Z377,MATCH(Settings!$L$10,$A$1:$Z$1,0))&amp;""),""),15,2)),VALUE(MID(IFERROR(TRIM(INDEX($A377:$Z377,MATCH(Settings!$L$10,$A$1:$Z$1,0))&amp;""),""),18,2)))),"")),"")</f>
        <v/>
      </c>
      <c r="AL377" s="32">
        <f>IF(AE377="","",IF(ISNUMBER(AK377),AK377,IFERROR(INT(IFERROR(IF(ISNUMBER(INDEX($A377:$Z377,MATCH(Settings!$L$11,$A$1:$Z$1,0))),INDEX($A377:$Z377,MATCH(Settings!$L$11,$A$1:$Z$1,0)),DATE(VALUE(LEFT(IFERROR(TRIM(INDEX($A377:$Z377,MATCH(Settings!$L$11,$A$1:$Z$1,0))&amp;""),""),4)),VALUE(MID(IFERROR(TRIM(INDEX($A377:$Z377,MATCH(Settings!$L$11,$A$1:$Z$1,0))&amp;""),""),6,2)),VALUE(MID(IFERROR(TRIM(INDEX($A377:$Z377,MATCH(Settings!$L$11,$A$1:$Z$1,0))&amp;""),""),9,2)))+TIME(VALUE(MID(IFERROR(TRIM(INDEX($A377:$Z377,MATCH(Settings!$L$11,$A$1:$Z$1,0))&amp;""),""),12,2)),VALUE(MID(IFERROR(TRIM(INDEX($A377:$Z377,MATCH(Settings!$L$11,$A$1:$Z$1,0))&amp;""),""),15,2)),VALUE(MID(IFERROR(TRIM(INDEX($A377:$Z377,MATCH(Settings!$L$11,$A$1:$Z$1,0))&amp;""),""),18,2)))),"")),"")))</f>
        <v/>
      </c>
      <c r="AM377" s="31">
        <f>IF(AE377="","",IF(ISNUMBER(IFERROR(INDEX(Settings!$G$4:$G$11,MATCH(AH377,Settings!$F$4:$F$11,0)),"")),INDEX(Settings!$G$4:$G$11,MATCH(AH377,Settings!$F$4:$F$11,0)),Settings!$D$5))</f>
        <v/>
      </c>
      <c r="AN377" s="32">
        <f>IF(OR(AE377="",NOT(ISNUMBER(AL377)),NOT(ISNUMBER(AM377))),"",IF(AM377&lt;=0,"",IF(ISNUMBER(Settings!$D$8),DATE(YEAR(AL377)+IF(DATE(YEAR(AL377),MONTH(Settings!$D$8),DAY(Settings!$D$8))&gt;AL377,0,1),MONTH(Settings!$D$8),DAY(Settings!$D$8)),MIN(DATE(YEAR(AL377),MONTH(AL377)+AM377,DAY(AL377)),DATE(YEAR(AL377),MONTH(AL377)+AM377+1,0)))))</f>
        <v/>
      </c>
      <c r="AO377" s="31">
        <f>IF(ISNUMBER(AN377),AN377-Settings!$D$4,"")</f>
        <v/>
      </c>
      <c r="AP377" s="31">
        <f>IF(ISNUMBER(AL377),AL377+0+ROW()/100000,"")</f>
        <v/>
      </c>
      <c r="AQ377" s="31">
        <f>IF(OR(AG377="",NOT(ISNUMBER(AP377))),0,IF(SUMPRODUCT(('Responses'!$AG$2:$AG$501=AG377)*('Responses'!$AJ$2:$AJ$501=1)*ISNUMBER('Responses'!$AP$2:$AP$501)*('Responses'!$AP$2:$AP$501&gt;AP377)) + SUMPRODUCT(('Paper sign-ups'!$K$2:$K$101=AG377)*('Paper sign-ups'!$N$2:$N$101=1)*ISNUMBER('Paper sign-ups'!$T$2:$T$101)*('Paper sign-ups'!$T$2:$T$101&gt;AP377))&gt;0,1,0))</f>
        <v/>
      </c>
      <c r="AR377" s="31">
        <f>IF(AE377="","",IF(AQ377=1,"Joined again",IF(AJ377=0,"Unpaid",IF(NOT(ISNUMBER(AL377)),"Add a join date",IF(AN377="","No reminder",IF(AO377&lt;0,"Lapsed",IF(AO377&lt;=Settings!$D$6,"Remind soon","Current")))))))</f>
        <v/>
      </c>
      <c r="AS377" s="33">
        <f>IF(AJ377=1,IFERROR(VALUE(IFERROR(TRIM(INDEX($A377:$Z377,MATCH(Settings!$L$8,$A$1:$Z$1,0))&amp;""),"")),0)-IFERROR(VALUE(IFERROR(TRIM(INDEX($A377:$Z377,MATCH(Settings!$L$9,$A$1:$Z$1,0))&amp;""),"")),0),0)</f>
        <v/>
      </c>
      <c r="AT377" s="31">
        <f>IF(AND(AE377&lt;&gt;"",AQ377=0),1,0)</f>
        <v/>
      </c>
      <c r="AU377" s="31">
        <f>IF(AT377=0,"",IF(ISNUMBER(AN377),AN377,100000)+0+ROW()/1000000)</f>
        <v/>
      </c>
      <c r="AV377" s="31">
        <f>IF(ISNUMBER(AU377),SUMPRODUCT(ISNUMBER('Responses'!$AU$2:$AU$501)*('Responses'!$AU$2:$AU$501&lt;AU377)) + SUMPRODUCT(ISNUMBER('Paper sign-ups'!$Y$2:$Y$101)*('Paper sign-ups'!$Y$2:$Y$101&lt;AU377))+1,"")</f>
        <v/>
      </c>
    </row>
    <row r="378">
      <c r="AA378" s="29" t="n"/>
      <c r="AB378" s="30" t="n"/>
      <c r="AC378" s="30" t="n"/>
      <c r="AD378" s="29" t="n"/>
      <c r="AE378" s="31">
        <f>IFERROR(TRIM(INDEX($A378:$Z378,MATCH(Settings!$L$4,$A$1:$Z$1,0))&amp;""),"")</f>
        <v/>
      </c>
      <c r="AF378" s="31">
        <f>IFERROR(TRIM(INDEX($A378:$Z378,MATCH(Settings!$L$5,$A$1:$Z$1,0))&amp;""),"")</f>
        <v/>
      </c>
      <c r="AG378" s="31">
        <f>IF(AE378="","",LOWER(IF(AF378&lt;&gt;"",AF378,AE378)))</f>
        <v/>
      </c>
      <c r="AH378" s="31">
        <f>IFERROR(TRIM(INDEX($A378:$Z378,MATCH(Settings!$L$6,$A$1:$Z$1,0))&amp;""),"")</f>
        <v/>
      </c>
      <c r="AI378" s="31">
        <f>IF(AE378="","",IF(UPPER(TRIM(AB378&amp;""))="Y","Paid another way",IF(IFERROR(TRIM(INDEX($A378:$Z378,MATCH(Settings!$L$7,$A$1:$Z$1,0))&amp;""),"")="","No payment status",IFERROR(TRIM(INDEX($A378:$Z378,MATCH(Settings!$L$7,$A$1:$Z$1,0))&amp;""),""))))</f>
        <v/>
      </c>
      <c r="AJ378" s="31">
        <f>IF(AE378="",0,IF(IFERROR(INDEX(Settings!$J$4:$J$14,MATCH(AI378,Settings!$I$4:$I$14,0)),"N")="Y",1,0))</f>
        <v/>
      </c>
      <c r="AK378" s="32">
        <f>IFERROR(INT(IFERROR(IF(ISNUMBER(INDEX($A378:$Z378,MATCH(Settings!$L$10,$A$1:$Z$1,0))),INDEX($A378:$Z378,MATCH(Settings!$L$10,$A$1:$Z$1,0)),DATE(VALUE(LEFT(IFERROR(TRIM(INDEX($A378:$Z378,MATCH(Settings!$L$10,$A$1:$Z$1,0))&amp;""),""),4)),VALUE(MID(IFERROR(TRIM(INDEX($A378:$Z378,MATCH(Settings!$L$10,$A$1:$Z$1,0))&amp;""),""),6,2)),VALUE(MID(IFERROR(TRIM(INDEX($A378:$Z378,MATCH(Settings!$L$10,$A$1:$Z$1,0))&amp;""),""),9,2)))+TIME(VALUE(MID(IFERROR(TRIM(INDEX($A378:$Z378,MATCH(Settings!$L$10,$A$1:$Z$1,0))&amp;""),""),12,2)),VALUE(MID(IFERROR(TRIM(INDEX($A378:$Z378,MATCH(Settings!$L$10,$A$1:$Z$1,0))&amp;""),""),15,2)),VALUE(MID(IFERROR(TRIM(INDEX($A378:$Z378,MATCH(Settings!$L$10,$A$1:$Z$1,0))&amp;""),""),18,2)))),"")),"")</f>
        <v/>
      </c>
      <c r="AL378" s="32">
        <f>IF(AE378="","",IF(ISNUMBER(AK378),AK378,IFERROR(INT(IFERROR(IF(ISNUMBER(INDEX($A378:$Z378,MATCH(Settings!$L$11,$A$1:$Z$1,0))),INDEX($A378:$Z378,MATCH(Settings!$L$11,$A$1:$Z$1,0)),DATE(VALUE(LEFT(IFERROR(TRIM(INDEX($A378:$Z378,MATCH(Settings!$L$11,$A$1:$Z$1,0))&amp;""),""),4)),VALUE(MID(IFERROR(TRIM(INDEX($A378:$Z378,MATCH(Settings!$L$11,$A$1:$Z$1,0))&amp;""),""),6,2)),VALUE(MID(IFERROR(TRIM(INDEX($A378:$Z378,MATCH(Settings!$L$11,$A$1:$Z$1,0))&amp;""),""),9,2)))+TIME(VALUE(MID(IFERROR(TRIM(INDEX($A378:$Z378,MATCH(Settings!$L$11,$A$1:$Z$1,0))&amp;""),""),12,2)),VALUE(MID(IFERROR(TRIM(INDEX($A378:$Z378,MATCH(Settings!$L$11,$A$1:$Z$1,0))&amp;""),""),15,2)),VALUE(MID(IFERROR(TRIM(INDEX($A378:$Z378,MATCH(Settings!$L$11,$A$1:$Z$1,0))&amp;""),""),18,2)))),"")),"")))</f>
        <v/>
      </c>
      <c r="AM378" s="31">
        <f>IF(AE378="","",IF(ISNUMBER(IFERROR(INDEX(Settings!$G$4:$G$11,MATCH(AH378,Settings!$F$4:$F$11,0)),"")),INDEX(Settings!$G$4:$G$11,MATCH(AH378,Settings!$F$4:$F$11,0)),Settings!$D$5))</f>
        <v/>
      </c>
      <c r="AN378" s="32">
        <f>IF(OR(AE378="",NOT(ISNUMBER(AL378)),NOT(ISNUMBER(AM378))),"",IF(AM378&lt;=0,"",IF(ISNUMBER(Settings!$D$8),DATE(YEAR(AL378)+IF(DATE(YEAR(AL378),MONTH(Settings!$D$8),DAY(Settings!$D$8))&gt;AL378,0,1),MONTH(Settings!$D$8),DAY(Settings!$D$8)),MIN(DATE(YEAR(AL378),MONTH(AL378)+AM378,DAY(AL378)),DATE(YEAR(AL378),MONTH(AL378)+AM378+1,0)))))</f>
        <v/>
      </c>
      <c r="AO378" s="31">
        <f>IF(ISNUMBER(AN378),AN378-Settings!$D$4,"")</f>
        <v/>
      </c>
      <c r="AP378" s="31">
        <f>IF(ISNUMBER(AL378),AL378+0+ROW()/100000,"")</f>
        <v/>
      </c>
      <c r="AQ378" s="31">
        <f>IF(OR(AG378="",NOT(ISNUMBER(AP378))),0,IF(SUMPRODUCT(('Responses'!$AG$2:$AG$501=AG378)*('Responses'!$AJ$2:$AJ$501=1)*ISNUMBER('Responses'!$AP$2:$AP$501)*('Responses'!$AP$2:$AP$501&gt;AP378)) + SUMPRODUCT(('Paper sign-ups'!$K$2:$K$101=AG378)*('Paper sign-ups'!$N$2:$N$101=1)*ISNUMBER('Paper sign-ups'!$T$2:$T$101)*('Paper sign-ups'!$T$2:$T$101&gt;AP378))&gt;0,1,0))</f>
        <v/>
      </c>
      <c r="AR378" s="31">
        <f>IF(AE378="","",IF(AQ378=1,"Joined again",IF(AJ378=0,"Unpaid",IF(NOT(ISNUMBER(AL378)),"Add a join date",IF(AN378="","No reminder",IF(AO378&lt;0,"Lapsed",IF(AO378&lt;=Settings!$D$6,"Remind soon","Current")))))))</f>
        <v/>
      </c>
      <c r="AS378" s="33">
        <f>IF(AJ378=1,IFERROR(VALUE(IFERROR(TRIM(INDEX($A378:$Z378,MATCH(Settings!$L$8,$A$1:$Z$1,0))&amp;""),"")),0)-IFERROR(VALUE(IFERROR(TRIM(INDEX($A378:$Z378,MATCH(Settings!$L$9,$A$1:$Z$1,0))&amp;""),"")),0),0)</f>
        <v/>
      </c>
      <c r="AT378" s="31">
        <f>IF(AND(AE378&lt;&gt;"",AQ378=0),1,0)</f>
        <v/>
      </c>
      <c r="AU378" s="31">
        <f>IF(AT378=0,"",IF(ISNUMBER(AN378),AN378,100000)+0+ROW()/1000000)</f>
        <v/>
      </c>
      <c r="AV378" s="31">
        <f>IF(ISNUMBER(AU378),SUMPRODUCT(ISNUMBER('Responses'!$AU$2:$AU$501)*('Responses'!$AU$2:$AU$501&lt;AU378)) + SUMPRODUCT(ISNUMBER('Paper sign-ups'!$Y$2:$Y$101)*('Paper sign-ups'!$Y$2:$Y$101&lt;AU378))+1,"")</f>
        <v/>
      </c>
    </row>
    <row r="379">
      <c r="AA379" s="29" t="n"/>
      <c r="AB379" s="30" t="n"/>
      <c r="AC379" s="30" t="n"/>
      <c r="AD379" s="29" t="n"/>
      <c r="AE379" s="31">
        <f>IFERROR(TRIM(INDEX($A379:$Z379,MATCH(Settings!$L$4,$A$1:$Z$1,0))&amp;""),"")</f>
        <v/>
      </c>
      <c r="AF379" s="31">
        <f>IFERROR(TRIM(INDEX($A379:$Z379,MATCH(Settings!$L$5,$A$1:$Z$1,0))&amp;""),"")</f>
        <v/>
      </c>
      <c r="AG379" s="31">
        <f>IF(AE379="","",LOWER(IF(AF379&lt;&gt;"",AF379,AE379)))</f>
        <v/>
      </c>
      <c r="AH379" s="31">
        <f>IFERROR(TRIM(INDEX($A379:$Z379,MATCH(Settings!$L$6,$A$1:$Z$1,0))&amp;""),"")</f>
        <v/>
      </c>
      <c r="AI379" s="31">
        <f>IF(AE379="","",IF(UPPER(TRIM(AB379&amp;""))="Y","Paid another way",IF(IFERROR(TRIM(INDEX($A379:$Z379,MATCH(Settings!$L$7,$A$1:$Z$1,0))&amp;""),"")="","No payment status",IFERROR(TRIM(INDEX($A379:$Z379,MATCH(Settings!$L$7,$A$1:$Z$1,0))&amp;""),""))))</f>
        <v/>
      </c>
      <c r="AJ379" s="31">
        <f>IF(AE379="",0,IF(IFERROR(INDEX(Settings!$J$4:$J$14,MATCH(AI379,Settings!$I$4:$I$14,0)),"N")="Y",1,0))</f>
        <v/>
      </c>
      <c r="AK379" s="32">
        <f>IFERROR(INT(IFERROR(IF(ISNUMBER(INDEX($A379:$Z379,MATCH(Settings!$L$10,$A$1:$Z$1,0))),INDEX($A379:$Z379,MATCH(Settings!$L$10,$A$1:$Z$1,0)),DATE(VALUE(LEFT(IFERROR(TRIM(INDEX($A379:$Z379,MATCH(Settings!$L$10,$A$1:$Z$1,0))&amp;""),""),4)),VALUE(MID(IFERROR(TRIM(INDEX($A379:$Z379,MATCH(Settings!$L$10,$A$1:$Z$1,0))&amp;""),""),6,2)),VALUE(MID(IFERROR(TRIM(INDEX($A379:$Z379,MATCH(Settings!$L$10,$A$1:$Z$1,0))&amp;""),""),9,2)))+TIME(VALUE(MID(IFERROR(TRIM(INDEX($A379:$Z379,MATCH(Settings!$L$10,$A$1:$Z$1,0))&amp;""),""),12,2)),VALUE(MID(IFERROR(TRIM(INDEX($A379:$Z379,MATCH(Settings!$L$10,$A$1:$Z$1,0))&amp;""),""),15,2)),VALUE(MID(IFERROR(TRIM(INDEX($A379:$Z379,MATCH(Settings!$L$10,$A$1:$Z$1,0))&amp;""),""),18,2)))),"")),"")</f>
        <v/>
      </c>
      <c r="AL379" s="32">
        <f>IF(AE379="","",IF(ISNUMBER(AK379),AK379,IFERROR(INT(IFERROR(IF(ISNUMBER(INDEX($A379:$Z379,MATCH(Settings!$L$11,$A$1:$Z$1,0))),INDEX($A379:$Z379,MATCH(Settings!$L$11,$A$1:$Z$1,0)),DATE(VALUE(LEFT(IFERROR(TRIM(INDEX($A379:$Z379,MATCH(Settings!$L$11,$A$1:$Z$1,0))&amp;""),""),4)),VALUE(MID(IFERROR(TRIM(INDEX($A379:$Z379,MATCH(Settings!$L$11,$A$1:$Z$1,0))&amp;""),""),6,2)),VALUE(MID(IFERROR(TRIM(INDEX($A379:$Z379,MATCH(Settings!$L$11,$A$1:$Z$1,0))&amp;""),""),9,2)))+TIME(VALUE(MID(IFERROR(TRIM(INDEX($A379:$Z379,MATCH(Settings!$L$11,$A$1:$Z$1,0))&amp;""),""),12,2)),VALUE(MID(IFERROR(TRIM(INDEX($A379:$Z379,MATCH(Settings!$L$11,$A$1:$Z$1,0))&amp;""),""),15,2)),VALUE(MID(IFERROR(TRIM(INDEX($A379:$Z379,MATCH(Settings!$L$11,$A$1:$Z$1,0))&amp;""),""),18,2)))),"")),"")))</f>
        <v/>
      </c>
      <c r="AM379" s="31">
        <f>IF(AE379="","",IF(ISNUMBER(IFERROR(INDEX(Settings!$G$4:$G$11,MATCH(AH379,Settings!$F$4:$F$11,0)),"")),INDEX(Settings!$G$4:$G$11,MATCH(AH379,Settings!$F$4:$F$11,0)),Settings!$D$5))</f>
        <v/>
      </c>
      <c r="AN379" s="32">
        <f>IF(OR(AE379="",NOT(ISNUMBER(AL379)),NOT(ISNUMBER(AM379))),"",IF(AM379&lt;=0,"",IF(ISNUMBER(Settings!$D$8),DATE(YEAR(AL379)+IF(DATE(YEAR(AL379),MONTH(Settings!$D$8),DAY(Settings!$D$8))&gt;AL379,0,1),MONTH(Settings!$D$8),DAY(Settings!$D$8)),MIN(DATE(YEAR(AL379),MONTH(AL379)+AM379,DAY(AL379)),DATE(YEAR(AL379),MONTH(AL379)+AM379+1,0)))))</f>
        <v/>
      </c>
      <c r="AO379" s="31">
        <f>IF(ISNUMBER(AN379),AN379-Settings!$D$4,"")</f>
        <v/>
      </c>
      <c r="AP379" s="31">
        <f>IF(ISNUMBER(AL379),AL379+0+ROW()/100000,"")</f>
        <v/>
      </c>
      <c r="AQ379" s="31">
        <f>IF(OR(AG379="",NOT(ISNUMBER(AP379))),0,IF(SUMPRODUCT(('Responses'!$AG$2:$AG$501=AG379)*('Responses'!$AJ$2:$AJ$501=1)*ISNUMBER('Responses'!$AP$2:$AP$501)*('Responses'!$AP$2:$AP$501&gt;AP379)) + SUMPRODUCT(('Paper sign-ups'!$K$2:$K$101=AG379)*('Paper sign-ups'!$N$2:$N$101=1)*ISNUMBER('Paper sign-ups'!$T$2:$T$101)*('Paper sign-ups'!$T$2:$T$101&gt;AP379))&gt;0,1,0))</f>
        <v/>
      </c>
      <c r="AR379" s="31">
        <f>IF(AE379="","",IF(AQ379=1,"Joined again",IF(AJ379=0,"Unpaid",IF(NOT(ISNUMBER(AL379)),"Add a join date",IF(AN379="","No reminder",IF(AO379&lt;0,"Lapsed",IF(AO379&lt;=Settings!$D$6,"Remind soon","Current")))))))</f>
        <v/>
      </c>
      <c r="AS379" s="33">
        <f>IF(AJ379=1,IFERROR(VALUE(IFERROR(TRIM(INDEX($A379:$Z379,MATCH(Settings!$L$8,$A$1:$Z$1,0))&amp;""),"")),0)-IFERROR(VALUE(IFERROR(TRIM(INDEX($A379:$Z379,MATCH(Settings!$L$9,$A$1:$Z$1,0))&amp;""),"")),0),0)</f>
        <v/>
      </c>
      <c r="AT379" s="31">
        <f>IF(AND(AE379&lt;&gt;"",AQ379=0),1,0)</f>
        <v/>
      </c>
      <c r="AU379" s="31">
        <f>IF(AT379=0,"",IF(ISNUMBER(AN379),AN379,100000)+0+ROW()/1000000)</f>
        <v/>
      </c>
      <c r="AV379" s="31">
        <f>IF(ISNUMBER(AU379),SUMPRODUCT(ISNUMBER('Responses'!$AU$2:$AU$501)*('Responses'!$AU$2:$AU$501&lt;AU379)) + SUMPRODUCT(ISNUMBER('Paper sign-ups'!$Y$2:$Y$101)*('Paper sign-ups'!$Y$2:$Y$101&lt;AU379))+1,"")</f>
        <v/>
      </c>
    </row>
    <row r="380">
      <c r="AA380" s="29" t="n"/>
      <c r="AB380" s="30" t="n"/>
      <c r="AC380" s="30" t="n"/>
      <c r="AD380" s="29" t="n"/>
      <c r="AE380" s="31">
        <f>IFERROR(TRIM(INDEX($A380:$Z380,MATCH(Settings!$L$4,$A$1:$Z$1,0))&amp;""),"")</f>
        <v/>
      </c>
      <c r="AF380" s="31">
        <f>IFERROR(TRIM(INDEX($A380:$Z380,MATCH(Settings!$L$5,$A$1:$Z$1,0))&amp;""),"")</f>
        <v/>
      </c>
      <c r="AG380" s="31">
        <f>IF(AE380="","",LOWER(IF(AF380&lt;&gt;"",AF380,AE380)))</f>
        <v/>
      </c>
      <c r="AH380" s="31">
        <f>IFERROR(TRIM(INDEX($A380:$Z380,MATCH(Settings!$L$6,$A$1:$Z$1,0))&amp;""),"")</f>
        <v/>
      </c>
      <c r="AI380" s="31">
        <f>IF(AE380="","",IF(UPPER(TRIM(AB380&amp;""))="Y","Paid another way",IF(IFERROR(TRIM(INDEX($A380:$Z380,MATCH(Settings!$L$7,$A$1:$Z$1,0))&amp;""),"")="","No payment status",IFERROR(TRIM(INDEX($A380:$Z380,MATCH(Settings!$L$7,$A$1:$Z$1,0))&amp;""),""))))</f>
        <v/>
      </c>
      <c r="AJ380" s="31">
        <f>IF(AE380="",0,IF(IFERROR(INDEX(Settings!$J$4:$J$14,MATCH(AI380,Settings!$I$4:$I$14,0)),"N")="Y",1,0))</f>
        <v/>
      </c>
      <c r="AK380" s="32">
        <f>IFERROR(INT(IFERROR(IF(ISNUMBER(INDEX($A380:$Z380,MATCH(Settings!$L$10,$A$1:$Z$1,0))),INDEX($A380:$Z380,MATCH(Settings!$L$10,$A$1:$Z$1,0)),DATE(VALUE(LEFT(IFERROR(TRIM(INDEX($A380:$Z380,MATCH(Settings!$L$10,$A$1:$Z$1,0))&amp;""),""),4)),VALUE(MID(IFERROR(TRIM(INDEX($A380:$Z380,MATCH(Settings!$L$10,$A$1:$Z$1,0))&amp;""),""),6,2)),VALUE(MID(IFERROR(TRIM(INDEX($A380:$Z380,MATCH(Settings!$L$10,$A$1:$Z$1,0))&amp;""),""),9,2)))+TIME(VALUE(MID(IFERROR(TRIM(INDEX($A380:$Z380,MATCH(Settings!$L$10,$A$1:$Z$1,0))&amp;""),""),12,2)),VALUE(MID(IFERROR(TRIM(INDEX($A380:$Z380,MATCH(Settings!$L$10,$A$1:$Z$1,0))&amp;""),""),15,2)),VALUE(MID(IFERROR(TRIM(INDEX($A380:$Z380,MATCH(Settings!$L$10,$A$1:$Z$1,0))&amp;""),""),18,2)))),"")),"")</f>
        <v/>
      </c>
      <c r="AL380" s="32">
        <f>IF(AE380="","",IF(ISNUMBER(AK380),AK380,IFERROR(INT(IFERROR(IF(ISNUMBER(INDEX($A380:$Z380,MATCH(Settings!$L$11,$A$1:$Z$1,0))),INDEX($A380:$Z380,MATCH(Settings!$L$11,$A$1:$Z$1,0)),DATE(VALUE(LEFT(IFERROR(TRIM(INDEX($A380:$Z380,MATCH(Settings!$L$11,$A$1:$Z$1,0))&amp;""),""),4)),VALUE(MID(IFERROR(TRIM(INDEX($A380:$Z380,MATCH(Settings!$L$11,$A$1:$Z$1,0))&amp;""),""),6,2)),VALUE(MID(IFERROR(TRIM(INDEX($A380:$Z380,MATCH(Settings!$L$11,$A$1:$Z$1,0))&amp;""),""),9,2)))+TIME(VALUE(MID(IFERROR(TRIM(INDEX($A380:$Z380,MATCH(Settings!$L$11,$A$1:$Z$1,0))&amp;""),""),12,2)),VALUE(MID(IFERROR(TRIM(INDEX($A380:$Z380,MATCH(Settings!$L$11,$A$1:$Z$1,0))&amp;""),""),15,2)),VALUE(MID(IFERROR(TRIM(INDEX($A380:$Z380,MATCH(Settings!$L$11,$A$1:$Z$1,0))&amp;""),""),18,2)))),"")),"")))</f>
        <v/>
      </c>
      <c r="AM380" s="31">
        <f>IF(AE380="","",IF(ISNUMBER(IFERROR(INDEX(Settings!$G$4:$G$11,MATCH(AH380,Settings!$F$4:$F$11,0)),"")),INDEX(Settings!$G$4:$G$11,MATCH(AH380,Settings!$F$4:$F$11,0)),Settings!$D$5))</f>
        <v/>
      </c>
      <c r="AN380" s="32">
        <f>IF(OR(AE380="",NOT(ISNUMBER(AL380)),NOT(ISNUMBER(AM380))),"",IF(AM380&lt;=0,"",IF(ISNUMBER(Settings!$D$8),DATE(YEAR(AL380)+IF(DATE(YEAR(AL380),MONTH(Settings!$D$8),DAY(Settings!$D$8))&gt;AL380,0,1),MONTH(Settings!$D$8),DAY(Settings!$D$8)),MIN(DATE(YEAR(AL380),MONTH(AL380)+AM380,DAY(AL380)),DATE(YEAR(AL380),MONTH(AL380)+AM380+1,0)))))</f>
        <v/>
      </c>
      <c r="AO380" s="31">
        <f>IF(ISNUMBER(AN380),AN380-Settings!$D$4,"")</f>
        <v/>
      </c>
      <c r="AP380" s="31">
        <f>IF(ISNUMBER(AL380),AL380+0+ROW()/100000,"")</f>
        <v/>
      </c>
      <c r="AQ380" s="31">
        <f>IF(OR(AG380="",NOT(ISNUMBER(AP380))),0,IF(SUMPRODUCT(('Responses'!$AG$2:$AG$501=AG380)*('Responses'!$AJ$2:$AJ$501=1)*ISNUMBER('Responses'!$AP$2:$AP$501)*('Responses'!$AP$2:$AP$501&gt;AP380)) + SUMPRODUCT(('Paper sign-ups'!$K$2:$K$101=AG380)*('Paper sign-ups'!$N$2:$N$101=1)*ISNUMBER('Paper sign-ups'!$T$2:$T$101)*('Paper sign-ups'!$T$2:$T$101&gt;AP380))&gt;0,1,0))</f>
        <v/>
      </c>
      <c r="AR380" s="31">
        <f>IF(AE380="","",IF(AQ380=1,"Joined again",IF(AJ380=0,"Unpaid",IF(NOT(ISNUMBER(AL380)),"Add a join date",IF(AN380="","No reminder",IF(AO380&lt;0,"Lapsed",IF(AO380&lt;=Settings!$D$6,"Remind soon","Current")))))))</f>
        <v/>
      </c>
      <c r="AS380" s="33">
        <f>IF(AJ380=1,IFERROR(VALUE(IFERROR(TRIM(INDEX($A380:$Z380,MATCH(Settings!$L$8,$A$1:$Z$1,0))&amp;""),"")),0)-IFERROR(VALUE(IFERROR(TRIM(INDEX($A380:$Z380,MATCH(Settings!$L$9,$A$1:$Z$1,0))&amp;""),"")),0),0)</f>
        <v/>
      </c>
      <c r="AT380" s="31">
        <f>IF(AND(AE380&lt;&gt;"",AQ380=0),1,0)</f>
        <v/>
      </c>
      <c r="AU380" s="31">
        <f>IF(AT380=0,"",IF(ISNUMBER(AN380),AN380,100000)+0+ROW()/1000000)</f>
        <v/>
      </c>
      <c r="AV380" s="31">
        <f>IF(ISNUMBER(AU380),SUMPRODUCT(ISNUMBER('Responses'!$AU$2:$AU$501)*('Responses'!$AU$2:$AU$501&lt;AU380)) + SUMPRODUCT(ISNUMBER('Paper sign-ups'!$Y$2:$Y$101)*('Paper sign-ups'!$Y$2:$Y$101&lt;AU380))+1,"")</f>
        <v/>
      </c>
    </row>
    <row r="381">
      <c r="AA381" s="29" t="n"/>
      <c r="AB381" s="30" t="n"/>
      <c r="AC381" s="30" t="n"/>
      <c r="AD381" s="29" t="n"/>
      <c r="AE381" s="31">
        <f>IFERROR(TRIM(INDEX($A381:$Z381,MATCH(Settings!$L$4,$A$1:$Z$1,0))&amp;""),"")</f>
        <v/>
      </c>
      <c r="AF381" s="31">
        <f>IFERROR(TRIM(INDEX($A381:$Z381,MATCH(Settings!$L$5,$A$1:$Z$1,0))&amp;""),"")</f>
        <v/>
      </c>
      <c r="AG381" s="31">
        <f>IF(AE381="","",LOWER(IF(AF381&lt;&gt;"",AF381,AE381)))</f>
        <v/>
      </c>
      <c r="AH381" s="31">
        <f>IFERROR(TRIM(INDEX($A381:$Z381,MATCH(Settings!$L$6,$A$1:$Z$1,0))&amp;""),"")</f>
        <v/>
      </c>
      <c r="AI381" s="31">
        <f>IF(AE381="","",IF(UPPER(TRIM(AB381&amp;""))="Y","Paid another way",IF(IFERROR(TRIM(INDEX($A381:$Z381,MATCH(Settings!$L$7,$A$1:$Z$1,0))&amp;""),"")="","No payment status",IFERROR(TRIM(INDEX($A381:$Z381,MATCH(Settings!$L$7,$A$1:$Z$1,0))&amp;""),""))))</f>
        <v/>
      </c>
      <c r="AJ381" s="31">
        <f>IF(AE381="",0,IF(IFERROR(INDEX(Settings!$J$4:$J$14,MATCH(AI381,Settings!$I$4:$I$14,0)),"N")="Y",1,0))</f>
        <v/>
      </c>
      <c r="AK381" s="32">
        <f>IFERROR(INT(IFERROR(IF(ISNUMBER(INDEX($A381:$Z381,MATCH(Settings!$L$10,$A$1:$Z$1,0))),INDEX($A381:$Z381,MATCH(Settings!$L$10,$A$1:$Z$1,0)),DATE(VALUE(LEFT(IFERROR(TRIM(INDEX($A381:$Z381,MATCH(Settings!$L$10,$A$1:$Z$1,0))&amp;""),""),4)),VALUE(MID(IFERROR(TRIM(INDEX($A381:$Z381,MATCH(Settings!$L$10,$A$1:$Z$1,0))&amp;""),""),6,2)),VALUE(MID(IFERROR(TRIM(INDEX($A381:$Z381,MATCH(Settings!$L$10,$A$1:$Z$1,0))&amp;""),""),9,2)))+TIME(VALUE(MID(IFERROR(TRIM(INDEX($A381:$Z381,MATCH(Settings!$L$10,$A$1:$Z$1,0))&amp;""),""),12,2)),VALUE(MID(IFERROR(TRIM(INDEX($A381:$Z381,MATCH(Settings!$L$10,$A$1:$Z$1,0))&amp;""),""),15,2)),VALUE(MID(IFERROR(TRIM(INDEX($A381:$Z381,MATCH(Settings!$L$10,$A$1:$Z$1,0))&amp;""),""),18,2)))),"")),"")</f>
        <v/>
      </c>
      <c r="AL381" s="32">
        <f>IF(AE381="","",IF(ISNUMBER(AK381),AK381,IFERROR(INT(IFERROR(IF(ISNUMBER(INDEX($A381:$Z381,MATCH(Settings!$L$11,$A$1:$Z$1,0))),INDEX($A381:$Z381,MATCH(Settings!$L$11,$A$1:$Z$1,0)),DATE(VALUE(LEFT(IFERROR(TRIM(INDEX($A381:$Z381,MATCH(Settings!$L$11,$A$1:$Z$1,0))&amp;""),""),4)),VALUE(MID(IFERROR(TRIM(INDEX($A381:$Z381,MATCH(Settings!$L$11,$A$1:$Z$1,0))&amp;""),""),6,2)),VALUE(MID(IFERROR(TRIM(INDEX($A381:$Z381,MATCH(Settings!$L$11,$A$1:$Z$1,0))&amp;""),""),9,2)))+TIME(VALUE(MID(IFERROR(TRIM(INDEX($A381:$Z381,MATCH(Settings!$L$11,$A$1:$Z$1,0))&amp;""),""),12,2)),VALUE(MID(IFERROR(TRIM(INDEX($A381:$Z381,MATCH(Settings!$L$11,$A$1:$Z$1,0))&amp;""),""),15,2)),VALUE(MID(IFERROR(TRIM(INDEX($A381:$Z381,MATCH(Settings!$L$11,$A$1:$Z$1,0))&amp;""),""),18,2)))),"")),"")))</f>
        <v/>
      </c>
      <c r="AM381" s="31">
        <f>IF(AE381="","",IF(ISNUMBER(IFERROR(INDEX(Settings!$G$4:$G$11,MATCH(AH381,Settings!$F$4:$F$11,0)),"")),INDEX(Settings!$G$4:$G$11,MATCH(AH381,Settings!$F$4:$F$11,0)),Settings!$D$5))</f>
        <v/>
      </c>
      <c r="AN381" s="32">
        <f>IF(OR(AE381="",NOT(ISNUMBER(AL381)),NOT(ISNUMBER(AM381))),"",IF(AM381&lt;=0,"",IF(ISNUMBER(Settings!$D$8),DATE(YEAR(AL381)+IF(DATE(YEAR(AL381),MONTH(Settings!$D$8),DAY(Settings!$D$8))&gt;AL381,0,1),MONTH(Settings!$D$8),DAY(Settings!$D$8)),MIN(DATE(YEAR(AL381),MONTH(AL381)+AM381,DAY(AL381)),DATE(YEAR(AL381),MONTH(AL381)+AM381+1,0)))))</f>
        <v/>
      </c>
      <c r="AO381" s="31">
        <f>IF(ISNUMBER(AN381),AN381-Settings!$D$4,"")</f>
        <v/>
      </c>
      <c r="AP381" s="31">
        <f>IF(ISNUMBER(AL381),AL381+0+ROW()/100000,"")</f>
        <v/>
      </c>
      <c r="AQ381" s="31">
        <f>IF(OR(AG381="",NOT(ISNUMBER(AP381))),0,IF(SUMPRODUCT(('Responses'!$AG$2:$AG$501=AG381)*('Responses'!$AJ$2:$AJ$501=1)*ISNUMBER('Responses'!$AP$2:$AP$501)*('Responses'!$AP$2:$AP$501&gt;AP381)) + SUMPRODUCT(('Paper sign-ups'!$K$2:$K$101=AG381)*('Paper sign-ups'!$N$2:$N$101=1)*ISNUMBER('Paper sign-ups'!$T$2:$T$101)*('Paper sign-ups'!$T$2:$T$101&gt;AP381))&gt;0,1,0))</f>
        <v/>
      </c>
      <c r="AR381" s="31">
        <f>IF(AE381="","",IF(AQ381=1,"Joined again",IF(AJ381=0,"Unpaid",IF(NOT(ISNUMBER(AL381)),"Add a join date",IF(AN381="","No reminder",IF(AO381&lt;0,"Lapsed",IF(AO381&lt;=Settings!$D$6,"Remind soon","Current")))))))</f>
        <v/>
      </c>
      <c r="AS381" s="33">
        <f>IF(AJ381=1,IFERROR(VALUE(IFERROR(TRIM(INDEX($A381:$Z381,MATCH(Settings!$L$8,$A$1:$Z$1,0))&amp;""),"")),0)-IFERROR(VALUE(IFERROR(TRIM(INDEX($A381:$Z381,MATCH(Settings!$L$9,$A$1:$Z$1,0))&amp;""),"")),0),0)</f>
        <v/>
      </c>
      <c r="AT381" s="31">
        <f>IF(AND(AE381&lt;&gt;"",AQ381=0),1,0)</f>
        <v/>
      </c>
      <c r="AU381" s="31">
        <f>IF(AT381=0,"",IF(ISNUMBER(AN381),AN381,100000)+0+ROW()/1000000)</f>
        <v/>
      </c>
      <c r="AV381" s="31">
        <f>IF(ISNUMBER(AU381),SUMPRODUCT(ISNUMBER('Responses'!$AU$2:$AU$501)*('Responses'!$AU$2:$AU$501&lt;AU381)) + SUMPRODUCT(ISNUMBER('Paper sign-ups'!$Y$2:$Y$101)*('Paper sign-ups'!$Y$2:$Y$101&lt;AU381))+1,"")</f>
        <v/>
      </c>
    </row>
    <row r="382">
      <c r="AA382" s="29" t="n"/>
      <c r="AB382" s="30" t="n"/>
      <c r="AC382" s="30" t="n"/>
      <c r="AD382" s="29" t="n"/>
      <c r="AE382" s="31">
        <f>IFERROR(TRIM(INDEX($A382:$Z382,MATCH(Settings!$L$4,$A$1:$Z$1,0))&amp;""),"")</f>
        <v/>
      </c>
      <c r="AF382" s="31">
        <f>IFERROR(TRIM(INDEX($A382:$Z382,MATCH(Settings!$L$5,$A$1:$Z$1,0))&amp;""),"")</f>
        <v/>
      </c>
      <c r="AG382" s="31">
        <f>IF(AE382="","",LOWER(IF(AF382&lt;&gt;"",AF382,AE382)))</f>
        <v/>
      </c>
      <c r="AH382" s="31">
        <f>IFERROR(TRIM(INDEX($A382:$Z382,MATCH(Settings!$L$6,$A$1:$Z$1,0))&amp;""),"")</f>
        <v/>
      </c>
      <c r="AI382" s="31">
        <f>IF(AE382="","",IF(UPPER(TRIM(AB382&amp;""))="Y","Paid another way",IF(IFERROR(TRIM(INDEX($A382:$Z382,MATCH(Settings!$L$7,$A$1:$Z$1,0))&amp;""),"")="","No payment status",IFERROR(TRIM(INDEX($A382:$Z382,MATCH(Settings!$L$7,$A$1:$Z$1,0))&amp;""),""))))</f>
        <v/>
      </c>
      <c r="AJ382" s="31">
        <f>IF(AE382="",0,IF(IFERROR(INDEX(Settings!$J$4:$J$14,MATCH(AI382,Settings!$I$4:$I$14,0)),"N")="Y",1,0))</f>
        <v/>
      </c>
      <c r="AK382" s="32">
        <f>IFERROR(INT(IFERROR(IF(ISNUMBER(INDEX($A382:$Z382,MATCH(Settings!$L$10,$A$1:$Z$1,0))),INDEX($A382:$Z382,MATCH(Settings!$L$10,$A$1:$Z$1,0)),DATE(VALUE(LEFT(IFERROR(TRIM(INDEX($A382:$Z382,MATCH(Settings!$L$10,$A$1:$Z$1,0))&amp;""),""),4)),VALUE(MID(IFERROR(TRIM(INDEX($A382:$Z382,MATCH(Settings!$L$10,$A$1:$Z$1,0))&amp;""),""),6,2)),VALUE(MID(IFERROR(TRIM(INDEX($A382:$Z382,MATCH(Settings!$L$10,$A$1:$Z$1,0))&amp;""),""),9,2)))+TIME(VALUE(MID(IFERROR(TRIM(INDEX($A382:$Z382,MATCH(Settings!$L$10,$A$1:$Z$1,0))&amp;""),""),12,2)),VALUE(MID(IFERROR(TRIM(INDEX($A382:$Z382,MATCH(Settings!$L$10,$A$1:$Z$1,0))&amp;""),""),15,2)),VALUE(MID(IFERROR(TRIM(INDEX($A382:$Z382,MATCH(Settings!$L$10,$A$1:$Z$1,0))&amp;""),""),18,2)))),"")),"")</f>
        <v/>
      </c>
      <c r="AL382" s="32">
        <f>IF(AE382="","",IF(ISNUMBER(AK382),AK382,IFERROR(INT(IFERROR(IF(ISNUMBER(INDEX($A382:$Z382,MATCH(Settings!$L$11,$A$1:$Z$1,0))),INDEX($A382:$Z382,MATCH(Settings!$L$11,$A$1:$Z$1,0)),DATE(VALUE(LEFT(IFERROR(TRIM(INDEX($A382:$Z382,MATCH(Settings!$L$11,$A$1:$Z$1,0))&amp;""),""),4)),VALUE(MID(IFERROR(TRIM(INDEX($A382:$Z382,MATCH(Settings!$L$11,$A$1:$Z$1,0))&amp;""),""),6,2)),VALUE(MID(IFERROR(TRIM(INDEX($A382:$Z382,MATCH(Settings!$L$11,$A$1:$Z$1,0))&amp;""),""),9,2)))+TIME(VALUE(MID(IFERROR(TRIM(INDEX($A382:$Z382,MATCH(Settings!$L$11,$A$1:$Z$1,0))&amp;""),""),12,2)),VALUE(MID(IFERROR(TRIM(INDEX($A382:$Z382,MATCH(Settings!$L$11,$A$1:$Z$1,0))&amp;""),""),15,2)),VALUE(MID(IFERROR(TRIM(INDEX($A382:$Z382,MATCH(Settings!$L$11,$A$1:$Z$1,0))&amp;""),""),18,2)))),"")),"")))</f>
        <v/>
      </c>
      <c r="AM382" s="31">
        <f>IF(AE382="","",IF(ISNUMBER(IFERROR(INDEX(Settings!$G$4:$G$11,MATCH(AH382,Settings!$F$4:$F$11,0)),"")),INDEX(Settings!$G$4:$G$11,MATCH(AH382,Settings!$F$4:$F$11,0)),Settings!$D$5))</f>
        <v/>
      </c>
      <c r="AN382" s="32">
        <f>IF(OR(AE382="",NOT(ISNUMBER(AL382)),NOT(ISNUMBER(AM382))),"",IF(AM382&lt;=0,"",IF(ISNUMBER(Settings!$D$8),DATE(YEAR(AL382)+IF(DATE(YEAR(AL382),MONTH(Settings!$D$8),DAY(Settings!$D$8))&gt;AL382,0,1),MONTH(Settings!$D$8),DAY(Settings!$D$8)),MIN(DATE(YEAR(AL382),MONTH(AL382)+AM382,DAY(AL382)),DATE(YEAR(AL382),MONTH(AL382)+AM382+1,0)))))</f>
        <v/>
      </c>
      <c r="AO382" s="31">
        <f>IF(ISNUMBER(AN382),AN382-Settings!$D$4,"")</f>
        <v/>
      </c>
      <c r="AP382" s="31">
        <f>IF(ISNUMBER(AL382),AL382+0+ROW()/100000,"")</f>
        <v/>
      </c>
      <c r="AQ382" s="31">
        <f>IF(OR(AG382="",NOT(ISNUMBER(AP382))),0,IF(SUMPRODUCT(('Responses'!$AG$2:$AG$501=AG382)*('Responses'!$AJ$2:$AJ$501=1)*ISNUMBER('Responses'!$AP$2:$AP$501)*('Responses'!$AP$2:$AP$501&gt;AP382)) + SUMPRODUCT(('Paper sign-ups'!$K$2:$K$101=AG382)*('Paper sign-ups'!$N$2:$N$101=1)*ISNUMBER('Paper sign-ups'!$T$2:$T$101)*('Paper sign-ups'!$T$2:$T$101&gt;AP382))&gt;0,1,0))</f>
        <v/>
      </c>
      <c r="AR382" s="31">
        <f>IF(AE382="","",IF(AQ382=1,"Joined again",IF(AJ382=0,"Unpaid",IF(NOT(ISNUMBER(AL382)),"Add a join date",IF(AN382="","No reminder",IF(AO382&lt;0,"Lapsed",IF(AO382&lt;=Settings!$D$6,"Remind soon","Current")))))))</f>
        <v/>
      </c>
      <c r="AS382" s="33">
        <f>IF(AJ382=1,IFERROR(VALUE(IFERROR(TRIM(INDEX($A382:$Z382,MATCH(Settings!$L$8,$A$1:$Z$1,0))&amp;""),"")),0)-IFERROR(VALUE(IFERROR(TRIM(INDEX($A382:$Z382,MATCH(Settings!$L$9,$A$1:$Z$1,0))&amp;""),"")),0),0)</f>
        <v/>
      </c>
      <c r="AT382" s="31">
        <f>IF(AND(AE382&lt;&gt;"",AQ382=0),1,0)</f>
        <v/>
      </c>
      <c r="AU382" s="31">
        <f>IF(AT382=0,"",IF(ISNUMBER(AN382),AN382,100000)+0+ROW()/1000000)</f>
        <v/>
      </c>
      <c r="AV382" s="31">
        <f>IF(ISNUMBER(AU382),SUMPRODUCT(ISNUMBER('Responses'!$AU$2:$AU$501)*('Responses'!$AU$2:$AU$501&lt;AU382)) + SUMPRODUCT(ISNUMBER('Paper sign-ups'!$Y$2:$Y$101)*('Paper sign-ups'!$Y$2:$Y$101&lt;AU382))+1,"")</f>
        <v/>
      </c>
    </row>
    <row r="383">
      <c r="AA383" s="29" t="n"/>
      <c r="AB383" s="30" t="n"/>
      <c r="AC383" s="30" t="n"/>
      <c r="AD383" s="29" t="n"/>
      <c r="AE383" s="31">
        <f>IFERROR(TRIM(INDEX($A383:$Z383,MATCH(Settings!$L$4,$A$1:$Z$1,0))&amp;""),"")</f>
        <v/>
      </c>
      <c r="AF383" s="31">
        <f>IFERROR(TRIM(INDEX($A383:$Z383,MATCH(Settings!$L$5,$A$1:$Z$1,0))&amp;""),"")</f>
        <v/>
      </c>
      <c r="AG383" s="31">
        <f>IF(AE383="","",LOWER(IF(AF383&lt;&gt;"",AF383,AE383)))</f>
        <v/>
      </c>
      <c r="AH383" s="31">
        <f>IFERROR(TRIM(INDEX($A383:$Z383,MATCH(Settings!$L$6,$A$1:$Z$1,0))&amp;""),"")</f>
        <v/>
      </c>
      <c r="AI383" s="31">
        <f>IF(AE383="","",IF(UPPER(TRIM(AB383&amp;""))="Y","Paid another way",IF(IFERROR(TRIM(INDEX($A383:$Z383,MATCH(Settings!$L$7,$A$1:$Z$1,0))&amp;""),"")="","No payment status",IFERROR(TRIM(INDEX($A383:$Z383,MATCH(Settings!$L$7,$A$1:$Z$1,0))&amp;""),""))))</f>
        <v/>
      </c>
      <c r="AJ383" s="31">
        <f>IF(AE383="",0,IF(IFERROR(INDEX(Settings!$J$4:$J$14,MATCH(AI383,Settings!$I$4:$I$14,0)),"N")="Y",1,0))</f>
        <v/>
      </c>
      <c r="AK383" s="32">
        <f>IFERROR(INT(IFERROR(IF(ISNUMBER(INDEX($A383:$Z383,MATCH(Settings!$L$10,$A$1:$Z$1,0))),INDEX($A383:$Z383,MATCH(Settings!$L$10,$A$1:$Z$1,0)),DATE(VALUE(LEFT(IFERROR(TRIM(INDEX($A383:$Z383,MATCH(Settings!$L$10,$A$1:$Z$1,0))&amp;""),""),4)),VALUE(MID(IFERROR(TRIM(INDEX($A383:$Z383,MATCH(Settings!$L$10,$A$1:$Z$1,0))&amp;""),""),6,2)),VALUE(MID(IFERROR(TRIM(INDEX($A383:$Z383,MATCH(Settings!$L$10,$A$1:$Z$1,0))&amp;""),""),9,2)))+TIME(VALUE(MID(IFERROR(TRIM(INDEX($A383:$Z383,MATCH(Settings!$L$10,$A$1:$Z$1,0))&amp;""),""),12,2)),VALUE(MID(IFERROR(TRIM(INDEX($A383:$Z383,MATCH(Settings!$L$10,$A$1:$Z$1,0))&amp;""),""),15,2)),VALUE(MID(IFERROR(TRIM(INDEX($A383:$Z383,MATCH(Settings!$L$10,$A$1:$Z$1,0))&amp;""),""),18,2)))),"")),"")</f>
        <v/>
      </c>
      <c r="AL383" s="32">
        <f>IF(AE383="","",IF(ISNUMBER(AK383),AK383,IFERROR(INT(IFERROR(IF(ISNUMBER(INDEX($A383:$Z383,MATCH(Settings!$L$11,$A$1:$Z$1,0))),INDEX($A383:$Z383,MATCH(Settings!$L$11,$A$1:$Z$1,0)),DATE(VALUE(LEFT(IFERROR(TRIM(INDEX($A383:$Z383,MATCH(Settings!$L$11,$A$1:$Z$1,0))&amp;""),""),4)),VALUE(MID(IFERROR(TRIM(INDEX($A383:$Z383,MATCH(Settings!$L$11,$A$1:$Z$1,0))&amp;""),""),6,2)),VALUE(MID(IFERROR(TRIM(INDEX($A383:$Z383,MATCH(Settings!$L$11,$A$1:$Z$1,0))&amp;""),""),9,2)))+TIME(VALUE(MID(IFERROR(TRIM(INDEX($A383:$Z383,MATCH(Settings!$L$11,$A$1:$Z$1,0))&amp;""),""),12,2)),VALUE(MID(IFERROR(TRIM(INDEX($A383:$Z383,MATCH(Settings!$L$11,$A$1:$Z$1,0))&amp;""),""),15,2)),VALUE(MID(IFERROR(TRIM(INDEX($A383:$Z383,MATCH(Settings!$L$11,$A$1:$Z$1,0))&amp;""),""),18,2)))),"")),"")))</f>
        <v/>
      </c>
      <c r="AM383" s="31">
        <f>IF(AE383="","",IF(ISNUMBER(IFERROR(INDEX(Settings!$G$4:$G$11,MATCH(AH383,Settings!$F$4:$F$11,0)),"")),INDEX(Settings!$G$4:$G$11,MATCH(AH383,Settings!$F$4:$F$11,0)),Settings!$D$5))</f>
        <v/>
      </c>
      <c r="AN383" s="32">
        <f>IF(OR(AE383="",NOT(ISNUMBER(AL383)),NOT(ISNUMBER(AM383))),"",IF(AM383&lt;=0,"",IF(ISNUMBER(Settings!$D$8),DATE(YEAR(AL383)+IF(DATE(YEAR(AL383),MONTH(Settings!$D$8),DAY(Settings!$D$8))&gt;AL383,0,1),MONTH(Settings!$D$8),DAY(Settings!$D$8)),MIN(DATE(YEAR(AL383),MONTH(AL383)+AM383,DAY(AL383)),DATE(YEAR(AL383),MONTH(AL383)+AM383+1,0)))))</f>
        <v/>
      </c>
      <c r="AO383" s="31">
        <f>IF(ISNUMBER(AN383),AN383-Settings!$D$4,"")</f>
        <v/>
      </c>
      <c r="AP383" s="31">
        <f>IF(ISNUMBER(AL383),AL383+0+ROW()/100000,"")</f>
        <v/>
      </c>
      <c r="AQ383" s="31">
        <f>IF(OR(AG383="",NOT(ISNUMBER(AP383))),0,IF(SUMPRODUCT(('Responses'!$AG$2:$AG$501=AG383)*('Responses'!$AJ$2:$AJ$501=1)*ISNUMBER('Responses'!$AP$2:$AP$501)*('Responses'!$AP$2:$AP$501&gt;AP383)) + SUMPRODUCT(('Paper sign-ups'!$K$2:$K$101=AG383)*('Paper sign-ups'!$N$2:$N$101=1)*ISNUMBER('Paper sign-ups'!$T$2:$T$101)*('Paper sign-ups'!$T$2:$T$101&gt;AP383))&gt;0,1,0))</f>
        <v/>
      </c>
      <c r="AR383" s="31">
        <f>IF(AE383="","",IF(AQ383=1,"Joined again",IF(AJ383=0,"Unpaid",IF(NOT(ISNUMBER(AL383)),"Add a join date",IF(AN383="","No reminder",IF(AO383&lt;0,"Lapsed",IF(AO383&lt;=Settings!$D$6,"Remind soon","Current")))))))</f>
        <v/>
      </c>
      <c r="AS383" s="33">
        <f>IF(AJ383=1,IFERROR(VALUE(IFERROR(TRIM(INDEX($A383:$Z383,MATCH(Settings!$L$8,$A$1:$Z$1,0))&amp;""),"")),0)-IFERROR(VALUE(IFERROR(TRIM(INDEX($A383:$Z383,MATCH(Settings!$L$9,$A$1:$Z$1,0))&amp;""),"")),0),0)</f>
        <v/>
      </c>
      <c r="AT383" s="31">
        <f>IF(AND(AE383&lt;&gt;"",AQ383=0),1,0)</f>
        <v/>
      </c>
      <c r="AU383" s="31">
        <f>IF(AT383=0,"",IF(ISNUMBER(AN383),AN383,100000)+0+ROW()/1000000)</f>
        <v/>
      </c>
      <c r="AV383" s="31">
        <f>IF(ISNUMBER(AU383),SUMPRODUCT(ISNUMBER('Responses'!$AU$2:$AU$501)*('Responses'!$AU$2:$AU$501&lt;AU383)) + SUMPRODUCT(ISNUMBER('Paper sign-ups'!$Y$2:$Y$101)*('Paper sign-ups'!$Y$2:$Y$101&lt;AU383))+1,"")</f>
        <v/>
      </c>
    </row>
    <row r="384">
      <c r="AA384" s="29" t="n"/>
      <c r="AB384" s="30" t="n"/>
      <c r="AC384" s="30" t="n"/>
      <c r="AD384" s="29" t="n"/>
      <c r="AE384" s="31">
        <f>IFERROR(TRIM(INDEX($A384:$Z384,MATCH(Settings!$L$4,$A$1:$Z$1,0))&amp;""),"")</f>
        <v/>
      </c>
      <c r="AF384" s="31">
        <f>IFERROR(TRIM(INDEX($A384:$Z384,MATCH(Settings!$L$5,$A$1:$Z$1,0))&amp;""),"")</f>
        <v/>
      </c>
      <c r="AG384" s="31">
        <f>IF(AE384="","",LOWER(IF(AF384&lt;&gt;"",AF384,AE384)))</f>
        <v/>
      </c>
      <c r="AH384" s="31">
        <f>IFERROR(TRIM(INDEX($A384:$Z384,MATCH(Settings!$L$6,$A$1:$Z$1,0))&amp;""),"")</f>
        <v/>
      </c>
      <c r="AI384" s="31">
        <f>IF(AE384="","",IF(UPPER(TRIM(AB384&amp;""))="Y","Paid another way",IF(IFERROR(TRIM(INDEX($A384:$Z384,MATCH(Settings!$L$7,$A$1:$Z$1,0))&amp;""),"")="","No payment status",IFERROR(TRIM(INDEX($A384:$Z384,MATCH(Settings!$L$7,$A$1:$Z$1,0))&amp;""),""))))</f>
        <v/>
      </c>
      <c r="AJ384" s="31">
        <f>IF(AE384="",0,IF(IFERROR(INDEX(Settings!$J$4:$J$14,MATCH(AI384,Settings!$I$4:$I$14,0)),"N")="Y",1,0))</f>
        <v/>
      </c>
      <c r="AK384" s="32">
        <f>IFERROR(INT(IFERROR(IF(ISNUMBER(INDEX($A384:$Z384,MATCH(Settings!$L$10,$A$1:$Z$1,0))),INDEX($A384:$Z384,MATCH(Settings!$L$10,$A$1:$Z$1,0)),DATE(VALUE(LEFT(IFERROR(TRIM(INDEX($A384:$Z384,MATCH(Settings!$L$10,$A$1:$Z$1,0))&amp;""),""),4)),VALUE(MID(IFERROR(TRIM(INDEX($A384:$Z384,MATCH(Settings!$L$10,$A$1:$Z$1,0))&amp;""),""),6,2)),VALUE(MID(IFERROR(TRIM(INDEX($A384:$Z384,MATCH(Settings!$L$10,$A$1:$Z$1,0))&amp;""),""),9,2)))+TIME(VALUE(MID(IFERROR(TRIM(INDEX($A384:$Z384,MATCH(Settings!$L$10,$A$1:$Z$1,0))&amp;""),""),12,2)),VALUE(MID(IFERROR(TRIM(INDEX($A384:$Z384,MATCH(Settings!$L$10,$A$1:$Z$1,0))&amp;""),""),15,2)),VALUE(MID(IFERROR(TRIM(INDEX($A384:$Z384,MATCH(Settings!$L$10,$A$1:$Z$1,0))&amp;""),""),18,2)))),"")),"")</f>
        <v/>
      </c>
      <c r="AL384" s="32">
        <f>IF(AE384="","",IF(ISNUMBER(AK384),AK384,IFERROR(INT(IFERROR(IF(ISNUMBER(INDEX($A384:$Z384,MATCH(Settings!$L$11,$A$1:$Z$1,0))),INDEX($A384:$Z384,MATCH(Settings!$L$11,$A$1:$Z$1,0)),DATE(VALUE(LEFT(IFERROR(TRIM(INDEX($A384:$Z384,MATCH(Settings!$L$11,$A$1:$Z$1,0))&amp;""),""),4)),VALUE(MID(IFERROR(TRIM(INDEX($A384:$Z384,MATCH(Settings!$L$11,$A$1:$Z$1,0))&amp;""),""),6,2)),VALUE(MID(IFERROR(TRIM(INDEX($A384:$Z384,MATCH(Settings!$L$11,$A$1:$Z$1,0))&amp;""),""),9,2)))+TIME(VALUE(MID(IFERROR(TRIM(INDEX($A384:$Z384,MATCH(Settings!$L$11,$A$1:$Z$1,0))&amp;""),""),12,2)),VALUE(MID(IFERROR(TRIM(INDEX($A384:$Z384,MATCH(Settings!$L$11,$A$1:$Z$1,0))&amp;""),""),15,2)),VALUE(MID(IFERROR(TRIM(INDEX($A384:$Z384,MATCH(Settings!$L$11,$A$1:$Z$1,0))&amp;""),""),18,2)))),"")),"")))</f>
        <v/>
      </c>
      <c r="AM384" s="31">
        <f>IF(AE384="","",IF(ISNUMBER(IFERROR(INDEX(Settings!$G$4:$G$11,MATCH(AH384,Settings!$F$4:$F$11,0)),"")),INDEX(Settings!$G$4:$G$11,MATCH(AH384,Settings!$F$4:$F$11,0)),Settings!$D$5))</f>
        <v/>
      </c>
      <c r="AN384" s="32">
        <f>IF(OR(AE384="",NOT(ISNUMBER(AL384)),NOT(ISNUMBER(AM384))),"",IF(AM384&lt;=0,"",IF(ISNUMBER(Settings!$D$8),DATE(YEAR(AL384)+IF(DATE(YEAR(AL384),MONTH(Settings!$D$8),DAY(Settings!$D$8))&gt;AL384,0,1),MONTH(Settings!$D$8),DAY(Settings!$D$8)),MIN(DATE(YEAR(AL384),MONTH(AL384)+AM384,DAY(AL384)),DATE(YEAR(AL384),MONTH(AL384)+AM384+1,0)))))</f>
        <v/>
      </c>
      <c r="AO384" s="31">
        <f>IF(ISNUMBER(AN384),AN384-Settings!$D$4,"")</f>
        <v/>
      </c>
      <c r="AP384" s="31">
        <f>IF(ISNUMBER(AL384),AL384+0+ROW()/100000,"")</f>
        <v/>
      </c>
      <c r="AQ384" s="31">
        <f>IF(OR(AG384="",NOT(ISNUMBER(AP384))),0,IF(SUMPRODUCT(('Responses'!$AG$2:$AG$501=AG384)*('Responses'!$AJ$2:$AJ$501=1)*ISNUMBER('Responses'!$AP$2:$AP$501)*('Responses'!$AP$2:$AP$501&gt;AP384)) + SUMPRODUCT(('Paper sign-ups'!$K$2:$K$101=AG384)*('Paper sign-ups'!$N$2:$N$101=1)*ISNUMBER('Paper sign-ups'!$T$2:$T$101)*('Paper sign-ups'!$T$2:$T$101&gt;AP384))&gt;0,1,0))</f>
        <v/>
      </c>
      <c r="AR384" s="31">
        <f>IF(AE384="","",IF(AQ384=1,"Joined again",IF(AJ384=0,"Unpaid",IF(NOT(ISNUMBER(AL384)),"Add a join date",IF(AN384="","No reminder",IF(AO384&lt;0,"Lapsed",IF(AO384&lt;=Settings!$D$6,"Remind soon","Current")))))))</f>
        <v/>
      </c>
      <c r="AS384" s="33">
        <f>IF(AJ384=1,IFERROR(VALUE(IFERROR(TRIM(INDEX($A384:$Z384,MATCH(Settings!$L$8,$A$1:$Z$1,0))&amp;""),"")),0)-IFERROR(VALUE(IFERROR(TRIM(INDEX($A384:$Z384,MATCH(Settings!$L$9,$A$1:$Z$1,0))&amp;""),"")),0),0)</f>
        <v/>
      </c>
      <c r="AT384" s="31">
        <f>IF(AND(AE384&lt;&gt;"",AQ384=0),1,0)</f>
        <v/>
      </c>
      <c r="AU384" s="31">
        <f>IF(AT384=0,"",IF(ISNUMBER(AN384),AN384,100000)+0+ROW()/1000000)</f>
        <v/>
      </c>
      <c r="AV384" s="31">
        <f>IF(ISNUMBER(AU384),SUMPRODUCT(ISNUMBER('Responses'!$AU$2:$AU$501)*('Responses'!$AU$2:$AU$501&lt;AU384)) + SUMPRODUCT(ISNUMBER('Paper sign-ups'!$Y$2:$Y$101)*('Paper sign-ups'!$Y$2:$Y$101&lt;AU384))+1,"")</f>
        <v/>
      </c>
    </row>
    <row r="385">
      <c r="AA385" s="29" t="n"/>
      <c r="AB385" s="30" t="n"/>
      <c r="AC385" s="30" t="n"/>
      <c r="AD385" s="29" t="n"/>
      <c r="AE385" s="31">
        <f>IFERROR(TRIM(INDEX($A385:$Z385,MATCH(Settings!$L$4,$A$1:$Z$1,0))&amp;""),"")</f>
        <v/>
      </c>
      <c r="AF385" s="31">
        <f>IFERROR(TRIM(INDEX($A385:$Z385,MATCH(Settings!$L$5,$A$1:$Z$1,0))&amp;""),"")</f>
        <v/>
      </c>
      <c r="AG385" s="31">
        <f>IF(AE385="","",LOWER(IF(AF385&lt;&gt;"",AF385,AE385)))</f>
        <v/>
      </c>
      <c r="AH385" s="31">
        <f>IFERROR(TRIM(INDEX($A385:$Z385,MATCH(Settings!$L$6,$A$1:$Z$1,0))&amp;""),"")</f>
        <v/>
      </c>
      <c r="AI385" s="31">
        <f>IF(AE385="","",IF(UPPER(TRIM(AB385&amp;""))="Y","Paid another way",IF(IFERROR(TRIM(INDEX($A385:$Z385,MATCH(Settings!$L$7,$A$1:$Z$1,0))&amp;""),"")="","No payment status",IFERROR(TRIM(INDEX($A385:$Z385,MATCH(Settings!$L$7,$A$1:$Z$1,0))&amp;""),""))))</f>
        <v/>
      </c>
      <c r="AJ385" s="31">
        <f>IF(AE385="",0,IF(IFERROR(INDEX(Settings!$J$4:$J$14,MATCH(AI385,Settings!$I$4:$I$14,0)),"N")="Y",1,0))</f>
        <v/>
      </c>
      <c r="AK385" s="32">
        <f>IFERROR(INT(IFERROR(IF(ISNUMBER(INDEX($A385:$Z385,MATCH(Settings!$L$10,$A$1:$Z$1,0))),INDEX($A385:$Z385,MATCH(Settings!$L$10,$A$1:$Z$1,0)),DATE(VALUE(LEFT(IFERROR(TRIM(INDEX($A385:$Z385,MATCH(Settings!$L$10,$A$1:$Z$1,0))&amp;""),""),4)),VALUE(MID(IFERROR(TRIM(INDEX($A385:$Z385,MATCH(Settings!$L$10,$A$1:$Z$1,0))&amp;""),""),6,2)),VALUE(MID(IFERROR(TRIM(INDEX($A385:$Z385,MATCH(Settings!$L$10,$A$1:$Z$1,0))&amp;""),""),9,2)))+TIME(VALUE(MID(IFERROR(TRIM(INDEX($A385:$Z385,MATCH(Settings!$L$10,$A$1:$Z$1,0))&amp;""),""),12,2)),VALUE(MID(IFERROR(TRIM(INDEX($A385:$Z385,MATCH(Settings!$L$10,$A$1:$Z$1,0))&amp;""),""),15,2)),VALUE(MID(IFERROR(TRIM(INDEX($A385:$Z385,MATCH(Settings!$L$10,$A$1:$Z$1,0))&amp;""),""),18,2)))),"")),"")</f>
        <v/>
      </c>
      <c r="AL385" s="32">
        <f>IF(AE385="","",IF(ISNUMBER(AK385),AK385,IFERROR(INT(IFERROR(IF(ISNUMBER(INDEX($A385:$Z385,MATCH(Settings!$L$11,$A$1:$Z$1,0))),INDEX($A385:$Z385,MATCH(Settings!$L$11,$A$1:$Z$1,0)),DATE(VALUE(LEFT(IFERROR(TRIM(INDEX($A385:$Z385,MATCH(Settings!$L$11,$A$1:$Z$1,0))&amp;""),""),4)),VALUE(MID(IFERROR(TRIM(INDEX($A385:$Z385,MATCH(Settings!$L$11,$A$1:$Z$1,0))&amp;""),""),6,2)),VALUE(MID(IFERROR(TRIM(INDEX($A385:$Z385,MATCH(Settings!$L$11,$A$1:$Z$1,0))&amp;""),""),9,2)))+TIME(VALUE(MID(IFERROR(TRIM(INDEX($A385:$Z385,MATCH(Settings!$L$11,$A$1:$Z$1,0))&amp;""),""),12,2)),VALUE(MID(IFERROR(TRIM(INDEX($A385:$Z385,MATCH(Settings!$L$11,$A$1:$Z$1,0))&amp;""),""),15,2)),VALUE(MID(IFERROR(TRIM(INDEX($A385:$Z385,MATCH(Settings!$L$11,$A$1:$Z$1,0))&amp;""),""),18,2)))),"")),"")))</f>
        <v/>
      </c>
      <c r="AM385" s="31">
        <f>IF(AE385="","",IF(ISNUMBER(IFERROR(INDEX(Settings!$G$4:$G$11,MATCH(AH385,Settings!$F$4:$F$11,0)),"")),INDEX(Settings!$G$4:$G$11,MATCH(AH385,Settings!$F$4:$F$11,0)),Settings!$D$5))</f>
        <v/>
      </c>
      <c r="AN385" s="32">
        <f>IF(OR(AE385="",NOT(ISNUMBER(AL385)),NOT(ISNUMBER(AM385))),"",IF(AM385&lt;=0,"",IF(ISNUMBER(Settings!$D$8),DATE(YEAR(AL385)+IF(DATE(YEAR(AL385),MONTH(Settings!$D$8),DAY(Settings!$D$8))&gt;AL385,0,1),MONTH(Settings!$D$8),DAY(Settings!$D$8)),MIN(DATE(YEAR(AL385),MONTH(AL385)+AM385,DAY(AL385)),DATE(YEAR(AL385),MONTH(AL385)+AM385+1,0)))))</f>
        <v/>
      </c>
      <c r="AO385" s="31">
        <f>IF(ISNUMBER(AN385),AN385-Settings!$D$4,"")</f>
        <v/>
      </c>
      <c r="AP385" s="31">
        <f>IF(ISNUMBER(AL385),AL385+0+ROW()/100000,"")</f>
        <v/>
      </c>
      <c r="AQ385" s="31">
        <f>IF(OR(AG385="",NOT(ISNUMBER(AP385))),0,IF(SUMPRODUCT(('Responses'!$AG$2:$AG$501=AG385)*('Responses'!$AJ$2:$AJ$501=1)*ISNUMBER('Responses'!$AP$2:$AP$501)*('Responses'!$AP$2:$AP$501&gt;AP385)) + SUMPRODUCT(('Paper sign-ups'!$K$2:$K$101=AG385)*('Paper sign-ups'!$N$2:$N$101=1)*ISNUMBER('Paper sign-ups'!$T$2:$T$101)*('Paper sign-ups'!$T$2:$T$101&gt;AP385))&gt;0,1,0))</f>
        <v/>
      </c>
      <c r="AR385" s="31">
        <f>IF(AE385="","",IF(AQ385=1,"Joined again",IF(AJ385=0,"Unpaid",IF(NOT(ISNUMBER(AL385)),"Add a join date",IF(AN385="","No reminder",IF(AO385&lt;0,"Lapsed",IF(AO385&lt;=Settings!$D$6,"Remind soon","Current")))))))</f>
        <v/>
      </c>
      <c r="AS385" s="33">
        <f>IF(AJ385=1,IFERROR(VALUE(IFERROR(TRIM(INDEX($A385:$Z385,MATCH(Settings!$L$8,$A$1:$Z$1,0))&amp;""),"")),0)-IFERROR(VALUE(IFERROR(TRIM(INDEX($A385:$Z385,MATCH(Settings!$L$9,$A$1:$Z$1,0))&amp;""),"")),0),0)</f>
        <v/>
      </c>
      <c r="AT385" s="31">
        <f>IF(AND(AE385&lt;&gt;"",AQ385=0),1,0)</f>
        <v/>
      </c>
      <c r="AU385" s="31">
        <f>IF(AT385=0,"",IF(ISNUMBER(AN385),AN385,100000)+0+ROW()/1000000)</f>
        <v/>
      </c>
      <c r="AV385" s="31">
        <f>IF(ISNUMBER(AU385),SUMPRODUCT(ISNUMBER('Responses'!$AU$2:$AU$501)*('Responses'!$AU$2:$AU$501&lt;AU385)) + SUMPRODUCT(ISNUMBER('Paper sign-ups'!$Y$2:$Y$101)*('Paper sign-ups'!$Y$2:$Y$101&lt;AU385))+1,"")</f>
        <v/>
      </c>
    </row>
    <row r="386">
      <c r="AA386" s="29" t="n"/>
      <c r="AB386" s="30" t="n"/>
      <c r="AC386" s="30" t="n"/>
      <c r="AD386" s="29" t="n"/>
      <c r="AE386" s="31">
        <f>IFERROR(TRIM(INDEX($A386:$Z386,MATCH(Settings!$L$4,$A$1:$Z$1,0))&amp;""),"")</f>
        <v/>
      </c>
      <c r="AF386" s="31">
        <f>IFERROR(TRIM(INDEX($A386:$Z386,MATCH(Settings!$L$5,$A$1:$Z$1,0))&amp;""),"")</f>
        <v/>
      </c>
      <c r="AG386" s="31">
        <f>IF(AE386="","",LOWER(IF(AF386&lt;&gt;"",AF386,AE386)))</f>
        <v/>
      </c>
      <c r="AH386" s="31">
        <f>IFERROR(TRIM(INDEX($A386:$Z386,MATCH(Settings!$L$6,$A$1:$Z$1,0))&amp;""),"")</f>
        <v/>
      </c>
      <c r="AI386" s="31">
        <f>IF(AE386="","",IF(UPPER(TRIM(AB386&amp;""))="Y","Paid another way",IF(IFERROR(TRIM(INDEX($A386:$Z386,MATCH(Settings!$L$7,$A$1:$Z$1,0))&amp;""),"")="","No payment status",IFERROR(TRIM(INDEX($A386:$Z386,MATCH(Settings!$L$7,$A$1:$Z$1,0))&amp;""),""))))</f>
        <v/>
      </c>
      <c r="AJ386" s="31">
        <f>IF(AE386="",0,IF(IFERROR(INDEX(Settings!$J$4:$J$14,MATCH(AI386,Settings!$I$4:$I$14,0)),"N")="Y",1,0))</f>
        <v/>
      </c>
      <c r="AK386" s="32">
        <f>IFERROR(INT(IFERROR(IF(ISNUMBER(INDEX($A386:$Z386,MATCH(Settings!$L$10,$A$1:$Z$1,0))),INDEX($A386:$Z386,MATCH(Settings!$L$10,$A$1:$Z$1,0)),DATE(VALUE(LEFT(IFERROR(TRIM(INDEX($A386:$Z386,MATCH(Settings!$L$10,$A$1:$Z$1,0))&amp;""),""),4)),VALUE(MID(IFERROR(TRIM(INDEX($A386:$Z386,MATCH(Settings!$L$10,$A$1:$Z$1,0))&amp;""),""),6,2)),VALUE(MID(IFERROR(TRIM(INDEX($A386:$Z386,MATCH(Settings!$L$10,$A$1:$Z$1,0))&amp;""),""),9,2)))+TIME(VALUE(MID(IFERROR(TRIM(INDEX($A386:$Z386,MATCH(Settings!$L$10,$A$1:$Z$1,0))&amp;""),""),12,2)),VALUE(MID(IFERROR(TRIM(INDEX($A386:$Z386,MATCH(Settings!$L$10,$A$1:$Z$1,0))&amp;""),""),15,2)),VALUE(MID(IFERROR(TRIM(INDEX($A386:$Z386,MATCH(Settings!$L$10,$A$1:$Z$1,0))&amp;""),""),18,2)))),"")),"")</f>
        <v/>
      </c>
      <c r="AL386" s="32">
        <f>IF(AE386="","",IF(ISNUMBER(AK386),AK386,IFERROR(INT(IFERROR(IF(ISNUMBER(INDEX($A386:$Z386,MATCH(Settings!$L$11,$A$1:$Z$1,0))),INDEX($A386:$Z386,MATCH(Settings!$L$11,$A$1:$Z$1,0)),DATE(VALUE(LEFT(IFERROR(TRIM(INDEX($A386:$Z386,MATCH(Settings!$L$11,$A$1:$Z$1,0))&amp;""),""),4)),VALUE(MID(IFERROR(TRIM(INDEX($A386:$Z386,MATCH(Settings!$L$11,$A$1:$Z$1,0))&amp;""),""),6,2)),VALUE(MID(IFERROR(TRIM(INDEX($A386:$Z386,MATCH(Settings!$L$11,$A$1:$Z$1,0))&amp;""),""),9,2)))+TIME(VALUE(MID(IFERROR(TRIM(INDEX($A386:$Z386,MATCH(Settings!$L$11,$A$1:$Z$1,0))&amp;""),""),12,2)),VALUE(MID(IFERROR(TRIM(INDEX($A386:$Z386,MATCH(Settings!$L$11,$A$1:$Z$1,0))&amp;""),""),15,2)),VALUE(MID(IFERROR(TRIM(INDEX($A386:$Z386,MATCH(Settings!$L$11,$A$1:$Z$1,0))&amp;""),""),18,2)))),"")),"")))</f>
        <v/>
      </c>
      <c r="AM386" s="31">
        <f>IF(AE386="","",IF(ISNUMBER(IFERROR(INDEX(Settings!$G$4:$G$11,MATCH(AH386,Settings!$F$4:$F$11,0)),"")),INDEX(Settings!$G$4:$G$11,MATCH(AH386,Settings!$F$4:$F$11,0)),Settings!$D$5))</f>
        <v/>
      </c>
      <c r="AN386" s="32">
        <f>IF(OR(AE386="",NOT(ISNUMBER(AL386)),NOT(ISNUMBER(AM386))),"",IF(AM386&lt;=0,"",IF(ISNUMBER(Settings!$D$8),DATE(YEAR(AL386)+IF(DATE(YEAR(AL386),MONTH(Settings!$D$8),DAY(Settings!$D$8))&gt;AL386,0,1),MONTH(Settings!$D$8),DAY(Settings!$D$8)),MIN(DATE(YEAR(AL386),MONTH(AL386)+AM386,DAY(AL386)),DATE(YEAR(AL386),MONTH(AL386)+AM386+1,0)))))</f>
        <v/>
      </c>
      <c r="AO386" s="31">
        <f>IF(ISNUMBER(AN386),AN386-Settings!$D$4,"")</f>
        <v/>
      </c>
      <c r="AP386" s="31">
        <f>IF(ISNUMBER(AL386),AL386+0+ROW()/100000,"")</f>
        <v/>
      </c>
      <c r="AQ386" s="31">
        <f>IF(OR(AG386="",NOT(ISNUMBER(AP386))),0,IF(SUMPRODUCT(('Responses'!$AG$2:$AG$501=AG386)*('Responses'!$AJ$2:$AJ$501=1)*ISNUMBER('Responses'!$AP$2:$AP$501)*('Responses'!$AP$2:$AP$501&gt;AP386)) + SUMPRODUCT(('Paper sign-ups'!$K$2:$K$101=AG386)*('Paper sign-ups'!$N$2:$N$101=1)*ISNUMBER('Paper sign-ups'!$T$2:$T$101)*('Paper sign-ups'!$T$2:$T$101&gt;AP386))&gt;0,1,0))</f>
        <v/>
      </c>
      <c r="AR386" s="31">
        <f>IF(AE386="","",IF(AQ386=1,"Joined again",IF(AJ386=0,"Unpaid",IF(NOT(ISNUMBER(AL386)),"Add a join date",IF(AN386="","No reminder",IF(AO386&lt;0,"Lapsed",IF(AO386&lt;=Settings!$D$6,"Remind soon","Current")))))))</f>
        <v/>
      </c>
      <c r="AS386" s="33">
        <f>IF(AJ386=1,IFERROR(VALUE(IFERROR(TRIM(INDEX($A386:$Z386,MATCH(Settings!$L$8,$A$1:$Z$1,0))&amp;""),"")),0)-IFERROR(VALUE(IFERROR(TRIM(INDEX($A386:$Z386,MATCH(Settings!$L$9,$A$1:$Z$1,0))&amp;""),"")),0),0)</f>
        <v/>
      </c>
      <c r="AT386" s="31">
        <f>IF(AND(AE386&lt;&gt;"",AQ386=0),1,0)</f>
        <v/>
      </c>
      <c r="AU386" s="31">
        <f>IF(AT386=0,"",IF(ISNUMBER(AN386),AN386,100000)+0+ROW()/1000000)</f>
        <v/>
      </c>
      <c r="AV386" s="31">
        <f>IF(ISNUMBER(AU386),SUMPRODUCT(ISNUMBER('Responses'!$AU$2:$AU$501)*('Responses'!$AU$2:$AU$501&lt;AU386)) + SUMPRODUCT(ISNUMBER('Paper sign-ups'!$Y$2:$Y$101)*('Paper sign-ups'!$Y$2:$Y$101&lt;AU386))+1,"")</f>
        <v/>
      </c>
    </row>
    <row r="387">
      <c r="AA387" s="29" t="n"/>
      <c r="AB387" s="30" t="n"/>
      <c r="AC387" s="30" t="n"/>
      <c r="AD387" s="29" t="n"/>
      <c r="AE387" s="31">
        <f>IFERROR(TRIM(INDEX($A387:$Z387,MATCH(Settings!$L$4,$A$1:$Z$1,0))&amp;""),"")</f>
        <v/>
      </c>
      <c r="AF387" s="31">
        <f>IFERROR(TRIM(INDEX($A387:$Z387,MATCH(Settings!$L$5,$A$1:$Z$1,0))&amp;""),"")</f>
        <v/>
      </c>
      <c r="AG387" s="31">
        <f>IF(AE387="","",LOWER(IF(AF387&lt;&gt;"",AF387,AE387)))</f>
        <v/>
      </c>
      <c r="AH387" s="31">
        <f>IFERROR(TRIM(INDEX($A387:$Z387,MATCH(Settings!$L$6,$A$1:$Z$1,0))&amp;""),"")</f>
        <v/>
      </c>
      <c r="AI387" s="31">
        <f>IF(AE387="","",IF(UPPER(TRIM(AB387&amp;""))="Y","Paid another way",IF(IFERROR(TRIM(INDEX($A387:$Z387,MATCH(Settings!$L$7,$A$1:$Z$1,0))&amp;""),"")="","No payment status",IFERROR(TRIM(INDEX($A387:$Z387,MATCH(Settings!$L$7,$A$1:$Z$1,0))&amp;""),""))))</f>
        <v/>
      </c>
      <c r="AJ387" s="31">
        <f>IF(AE387="",0,IF(IFERROR(INDEX(Settings!$J$4:$J$14,MATCH(AI387,Settings!$I$4:$I$14,0)),"N")="Y",1,0))</f>
        <v/>
      </c>
      <c r="AK387" s="32">
        <f>IFERROR(INT(IFERROR(IF(ISNUMBER(INDEX($A387:$Z387,MATCH(Settings!$L$10,$A$1:$Z$1,0))),INDEX($A387:$Z387,MATCH(Settings!$L$10,$A$1:$Z$1,0)),DATE(VALUE(LEFT(IFERROR(TRIM(INDEX($A387:$Z387,MATCH(Settings!$L$10,$A$1:$Z$1,0))&amp;""),""),4)),VALUE(MID(IFERROR(TRIM(INDEX($A387:$Z387,MATCH(Settings!$L$10,$A$1:$Z$1,0))&amp;""),""),6,2)),VALUE(MID(IFERROR(TRIM(INDEX($A387:$Z387,MATCH(Settings!$L$10,$A$1:$Z$1,0))&amp;""),""),9,2)))+TIME(VALUE(MID(IFERROR(TRIM(INDEX($A387:$Z387,MATCH(Settings!$L$10,$A$1:$Z$1,0))&amp;""),""),12,2)),VALUE(MID(IFERROR(TRIM(INDEX($A387:$Z387,MATCH(Settings!$L$10,$A$1:$Z$1,0))&amp;""),""),15,2)),VALUE(MID(IFERROR(TRIM(INDEX($A387:$Z387,MATCH(Settings!$L$10,$A$1:$Z$1,0))&amp;""),""),18,2)))),"")),"")</f>
        <v/>
      </c>
      <c r="AL387" s="32">
        <f>IF(AE387="","",IF(ISNUMBER(AK387),AK387,IFERROR(INT(IFERROR(IF(ISNUMBER(INDEX($A387:$Z387,MATCH(Settings!$L$11,$A$1:$Z$1,0))),INDEX($A387:$Z387,MATCH(Settings!$L$11,$A$1:$Z$1,0)),DATE(VALUE(LEFT(IFERROR(TRIM(INDEX($A387:$Z387,MATCH(Settings!$L$11,$A$1:$Z$1,0))&amp;""),""),4)),VALUE(MID(IFERROR(TRIM(INDEX($A387:$Z387,MATCH(Settings!$L$11,$A$1:$Z$1,0))&amp;""),""),6,2)),VALUE(MID(IFERROR(TRIM(INDEX($A387:$Z387,MATCH(Settings!$L$11,$A$1:$Z$1,0))&amp;""),""),9,2)))+TIME(VALUE(MID(IFERROR(TRIM(INDEX($A387:$Z387,MATCH(Settings!$L$11,$A$1:$Z$1,0))&amp;""),""),12,2)),VALUE(MID(IFERROR(TRIM(INDEX($A387:$Z387,MATCH(Settings!$L$11,$A$1:$Z$1,0))&amp;""),""),15,2)),VALUE(MID(IFERROR(TRIM(INDEX($A387:$Z387,MATCH(Settings!$L$11,$A$1:$Z$1,0))&amp;""),""),18,2)))),"")),"")))</f>
        <v/>
      </c>
      <c r="AM387" s="31">
        <f>IF(AE387="","",IF(ISNUMBER(IFERROR(INDEX(Settings!$G$4:$G$11,MATCH(AH387,Settings!$F$4:$F$11,0)),"")),INDEX(Settings!$G$4:$G$11,MATCH(AH387,Settings!$F$4:$F$11,0)),Settings!$D$5))</f>
        <v/>
      </c>
      <c r="AN387" s="32">
        <f>IF(OR(AE387="",NOT(ISNUMBER(AL387)),NOT(ISNUMBER(AM387))),"",IF(AM387&lt;=0,"",IF(ISNUMBER(Settings!$D$8),DATE(YEAR(AL387)+IF(DATE(YEAR(AL387),MONTH(Settings!$D$8),DAY(Settings!$D$8))&gt;AL387,0,1),MONTH(Settings!$D$8),DAY(Settings!$D$8)),MIN(DATE(YEAR(AL387),MONTH(AL387)+AM387,DAY(AL387)),DATE(YEAR(AL387),MONTH(AL387)+AM387+1,0)))))</f>
        <v/>
      </c>
      <c r="AO387" s="31">
        <f>IF(ISNUMBER(AN387),AN387-Settings!$D$4,"")</f>
        <v/>
      </c>
      <c r="AP387" s="31">
        <f>IF(ISNUMBER(AL387),AL387+0+ROW()/100000,"")</f>
        <v/>
      </c>
      <c r="AQ387" s="31">
        <f>IF(OR(AG387="",NOT(ISNUMBER(AP387))),0,IF(SUMPRODUCT(('Responses'!$AG$2:$AG$501=AG387)*('Responses'!$AJ$2:$AJ$501=1)*ISNUMBER('Responses'!$AP$2:$AP$501)*('Responses'!$AP$2:$AP$501&gt;AP387)) + SUMPRODUCT(('Paper sign-ups'!$K$2:$K$101=AG387)*('Paper sign-ups'!$N$2:$N$101=1)*ISNUMBER('Paper sign-ups'!$T$2:$T$101)*('Paper sign-ups'!$T$2:$T$101&gt;AP387))&gt;0,1,0))</f>
        <v/>
      </c>
      <c r="AR387" s="31">
        <f>IF(AE387="","",IF(AQ387=1,"Joined again",IF(AJ387=0,"Unpaid",IF(NOT(ISNUMBER(AL387)),"Add a join date",IF(AN387="","No reminder",IF(AO387&lt;0,"Lapsed",IF(AO387&lt;=Settings!$D$6,"Remind soon","Current")))))))</f>
        <v/>
      </c>
      <c r="AS387" s="33">
        <f>IF(AJ387=1,IFERROR(VALUE(IFERROR(TRIM(INDEX($A387:$Z387,MATCH(Settings!$L$8,$A$1:$Z$1,0))&amp;""),"")),0)-IFERROR(VALUE(IFERROR(TRIM(INDEX($A387:$Z387,MATCH(Settings!$L$9,$A$1:$Z$1,0))&amp;""),"")),0),0)</f>
        <v/>
      </c>
      <c r="AT387" s="31">
        <f>IF(AND(AE387&lt;&gt;"",AQ387=0),1,0)</f>
        <v/>
      </c>
      <c r="AU387" s="31">
        <f>IF(AT387=0,"",IF(ISNUMBER(AN387),AN387,100000)+0+ROW()/1000000)</f>
        <v/>
      </c>
      <c r="AV387" s="31">
        <f>IF(ISNUMBER(AU387),SUMPRODUCT(ISNUMBER('Responses'!$AU$2:$AU$501)*('Responses'!$AU$2:$AU$501&lt;AU387)) + SUMPRODUCT(ISNUMBER('Paper sign-ups'!$Y$2:$Y$101)*('Paper sign-ups'!$Y$2:$Y$101&lt;AU387))+1,"")</f>
        <v/>
      </c>
    </row>
    <row r="388">
      <c r="AA388" s="29" t="n"/>
      <c r="AB388" s="30" t="n"/>
      <c r="AC388" s="30" t="n"/>
      <c r="AD388" s="29" t="n"/>
      <c r="AE388" s="31">
        <f>IFERROR(TRIM(INDEX($A388:$Z388,MATCH(Settings!$L$4,$A$1:$Z$1,0))&amp;""),"")</f>
        <v/>
      </c>
      <c r="AF388" s="31">
        <f>IFERROR(TRIM(INDEX($A388:$Z388,MATCH(Settings!$L$5,$A$1:$Z$1,0))&amp;""),"")</f>
        <v/>
      </c>
      <c r="AG388" s="31">
        <f>IF(AE388="","",LOWER(IF(AF388&lt;&gt;"",AF388,AE388)))</f>
        <v/>
      </c>
      <c r="AH388" s="31">
        <f>IFERROR(TRIM(INDEX($A388:$Z388,MATCH(Settings!$L$6,$A$1:$Z$1,0))&amp;""),"")</f>
        <v/>
      </c>
      <c r="AI388" s="31">
        <f>IF(AE388="","",IF(UPPER(TRIM(AB388&amp;""))="Y","Paid another way",IF(IFERROR(TRIM(INDEX($A388:$Z388,MATCH(Settings!$L$7,$A$1:$Z$1,0))&amp;""),"")="","No payment status",IFERROR(TRIM(INDEX($A388:$Z388,MATCH(Settings!$L$7,$A$1:$Z$1,0))&amp;""),""))))</f>
        <v/>
      </c>
      <c r="AJ388" s="31">
        <f>IF(AE388="",0,IF(IFERROR(INDEX(Settings!$J$4:$J$14,MATCH(AI388,Settings!$I$4:$I$14,0)),"N")="Y",1,0))</f>
        <v/>
      </c>
      <c r="AK388" s="32">
        <f>IFERROR(INT(IFERROR(IF(ISNUMBER(INDEX($A388:$Z388,MATCH(Settings!$L$10,$A$1:$Z$1,0))),INDEX($A388:$Z388,MATCH(Settings!$L$10,$A$1:$Z$1,0)),DATE(VALUE(LEFT(IFERROR(TRIM(INDEX($A388:$Z388,MATCH(Settings!$L$10,$A$1:$Z$1,0))&amp;""),""),4)),VALUE(MID(IFERROR(TRIM(INDEX($A388:$Z388,MATCH(Settings!$L$10,$A$1:$Z$1,0))&amp;""),""),6,2)),VALUE(MID(IFERROR(TRIM(INDEX($A388:$Z388,MATCH(Settings!$L$10,$A$1:$Z$1,0))&amp;""),""),9,2)))+TIME(VALUE(MID(IFERROR(TRIM(INDEX($A388:$Z388,MATCH(Settings!$L$10,$A$1:$Z$1,0))&amp;""),""),12,2)),VALUE(MID(IFERROR(TRIM(INDEX($A388:$Z388,MATCH(Settings!$L$10,$A$1:$Z$1,0))&amp;""),""),15,2)),VALUE(MID(IFERROR(TRIM(INDEX($A388:$Z388,MATCH(Settings!$L$10,$A$1:$Z$1,0))&amp;""),""),18,2)))),"")),"")</f>
        <v/>
      </c>
      <c r="AL388" s="32">
        <f>IF(AE388="","",IF(ISNUMBER(AK388),AK388,IFERROR(INT(IFERROR(IF(ISNUMBER(INDEX($A388:$Z388,MATCH(Settings!$L$11,$A$1:$Z$1,0))),INDEX($A388:$Z388,MATCH(Settings!$L$11,$A$1:$Z$1,0)),DATE(VALUE(LEFT(IFERROR(TRIM(INDEX($A388:$Z388,MATCH(Settings!$L$11,$A$1:$Z$1,0))&amp;""),""),4)),VALUE(MID(IFERROR(TRIM(INDEX($A388:$Z388,MATCH(Settings!$L$11,$A$1:$Z$1,0))&amp;""),""),6,2)),VALUE(MID(IFERROR(TRIM(INDEX($A388:$Z388,MATCH(Settings!$L$11,$A$1:$Z$1,0))&amp;""),""),9,2)))+TIME(VALUE(MID(IFERROR(TRIM(INDEX($A388:$Z388,MATCH(Settings!$L$11,$A$1:$Z$1,0))&amp;""),""),12,2)),VALUE(MID(IFERROR(TRIM(INDEX($A388:$Z388,MATCH(Settings!$L$11,$A$1:$Z$1,0))&amp;""),""),15,2)),VALUE(MID(IFERROR(TRIM(INDEX($A388:$Z388,MATCH(Settings!$L$11,$A$1:$Z$1,0))&amp;""),""),18,2)))),"")),"")))</f>
        <v/>
      </c>
      <c r="AM388" s="31">
        <f>IF(AE388="","",IF(ISNUMBER(IFERROR(INDEX(Settings!$G$4:$G$11,MATCH(AH388,Settings!$F$4:$F$11,0)),"")),INDEX(Settings!$G$4:$G$11,MATCH(AH388,Settings!$F$4:$F$11,0)),Settings!$D$5))</f>
        <v/>
      </c>
      <c r="AN388" s="32">
        <f>IF(OR(AE388="",NOT(ISNUMBER(AL388)),NOT(ISNUMBER(AM388))),"",IF(AM388&lt;=0,"",IF(ISNUMBER(Settings!$D$8),DATE(YEAR(AL388)+IF(DATE(YEAR(AL388),MONTH(Settings!$D$8),DAY(Settings!$D$8))&gt;AL388,0,1),MONTH(Settings!$D$8),DAY(Settings!$D$8)),MIN(DATE(YEAR(AL388),MONTH(AL388)+AM388,DAY(AL388)),DATE(YEAR(AL388),MONTH(AL388)+AM388+1,0)))))</f>
        <v/>
      </c>
      <c r="AO388" s="31">
        <f>IF(ISNUMBER(AN388),AN388-Settings!$D$4,"")</f>
        <v/>
      </c>
      <c r="AP388" s="31">
        <f>IF(ISNUMBER(AL388),AL388+0+ROW()/100000,"")</f>
        <v/>
      </c>
      <c r="AQ388" s="31">
        <f>IF(OR(AG388="",NOT(ISNUMBER(AP388))),0,IF(SUMPRODUCT(('Responses'!$AG$2:$AG$501=AG388)*('Responses'!$AJ$2:$AJ$501=1)*ISNUMBER('Responses'!$AP$2:$AP$501)*('Responses'!$AP$2:$AP$501&gt;AP388)) + SUMPRODUCT(('Paper sign-ups'!$K$2:$K$101=AG388)*('Paper sign-ups'!$N$2:$N$101=1)*ISNUMBER('Paper sign-ups'!$T$2:$T$101)*('Paper sign-ups'!$T$2:$T$101&gt;AP388))&gt;0,1,0))</f>
        <v/>
      </c>
      <c r="AR388" s="31">
        <f>IF(AE388="","",IF(AQ388=1,"Joined again",IF(AJ388=0,"Unpaid",IF(NOT(ISNUMBER(AL388)),"Add a join date",IF(AN388="","No reminder",IF(AO388&lt;0,"Lapsed",IF(AO388&lt;=Settings!$D$6,"Remind soon","Current")))))))</f>
        <v/>
      </c>
      <c r="AS388" s="33">
        <f>IF(AJ388=1,IFERROR(VALUE(IFERROR(TRIM(INDEX($A388:$Z388,MATCH(Settings!$L$8,$A$1:$Z$1,0))&amp;""),"")),0)-IFERROR(VALUE(IFERROR(TRIM(INDEX($A388:$Z388,MATCH(Settings!$L$9,$A$1:$Z$1,0))&amp;""),"")),0),0)</f>
        <v/>
      </c>
      <c r="AT388" s="31">
        <f>IF(AND(AE388&lt;&gt;"",AQ388=0),1,0)</f>
        <v/>
      </c>
      <c r="AU388" s="31">
        <f>IF(AT388=0,"",IF(ISNUMBER(AN388),AN388,100000)+0+ROW()/1000000)</f>
        <v/>
      </c>
      <c r="AV388" s="31">
        <f>IF(ISNUMBER(AU388),SUMPRODUCT(ISNUMBER('Responses'!$AU$2:$AU$501)*('Responses'!$AU$2:$AU$501&lt;AU388)) + SUMPRODUCT(ISNUMBER('Paper sign-ups'!$Y$2:$Y$101)*('Paper sign-ups'!$Y$2:$Y$101&lt;AU388))+1,"")</f>
        <v/>
      </c>
    </row>
    <row r="389">
      <c r="AA389" s="29" t="n"/>
      <c r="AB389" s="30" t="n"/>
      <c r="AC389" s="30" t="n"/>
      <c r="AD389" s="29" t="n"/>
      <c r="AE389" s="31">
        <f>IFERROR(TRIM(INDEX($A389:$Z389,MATCH(Settings!$L$4,$A$1:$Z$1,0))&amp;""),"")</f>
        <v/>
      </c>
      <c r="AF389" s="31">
        <f>IFERROR(TRIM(INDEX($A389:$Z389,MATCH(Settings!$L$5,$A$1:$Z$1,0))&amp;""),"")</f>
        <v/>
      </c>
      <c r="AG389" s="31">
        <f>IF(AE389="","",LOWER(IF(AF389&lt;&gt;"",AF389,AE389)))</f>
        <v/>
      </c>
      <c r="AH389" s="31">
        <f>IFERROR(TRIM(INDEX($A389:$Z389,MATCH(Settings!$L$6,$A$1:$Z$1,0))&amp;""),"")</f>
        <v/>
      </c>
      <c r="AI389" s="31">
        <f>IF(AE389="","",IF(UPPER(TRIM(AB389&amp;""))="Y","Paid another way",IF(IFERROR(TRIM(INDEX($A389:$Z389,MATCH(Settings!$L$7,$A$1:$Z$1,0))&amp;""),"")="","No payment status",IFERROR(TRIM(INDEX($A389:$Z389,MATCH(Settings!$L$7,$A$1:$Z$1,0))&amp;""),""))))</f>
        <v/>
      </c>
      <c r="AJ389" s="31">
        <f>IF(AE389="",0,IF(IFERROR(INDEX(Settings!$J$4:$J$14,MATCH(AI389,Settings!$I$4:$I$14,0)),"N")="Y",1,0))</f>
        <v/>
      </c>
      <c r="AK389" s="32">
        <f>IFERROR(INT(IFERROR(IF(ISNUMBER(INDEX($A389:$Z389,MATCH(Settings!$L$10,$A$1:$Z$1,0))),INDEX($A389:$Z389,MATCH(Settings!$L$10,$A$1:$Z$1,0)),DATE(VALUE(LEFT(IFERROR(TRIM(INDEX($A389:$Z389,MATCH(Settings!$L$10,$A$1:$Z$1,0))&amp;""),""),4)),VALUE(MID(IFERROR(TRIM(INDEX($A389:$Z389,MATCH(Settings!$L$10,$A$1:$Z$1,0))&amp;""),""),6,2)),VALUE(MID(IFERROR(TRIM(INDEX($A389:$Z389,MATCH(Settings!$L$10,$A$1:$Z$1,0))&amp;""),""),9,2)))+TIME(VALUE(MID(IFERROR(TRIM(INDEX($A389:$Z389,MATCH(Settings!$L$10,$A$1:$Z$1,0))&amp;""),""),12,2)),VALUE(MID(IFERROR(TRIM(INDEX($A389:$Z389,MATCH(Settings!$L$10,$A$1:$Z$1,0))&amp;""),""),15,2)),VALUE(MID(IFERROR(TRIM(INDEX($A389:$Z389,MATCH(Settings!$L$10,$A$1:$Z$1,0))&amp;""),""),18,2)))),"")),"")</f>
        <v/>
      </c>
      <c r="AL389" s="32">
        <f>IF(AE389="","",IF(ISNUMBER(AK389),AK389,IFERROR(INT(IFERROR(IF(ISNUMBER(INDEX($A389:$Z389,MATCH(Settings!$L$11,$A$1:$Z$1,0))),INDEX($A389:$Z389,MATCH(Settings!$L$11,$A$1:$Z$1,0)),DATE(VALUE(LEFT(IFERROR(TRIM(INDEX($A389:$Z389,MATCH(Settings!$L$11,$A$1:$Z$1,0))&amp;""),""),4)),VALUE(MID(IFERROR(TRIM(INDEX($A389:$Z389,MATCH(Settings!$L$11,$A$1:$Z$1,0))&amp;""),""),6,2)),VALUE(MID(IFERROR(TRIM(INDEX($A389:$Z389,MATCH(Settings!$L$11,$A$1:$Z$1,0))&amp;""),""),9,2)))+TIME(VALUE(MID(IFERROR(TRIM(INDEX($A389:$Z389,MATCH(Settings!$L$11,$A$1:$Z$1,0))&amp;""),""),12,2)),VALUE(MID(IFERROR(TRIM(INDEX($A389:$Z389,MATCH(Settings!$L$11,$A$1:$Z$1,0))&amp;""),""),15,2)),VALUE(MID(IFERROR(TRIM(INDEX($A389:$Z389,MATCH(Settings!$L$11,$A$1:$Z$1,0))&amp;""),""),18,2)))),"")),"")))</f>
        <v/>
      </c>
      <c r="AM389" s="31">
        <f>IF(AE389="","",IF(ISNUMBER(IFERROR(INDEX(Settings!$G$4:$G$11,MATCH(AH389,Settings!$F$4:$F$11,0)),"")),INDEX(Settings!$G$4:$G$11,MATCH(AH389,Settings!$F$4:$F$11,0)),Settings!$D$5))</f>
        <v/>
      </c>
      <c r="AN389" s="32">
        <f>IF(OR(AE389="",NOT(ISNUMBER(AL389)),NOT(ISNUMBER(AM389))),"",IF(AM389&lt;=0,"",IF(ISNUMBER(Settings!$D$8),DATE(YEAR(AL389)+IF(DATE(YEAR(AL389),MONTH(Settings!$D$8),DAY(Settings!$D$8))&gt;AL389,0,1),MONTH(Settings!$D$8),DAY(Settings!$D$8)),MIN(DATE(YEAR(AL389),MONTH(AL389)+AM389,DAY(AL389)),DATE(YEAR(AL389),MONTH(AL389)+AM389+1,0)))))</f>
        <v/>
      </c>
      <c r="AO389" s="31">
        <f>IF(ISNUMBER(AN389),AN389-Settings!$D$4,"")</f>
        <v/>
      </c>
      <c r="AP389" s="31">
        <f>IF(ISNUMBER(AL389),AL389+0+ROW()/100000,"")</f>
        <v/>
      </c>
      <c r="AQ389" s="31">
        <f>IF(OR(AG389="",NOT(ISNUMBER(AP389))),0,IF(SUMPRODUCT(('Responses'!$AG$2:$AG$501=AG389)*('Responses'!$AJ$2:$AJ$501=1)*ISNUMBER('Responses'!$AP$2:$AP$501)*('Responses'!$AP$2:$AP$501&gt;AP389)) + SUMPRODUCT(('Paper sign-ups'!$K$2:$K$101=AG389)*('Paper sign-ups'!$N$2:$N$101=1)*ISNUMBER('Paper sign-ups'!$T$2:$T$101)*('Paper sign-ups'!$T$2:$T$101&gt;AP389))&gt;0,1,0))</f>
        <v/>
      </c>
      <c r="AR389" s="31">
        <f>IF(AE389="","",IF(AQ389=1,"Joined again",IF(AJ389=0,"Unpaid",IF(NOT(ISNUMBER(AL389)),"Add a join date",IF(AN389="","No reminder",IF(AO389&lt;0,"Lapsed",IF(AO389&lt;=Settings!$D$6,"Remind soon","Current")))))))</f>
        <v/>
      </c>
      <c r="AS389" s="33">
        <f>IF(AJ389=1,IFERROR(VALUE(IFERROR(TRIM(INDEX($A389:$Z389,MATCH(Settings!$L$8,$A$1:$Z$1,0))&amp;""),"")),0)-IFERROR(VALUE(IFERROR(TRIM(INDEX($A389:$Z389,MATCH(Settings!$L$9,$A$1:$Z$1,0))&amp;""),"")),0),0)</f>
        <v/>
      </c>
      <c r="AT389" s="31">
        <f>IF(AND(AE389&lt;&gt;"",AQ389=0),1,0)</f>
        <v/>
      </c>
      <c r="AU389" s="31">
        <f>IF(AT389=0,"",IF(ISNUMBER(AN389),AN389,100000)+0+ROW()/1000000)</f>
        <v/>
      </c>
      <c r="AV389" s="31">
        <f>IF(ISNUMBER(AU389),SUMPRODUCT(ISNUMBER('Responses'!$AU$2:$AU$501)*('Responses'!$AU$2:$AU$501&lt;AU389)) + SUMPRODUCT(ISNUMBER('Paper sign-ups'!$Y$2:$Y$101)*('Paper sign-ups'!$Y$2:$Y$101&lt;AU389))+1,"")</f>
        <v/>
      </c>
    </row>
    <row r="390">
      <c r="AA390" s="29" t="n"/>
      <c r="AB390" s="30" t="n"/>
      <c r="AC390" s="30" t="n"/>
      <c r="AD390" s="29" t="n"/>
      <c r="AE390" s="31">
        <f>IFERROR(TRIM(INDEX($A390:$Z390,MATCH(Settings!$L$4,$A$1:$Z$1,0))&amp;""),"")</f>
        <v/>
      </c>
      <c r="AF390" s="31">
        <f>IFERROR(TRIM(INDEX($A390:$Z390,MATCH(Settings!$L$5,$A$1:$Z$1,0))&amp;""),"")</f>
        <v/>
      </c>
      <c r="AG390" s="31">
        <f>IF(AE390="","",LOWER(IF(AF390&lt;&gt;"",AF390,AE390)))</f>
        <v/>
      </c>
      <c r="AH390" s="31">
        <f>IFERROR(TRIM(INDEX($A390:$Z390,MATCH(Settings!$L$6,$A$1:$Z$1,0))&amp;""),"")</f>
        <v/>
      </c>
      <c r="AI390" s="31">
        <f>IF(AE390="","",IF(UPPER(TRIM(AB390&amp;""))="Y","Paid another way",IF(IFERROR(TRIM(INDEX($A390:$Z390,MATCH(Settings!$L$7,$A$1:$Z$1,0))&amp;""),"")="","No payment status",IFERROR(TRIM(INDEX($A390:$Z390,MATCH(Settings!$L$7,$A$1:$Z$1,0))&amp;""),""))))</f>
        <v/>
      </c>
      <c r="AJ390" s="31">
        <f>IF(AE390="",0,IF(IFERROR(INDEX(Settings!$J$4:$J$14,MATCH(AI390,Settings!$I$4:$I$14,0)),"N")="Y",1,0))</f>
        <v/>
      </c>
      <c r="AK390" s="32">
        <f>IFERROR(INT(IFERROR(IF(ISNUMBER(INDEX($A390:$Z390,MATCH(Settings!$L$10,$A$1:$Z$1,0))),INDEX($A390:$Z390,MATCH(Settings!$L$10,$A$1:$Z$1,0)),DATE(VALUE(LEFT(IFERROR(TRIM(INDEX($A390:$Z390,MATCH(Settings!$L$10,$A$1:$Z$1,0))&amp;""),""),4)),VALUE(MID(IFERROR(TRIM(INDEX($A390:$Z390,MATCH(Settings!$L$10,$A$1:$Z$1,0))&amp;""),""),6,2)),VALUE(MID(IFERROR(TRIM(INDEX($A390:$Z390,MATCH(Settings!$L$10,$A$1:$Z$1,0))&amp;""),""),9,2)))+TIME(VALUE(MID(IFERROR(TRIM(INDEX($A390:$Z390,MATCH(Settings!$L$10,$A$1:$Z$1,0))&amp;""),""),12,2)),VALUE(MID(IFERROR(TRIM(INDEX($A390:$Z390,MATCH(Settings!$L$10,$A$1:$Z$1,0))&amp;""),""),15,2)),VALUE(MID(IFERROR(TRIM(INDEX($A390:$Z390,MATCH(Settings!$L$10,$A$1:$Z$1,0))&amp;""),""),18,2)))),"")),"")</f>
        <v/>
      </c>
      <c r="AL390" s="32">
        <f>IF(AE390="","",IF(ISNUMBER(AK390),AK390,IFERROR(INT(IFERROR(IF(ISNUMBER(INDEX($A390:$Z390,MATCH(Settings!$L$11,$A$1:$Z$1,0))),INDEX($A390:$Z390,MATCH(Settings!$L$11,$A$1:$Z$1,0)),DATE(VALUE(LEFT(IFERROR(TRIM(INDEX($A390:$Z390,MATCH(Settings!$L$11,$A$1:$Z$1,0))&amp;""),""),4)),VALUE(MID(IFERROR(TRIM(INDEX($A390:$Z390,MATCH(Settings!$L$11,$A$1:$Z$1,0))&amp;""),""),6,2)),VALUE(MID(IFERROR(TRIM(INDEX($A390:$Z390,MATCH(Settings!$L$11,$A$1:$Z$1,0))&amp;""),""),9,2)))+TIME(VALUE(MID(IFERROR(TRIM(INDEX($A390:$Z390,MATCH(Settings!$L$11,$A$1:$Z$1,0))&amp;""),""),12,2)),VALUE(MID(IFERROR(TRIM(INDEX($A390:$Z390,MATCH(Settings!$L$11,$A$1:$Z$1,0))&amp;""),""),15,2)),VALUE(MID(IFERROR(TRIM(INDEX($A390:$Z390,MATCH(Settings!$L$11,$A$1:$Z$1,0))&amp;""),""),18,2)))),"")),"")))</f>
        <v/>
      </c>
      <c r="AM390" s="31">
        <f>IF(AE390="","",IF(ISNUMBER(IFERROR(INDEX(Settings!$G$4:$G$11,MATCH(AH390,Settings!$F$4:$F$11,0)),"")),INDEX(Settings!$G$4:$G$11,MATCH(AH390,Settings!$F$4:$F$11,0)),Settings!$D$5))</f>
        <v/>
      </c>
      <c r="AN390" s="32">
        <f>IF(OR(AE390="",NOT(ISNUMBER(AL390)),NOT(ISNUMBER(AM390))),"",IF(AM390&lt;=0,"",IF(ISNUMBER(Settings!$D$8),DATE(YEAR(AL390)+IF(DATE(YEAR(AL390),MONTH(Settings!$D$8),DAY(Settings!$D$8))&gt;AL390,0,1),MONTH(Settings!$D$8),DAY(Settings!$D$8)),MIN(DATE(YEAR(AL390),MONTH(AL390)+AM390,DAY(AL390)),DATE(YEAR(AL390),MONTH(AL390)+AM390+1,0)))))</f>
        <v/>
      </c>
      <c r="AO390" s="31">
        <f>IF(ISNUMBER(AN390),AN390-Settings!$D$4,"")</f>
        <v/>
      </c>
      <c r="AP390" s="31">
        <f>IF(ISNUMBER(AL390),AL390+0+ROW()/100000,"")</f>
        <v/>
      </c>
      <c r="AQ390" s="31">
        <f>IF(OR(AG390="",NOT(ISNUMBER(AP390))),0,IF(SUMPRODUCT(('Responses'!$AG$2:$AG$501=AG390)*('Responses'!$AJ$2:$AJ$501=1)*ISNUMBER('Responses'!$AP$2:$AP$501)*('Responses'!$AP$2:$AP$501&gt;AP390)) + SUMPRODUCT(('Paper sign-ups'!$K$2:$K$101=AG390)*('Paper sign-ups'!$N$2:$N$101=1)*ISNUMBER('Paper sign-ups'!$T$2:$T$101)*('Paper sign-ups'!$T$2:$T$101&gt;AP390))&gt;0,1,0))</f>
        <v/>
      </c>
      <c r="AR390" s="31">
        <f>IF(AE390="","",IF(AQ390=1,"Joined again",IF(AJ390=0,"Unpaid",IF(NOT(ISNUMBER(AL390)),"Add a join date",IF(AN390="","No reminder",IF(AO390&lt;0,"Lapsed",IF(AO390&lt;=Settings!$D$6,"Remind soon","Current")))))))</f>
        <v/>
      </c>
      <c r="AS390" s="33">
        <f>IF(AJ390=1,IFERROR(VALUE(IFERROR(TRIM(INDEX($A390:$Z390,MATCH(Settings!$L$8,$A$1:$Z$1,0))&amp;""),"")),0)-IFERROR(VALUE(IFERROR(TRIM(INDEX($A390:$Z390,MATCH(Settings!$L$9,$A$1:$Z$1,0))&amp;""),"")),0),0)</f>
        <v/>
      </c>
      <c r="AT390" s="31">
        <f>IF(AND(AE390&lt;&gt;"",AQ390=0),1,0)</f>
        <v/>
      </c>
      <c r="AU390" s="31">
        <f>IF(AT390=0,"",IF(ISNUMBER(AN390),AN390,100000)+0+ROW()/1000000)</f>
        <v/>
      </c>
      <c r="AV390" s="31">
        <f>IF(ISNUMBER(AU390),SUMPRODUCT(ISNUMBER('Responses'!$AU$2:$AU$501)*('Responses'!$AU$2:$AU$501&lt;AU390)) + SUMPRODUCT(ISNUMBER('Paper sign-ups'!$Y$2:$Y$101)*('Paper sign-ups'!$Y$2:$Y$101&lt;AU390))+1,"")</f>
        <v/>
      </c>
    </row>
    <row r="391">
      <c r="AA391" s="29" t="n"/>
      <c r="AB391" s="30" t="n"/>
      <c r="AC391" s="30" t="n"/>
      <c r="AD391" s="29" t="n"/>
      <c r="AE391" s="31">
        <f>IFERROR(TRIM(INDEX($A391:$Z391,MATCH(Settings!$L$4,$A$1:$Z$1,0))&amp;""),"")</f>
        <v/>
      </c>
      <c r="AF391" s="31">
        <f>IFERROR(TRIM(INDEX($A391:$Z391,MATCH(Settings!$L$5,$A$1:$Z$1,0))&amp;""),"")</f>
        <v/>
      </c>
      <c r="AG391" s="31">
        <f>IF(AE391="","",LOWER(IF(AF391&lt;&gt;"",AF391,AE391)))</f>
        <v/>
      </c>
      <c r="AH391" s="31">
        <f>IFERROR(TRIM(INDEX($A391:$Z391,MATCH(Settings!$L$6,$A$1:$Z$1,0))&amp;""),"")</f>
        <v/>
      </c>
      <c r="AI391" s="31">
        <f>IF(AE391="","",IF(UPPER(TRIM(AB391&amp;""))="Y","Paid another way",IF(IFERROR(TRIM(INDEX($A391:$Z391,MATCH(Settings!$L$7,$A$1:$Z$1,0))&amp;""),"")="","No payment status",IFERROR(TRIM(INDEX($A391:$Z391,MATCH(Settings!$L$7,$A$1:$Z$1,0))&amp;""),""))))</f>
        <v/>
      </c>
      <c r="AJ391" s="31">
        <f>IF(AE391="",0,IF(IFERROR(INDEX(Settings!$J$4:$J$14,MATCH(AI391,Settings!$I$4:$I$14,0)),"N")="Y",1,0))</f>
        <v/>
      </c>
      <c r="AK391" s="32">
        <f>IFERROR(INT(IFERROR(IF(ISNUMBER(INDEX($A391:$Z391,MATCH(Settings!$L$10,$A$1:$Z$1,0))),INDEX($A391:$Z391,MATCH(Settings!$L$10,$A$1:$Z$1,0)),DATE(VALUE(LEFT(IFERROR(TRIM(INDEX($A391:$Z391,MATCH(Settings!$L$10,$A$1:$Z$1,0))&amp;""),""),4)),VALUE(MID(IFERROR(TRIM(INDEX($A391:$Z391,MATCH(Settings!$L$10,$A$1:$Z$1,0))&amp;""),""),6,2)),VALUE(MID(IFERROR(TRIM(INDEX($A391:$Z391,MATCH(Settings!$L$10,$A$1:$Z$1,0))&amp;""),""),9,2)))+TIME(VALUE(MID(IFERROR(TRIM(INDEX($A391:$Z391,MATCH(Settings!$L$10,$A$1:$Z$1,0))&amp;""),""),12,2)),VALUE(MID(IFERROR(TRIM(INDEX($A391:$Z391,MATCH(Settings!$L$10,$A$1:$Z$1,0))&amp;""),""),15,2)),VALUE(MID(IFERROR(TRIM(INDEX($A391:$Z391,MATCH(Settings!$L$10,$A$1:$Z$1,0))&amp;""),""),18,2)))),"")),"")</f>
        <v/>
      </c>
      <c r="AL391" s="32">
        <f>IF(AE391="","",IF(ISNUMBER(AK391),AK391,IFERROR(INT(IFERROR(IF(ISNUMBER(INDEX($A391:$Z391,MATCH(Settings!$L$11,$A$1:$Z$1,0))),INDEX($A391:$Z391,MATCH(Settings!$L$11,$A$1:$Z$1,0)),DATE(VALUE(LEFT(IFERROR(TRIM(INDEX($A391:$Z391,MATCH(Settings!$L$11,$A$1:$Z$1,0))&amp;""),""),4)),VALUE(MID(IFERROR(TRIM(INDEX($A391:$Z391,MATCH(Settings!$L$11,$A$1:$Z$1,0))&amp;""),""),6,2)),VALUE(MID(IFERROR(TRIM(INDEX($A391:$Z391,MATCH(Settings!$L$11,$A$1:$Z$1,0))&amp;""),""),9,2)))+TIME(VALUE(MID(IFERROR(TRIM(INDEX($A391:$Z391,MATCH(Settings!$L$11,$A$1:$Z$1,0))&amp;""),""),12,2)),VALUE(MID(IFERROR(TRIM(INDEX($A391:$Z391,MATCH(Settings!$L$11,$A$1:$Z$1,0))&amp;""),""),15,2)),VALUE(MID(IFERROR(TRIM(INDEX($A391:$Z391,MATCH(Settings!$L$11,$A$1:$Z$1,0))&amp;""),""),18,2)))),"")),"")))</f>
        <v/>
      </c>
      <c r="AM391" s="31">
        <f>IF(AE391="","",IF(ISNUMBER(IFERROR(INDEX(Settings!$G$4:$G$11,MATCH(AH391,Settings!$F$4:$F$11,0)),"")),INDEX(Settings!$G$4:$G$11,MATCH(AH391,Settings!$F$4:$F$11,0)),Settings!$D$5))</f>
        <v/>
      </c>
      <c r="AN391" s="32">
        <f>IF(OR(AE391="",NOT(ISNUMBER(AL391)),NOT(ISNUMBER(AM391))),"",IF(AM391&lt;=0,"",IF(ISNUMBER(Settings!$D$8),DATE(YEAR(AL391)+IF(DATE(YEAR(AL391),MONTH(Settings!$D$8),DAY(Settings!$D$8))&gt;AL391,0,1),MONTH(Settings!$D$8),DAY(Settings!$D$8)),MIN(DATE(YEAR(AL391),MONTH(AL391)+AM391,DAY(AL391)),DATE(YEAR(AL391),MONTH(AL391)+AM391+1,0)))))</f>
        <v/>
      </c>
      <c r="AO391" s="31">
        <f>IF(ISNUMBER(AN391),AN391-Settings!$D$4,"")</f>
        <v/>
      </c>
      <c r="AP391" s="31">
        <f>IF(ISNUMBER(AL391),AL391+0+ROW()/100000,"")</f>
        <v/>
      </c>
      <c r="AQ391" s="31">
        <f>IF(OR(AG391="",NOT(ISNUMBER(AP391))),0,IF(SUMPRODUCT(('Responses'!$AG$2:$AG$501=AG391)*('Responses'!$AJ$2:$AJ$501=1)*ISNUMBER('Responses'!$AP$2:$AP$501)*('Responses'!$AP$2:$AP$501&gt;AP391)) + SUMPRODUCT(('Paper sign-ups'!$K$2:$K$101=AG391)*('Paper sign-ups'!$N$2:$N$101=1)*ISNUMBER('Paper sign-ups'!$T$2:$T$101)*('Paper sign-ups'!$T$2:$T$101&gt;AP391))&gt;0,1,0))</f>
        <v/>
      </c>
      <c r="AR391" s="31">
        <f>IF(AE391="","",IF(AQ391=1,"Joined again",IF(AJ391=0,"Unpaid",IF(NOT(ISNUMBER(AL391)),"Add a join date",IF(AN391="","No reminder",IF(AO391&lt;0,"Lapsed",IF(AO391&lt;=Settings!$D$6,"Remind soon","Current")))))))</f>
        <v/>
      </c>
      <c r="AS391" s="33">
        <f>IF(AJ391=1,IFERROR(VALUE(IFERROR(TRIM(INDEX($A391:$Z391,MATCH(Settings!$L$8,$A$1:$Z$1,0))&amp;""),"")),0)-IFERROR(VALUE(IFERROR(TRIM(INDEX($A391:$Z391,MATCH(Settings!$L$9,$A$1:$Z$1,0))&amp;""),"")),0),0)</f>
        <v/>
      </c>
      <c r="AT391" s="31">
        <f>IF(AND(AE391&lt;&gt;"",AQ391=0),1,0)</f>
        <v/>
      </c>
      <c r="AU391" s="31">
        <f>IF(AT391=0,"",IF(ISNUMBER(AN391),AN391,100000)+0+ROW()/1000000)</f>
        <v/>
      </c>
      <c r="AV391" s="31">
        <f>IF(ISNUMBER(AU391),SUMPRODUCT(ISNUMBER('Responses'!$AU$2:$AU$501)*('Responses'!$AU$2:$AU$501&lt;AU391)) + SUMPRODUCT(ISNUMBER('Paper sign-ups'!$Y$2:$Y$101)*('Paper sign-ups'!$Y$2:$Y$101&lt;AU391))+1,"")</f>
        <v/>
      </c>
    </row>
    <row r="392">
      <c r="AA392" s="29" t="n"/>
      <c r="AB392" s="30" t="n"/>
      <c r="AC392" s="30" t="n"/>
      <c r="AD392" s="29" t="n"/>
      <c r="AE392" s="31">
        <f>IFERROR(TRIM(INDEX($A392:$Z392,MATCH(Settings!$L$4,$A$1:$Z$1,0))&amp;""),"")</f>
        <v/>
      </c>
      <c r="AF392" s="31">
        <f>IFERROR(TRIM(INDEX($A392:$Z392,MATCH(Settings!$L$5,$A$1:$Z$1,0))&amp;""),"")</f>
        <v/>
      </c>
      <c r="AG392" s="31">
        <f>IF(AE392="","",LOWER(IF(AF392&lt;&gt;"",AF392,AE392)))</f>
        <v/>
      </c>
      <c r="AH392" s="31">
        <f>IFERROR(TRIM(INDEX($A392:$Z392,MATCH(Settings!$L$6,$A$1:$Z$1,0))&amp;""),"")</f>
        <v/>
      </c>
      <c r="AI392" s="31">
        <f>IF(AE392="","",IF(UPPER(TRIM(AB392&amp;""))="Y","Paid another way",IF(IFERROR(TRIM(INDEX($A392:$Z392,MATCH(Settings!$L$7,$A$1:$Z$1,0))&amp;""),"")="","No payment status",IFERROR(TRIM(INDEX($A392:$Z392,MATCH(Settings!$L$7,$A$1:$Z$1,0))&amp;""),""))))</f>
        <v/>
      </c>
      <c r="AJ392" s="31">
        <f>IF(AE392="",0,IF(IFERROR(INDEX(Settings!$J$4:$J$14,MATCH(AI392,Settings!$I$4:$I$14,0)),"N")="Y",1,0))</f>
        <v/>
      </c>
      <c r="AK392" s="32">
        <f>IFERROR(INT(IFERROR(IF(ISNUMBER(INDEX($A392:$Z392,MATCH(Settings!$L$10,$A$1:$Z$1,0))),INDEX($A392:$Z392,MATCH(Settings!$L$10,$A$1:$Z$1,0)),DATE(VALUE(LEFT(IFERROR(TRIM(INDEX($A392:$Z392,MATCH(Settings!$L$10,$A$1:$Z$1,0))&amp;""),""),4)),VALUE(MID(IFERROR(TRIM(INDEX($A392:$Z392,MATCH(Settings!$L$10,$A$1:$Z$1,0))&amp;""),""),6,2)),VALUE(MID(IFERROR(TRIM(INDEX($A392:$Z392,MATCH(Settings!$L$10,$A$1:$Z$1,0))&amp;""),""),9,2)))+TIME(VALUE(MID(IFERROR(TRIM(INDEX($A392:$Z392,MATCH(Settings!$L$10,$A$1:$Z$1,0))&amp;""),""),12,2)),VALUE(MID(IFERROR(TRIM(INDEX($A392:$Z392,MATCH(Settings!$L$10,$A$1:$Z$1,0))&amp;""),""),15,2)),VALUE(MID(IFERROR(TRIM(INDEX($A392:$Z392,MATCH(Settings!$L$10,$A$1:$Z$1,0))&amp;""),""),18,2)))),"")),"")</f>
        <v/>
      </c>
      <c r="AL392" s="32">
        <f>IF(AE392="","",IF(ISNUMBER(AK392),AK392,IFERROR(INT(IFERROR(IF(ISNUMBER(INDEX($A392:$Z392,MATCH(Settings!$L$11,$A$1:$Z$1,0))),INDEX($A392:$Z392,MATCH(Settings!$L$11,$A$1:$Z$1,0)),DATE(VALUE(LEFT(IFERROR(TRIM(INDEX($A392:$Z392,MATCH(Settings!$L$11,$A$1:$Z$1,0))&amp;""),""),4)),VALUE(MID(IFERROR(TRIM(INDEX($A392:$Z392,MATCH(Settings!$L$11,$A$1:$Z$1,0))&amp;""),""),6,2)),VALUE(MID(IFERROR(TRIM(INDEX($A392:$Z392,MATCH(Settings!$L$11,$A$1:$Z$1,0))&amp;""),""),9,2)))+TIME(VALUE(MID(IFERROR(TRIM(INDEX($A392:$Z392,MATCH(Settings!$L$11,$A$1:$Z$1,0))&amp;""),""),12,2)),VALUE(MID(IFERROR(TRIM(INDEX($A392:$Z392,MATCH(Settings!$L$11,$A$1:$Z$1,0))&amp;""),""),15,2)),VALUE(MID(IFERROR(TRIM(INDEX($A392:$Z392,MATCH(Settings!$L$11,$A$1:$Z$1,0))&amp;""),""),18,2)))),"")),"")))</f>
        <v/>
      </c>
      <c r="AM392" s="31">
        <f>IF(AE392="","",IF(ISNUMBER(IFERROR(INDEX(Settings!$G$4:$G$11,MATCH(AH392,Settings!$F$4:$F$11,0)),"")),INDEX(Settings!$G$4:$G$11,MATCH(AH392,Settings!$F$4:$F$11,0)),Settings!$D$5))</f>
        <v/>
      </c>
      <c r="AN392" s="32">
        <f>IF(OR(AE392="",NOT(ISNUMBER(AL392)),NOT(ISNUMBER(AM392))),"",IF(AM392&lt;=0,"",IF(ISNUMBER(Settings!$D$8),DATE(YEAR(AL392)+IF(DATE(YEAR(AL392),MONTH(Settings!$D$8),DAY(Settings!$D$8))&gt;AL392,0,1),MONTH(Settings!$D$8),DAY(Settings!$D$8)),MIN(DATE(YEAR(AL392),MONTH(AL392)+AM392,DAY(AL392)),DATE(YEAR(AL392),MONTH(AL392)+AM392+1,0)))))</f>
        <v/>
      </c>
      <c r="AO392" s="31">
        <f>IF(ISNUMBER(AN392),AN392-Settings!$D$4,"")</f>
        <v/>
      </c>
      <c r="AP392" s="31">
        <f>IF(ISNUMBER(AL392),AL392+0+ROW()/100000,"")</f>
        <v/>
      </c>
      <c r="AQ392" s="31">
        <f>IF(OR(AG392="",NOT(ISNUMBER(AP392))),0,IF(SUMPRODUCT(('Responses'!$AG$2:$AG$501=AG392)*('Responses'!$AJ$2:$AJ$501=1)*ISNUMBER('Responses'!$AP$2:$AP$501)*('Responses'!$AP$2:$AP$501&gt;AP392)) + SUMPRODUCT(('Paper sign-ups'!$K$2:$K$101=AG392)*('Paper sign-ups'!$N$2:$N$101=1)*ISNUMBER('Paper sign-ups'!$T$2:$T$101)*('Paper sign-ups'!$T$2:$T$101&gt;AP392))&gt;0,1,0))</f>
        <v/>
      </c>
      <c r="AR392" s="31">
        <f>IF(AE392="","",IF(AQ392=1,"Joined again",IF(AJ392=0,"Unpaid",IF(NOT(ISNUMBER(AL392)),"Add a join date",IF(AN392="","No reminder",IF(AO392&lt;0,"Lapsed",IF(AO392&lt;=Settings!$D$6,"Remind soon","Current")))))))</f>
        <v/>
      </c>
      <c r="AS392" s="33">
        <f>IF(AJ392=1,IFERROR(VALUE(IFERROR(TRIM(INDEX($A392:$Z392,MATCH(Settings!$L$8,$A$1:$Z$1,0))&amp;""),"")),0)-IFERROR(VALUE(IFERROR(TRIM(INDEX($A392:$Z392,MATCH(Settings!$L$9,$A$1:$Z$1,0))&amp;""),"")),0),0)</f>
        <v/>
      </c>
      <c r="AT392" s="31">
        <f>IF(AND(AE392&lt;&gt;"",AQ392=0),1,0)</f>
        <v/>
      </c>
      <c r="AU392" s="31">
        <f>IF(AT392=0,"",IF(ISNUMBER(AN392),AN392,100000)+0+ROW()/1000000)</f>
        <v/>
      </c>
      <c r="AV392" s="31">
        <f>IF(ISNUMBER(AU392),SUMPRODUCT(ISNUMBER('Responses'!$AU$2:$AU$501)*('Responses'!$AU$2:$AU$501&lt;AU392)) + SUMPRODUCT(ISNUMBER('Paper sign-ups'!$Y$2:$Y$101)*('Paper sign-ups'!$Y$2:$Y$101&lt;AU392))+1,"")</f>
        <v/>
      </c>
    </row>
    <row r="393">
      <c r="AA393" s="29" t="n"/>
      <c r="AB393" s="30" t="n"/>
      <c r="AC393" s="30" t="n"/>
      <c r="AD393" s="29" t="n"/>
      <c r="AE393" s="31">
        <f>IFERROR(TRIM(INDEX($A393:$Z393,MATCH(Settings!$L$4,$A$1:$Z$1,0))&amp;""),"")</f>
        <v/>
      </c>
      <c r="AF393" s="31">
        <f>IFERROR(TRIM(INDEX($A393:$Z393,MATCH(Settings!$L$5,$A$1:$Z$1,0))&amp;""),"")</f>
        <v/>
      </c>
      <c r="AG393" s="31">
        <f>IF(AE393="","",LOWER(IF(AF393&lt;&gt;"",AF393,AE393)))</f>
        <v/>
      </c>
      <c r="AH393" s="31">
        <f>IFERROR(TRIM(INDEX($A393:$Z393,MATCH(Settings!$L$6,$A$1:$Z$1,0))&amp;""),"")</f>
        <v/>
      </c>
      <c r="AI393" s="31">
        <f>IF(AE393="","",IF(UPPER(TRIM(AB393&amp;""))="Y","Paid another way",IF(IFERROR(TRIM(INDEX($A393:$Z393,MATCH(Settings!$L$7,$A$1:$Z$1,0))&amp;""),"")="","No payment status",IFERROR(TRIM(INDEX($A393:$Z393,MATCH(Settings!$L$7,$A$1:$Z$1,0))&amp;""),""))))</f>
        <v/>
      </c>
      <c r="AJ393" s="31">
        <f>IF(AE393="",0,IF(IFERROR(INDEX(Settings!$J$4:$J$14,MATCH(AI393,Settings!$I$4:$I$14,0)),"N")="Y",1,0))</f>
        <v/>
      </c>
      <c r="AK393" s="32">
        <f>IFERROR(INT(IFERROR(IF(ISNUMBER(INDEX($A393:$Z393,MATCH(Settings!$L$10,$A$1:$Z$1,0))),INDEX($A393:$Z393,MATCH(Settings!$L$10,$A$1:$Z$1,0)),DATE(VALUE(LEFT(IFERROR(TRIM(INDEX($A393:$Z393,MATCH(Settings!$L$10,$A$1:$Z$1,0))&amp;""),""),4)),VALUE(MID(IFERROR(TRIM(INDEX($A393:$Z393,MATCH(Settings!$L$10,$A$1:$Z$1,0))&amp;""),""),6,2)),VALUE(MID(IFERROR(TRIM(INDEX($A393:$Z393,MATCH(Settings!$L$10,$A$1:$Z$1,0))&amp;""),""),9,2)))+TIME(VALUE(MID(IFERROR(TRIM(INDEX($A393:$Z393,MATCH(Settings!$L$10,$A$1:$Z$1,0))&amp;""),""),12,2)),VALUE(MID(IFERROR(TRIM(INDEX($A393:$Z393,MATCH(Settings!$L$10,$A$1:$Z$1,0))&amp;""),""),15,2)),VALUE(MID(IFERROR(TRIM(INDEX($A393:$Z393,MATCH(Settings!$L$10,$A$1:$Z$1,0))&amp;""),""),18,2)))),"")),"")</f>
        <v/>
      </c>
      <c r="AL393" s="32">
        <f>IF(AE393="","",IF(ISNUMBER(AK393),AK393,IFERROR(INT(IFERROR(IF(ISNUMBER(INDEX($A393:$Z393,MATCH(Settings!$L$11,$A$1:$Z$1,0))),INDEX($A393:$Z393,MATCH(Settings!$L$11,$A$1:$Z$1,0)),DATE(VALUE(LEFT(IFERROR(TRIM(INDEX($A393:$Z393,MATCH(Settings!$L$11,$A$1:$Z$1,0))&amp;""),""),4)),VALUE(MID(IFERROR(TRIM(INDEX($A393:$Z393,MATCH(Settings!$L$11,$A$1:$Z$1,0))&amp;""),""),6,2)),VALUE(MID(IFERROR(TRIM(INDEX($A393:$Z393,MATCH(Settings!$L$11,$A$1:$Z$1,0))&amp;""),""),9,2)))+TIME(VALUE(MID(IFERROR(TRIM(INDEX($A393:$Z393,MATCH(Settings!$L$11,$A$1:$Z$1,0))&amp;""),""),12,2)),VALUE(MID(IFERROR(TRIM(INDEX($A393:$Z393,MATCH(Settings!$L$11,$A$1:$Z$1,0))&amp;""),""),15,2)),VALUE(MID(IFERROR(TRIM(INDEX($A393:$Z393,MATCH(Settings!$L$11,$A$1:$Z$1,0))&amp;""),""),18,2)))),"")),"")))</f>
        <v/>
      </c>
      <c r="AM393" s="31">
        <f>IF(AE393="","",IF(ISNUMBER(IFERROR(INDEX(Settings!$G$4:$G$11,MATCH(AH393,Settings!$F$4:$F$11,0)),"")),INDEX(Settings!$G$4:$G$11,MATCH(AH393,Settings!$F$4:$F$11,0)),Settings!$D$5))</f>
        <v/>
      </c>
      <c r="AN393" s="32">
        <f>IF(OR(AE393="",NOT(ISNUMBER(AL393)),NOT(ISNUMBER(AM393))),"",IF(AM393&lt;=0,"",IF(ISNUMBER(Settings!$D$8),DATE(YEAR(AL393)+IF(DATE(YEAR(AL393),MONTH(Settings!$D$8),DAY(Settings!$D$8))&gt;AL393,0,1),MONTH(Settings!$D$8),DAY(Settings!$D$8)),MIN(DATE(YEAR(AL393),MONTH(AL393)+AM393,DAY(AL393)),DATE(YEAR(AL393),MONTH(AL393)+AM393+1,0)))))</f>
        <v/>
      </c>
      <c r="AO393" s="31">
        <f>IF(ISNUMBER(AN393),AN393-Settings!$D$4,"")</f>
        <v/>
      </c>
      <c r="AP393" s="31">
        <f>IF(ISNUMBER(AL393),AL393+0+ROW()/100000,"")</f>
        <v/>
      </c>
      <c r="AQ393" s="31">
        <f>IF(OR(AG393="",NOT(ISNUMBER(AP393))),0,IF(SUMPRODUCT(('Responses'!$AG$2:$AG$501=AG393)*('Responses'!$AJ$2:$AJ$501=1)*ISNUMBER('Responses'!$AP$2:$AP$501)*('Responses'!$AP$2:$AP$501&gt;AP393)) + SUMPRODUCT(('Paper sign-ups'!$K$2:$K$101=AG393)*('Paper sign-ups'!$N$2:$N$101=1)*ISNUMBER('Paper sign-ups'!$T$2:$T$101)*('Paper sign-ups'!$T$2:$T$101&gt;AP393))&gt;0,1,0))</f>
        <v/>
      </c>
      <c r="AR393" s="31">
        <f>IF(AE393="","",IF(AQ393=1,"Joined again",IF(AJ393=0,"Unpaid",IF(NOT(ISNUMBER(AL393)),"Add a join date",IF(AN393="","No reminder",IF(AO393&lt;0,"Lapsed",IF(AO393&lt;=Settings!$D$6,"Remind soon","Current")))))))</f>
        <v/>
      </c>
      <c r="AS393" s="33">
        <f>IF(AJ393=1,IFERROR(VALUE(IFERROR(TRIM(INDEX($A393:$Z393,MATCH(Settings!$L$8,$A$1:$Z$1,0))&amp;""),"")),0)-IFERROR(VALUE(IFERROR(TRIM(INDEX($A393:$Z393,MATCH(Settings!$L$9,$A$1:$Z$1,0))&amp;""),"")),0),0)</f>
        <v/>
      </c>
      <c r="AT393" s="31">
        <f>IF(AND(AE393&lt;&gt;"",AQ393=0),1,0)</f>
        <v/>
      </c>
      <c r="AU393" s="31">
        <f>IF(AT393=0,"",IF(ISNUMBER(AN393),AN393,100000)+0+ROW()/1000000)</f>
        <v/>
      </c>
      <c r="AV393" s="31">
        <f>IF(ISNUMBER(AU393),SUMPRODUCT(ISNUMBER('Responses'!$AU$2:$AU$501)*('Responses'!$AU$2:$AU$501&lt;AU393)) + SUMPRODUCT(ISNUMBER('Paper sign-ups'!$Y$2:$Y$101)*('Paper sign-ups'!$Y$2:$Y$101&lt;AU393))+1,"")</f>
        <v/>
      </c>
    </row>
    <row r="394">
      <c r="AA394" s="29" t="n"/>
      <c r="AB394" s="30" t="n"/>
      <c r="AC394" s="30" t="n"/>
      <c r="AD394" s="29" t="n"/>
      <c r="AE394" s="31">
        <f>IFERROR(TRIM(INDEX($A394:$Z394,MATCH(Settings!$L$4,$A$1:$Z$1,0))&amp;""),"")</f>
        <v/>
      </c>
      <c r="AF394" s="31">
        <f>IFERROR(TRIM(INDEX($A394:$Z394,MATCH(Settings!$L$5,$A$1:$Z$1,0))&amp;""),"")</f>
        <v/>
      </c>
      <c r="AG394" s="31">
        <f>IF(AE394="","",LOWER(IF(AF394&lt;&gt;"",AF394,AE394)))</f>
        <v/>
      </c>
      <c r="AH394" s="31">
        <f>IFERROR(TRIM(INDEX($A394:$Z394,MATCH(Settings!$L$6,$A$1:$Z$1,0))&amp;""),"")</f>
        <v/>
      </c>
      <c r="AI394" s="31">
        <f>IF(AE394="","",IF(UPPER(TRIM(AB394&amp;""))="Y","Paid another way",IF(IFERROR(TRIM(INDEX($A394:$Z394,MATCH(Settings!$L$7,$A$1:$Z$1,0))&amp;""),"")="","No payment status",IFERROR(TRIM(INDEX($A394:$Z394,MATCH(Settings!$L$7,$A$1:$Z$1,0))&amp;""),""))))</f>
        <v/>
      </c>
      <c r="AJ394" s="31">
        <f>IF(AE394="",0,IF(IFERROR(INDEX(Settings!$J$4:$J$14,MATCH(AI394,Settings!$I$4:$I$14,0)),"N")="Y",1,0))</f>
        <v/>
      </c>
      <c r="AK394" s="32">
        <f>IFERROR(INT(IFERROR(IF(ISNUMBER(INDEX($A394:$Z394,MATCH(Settings!$L$10,$A$1:$Z$1,0))),INDEX($A394:$Z394,MATCH(Settings!$L$10,$A$1:$Z$1,0)),DATE(VALUE(LEFT(IFERROR(TRIM(INDEX($A394:$Z394,MATCH(Settings!$L$10,$A$1:$Z$1,0))&amp;""),""),4)),VALUE(MID(IFERROR(TRIM(INDEX($A394:$Z394,MATCH(Settings!$L$10,$A$1:$Z$1,0))&amp;""),""),6,2)),VALUE(MID(IFERROR(TRIM(INDEX($A394:$Z394,MATCH(Settings!$L$10,$A$1:$Z$1,0))&amp;""),""),9,2)))+TIME(VALUE(MID(IFERROR(TRIM(INDEX($A394:$Z394,MATCH(Settings!$L$10,$A$1:$Z$1,0))&amp;""),""),12,2)),VALUE(MID(IFERROR(TRIM(INDEX($A394:$Z394,MATCH(Settings!$L$10,$A$1:$Z$1,0))&amp;""),""),15,2)),VALUE(MID(IFERROR(TRIM(INDEX($A394:$Z394,MATCH(Settings!$L$10,$A$1:$Z$1,0))&amp;""),""),18,2)))),"")),"")</f>
        <v/>
      </c>
      <c r="AL394" s="32">
        <f>IF(AE394="","",IF(ISNUMBER(AK394),AK394,IFERROR(INT(IFERROR(IF(ISNUMBER(INDEX($A394:$Z394,MATCH(Settings!$L$11,$A$1:$Z$1,0))),INDEX($A394:$Z394,MATCH(Settings!$L$11,$A$1:$Z$1,0)),DATE(VALUE(LEFT(IFERROR(TRIM(INDEX($A394:$Z394,MATCH(Settings!$L$11,$A$1:$Z$1,0))&amp;""),""),4)),VALUE(MID(IFERROR(TRIM(INDEX($A394:$Z394,MATCH(Settings!$L$11,$A$1:$Z$1,0))&amp;""),""),6,2)),VALUE(MID(IFERROR(TRIM(INDEX($A394:$Z394,MATCH(Settings!$L$11,$A$1:$Z$1,0))&amp;""),""),9,2)))+TIME(VALUE(MID(IFERROR(TRIM(INDEX($A394:$Z394,MATCH(Settings!$L$11,$A$1:$Z$1,0))&amp;""),""),12,2)),VALUE(MID(IFERROR(TRIM(INDEX($A394:$Z394,MATCH(Settings!$L$11,$A$1:$Z$1,0))&amp;""),""),15,2)),VALUE(MID(IFERROR(TRIM(INDEX($A394:$Z394,MATCH(Settings!$L$11,$A$1:$Z$1,0))&amp;""),""),18,2)))),"")),"")))</f>
        <v/>
      </c>
      <c r="AM394" s="31">
        <f>IF(AE394="","",IF(ISNUMBER(IFERROR(INDEX(Settings!$G$4:$G$11,MATCH(AH394,Settings!$F$4:$F$11,0)),"")),INDEX(Settings!$G$4:$G$11,MATCH(AH394,Settings!$F$4:$F$11,0)),Settings!$D$5))</f>
        <v/>
      </c>
      <c r="AN394" s="32">
        <f>IF(OR(AE394="",NOT(ISNUMBER(AL394)),NOT(ISNUMBER(AM394))),"",IF(AM394&lt;=0,"",IF(ISNUMBER(Settings!$D$8),DATE(YEAR(AL394)+IF(DATE(YEAR(AL394),MONTH(Settings!$D$8),DAY(Settings!$D$8))&gt;AL394,0,1),MONTH(Settings!$D$8),DAY(Settings!$D$8)),MIN(DATE(YEAR(AL394),MONTH(AL394)+AM394,DAY(AL394)),DATE(YEAR(AL394),MONTH(AL394)+AM394+1,0)))))</f>
        <v/>
      </c>
      <c r="AO394" s="31">
        <f>IF(ISNUMBER(AN394),AN394-Settings!$D$4,"")</f>
        <v/>
      </c>
      <c r="AP394" s="31">
        <f>IF(ISNUMBER(AL394),AL394+0+ROW()/100000,"")</f>
        <v/>
      </c>
      <c r="AQ394" s="31">
        <f>IF(OR(AG394="",NOT(ISNUMBER(AP394))),0,IF(SUMPRODUCT(('Responses'!$AG$2:$AG$501=AG394)*('Responses'!$AJ$2:$AJ$501=1)*ISNUMBER('Responses'!$AP$2:$AP$501)*('Responses'!$AP$2:$AP$501&gt;AP394)) + SUMPRODUCT(('Paper sign-ups'!$K$2:$K$101=AG394)*('Paper sign-ups'!$N$2:$N$101=1)*ISNUMBER('Paper sign-ups'!$T$2:$T$101)*('Paper sign-ups'!$T$2:$T$101&gt;AP394))&gt;0,1,0))</f>
        <v/>
      </c>
      <c r="AR394" s="31">
        <f>IF(AE394="","",IF(AQ394=1,"Joined again",IF(AJ394=0,"Unpaid",IF(NOT(ISNUMBER(AL394)),"Add a join date",IF(AN394="","No reminder",IF(AO394&lt;0,"Lapsed",IF(AO394&lt;=Settings!$D$6,"Remind soon","Current")))))))</f>
        <v/>
      </c>
      <c r="AS394" s="33">
        <f>IF(AJ394=1,IFERROR(VALUE(IFERROR(TRIM(INDEX($A394:$Z394,MATCH(Settings!$L$8,$A$1:$Z$1,0))&amp;""),"")),0)-IFERROR(VALUE(IFERROR(TRIM(INDEX($A394:$Z394,MATCH(Settings!$L$9,$A$1:$Z$1,0))&amp;""),"")),0),0)</f>
        <v/>
      </c>
      <c r="AT394" s="31">
        <f>IF(AND(AE394&lt;&gt;"",AQ394=0),1,0)</f>
        <v/>
      </c>
      <c r="AU394" s="31">
        <f>IF(AT394=0,"",IF(ISNUMBER(AN394),AN394,100000)+0+ROW()/1000000)</f>
        <v/>
      </c>
      <c r="AV394" s="31">
        <f>IF(ISNUMBER(AU394),SUMPRODUCT(ISNUMBER('Responses'!$AU$2:$AU$501)*('Responses'!$AU$2:$AU$501&lt;AU394)) + SUMPRODUCT(ISNUMBER('Paper sign-ups'!$Y$2:$Y$101)*('Paper sign-ups'!$Y$2:$Y$101&lt;AU394))+1,"")</f>
        <v/>
      </c>
    </row>
    <row r="395">
      <c r="AA395" s="29" t="n"/>
      <c r="AB395" s="30" t="n"/>
      <c r="AC395" s="30" t="n"/>
      <c r="AD395" s="29" t="n"/>
      <c r="AE395" s="31">
        <f>IFERROR(TRIM(INDEX($A395:$Z395,MATCH(Settings!$L$4,$A$1:$Z$1,0))&amp;""),"")</f>
        <v/>
      </c>
      <c r="AF395" s="31">
        <f>IFERROR(TRIM(INDEX($A395:$Z395,MATCH(Settings!$L$5,$A$1:$Z$1,0))&amp;""),"")</f>
        <v/>
      </c>
      <c r="AG395" s="31">
        <f>IF(AE395="","",LOWER(IF(AF395&lt;&gt;"",AF395,AE395)))</f>
        <v/>
      </c>
      <c r="AH395" s="31">
        <f>IFERROR(TRIM(INDEX($A395:$Z395,MATCH(Settings!$L$6,$A$1:$Z$1,0))&amp;""),"")</f>
        <v/>
      </c>
      <c r="AI395" s="31">
        <f>IF(AE395="","",IF(UPPER(TRIM(AB395&amp;""))="Y","Paid another way",IF(IFERROR(TRIM(INDEX($A395:$Z395,MATCH(Settings!$L$7,$A$1:$Z$1,0))&amp;""),"")="","No payment status",IFERROR(TRIM(INDEX($A395:$Z395,MATCH(Settings!$L$7,$A$1:$Z$1,0))&amp;""),""))))</f>
        <v/>
      </c>
      <c r="AJ395" s="31">
        <f>IF(AE395="",0,IF(IFERROR(INDEX(Settings!$J$4:$J$14,MATCH(AI395,Settings!$I$4:$I$14,0)),"N")="Y",1,0))</f>
        <v/>
      </c>
      <c r="AK395" s="32">
        <f>IFERROR(INT(IFERROR(IF(ISNUMBER(INDEX($A395:$Z395,MATCH(Settings!$L$10,$A$1:$Z$1,0))),INDEX($A395:$Z395,MATCH(Settings!$L$10,$A$1:$Z$1,0)),DATE(VALUE(LEFT(IFERROR(TRIM(INDEX($A395:$Z395,MATCH(Settings!$L$10,$A$1:$Z$1,0))&amp;""),""),4)),VALUE(MID(IFERROR(TRIM(INDEX($A395:$Z395,MATCH(Settings!$L$10,$A$1:$Z$1,0))&amp;""),""),6,2)),VALUE(MID(IFERROR(TRIM(INDEX($A395:$Z395,MATCH(Settings!$L$10,$A$1:$Z$1,0))&amp;""),""),9,2)))+TIME(VALUE(MID(IFERROR(TRIM(INDEX($A395:$Z395,MATCH(Settings!$L$10,$A$1:$Z$1,0))&amp;""),""),12,2)),VALUE(MID(IFERROR(TRIM(INDEX($A395:$Z395,MATCH(Settings!$L$10,$A$1:$Z$1,0))&amp;""),""),15,2)),VALUE(MID(IFERROR(TRIM(INDEX($A395:$Z395,MATCH(Settings!$L$10,$A$1:$Z$1,0))&amp;""),""),18,2)))),"")),"")</f>
        <v/>
      </c>
      <c r="AL395" s="32">
        <f>IF(AE395="","",IF(ISNUMBER(AK395),AK395,IFERROR(INT(IFERROR(IF(ISNUMBER(INDEX($A395:$Z395,MATCH(Settings!$L$11,$A$1:$Z$1,0))),INDEX($A395:$Z395,MATCH(Settings!$L$11,$A$1:$Z$1,0)),DATE(VALUE(LEFT(IFERROR(TRIM(INDEX($A395:$Z395,MATCH(Settings!$L$11,$A$1:$Z$1,0))&amp;""),""),4)),VALUE(MID(IFERROR(TRIM(INDEX($A395:$Z395,MATCH(Settings!$L$11,$A$1:$Z$1,0))&amp;""),""),6,2)),VALUE(MID(IFERROR(TRIM(INDEX($A395:$Z395,MATCH(Settings!$L$11,$A$1:$Z$1,0))&amp;""),""),9,2)))+TIME(VALUE(MID(IFERROR(TRIM(INDEX($A395:$Z395,MATCH(Settings!$L$11,$A$1:$Z$1,0))&amp;""),""),12,2)),VALUE(MID(IFERROR(TRIM(INDEX($A395:$Z395,MATCH(Settings!$L$11,$A$1:$Z$1,0))&amp;""),""),15,2)),VALUE(MID(IFERROR(TRIM(INDEX($A395:$Z395,MATCH(Settings!$L$11,$A$1:$Z$1,0))&amp;""),""),18,2)))),"")),"")))</f>
        <v/>
      </c>
      <c r="AM395" s="31">
        <f>IF(AE395="","",IF(ISNUMBER(IFERROR(INDEX(Settings!$G$4:$G$11,MATCH(AH395,Settings!$F$4:$F$11,0)),"")),INDEX(Settings!$G$4:$G$11,MATCH(AH395,Settings!$F$4:$F$11,0)),Settings!$D$5))</f>
        <v/>
      </c>
      <c r="AN395" s="32">
        <f>IF(OR(AE395="",NOT(ISNUMBER(AL395)),NOT(ISNUMBER(AM395))),"",IF(AM395&lt;=0,"",IF(ISNUMBER(Settings!$D$8),DATE(YEAR(AL395)+IF(DATE(YEAR(AL395),MONTH(Settings!$D$8),DAY(Settings!$D$8))&gt;AL395,0,1),MONTH(Settings!$D$8),DAY(Settings!$D$8)),MIN(DATE(YEAR(AL395),MONTH(AL395)+AM395,DAY(AL395)),DATE(YEAR(AL395),MONTH(AL395)+AM395+1,0)))))</f>
        <v/>
      </c>
      <c r="AO395" s="31">
        <f>IF(ISNUMBER(AN395),AN395-Settings!$D$4,"")</f>
        <v/>
      </c>
      <c r="AP395" s="31">
        <f>IF(ISNUMBER(AL395),AL395+0+ROW()/100000,"")</f>
        <v/>
      </c>
      <c r="AQ395" s="31">
        <f>IF(OR(AG395="",NOT(ISNUMBER(AP395))),0,IF(SUMPRODUCT(('Responses'!$AG$2:$AG$501=AG395)*('Responses'!$AJ$2:$AJ$501=1)*ISNUMBER('Responses'!$AP$2:$AP$501)*('Responses'!$AP$2:$AP$501&gt;AP395)) + SUMPRODUCT(('Paper sign-ups'!$K$2:$K$101=AG395)*('Paper sign-ups'!$N$2:$N$101=1)*ISNUMBER('Paper sign-ups'!$T$2:$T$101)*('Paper sign-ups'!$T$2:$T$101&gt;AP395))&gt;0,1,0))</f>
        <v/>
      </c>
      <c r="AR395" s="31">
        <f>IF(AE395="","",IF(AQ395=1,"Joined again",IF(AJ395=0,"Unpaid",IF(NOT(ISNUMBER(AL395)),"Add a join date",IF(AN395="","No reminder",IF(AO395&lt;0,"Lapsed",IF(AO395&lt;=Settings!$D$6,"Remind soon","Current")))))))</f>
        <v/>
      </c>
      <c r="AS395" s="33">
        <f>IF(AJ395=1,IFERROR(VALUE(IFERROR(TRIM(INDEX($A395:$Z395,MATCH(Settings!$L$8,$A$1:$Z$1,0))&amp;""),"")),0)-IFERROR(VALUE(IFERROR(TRIM(INDEX($A395:$Z395,MATCH(Settings!$L$9,$A$1:$Z$1,0))&amp;""),"")),0),0)</f>
        <v/>
      </c>
      <c r="AT395" s="31">
        <f>IF(AND(AE395&lt;&gt;"",AQ395=0),1,0)</f>
        <v/>
      </c>
      <c r="AU395" s="31">
        <f>IF(AT395=0,"",IF(ISNUMBER(AN395),AN395,100000)+0+ROW()/1000000)</f>
        <v/>
      </c>
      <c r="AV395" s="31">
        <f>IF(ISNUMBER(AU395),SUMPRODUCT(ISNUMBER('Responses'!$AU$2:$AU$501)*('Responses'!$AU$2:$AU$501&lt;AU395)) + SUMPRODUCT(ISNUMBER('Paper sign-ups'!$Y$2:$Y$101)*('Paper sign-ups'!$Y$2:$Y$101&lt;AU395))+1,"")</f>
        <v/>
      </c>
    </row>
    <row r="396">
      <c r="AA396" s="29" t="n"/>
      <c r="AB396" s="30" t="n"/>
      <c r="AC396" s="30" t="n"/>
      <c r="AD396" s="29" t="n"/>
      <c r="AE396" s="31">
        <f>IFERROR(TRIM(INDEX($A396:$Z396,MATCH(Settings!$L$4,$A$1:$Z$1,0))&amp;""),"")</f>
        <v/>
      </c>
      <c r="AF396" s="31">
        <f>IFERROR(TRIM(INDEX($A396:$Z396,MATCH(Settings!$L$5,$A$1:$Z$1,0))&amp;""),"")</f>
        <v/>
      </c>
      <c r="AG396" s="31">
        <f>IF(AE396="","",LOWER(IF(AF396&lt;&gt;"",AF396,AE396)))</f>
        <v/>
      </c>
      <c r="AH396" s="31">
        <f>IFERROR(TRIM(INDEX($A396:$Z396,MATCH(Settings!$L$6,$A$1:$Z$1,0))&amp;""),"")</f>
        <v/>
      </c>
      <c r="AI396" s="31">
        <f>IF(AE396="","",IF(UPPER(TRIM(AB396&amp;""))="Y","Paid another way",IF(IFERROR(TRIM(INDEX($A396:$Z396,MATCH(Settings!$L$7,$A$1:$Z$1,0))&amp;""),"")="","No payment status",IFERROR(TRIM(INDEX($A396:$Z396,MATCH(Settings!$L$7,$A$1:$Z$1,0))&amp;""),""))))</f>
        <v/>
      </c>
      <c r="AJ396" s="31">
        <f>IF(AE396="",0,IF(IFERROR(INDEX(Settings!$J$4:$J$14,MATCH(AI396,Settings!$I$4:$I$14,0)),"N")="Y",1,0))</f>
        <v/>
      </c>
      <c r="AK396" s="32">
        <f>IFERROR(INT(IFERROR(IF(ISNUMBER(INDEX($A396:$Z396,MATCH(Settings!$L$10,$A$1:$Z$1,0))),INDEX($A396:$Z396,MATCH(Settings!$L$10,$A$1:$Z$1,0)),DATE(VALUE(LEFT(IFERROR(TRIM(INDEX($A396:$Z396,MATCH(Settings!$L$10,$A$1:$Z$1,0))&amp;""),""),4)),VALUE(MID(IFERROR(TRIM(INDEX($A396:$Z396,MATCH(Settings!$L$10,$A$1:$Z$1,0))&amp;""),""),6,2)),VALUE(MID(IFERROR(TRIM(INDEX($A396:$Z396,MATCH(Settings!$L$10,$A$1:$Z$1,0))&amp;""),""),9,2)))+TIME(VALUE(MID(IFERROR(TRIM(INDEX($A396:$Z396,MATCH(Settings!$L$10,$A$1:$Z$1,0))&amp;""),""),12,2)),VALUE(MID(IFERROR(TRIM(INDEX($A396:$Z396,MATCH(Settings!$L$10,$A$1:$Z$1,0))&amp;""),""),15,2)),VALUE(MID(IFERROR(TRIM(INDEX($A396:$Z396,MATCH(Settings!$L$10,$A$1:$Z$1,0))&amp;""),""),18,2)))),"")),"")</f>
        <v/>
      </c>
      <c r="AL396" s="32">
        <f>IF(AE396="","",IF(ISNUMBER(AK396),AK396,IFERROR(INT(IFERROR(IF(ISNUMBER(INDEX($A396:$Z396,MATCH(Settings!$L$11,$A$1:$Z$1,0))),INDEX($A396:$Z396,MATCH(Settings!$L$11,$A$1:$Z$1,0)),DATE(VALUE(LEFT(IFERROR(TRIM(INDEX($A396:$Z396,MATCH(Settings!$L$11,$A$1:$Z$1,0))&amp;""),""),4)),VALUE(MID(IFERROR(TRIM(INDEX($A396:$Z396,MATCH(Settings!$L$11,$A$1:$Z$1,0))&amp;""),""),6,2)),VALUE(MID(IFERROR(TRIM(INDEX($A396:$Z396,MATCH(Settings!$L$11,$A$1:$Z$1,0))&amp;""),""),9,2)))+TIME(VALUE(MID(IFERROR(TRIM(INDEX($A396:$Z396,MATCH(Settings!$L$11,$A$1:$Z$1,0))&amp;""),""),12,2)),VALUE(MID(IFERROR(TRIM(INDEX($A396:$Z396,MATCH(Settings!$L$11,$A$1:$Z$1,0))&amp;""),""),15,2)),VALUE(MID(IFERROR(TRIM(INDEX($A396:$Z396,MATCH(Settings!$L$11,$A$1:$Z$1,0))&amp;""),""),18,2)))),"")),"")))</f>
        <v/>
      </c>
      <c r="AM396" s="31">
        <f>IF(AE396="","",IF(ISNUMBER(IFERROR(INDEX(Settings!$G$4:$G$11,MATCH(AH396,Settings!$F$4:$F$11,0)),"")),INDEX(Settings!$G$4:$G$11,MATCH(AH396,Settings!$F$4:$F$11,0)),Settings!$D$5))</f>
        <v/>
      </c>
      <c r="AN396" s="32">
        <f>IF(OR(AE396="",NOT(ISNUMBER(AL396)),NOT(ISNUMBER(AM396))),"",IF(AM396&lt;=0,"",IF(ISNUMBER(Settings!$D$8),DATE(YEAR(AL396)+IF(DATE(YEAR(AL396),MONTH(Settings!$D$8),DAY(Settings!$D$8))&gt;AL396,0,1),MONTH(Settings!$D$8),DAY(Settings!$D$8)),MIN(DATE(YEAR(AL396),MONTH(AL396)+AM396,DAY(AL396)),DATE(YEAR(AL396),MONTH(AL396)+AM396+1,0)))))</f>
        <v/>
      </c>
      <c r="AO396" s="31">
        <f>IF(ISNUMBER(AN396),AN396-Settings!$D$4,"")</f>
        <v/>
      </c>
      <c r="AP396" s="31">
        <f>IF(ISNUMBER(AL396),AL396+0+ROW()/100000,"")</f>
        <v/>
      </c>
      <c r="AQ396" s="31">
        <f>IF(OR(AG396="",NOT(ISNUMBER(AP396))),0,IF(SUMPRODUCT(('Responses'!$AG$2:$AG$501=AG396)*('Responses'!$AJ$2:$AJ$501=1)*ISNUMBER('Responses'!$AP$2:$AP$501)*('Responses'!$AP$2:$AP$501&gt;AP396)) + SUMPRODUCT(('Paper sign-ups'!$K$2:$K$101=AG396)*('Paper sign-ups'!$N$2:$N$101=1)*ISNUMBER('Paper sign-ups'!$T$2:$T$101)*('Paper sign-ups'!$T$2:$T$101&gt;AP396))&gt;0,1,0))</f>
        <v/>
      </c>
      <c r="AR396" s="31">
        <f>IF(AE396="","",IF(AQ396=1,"Joined again",IF(AJ396=0,"Unpaid",IF(NOT(ISNUMBER(AL396)),"Add a join date",IF(AN396="","No reminder",IF(AO396&lt;0,"Lapsed",IF(AO396&lt;=Settings!$D$6,"Remind soon","Current")))))))</f>
        <v/>
      </c>
      <c r="AS396" s="33">
        <f>IF(AJ396=1,IFERROR(VALUE(IFERROR(TRIM(INDEX($A396:$Z396,MATCH(Settings!$L$8,$A$1:$Z$1,0))&amp;""),"")),0)-IFERROR(VALUE(IFERROR(TRIM(INDEX($A396:$Z396,MATCH(Settings!$L$9,$A$1:$Z$1,0))&amp;""),"")),0),0)</f>
        <v/>
      </c>
      <c r="AT396" s="31">
        <f>IF(AND(AE396&lt;&gt;"",AQ396=0),1,0)</f>
        <v/>
      </c>
      <c r="AU396" s="31">
        <f>IF(AT396=0,"",IF(ISNUMBER(AN396),AN396,100000)+0+ROW()/1000000)</f>
        <v/>
      </c>
      <c r="AV396" s="31">
        <f>IF(ISNUMBER(AU396),SUMPRODUCT(ISNUMBER('Responses'!$AU$2:$AU$501)*('Responses'!$AU$2:$AU$501&lt;AU396)) + SUMPRODUCT(ISNUMBER('Paper sign-ups'!$Y$2:$Y$101)*('Paper sign-ups'!$Y$2:$Y$101&lt;AU396))+1,"")</f>
        <v/>
      </c>
    </row>
    <row r="397">
      <c r="AA397" s="29" t="n"/>
      <c r="AB397" s="30" t="n"/>
      <c r="AC397" s="30" t="n"/>
      <c r="AD397" s="29" t="n"/>
      <c r="AE397" s="31">
        <f>IFERROR(TRIM(INDEX($A397:$Z397,MATCH(Settings!$L$4,$A$1:$Z$1,0))&amp;""),"")</f>
        <v/>
      </c>
      <c r="AF397" s="31">
        <f>IFERROR(TRIM(INDEX($A397:$Z397,MATCH(Settings!$L$5,$A$1:$Z$1,0))&amp;""),"")</f>
        <v/>
      </c>
      <c r="AG397" s="31">
        <f>IF(AE397="","",LOWER(IF(AF397&lt;&gt;"",AF397,AE397)))</f>
        <v/>
      </c>
      <c r="AH397" s="31">
        <f>IFERROR(TRIM(INDEX($A397:$Z397,MATCH(Settings!$L$6,$A$1:$Z$1,0))&amp;""),"")</f>
        <v/>
      </c>
      <c r="AI397" s="31">
        <f>IF(AE397="","",IF(UPPER(TRIM(AB397&amp;""))="Y","Paid another way",IF(IFERROR(TRIM(INDEX($A397:$Z397,MATCH(Settings!$L$7,$A$1:$Z$1,0))&amp;""),"")="","No payment status",IFERROR(TRIM(INDEX($A397:$Z397,MATCH(Settings!$L$7,$A$1:$Z$1,0))&amp;""),""))))</f>
        <v/>
      </c>
      <c r="AJ397" s="31">
        <f>IF(AE397="",0,IF(IFERROR(INDEX(Settings!$J$4:$J$14,MATCH(AI397,Settings!$I$4:$I$14,0)),"N")="Y",1,0))</f>
        <v/>
      </c>
      <c r="AK397" s="32">
        <f>IFERROR(INT(IFERROR(IF(ISNUMBER(INDEX($A397:$Z397,MATCH(Settings!$L$10,$A$1:$Z$1,0))),INDEX($A397:$Z397,MATCH(Settings!$L$10,$A$1:$Z$1,0)),DATE(VALUE(LEFT(IFERROR(TRIM(INDEX($A397:$Z397,MATCH(Settings!$L$10,$A$1:$Z$1,0))&amp;""),""),4)),VALUE(MID(IFERROR(TRIM(INDEX($A397:$Z397,MATCH(Settings!$L$10,$A$1:$Z$1,0))&amp;""),""),6,2)),VALUE(MID(IFERROR(TRIM(INDEX($A397:$Z397,MATCH(Settings!$L$10,$A$1:$Z$1,0))&amp;""),""),9,2)))+TIME(VALUE(MID(IFERROR(TRIM(INDEX($A397:$Z397,MATCH(Settings!$L$10,$A$1:$Z$1,0))&amp;""),""),12,2)),VALUE(MID(IFERROR(TRIM(INDEX($A397:$Z397,MATCH(Settings!$L$10,$A$1:$Z$1,0))&amp;""),""),15,2)),VALUE(MID(IFERROR(TRIM(INDEX($A397:$Z397,MATCH(Settings!$L$10,$A$1:$Z$1,0))&amp;""),""),18,2)))),"")),"")</f>
        <v/>
      </c>
      <c r="AL397" s="32">
        <f>IF(AE397="","",IF(ISNUMBER(AK397),AK397,IFERROR(INT(IFERROR(IF(ISNUMBER(INDEX($A397:$Z397,MATCH(Settings!$L$11,$A$1:$Z$1,0))),INDEX($A397:$Z397,MATCH(Settings!$L$11,$A$1:$Z$1,0)),DATE(VALUE(LEFT(IFERROR(TRIM(INDEX($A397:$Z397,MATCH(Settings!$L$11,$A$1:$Z$1,0))&amp;""),""),4)),VALUE(MID(IFERROR(TRIM(INDEX($A397:$Z397,MATCH(Settings!$L$11,$A$1:$Z$1,0))&amp;""),""),6,2)),VALUE(MID(IFERROR(TRIM(INDEX($A397:$Z397,MATCH(Settings!$L$11,$A$1:$Z$1,0))&amp;""),""),9,2)))+TIME(VALUE(MID(IFERROR(TRIM(INDEX($A397:$Z397,MATCH(Settings!$L$11,$A$1:$Z$1,0))&amp;""),""),12,2)),VALUE(MID(IFERROR(TRIM(INDEX($A397:$Z397,MATCH(Settings!$L$11,$A$1:$Z$1,0))&amp;""),""),15,2)),VALUE(MID(IFERROR(TRIM(INDEX($A397:$Z397,MATCH(Settings!$L$11,$A$1:$Z$1,0))&amp;""),""),18,2)))),"")),"")))</f>
        <v/>
      </c>
      <c r="AM397" s="31">
        <f>IF(AE397="","",IF(ISNUMBER(IFERROR(INDEX(Settings!$G$4:$G$11,MATCH(AH397,Settings!$F$4:$F$11,0)),"")),INDEX(Settings!$G$4:$G$11,MATCH(AH397,Settings!$F$4:$F$11,0)),Settings!$D$5))</f>
        <v/>
      </c>
      <c r="AN397" s="32">
        <f>IF(OR(AE397="",NOT(ISNUMBER(AL397)),NOT(ISNUMBER(AM397))),"",IF(AM397&lt;=0,"",IF(ISNUMBER(Settings!$D$8),DATE(YEAR(AL397)+IF(DATE(YEAR(AL397),MONTH(Settings!$D$8),DAY(Settings!$D$8))&gt;AL397,0,1),MONTH(Settings!$D$8),DAY(Settings!$D$8)),MIN(DATE(YEAR(AL397),MONTH(AL397)+AM397,DAY(AL397)),DATE(YEAR(AL397),MONTH(AL397)+AM397+1,0)))))</f>
        <v/>
      </c>
      <c r="AO397" s="31">
        <f>IF(ISNUMBER(AN397),AN397-Settings!$D$4,"")</f>
        <v/>
      </c>
      <c r="AP397" s="31">
        <f>IF(ISNUMBER(AL397),AL397+0+ROW()/100000,"")</f>
        <v/>
      </c>
      <c r="AQ397" s="31">
        <f>IF(OR(AG397="",NOT(ISNUMBER(AP397))),0,IF(SUMPRODUCT(('Responses'!$AG$2:$AG$501=AG397)*('Responses'!$AJ$2:$AJ$501=1)*ISNUMBER('Responses'!$AP$2:$AP$501)*('Responses'!$AP$2:$AP$501&gt;AP397)) + SUMPRODUCT(('Paper sign-ups'!$K$2:$K$101=AG397)*('Paper sign-ups'!$N$2:$N$101=1)*ISNUMBER('Paper sign-ups'!$T$2:$T$101)*('Paper sign-ups'!$T$2:$T$101&gt;AP397))&gt;0,1,0))</f>
        <v/>
      </c>
      <c r="AR397" s="31">
        <f>IF(AE397="","",IF(AQ397=1,"Joined again",IF(AJ397=0,"Unpaid",IF(NOT(ISNUMBER(AL397)),"Add a join date",IF(AN397="","No reminder",IF(AO397&lt;0,"Lapsed",IF(AO397&lt;=Settings!$D$6,"Remind soon","Current")))))))</f>
        <v/>
      </c>
      <c r="AS397" s="33">
        <f>IF(AJ397=1,IFERROR(VALUE(IFERROR(TRIM(INDEX($A397:$Z397,MATCH(Settings!$L$8,$A$1:$Z$1,0))&amp;""),"")),0)-IFERROR(VALUE(IFERROR(TRIM(INDEX($A397:$Z397,MATCH(Settings!$L$9,$A$1:$Z$1,0))&amp;""),"")),0),0)</f>
        <v/>
      </c>
      <c r="AT397" s="31">
        <f>IF(AND(AE397&lt;&gt;"",AQ397=0),1,0)</f>
        <v/>
      </c>
      <c r="AU397" s="31">
        <f>IF(AT397=0,"",IF(ISNUMBER(AN397),AN397,100000)+0+ROW()/1000000)</f>
        <v/>
      </c>
      <c r="AV397" s="31">
        <f>IF(ISNUMBER(AU397),SUMPRODUCT(ISNUMBER('Responses'!$AU$2:$AU$501)*('Responses'!$AU$2:$AU$501&lt;AU397)) + SUMPRODUCT(ISNUMBER('Paper sign-ups'!$Y$2:$Y$101)*('Paper sign-ups'!$Y$2:$Y$101&lt;AU397))+1,"")</f>
        <v/>
      </c>
    </row>
    <row r="398">
      <c r="AA398" s="29" t="n"/>
      <c r="AB398" s="30" t="n"/>
      <c r="AC398" s="30" t="n"/>
      <c r="AD398" s="29" t="n"/>
      <c r="AE398" s="31">
        <f>IFERROR(TRIM(INDEX($A398:$Z398,MATCH(Settings!$L$4,$A$1:$Z$1,0))&amp;""),"")</f>
        <v/>
      </c>
      <c r="AF398" s="31">
        <f>IFERROR(TRIM(INDEX($A398:$Z398,MATCH(Settings!$L$5,$A$1:$Z$1,0))&amp;""),"")</f>
        <v/>
      </c>
      <c r="AG398" s="31">
        <f>IF(AE398="","",LOWER(IF(AF398&lt;&gt;"",AF398,AE398)))</f>
        <v/>
      </c>
      <c r="AH398" s="31">
        <f>IFERROR(TRIM(INDEX($A398:$Z398,MATCH(Settings!$L$6,$A$1:$Z$1,0))&amp;""),"")</f>
        <v/>
      </c>
      <c r="AI398" s="31">
        <f>IF(AE398="","",IF(UPPER(TRIM(AB398&amp;""))="Y","Paid another way",IF(IFERROR(TRIM(INDEX($A398:$Z398,MATCH(Settings!$L$7,$A$1:$Z$1,0))&amp;""),"")="","No payment status",IFERROR(TRIM(INDEX($A398:$Z398,MATCH(Settings!$L$7,$A$1:$Z$1,0))&amp;""),""))))</f>
        <v/>
      </c>
      <c r="AJ398" s="31">
        <f>IF(AE398="",0,IF(IFERROR(INDEX(Settings!$J$4:$J$14,MATCH(AI398,Settings!$I$4:$I$14,0)),"N")="Y",1,0))</f>
        <v/>
      </c>
      <c r="AK398" s="32">
        <f>IFERROR(INT(IFERROR(IF(ISNUMBER(INDEX($A398:$Z398,MATCH(Settings!$L$10,$A$1:$Z$1,0))),INDEX($A398:$Z398,MATCH(Settings!$L$10,$A$1:$Z$1,0)),DATE(VALUE(LEFT(IFERROR(TRIM(INDEX($A398:$Z398,MATCH(Settings!$L$10,$A$1:$Z$1,0))&amp;""),""),4)),VALUE(MID(IFERROR(TRIM(INDEX($A398:$Z398,MATCH(Settings!$L$10,$A$1:$Z$1,0))&amp;""),""),6,2)),VALUE(MID(IFERROR(TRIM(INDEX($A398:$Z398,MATCH(Settings!$L$10,$A$1:$Z$1,0))&amp;""),""),9,2)))+TIME(VALUE(MID(IFERROR(TRIM(INDEX($A398:$Z398,MATCH(Settings!$L$10,$A$1:$Z$1,0))&amp;""),""),12,2)),VALUE(MID(IFERROR(TRIM(INDEX($A398:$Z398,MATCH(Settings!$L$10,$A$1:$Z$1,0))&amp;""),""),15,2)),VALUE(MID(IFERROR(TRIM(INDEX($A398:$Z398,MATCH(Settings!$L$10,$A$1:$Z$1,0))&amp;""),""),18,2)))),"")),"")</f>
        <v/>
      </c>
      <c r="AL398" s="32">
        <f>IF(AE398="","",IF(ISNUMBER(AK398),AK398,IFERROR(INT(IFERROR(IF(ISNUMBER(INDEX($A398:$Z398,MATCH(Settings!$L$11,$A$1:$Z$1,0))),INDEX($A398:$Z398,MATCH(Settings!$L$11,$A$1:$Z$1,0)),DATE(VALUE(LEFT(IFERROR(TRIM(INDEX($A398:$Z398,MATCH(Settings!$L$11,$A$1:$Z$1,0))&amp;""),""),4)),VALUE(MID(IFERROR(TRIM(INDEX($A398:$Z398,MATCH(Settings!$L$11,$A$1:$Z$1,0))&amp;""),""),6,2)),VALUE(MID(IFERROR(TRIM(INDEX($A398:$Z398,MATCH(Settings!$L$11,$A$1:$Z$1,0))&amp;""),""),9,2)))+TIME(VALUE(MID(IFERROR(TRIM(INDEX($A398:$Z398,MATCH(Settings!$L$11,$A$1:$Z$1,0))&amp;""),""),12,2)),VALUE(MID(IFERROR(TRIM(INDEX($A398:$Z398,MATCH(Settings!$L$11,$A$1:$Z$1,0))&amp;""),""),15,2)),VALUE(MID(IFERROR(TRIM(INDEX($A398:$Z398,MATCH(Settings!$L$11,$A$1:$Z$1,0))&amp;""),""),18,2)))),"")),"")))</f>
        <v/>
      </c>
      <c r="AM398" s="31">
        <f>IF(AE398="","",IF(ISNUMBER(IFERROR(INDEX(Settings!$G$4:$G$11,MATCH(AH398,Settings!$F$4:$F$11,0)),"")),INDEX(Settings!$G$4:$G$11,MATCH(AH398,Settings!$F$4:$F$11,0)),Settings!$D$5))</f>
        <v/>
      </c>
      <c r="AN398" s="32">
        <f>IF(OR(AE398="",NOT(ISNUMBER(AL398)),NOT(ISNUMBER(AM398))),"",IF(AM398&lt;=0,"",IF(ISNUMBER(Settings!$D$8),DATE(YEAR(AL398)+IF(DATE(YEAR(AL398),MONTH(Settings!$D$8),DAY(Settings!$D$8))&gt;AL398,0,1),MONTH(Settings!$D$8),DAY(Settings!$D$8)),MIN(DATE(YEAR(AL398),MONTH(AL398)+AM398,DAY(AL398)),DATE(YEAR(AL398),MONTH(AL398)+AM398+1,0)))))</f>
        <v/>
      </c>
      <c r="AO398" s="31">
        <f>IF(ISNUMBER(AN398),AN398-Settings!$D$4,"")</f>
        <v/>
      </c>
      <c r="AP398" s="31">
        <f>IF(ISNUMBER(AL398),AL398+0+ROW()/100000,"")</f>
        <v/>
      </c>
      <c r="AQ398" s="31">
        <f>IF(OR(AG398="",NOT(ISNUMBER(AP398))),0,IF(SUMPRODUCT(('Responses'!$AG$2:$AG$501=AG398)*('Responses'!$AJ$2:$AJ$501=1)*ISNUMBER('Responses'!$AP$2:$AP$501)*('Responses'!$AP$2:$AP$501&gt;AP398)) + SUMPRODUCT(('Paper sign-ups'!$K$2:$K$101=AG398)*('Paper sign-ups'!$N$2:$N$101=1)*ISNUMBER('Paper sign-ups'!$T$2:$T$101)*('Paper sign-ups'!$T$2:$T$101&gt;AP398))&gt;0,1,0))</f>
        <v/>
      </c>
      <c r="AR398" s="31">
        <f>IF(AE398="","",IF(AQ398=1,"Joined again",IF(AJ398=0,"Unpaid",IF(NOT(ISNUMBER(AL398)),"Add a join date",IF(AN398="","No reminder",IF(AO398&lt;0,"Lapsed",IF(AO398&lt;=Settings!$D$6,"Remind soon","Current")))))))</f>
        <v/>
      </c>
      <c r="AS398" s="33">
        <f>IF(AJ398=1,IFERROR(VALUE(IFERROR(TRIM(INDEX($A398:$Z398,MATCH(Settings!$L$8,$A$1:$Z$1,0))&amp;""),"")),0)-IFERROR(VALUE(IFERROR(TRIM(INDEX($A398:$Z398,MATCH(Settings!$L$9,$A$1:$Z$1,0))&amp;""),"")),0),0)</f>
        <v/>
      </c>
      <c r="AT398" s="31">
        <f>IF(AND(AE398&lt;&gt;"",AQ398=0),1,0)</f>
        <v/>
      </c>
      <c r="AU398" s="31">
        <f>IF(AT398=0,"",IF(ISNUMBER(AN398),AN398,100000)+0+ROW()/1000000)</f>
        <v/>
      </c>
      <c r="AV398" s="31">
        <f>IF(ISNUMBER(AU398),SUMPRODUCT(ISNUMBER('Responses'!$AU$2:$AU$501)*('Responses'!$AU$2:$AU$501&lt;AU398)) + SUMPRODUCT(ISNUMBER('Paper sign-ups'!$Y$2:$Y$101)*('Paper sign-ups'!$Y$2:$Y$101&lt;AU398))+1,"")</f>
        <v/>
      </c>
    </row>
    <row r="399">
      <c r="AA399" s="29" t="n"/>
      <c r="AB399" s="30" t="n"/>
      <c r="AC399" s="30" t="n"/>
      <c r="AD399" s="29" t="n"/>
      <c r="AE399" s="31">
        <f>IFERROR(TRIM(INDEX($A399:$Z399,MATCH(Settings!$L$4,$A$1:$Z$1,0))&amp;""),"")</f>
        <v/>
      </c>
      <c r="AF399" s="31">
        <f>IFERROR(TRIM(INDEX($A399:$Z399,MATCH(Settings!$L$5,$A$1:$Z$1,0))&amp;""),"")</f>
        <v/>
      </c>
      <c r="AG399" s="31">
        <f>IF(AE399="","",LOWER(IF(AF399&lt;&gt;"",AF399,AE399)))</f>
        <v/>
      </c>
      <c r="AH399" s="31">
        <f>IFERROR(TRIM(INDEX($A399:$Z399,MATCH(Settings!$L$6,$A$1:$Z$1,0))&amp;""),"")</f>
        <v/>
      </c>
      <c r="AI399" s="31">
        <f>IF(AE399="","",IF(UPPER(TRIM(AB399&amp;""))="Y","Paid another way",IF(IFERROR(TRIM(INDEX($A399:$Z399,MATCH(Settings!$L$7,$A$1:$Z$1,0))&amp;""),"")="","No payment status",IFERROR(TRIM(INDEX($A399:$Z399,MATCH(Settings!$L$7,$A$1:$Z$1,0))&amp;""),""))))</f>
        <v/>
      </c>
      <c r="AJ399" s="31">
        <f>IF(AE399="",0,IF(IFERROR(INDEX(Settings!$J$4:$J$14,MATCH(AI399,Settings!$I$4:$I$14,0)),"N")="Y",1,0))</f>
        <v/>
      </c>
      <c r="AK399" s="32">
        <f>IFERROR(INT(IFERROR(IF(ISNUMBER(INDEX($A399:$Z399,MATCH(Settings!$L$10,$A$1:$Z$1,0))),INDEX($A399:$Z399,MATCH(Settings!$L$10,$A$1:$Z$1,0)),DATE(VALUE(LEFT(IFERROR(TRIM(INDEX($A399:$Z399,MATCH(Settings!$L$10,$A$1:$Z$1,0))&amp;""),""),4)),VALUE(MID(IFERROR(TRIM(INDEX($A399:$Z399,MATCH(Settings!$L$10,$A$1:$Z$1,0))&amp;""),""),6,2)),VALUE(MID(IFERROR(TRIM(INDEX($A399:$Z399,MATCH(Settings!$L$10,$A$1:$Z$1,0))&amp;""),""),9,2)))+TIME(VALUE(MID(IFERROR(TRIM(INDEX($A399:$Z399,MATCH(Settings!$L$10,$A$1:$Z$1,0))&amp;""),""),12,2)),VALUE(MID(IFERROR(TRIM(INDEX($A399:$Z399,MATCH(Settings!$L$10,$A$1:$Z$1,0))&amp;""),""),15,2)),VALUE(MID(IFERROR(TRIM(INDEX($A399:$Z399,MATCH(Settings!$L$10,$A$1:$Z$1,0))&amp;""),""),18,2)))),"")),"")</f>
        <v/>
      </c>
      <c r="AL399" s="32">
        <f>IF(AE399="","",IF(ISNUMBER(AK399),AK399,IFERROR(INT(IFERROR(IF(ISNUMBER(INDEX($A399:$Z399,MATCH(Settings!$L$11,$A$1:$Z$1,0))),INDEX($A399:$Z399,MATCH(Settings!$L$11,$A$1:$Z$1,0)),DATE(VALUE(LEFT(IFERROR(TRIM(INDEX($A399:$Z399,MATCH(Settings!$L$11,$A$1:$Z$1,0))&amp;""),""),4)),VALUE(MID(IFERROR(TRIM(INDEX($A399:$Z399,MATCH(Settings!$L$11,$A$1:$Z$1,0))&amp;""),""),6,2)),VALUE(MID(IFERROR(TRIM(INDEX($A399:$Z399,MATCH(Settings!$L$11,$A$1:$Z$1,0))&amp;""),""),9,2)))+TIME(VALUE(MID(IFERROR(TRIM(INDEX($A399:$Z399,MATCH(Settings!$L$11,$A$1:$Z$1,0))&amp;""),""),12,2)),VALUE(MID(IFERROR(TRIM(INDEX($A399:$Z399,MATCH(Settings!$L$11,$A$1:$Z$1,0))&amp;""),""),15,2)),VALUE(MID(IFERROR(TRIM(INDEX($A399:$Z399,MATCH(Settings!$L$11,$A$1:$Z$1,0))&amp;""),""),18,2)))),"")),"")))</f>
        <v/>
      </c>
      <c r="AM399" s="31">
        <f>IF(AE399="","",IF(ISNUMBER(IFERROR(INDEX(Settings!$G$4:$G$11,MATCH(AH399,Settings!$F$4:$F$11,0)),"")),INDEX(Settings!$G$4:$G$11,MATCH(AH399,Settings!$F$4:$F$11,0)),Settings!$D$5))</f>
        <v/>
      </c>
      <c r="AN399" s="32">
        <f>IF(OR(AE399="",NOT(ISNUMBER(AL399)),NOT(ISNUMBER(AM399))),"",IF(AM399&lt;=0,"",IF(ISNUMBER(Settings!$D$8),DATE(YEAR(AL399)+IF(DATE(YEAR(AL399),MONTH(Settings!$D$8),DAY(Settings!$D$8))&gt;AL399,0,1),MONTH(Settings!$D$8),DAY(Settings!$D$8)),MIN(DATE(YEAR(AL399),MONTH(AL399)+AM399,DAY(AL399)),DATE(YEAR(AL399),MONTH(AL399)+AM399+1,0)))))</f>
        <v/>
      </c>
      <c r="AO399" s="31">
        <f>IF(ISNUMBER(AN399),AN399-Settings!$D$4,"")</f>
        <v/>
      </c>
      <c r="AP399" s="31">
        <f>IF(ISNUMBER(AL399),AL399+0+ROW()/100000,"")</f>
        <v/>
      </c>
      <c r="AQ399" s="31">
        <f>IF(OR(AG399="",NOT(ISNUMBER(AP399))),0,IF(SUMPRODUCT(('Responses'!$AG$2:$AG$501=AG399)*('Responses'!$AJ$2:$AJ$501=1)*ISNUMBER('Responses'!$AP$2:$AP$501)*('Responses'!$AP$2:$AP$501&gt;AP399)) + SUMPRODUCT(('Paper sign-ups'!$K$2:$K$101=AG399)*('Paper sign-ups'!$N$2:$N$101=1)*ISNUMBER('Paper sign-ups'!$T$2:$T$101)*('Paper sign-ups'!$T$2:$T$101&gt;AP399))&gt;0,1,0))</f>
        <v/>
      </c>
      <c r="AR399" s="31">
        <f>IF(AE399="","",IF(AQ399=1,"Joined again",IF(AJ399=0,"Unpaid",IF(NOT(ISNUMBER(AL399)),"Add a join date",IF(AN399="","No reminder",IF(AO399&lt;0,"Lapsed",IF(AO399&lt;=Settings!$D$6,"Remind soon","Current")))))))</f>
        <v/>
      </c>
      <c r="AS399" s="33">
        <f>IF(AJ399=1,IFERROR(VALUE(IFERROR(TRIM(INDEX($A399:$Z399,MATCH(Settings!$L$8,$A$1:$Z$1,0))&amp;""),"")),0)-IFERROR(VALUE(IFERROR(TRIM(INDEX($A399:$Z399,MATCH(Settings!$L$9,$A$1:$Z$1,0))&amp;""),"")),0),0)</f>
        <v/>
      </c>
      <c r="AT399" s="31">
        <f>IF(AND(AE399&lt;&gt;"",AQ399=0),1,0)</f>
        <v/>
      </c>
      <c r="AU399" s="31">
        <f>IF(AT399=0,"",IF(ISNUMBER(AN399),AN399,100000)+0+ROW()/1000000)</f>
        <v/>
      </c>
      <c r="AV399" s="31">
        <f>IF(ISNUMBER(AU399),SUMPRODUCT(ISNUMBER('Responses'!$AU$2:$AU$501)*('Responses'!$AU$2:$AU$501&lt;AU399)) + SUMPRODUCT(ISNUMBER('Paper sign-ups'!$Y$2:$Y$101)*('Paper sign-ups'!$Y$2:$Y$101&lt;AU399))+1,"")</f>
        <v/>
      </c>
    </row>
    <row r="400">
      <c r="AA400" s="29" t="n"/>
      <c r="AB400" s="30" t="n"/>
      <c r="AC400" s="30" t="n"/>
      <c r="AD400" s="29" t="n"/>
      <c r="AE400" s="31">
        <f>IFERROR(TRIM(INDEX($A400:$Z400,MATCH(Settings!$L$4,$A$1:$Z$1,0))&amp;""),"")</f>
        <v/>
      </c>
      <c r="AF400" s="31">
        <f>IFERROR(TRIM(INDEX($A400:$Z400,MATCH(Settings!$L$5,$A$1:$Z$1,0))&amp;""),"")</f>
        <v/>
      </c>
      <c r="AG400" s="31">
        <f>IF(AE400="","",LOWER(IF(AF400&lt;&gt;"",AF400,AE400)))</f>
        <v/>
      </c>
      <c r="AH400" s="31">
        <f>IFERROR(TRIM(INDEX($A400:$Z400,MATCH(Settings!$L$6,$A$1:$Z$1,0))&amp;""),"")</f>
        <v/>
      </c>
      <c r="AI400" s="31">
        <f>IF(AE400="","",IF(UPPER(TRIM(AB400&amp;""))="Y","Paid another way",IF(IFERROR(TRIM(INDEX($A400:$Z400,MATCH(Settings!$L$7,$A$1:$Z$1,0))&amp;""),"")="","No payment status",IFERROR(TRIM(INDEX($A400:$Z400,MATCH(Settings!$L$7,$A$1:$Z$1,0))&amp;""),""))))</f>
        <v/>
      </c>
      <c r="AJ400" s="31">
        <f>IF(AE400="",0,IF(IFERROR(INDEX(Settings!$J$4:$J$14,MATCH(AI400,Settings!$I$4:$I$14,0)),"N")="Y",1,0))</f>
        <v/>
      </c>
      <c r="AK400" s="32">
        <f>IFERROR(INT(IFERROR(IF(ISNUMBER(INDEX($A400:$Z400,MATCH(Settings!$L$10,$A$1:$Z$1,0))),INDEX($A400:$Z400,MATCH(Settings!$L$10,$A$1:$Z$1,0)),DATE(VALUE(LEFT(IFERROR(TRIM(INDEX($A400:$Z400,MATCH(Settings!$L$10,$A$1:$Z$1,0))&amp;""),""),4)),VALUE(MID(IFERROR(TRIM(INDEX($A400:$Z400,MATCH(Settings!$L$10,$A$1:$Z$1,0))&amp;""),""),6,2)),VALUE(MID(IFERROR(TRIM(INDEX($A400:$Z400,MATCH(Settings!$L$10,$A$1:$Z$1,0))&amp;""),""),9,2)))+TIME(VALUE(MID(IFERROR(TRIM(INDEX($A400:$Z400,MATCH(Settings!$L$10,$A$1:$Z$1,0))&amp;""),""),12,2)),VALUE(MID(IFERROR(TRIM(INDEX($A400:$Z400,MATCH(Settings!$L$10,$A$1:$Z$1,0))&amp;""),""),15,2)),VALUE(MID(IFERROR(TRIM(INDEX($A400:$Z400,MATCH(Settings!$L$10,$A$1:$Z$1,0))&amp;""),""),18,2)))),"")),"")</f>
        <v/>
      </c>
      <c r="AL400" s="32">
        <f>IF(AE400="","",IF(ISNUMBER(AK400),AK400,IFERROR(INT(IFERROR(IF(ISNUMBER(INDEX($A400:$Z400,MATCH(Settings!$L$11,$A$1:$Z$1,0))),INDEX($A400:$Z400,MATCH(Settings!$L$11,$A$1:$Z$1,0)),DATE(VALUE(LEFT(IFERROR(TRIM(INDEX($A400:$Z400,MATCH(Settings!$L$11,$A$1:$Z$1,0))&amp;""),""),4)),VALUE(MID(IFERROR(TRIM(INDEX($A400:$Z400,MATCH(Settings!$L$11,$A$1:$Z$1,0))&amp;""),""),6,2)),VALUE(MID(IFERROR(TRIM(INDEX($A400:$Z400,MATCH(Settings!$L$11,$A$1:$Z$1,0))&amp;""),""),9,2)))+TIME(VALUE(MID(IFERROR(TRIM(INDEX($A400:$Z400,MATCH(Settings!$L$11,$A$1:$Z$1,0))&amp;""),""),12,2)),VALUE(MID(IFERROR(TRIM(INDEX($A400:$Z400,MATCH(Settings!$L$11,$A$1:$Z$1,0))&amp;""),""),15,2)),VALUE(MID(IFERROR(TRIM(INDEX($A400:$Z400,MATCH(Settings!$L$11,$A$1:$Z$1,0))&amp;""),""),18,2)))),"")),"")))</f>
        <v/>
      </c>
      <c r="AM400" s="31">
        <f>IF(AE400="","",IF(ISNUMBER(IFERROR(INDEX(Settings!$G$4:$G$11,MATCH(AH400,Settings!$F$4:$F$11,0)),"")),INDEX(Settings!$G$4:$G$11,MATCH(AH400,Settings!$F$4:$F$11,0)),Settings!$D$5))</f>
        <v/>
      </c>
      <c r="AN400" s="32">
        <f>IF(OR(AE400="",NOT(ISNUMBER(AL400)),NOT(ISNUMBER(AM400))),"",IF(AM400&lt;=0,"",IF(ISNUMBER(Settings!$D$8),DATE(YEAR(AL400)+IF(DATE(YEAR(AL400),MONTH(Settings!$D$8),DAY(Settings!$D$8))&gt;AL400,0,1),MONTH(Settings!$D$8),DAY(Settings!$D$8)),MIN(DATE(YEAR(AL400),MONTH(AL400)+AM400,DAY(AL400)),DATE(YEAR(AL400),MONTH(AL400)+AM400+1,0)))))</f>
        <v/>
      </c>
      <c r="AO400" s="31">
        <f>IF(ISNUMBER(AN400),AN400-Settings!$D$4,"")</f>
        <v/>
      </c>
      <c r="AP400" s="31">
        <f>IF(ISNUMBER(AL400),AL400+0+ROW()/100000,"")</f>
        <v/>
      </c>
      <c r="AQ400" s="31">
        <f>IF(OR(AG400="",NOT(ISNUMBER(AP400))),0,IF(SUMPRODUCT(('Responses'!$AG$2:$AG$501=AG400)*('Responses'!$AJ$2:$AJ$501=1)*ISNUMBER('Responses'!$AP$2:$AP$501)*('Responses'!$AP$2:$AP$501&gt;AP400)) + SUMPRODUCT(('Paper sign-ups'!$K$2:$K$101=AG400)*('Paper sign-ups'!$N$2:$N$101=1)*ISNUMBER('Paper sign-ups'!$T$2:$T$101)*('Paper sign-ups'!$T$2:$T$101&gt;AP400))&gt;0,1,0))</f>
        <v/>
      </c>
      <c r="AR400" s="31">
        <f>IF(AE400="","",IF(AQ400=1,"Joined again",IF(AJ400=0,"Unpaid",IF(NOT(ISNUMBER(AL400)),"Add a join date",IF(AN400="","No reminder",IF(AO400&lt;0,"Lapsed",IF(AO400&lt;=Settings!$D$6,"Remind soon","Current")))))))</f>
        <v/>
      </c>
      <c r="AS400" s="33">
        <f>IF(AJ400=1,IFERROR(VALUE(IFERROR(TRIM(INDEX($A400:$Z400,MATCH(Settings!$L$8,$A$1:$Z$1,0))&amp;""),"")),0)-IFERROR(VALUE(IFERROR(TRIM(INDEX($A400:$Z400,MATCH(Settings!$L$9,$A$1:$Z$1,0))&amp;""),"")),0),0)</f>
        <v/>
      </c>
      <c r="AT400" s="31">
        <f>IF(AND(AE400&lt;&gt;"",AQ400=0),1,0)</f>
        <v/>
      </c>
      <c r="AU400" s="31">
        <f>IF(AT400=0,"",IF(ISNUMBER(AN400),AN400,100000)+0+ROW()/1000000)</f>
        <v/>
      </c>
      <c r="AV400" s="31">
        <f>IF(ISNUMBER(AU400),SUMPRODUCT(ISNUMBER('Responses'!$AU$2:$AU$501)*('Responses'!$AU$2:$AU$501&lt;AU400)) + SUMPRODUCT(ISNUMBER('Paper sign-ups'!$Y$2:$Y$101)*('Paper sign-ups'!$Y$2:$Y$101&lt;AU400))+1,"")</f>
        <v/>
      </c>
    </row>
    <row r="401">
      <c r="AA401" s="29" t="n"/>
      <c r="AB401" s="30" t="n"/>
      <c r="AC401" s="30" t="n"/>
      <c r="AD401" s="29" t="n"/>
      <c r="AE401" s="31">
        <f>IFERROR(TRIM(INDEX($A401:$Z401,MATCH(Settings!$L$4,$A$1:$Z$1,0))&amp;""),"")</f>
        <v/>
      </c>
      <c r="AF401" s="31">
        <f>IFERROR(TRIM(INDEX($A401:$Z401,MATCH(Settings!$L$5,$A$1:$Z$1,0))&amp;""),"")</f>
        <v/>
      </c>
      <c r="AG401" s="31">
        <f>IF(AE401="","",LOWER(IF(AF401&lt;&gt;"",AF401,AE401)))</f>
        <v/>
      </c>
      <c r="AH401" s="31">
        <f>IFERROR(TRIM(INDEX($A401:$Z401,MATCH(Settings!$L$6,$A$1:$Z$1,0))&amp;""),"")</f>
        <v/>
      </c>
      <c r="AI401" s="31">
        <f>IF(AE401="","",IF(UPPER(TRIM(AB401&amp;""))="Y","Paid another way",IF(IFERROR(TRIM(INDEX($A401:$Z401,MATCH(Settings!$L$7,$A$1:$Z$1,0))&amp;""),"")="","No payment status",IFERROR(TRIM(INDEX($A401:$Z401,MATCH(Settings!$L$7,$A$1:$Z$1,0))&amp;""),""))))</f>
        <v/>
      </c>
      <c r="AJ401" s="31">
        <f>IF(AE401="",0,IF(IFERROR(INDEX(Settings!$J$4:$J$14,MATCH(AI401,Settings!$I$4:$I$14,0)),"N")="Y",1,0))</f>
        <v/>
      </c>
      <c r="AK401" s="32">
        <f>IFERROR(INT(IFERROR(IF(ISNUMBER(INDEX($A401:$Z401,MATCH(Settings!$L$10,$A$1:$Z$1,0))),INDEX($A401:$Z401,MATCH(Settings!$L$10,$A$1:$Z$1,0)),DATE(VALUE(LEFT(IFERROR(TRIM(INDEX($A401:$Z401,MATCH(Settings!$L$10,$A$1:$Z$1,0))&amp;""),""),4)),VALUE(MID(IFERROR(TRIM(INDEX($A401:$Z401,MATCH(Settings!$L$10,$A$1:$Z$1,0))&amp;""),""),6,2)),VALUE(MID(IFERROR(TRIM(INDEX($A401:$Z401,MATCH(Settings!$L$10,$A$1:$Z$1,0))&amp;""),""),9,2)))+TIME(VALUE(MID(IFERROR(TRIM(INDEX($A401:$Z401,MATCH(Settings!$L$10,$A$1:$Z$1,0))&amp;""),""),12,2)),VALUE(MID(IFERROR(TRIM(INDEX($A401:$Z401,MATCH(Settings!$L$10,$A$1:$Z$1,0))&amp;""),""),15,2)),VALUE(MID(IFERROR(TRIM(INDEX($A401:$Z401,MATCH(Settings!$L$10,$A$1:$Z$1,0))&amp;""),""),18,2)))),"")),"")</f>
        <v/>
      </c>
      <c r="AL401" s="32">
        <f>IF(AE401="","",IF(ISNUMBER(AK401),AK401,IFERROR(INT(IFERROR(IF(ISNUMBER(INDEX($A401:$Z401,MATCH(Settings!$L$11,$A$1:$Z$1,0))),INDEX($A401:$Z401,MATCH(Settings!$L$11,$A$1:$Z$1,0)),DATE(VALUE(LEFT(IFERROR(TRIM(INDEX($A401:$Z401,MATCH(Settings!$L$11,$A$1:$Z$1,0))&amp;""),""),4)),VALUE(MID(IFERROR(TRIM(INDEX($A401:$Z401,MATCH(Settings!$L$11,$A$1:$Z$1,0))&amp;""),""),6,2)),VALUE(MID(IFERROR(TRIM(INDEX($A401:$Z401,MATCH(Settings!$L$11,$A$1:$Z$1,0))&amp;""),""),9,2)))+TIME(VALUE(MID(IFERROR(TRIM(INDEX($A401:$Z401,MATCH(Settings!$L$11,$A$1:$Z$1,0))&amp;""),""),12,2)),VALUE(MID(IFERROR(TRIM(INDEX($A401:$Z401,MATCH(Settings!$L$11,$A$1:$Z$1,0))&amp;""),""),15,2)),VALUE(MID(IFERROR(TRIM(INDEX($A401:$Z401,MATCH(Settings!$L$11,$A$1:$Z$1,0))&amp;""),""),18,2)))),"")),"")))</f>
        <v/>
      </c>
      <c r="AM401" s="31">
        <f>IF(AE401="","",IF(ISNUMBER(IFERROR(INDEX(Settings!$G$4:$G$11,MATCH(AH401,Settings!$F$4:$F$11,0)),"")),INDEX(Settings!$G$4:$G$11,MATCH(AH401,Settings!$F$4:$F$11,0)),Settings!$D$5))</f>
        <v/>
      </c>
      <c r="AN401" s="32">
        <f>IF(OR(AE401="",NOT(ISNUMBER(AL401)),NOT(ISNUMBER(AM401))),"",IF(AM401&lt;=0,"",IF(ISNUMBER(Settings!$D$8),DATE(YEAR(AL401)+IF(DATE(YEAR(AL401),MONTH(Settings!$D$8),DAY(Settings!$D$8))&gt;AL401,0,1),MONTH(Settings!$D$8),DAY(Settings!$D$8)),MIN(DATE(YEAR(AL401),MONTH(AL401)+AM401,DAY(AL401)),DATE(YEAR(AL401),MONTH(AL401)+AM401+1,0)))))</f>
        <v/>
      </c>
      <c r="AO401" s="31">
        <f>IF(ISNUMBER(AN401),AN401-Settings!$D$4,"")</f>
        <v/>
      </c>
      <c r="AP401" s="31">
        <f>IF(ISNUMBER(AL401),AL401+0+ROW()/100000,"")</f>
        <v/>
      </c>
      <c r="AQ401" s="31">
        <f>IF(OR(AG401="",NOT(ISNUMBER(AP401))),0,IF(SUMPRODUCT(('Responses'!$AG$2:$AG$501=AG401)*('Responses'!$AJ$2:$AJ$501=1)*ISNUMBER('Responses'!$AP$2:$AP$501)*('Responses'!$AP$2:$AP$501&gt;AP401)) + SUMPRODUCT(('Paper sign-ups'!$K$2:$K$101=AG401)*('Paper sign-ups'!$N$2:$N$101=1)*ISNUMBER('Paper sign-ups'!$T$2:$T$101)*('Paper sign-ups'!$T$2:$T$101&gt;AP401))&gt;0,1,0))</f>
        <v/>
      </c>
      <c r="AR401" s="31">
        <f>IF(AE401="","",IF(AQ401=1,"Joined again",IF(AJ401=0,"Unpaid",IF(NOT(ISNUMBER(AL401)),"Add a join date",IF(AN401="","No reminder",IF(AO401&lt;0,"Lapsed",IF(AO401&lt;=Settings!$D$6,"Remind soon","Current")))))))</f>
        <v/>
      </c>
      <c r="AS401" s="33">
        <f>IF(AJ401=1,IFERROR(VALUE(IFERROR(TRIM(INDEX($A401:$Z401,MATCH(Settings!$L$8,$A$1:$Z$1,0))&amp;""),"")),0)-IFERROR(VALUE(IFERROR(TRIM(INDEX($A401:$Z401,MATCH(Settings!$L$9,$A$1:$Z$1,0))&amp;""),"")),0),0)</f>
        <v/>
      </c>
      <c r="AT401" s="31">
        <f>IF(AND(AE401&lt;&gt;"",AQ401=0),1,0)</f>
        <v/>
      </c>
      <c r="AU401" s="31">
        <f>IF(AT401=0,"",IF(ISNUMBER(AN401),AN401,100000)+0+ROW()/1000000)</f>
        <v/>
      </c>
      <c r="AV401" s="31">
        <f>IF(ISNUMBER(AU401),SUMPRODUCT(ISNUMBER('Responses'!$AU$2:$AU$501)*('Responses'!$AU$2:$AU$501&lt;AU401)) + SUMPRODUCT(ISNUMBER('Paper sign-ups'!$Y$2:$Y$101)*('Paper sign-ups'!$Y$2:$Y$101&lt;AU401))+1,"")</f>
        <v/>
      </c>
    </row>
    <row r="402">
      <c r="AA402" s="29" t="n"/>
      <c r="AB402" s="30" t="n"/>
      <c r="AC402" s="30" t="n"/>
      <c r="AD402" s="29" t="n"/>
      <c r="AE402" s="31">
        <f>IFERROR(TRIM(INDEX($A402:$Z402,MATCH(Settings!$L$4,$A$1:$Z$1,0))&amp;""),"")</f>
        <v/>
      </c>
      <c r="AF402" s="31">
        <f>IFERROR(TRIM(INDEX($A402:$Z402,MATCH(Settings!$L$5,$A$1:$Z$1,0))&amp;""),"")</f>
        <v/>
      </c>
      <c r="AG402" s="31">
        <f>IF(AE402="","",LOWER(IF(AF402&lt;&gt;"",AF402,AE402)))</f>
        <v/>
      </c>
      <c r="AH402" s="31">
        <f>IFERROR(TRIM(INDEX($A402:$Z402,MATCH(Settings!$L$6,$A$1:$Z$1,0))&amp;""),"")</f>
        <v/>
      </c>
      <c r="AI402" s="31">
        <f>IF(AE402="","",IF(UPPER(TRIM(AB402&amp;""))="Y","Paid another way",IF(IFERROR(TRIM(INDEX($A402:$Z402,MATCH(Settings!$L$7,$A$1:$Z$1,0))&amp;""),"")="","No payment status",IFERROR(TRIM(INDEX($A402:$Z402,MATCH(Settings!$L$7,$A$1:$Z$1,0))&amp;""),""))))</f>
        <v/>
      </c>
      <c r="AJ402" s="31">
        <f>IF(AE402="",0,IF(IFERROR(INDEX(Settings!$J$4:$J$14,MATCH(AI402,Settings!$I$4:$I$14,0)),"N")="Y",1,0))</f>
        <v/>
      </c>
      <c r="AK402" s="32">
        <f>IFERROR(INT(IFERROR(IF(ISNUMBER(INDEX($A402:$Z402,MATCH(Settings!$L$10,$A$1:$Z$1,0))),INDEX($A402:$Z402,MATCH(Settings!$L$10,$A$1:$Z$1,0)),DATE(VALUE(LEFT(IFERROR(TRIM(INDEX($A402:$Z402,MATCH(Settings!$L$10,$A$1:$Z$1,0))&amp;""),""),4)),VALUE(MID(IFERROR(TRIM(INDEX($A402:$Z402,MATCH(Settings!$L$10,$A$1:$Z$1,0))&amp;""),""),6,2)),VALUE(MID(IFERROR(TRIM(INDEX($A402:$Z402,MATCH(Settings!$L$10,$A$1:$Z$1,0))&amp;""),""),9,2)))+TIME(VALUE(MID(IFERROR(TRIM(INDEX($A402:$Z402,MATCH(Settings!$L$10,$A$1:$Z$1,0))&amp;""),""),12,2)),VALUE(MID(IFERROR(TRIM(INDEX($A402:$Z402,MATCH(Settings!$L$10,$A$1:$Z$1,0))&amp;""),""),15,2)),VALUE(MID(IFERROR(TRIM(INDEX($A402:$Z402,MATCH(Settings!$L$10,$A$1:$Z$1,0))&amp;""),""),18,2)))),"")),"")</f>
        <v/>
      </c>
      <c r="AL402" s="32">
        <f>IF(AE402="","",IF(ISNUMBER(AK402),AK402,IFERROR(INT(IFERROR(IF(ISNUMBER(INDEX($A402:$Z402,MATCH(Settings!$L$11,$A$1:$Z$1,0))),INDEX($A402:$Z402,MATCH(Settings!$L$11,$A$1:$Z$1,0)),DATE(VALUE(LEFT(IFERROR(TRIM(INDEX($A402:$Z402,MATCH(Settings!$L$11,$A$1:$Z$1,0))&amp;""),""),4)),VALUE(MID(IFERROR(TRIM(INDEX($A402:$Z402,MATCH(Settings!$L$11,$A$1:$Z$1,0))&amp;""),""),6,2)),VALUE(MID(IFERROR(TRIM(INDEX($A402:$Z402,MATCH(Settings!$L$11,$A$1:$Z$1,0))&amp;""),""),9,2)))+TIME(VALUE(MID(IFERROR(TRIM(INDEX($A402:$Z402,MATCH(Settings!$L$11,$A$1:$Z$1,0))&amp;""),""),12,2)),VALUE(MID(IFERROR(TRIM(INDEX($A402:$Z402,MATCH(Settings!$L$11,$A$1:$Z$1,0))&amp;""),""),15,2)),VALUE(MID(IFERROR(TRIM(INDEX($A402:$Z402,MATCH(Settings!$L$11,$A$1:$Z$1,0))&amp;""),""),18,2)))),"")),"")))</f>
        <v/>
      </c>
      <c r="AM402" s="31">
        <f>IF(AE402="","",IF(ISNUMBER(IFERROR(INDEX(Settings!$G$4:$G$11,MATCH(AH402,Settings!$F$4:$F$11,0)),"")),INDEX(Settings!$G$4:$G$11,MATCH(AH402,Settings!$F$4:$F$11,0)),Settings!$D$5))</f>
        <v/>
      </c>
      <c r="AN402" s="32">
        <f>IF(OR(AE402="",NOT(ISNUMBER(AL402)),NOT(ISNUMBER(AM402))),"",IF(AM402&lt;=0,"",IF(ISNUMBER(Settings!$D$8),DATE(YEAR(AL402)+IF(DATE(YEAR(AL402),MONTH(Settings!$D$8),DAY(Settings!$D$8))&gt;AL402,0,1),MONTH(Settings!$D$8),DAY(Settings!$D$8)),MIN(DATE(YEAR(AL402),MONTH(AL402)+AM402,DAY(AL402)),DATE(YEAR(AL402),MONTH(AL402)+AM402+1,0)))))</f>
        <v/>
      </c>
      <c r="AO402" s="31">
        <f>IF(ISNUMBER(AN402),AN402-Settings!$D$4,"")</f>
        <v/>
      </c>
      <c r="AP402" s="31">
        <f>IF(ISNUMBER(AL402),AL402+0+ROW()/100000,"")</f>
        <v/>
      </c>
      <c r="AQ402" s="31">
        <f>IF(OR(AG402="",NOT(ISNUMBER(AP402))),0,IF(SUMPRODUCT(('Responses'!$AG$2:$AG$501=AG402)*('Responses'!$AJ$2:$AJ$501=1)*ISNUMBER('Responses'!$AP$2:$AP$501)*('Responses'!$AP$2:$AP$501&gt;AP402)) + SUMPRODUCT(('Paper sign-ups'!$K$2:$K$101=AG402)*('Paper sign-ups'!$N$2:$N$101=1)*ISNUMBER('Paper sign-ups'!$T$2:$T$101)*('Paper sign-ups'!$T$2:$T$101&gt;AP402))&gt;0,1,0))</f>
        <v/>
      </c>
      <c r="AR402" s="31">
        <f>IF(AE402="","",IF(AQ402=1,"Joined again",IF(AJ402=0,"Unpaid",IF(NOT(ISNUMBER(AL402)),"Add a join date",IF(AN402="","No reminder",IF(AO402&lt;0,"Lapsed",IF(AO402&lt;=Settings!$D$6,"Remind soon","Current")))))))</f>
        <v/>
      </c>
      <c r="AS402" s="33">
        <f>IF(AJ402=1,IFERROR(VALUE(IFERROR(TRIM(INDEX($A402:$Z402,MATCH(Settings!$L$8,$A$1:$Z$1,0))&amp;""),"")),0)-IFERROR(VALUE(IFERROR(TRIM(INDEX($A402:$Z402,MATCH(Settings!$L$9,$A$1:$Z$1,0))&amp;""),"")),0),0)</f>
        <v/>
      </c>
      <c r="AT402" s="31">
        <f>IF(AND(AE402&lt;&gt;"",AQ402=0),1,0)</f>
        <v/>
      </c>
      <c r="AU402" s="31">
        <f>IF(AT402=0,"",IF(ISNUMBER(AN402),AN402,100000)+0+ROW()/1000000)</f>
        <v/>
      </c>
      <c r="AV402" s="31">
        <f>IF(ISNUMBER(AU402),SUMPRODUCT(ISNUMBER('Responses'!$AU$2:$AU$501)*('Responses'!$AU$2:$AU$501&lt;AU402)) + SUMPRODUCT(ISNUMBER('Paper sign-ups'!$Y$2:$Y$101)*('Paper sign-ups'!$Y$2:$Y$101&lt;AU402))+1,"")</f>
        <v/>
      </c>
    </row>
    <row r="403">
      <c r="AA403" s="29" t="n"/>
      <c r="AB403" s="30" t="n"/>
      <c r="AC403" s="30" t="n"/>
      <c r="AD403" s="29" t="n"/>
      <c r="AE403" s="31">
        <f>IFERROR(TRIM(INDEX($A403:$Z403,MATCH(Settings!$L$4,$A$1:$Z$1,0))&amp;""),"")</f>
        <v/>
      </c>
      <c r="AF403" s="31">
        <f>IFERROR(TRIM(INDEX($A403:$Z403,MATCH(Settings!$L$5,$A$1:$Z$1,0))&amp;""),"")</f>
        <v/>
      </c>
      <c r="AG403" s="31">
        <f>IF(AE403="","",LOWER(IF(AF403&lt;&gt;"",AF403,AE403)))</f>
        <v/>
      </c>
      <c r="AH403" s="31">
        <f>IFERROR(TRIM(INDEX($A403:$Z403,MATCH(Settings!$L$6,$A$1:$Z$1,0))&amp;""),"")</f>
        <v/>
      </c>
      <c r="AI403" s="31">
        <f>IF(AE403="","",IF(UPPER(TRIM(AB403&amp;""))="Y","Paid another way",IF(IFERROR(TRIM(INDEX($A403:$Z403,MATCH(Settings!$L$7,$A$1:$Z$1,0))&amp;""),"")="","No payment status",IFERROR(TRIM(INDEX($A403:$Z403,MATCH(Settings!$L$7,$A$1:$Z$1,0))&amp;""),""))))</f>
        <v/>
      </c>
      <c r="AJ403" s="31">
        <f>IF(AE403="",0,IF(IFERROR(INDEX(Settings!$J$4:$J$14,MATCH(AI403,Settings!$I$4:$I$14,0)),"N")="Y",1,0))</f>
        <v/>
      </c>
      <c r="AK403" s="32">
        <f>IFERROR(INT(IFERROR(IF(ISNUMBER(INDEX($A403:$Z403,MATCH(Settings!$L$10,$A$1:$Z$1,0))),INDEX($A403:$Z403,MATCH(Settings!$L$10,$A$1:$Z$1,0)),DATE(VALUE(LEFT(IFERROR(TRIM(INDEX($A403:$Z403,MATCH(Settings!$L$10,$A$1:$Z$1,0))&amp;""),""),4)),VALUE(MID(IFERROR(TRIM(INDEX($A403:$Z403,MATCH(Settings!$L$10,$A$1:$Z$1,0))&amp;""),""),6,2)),VALUE(MID(IFERROR(TRIM(INDEX($A403:$Z403,MATCH(Settings!$L$10,$A$1:$Z$1,0))&amp;""),""),9,2)))+TIME(VALUE(MID(IFERROR(TRIM(INDEX($A403:$Z403,MATCH(Settings!$L$10,$A$1:$Z$1,0))&amp;""),""),12,2)),VALUE(MID(IFERROR(TRIM(INDEX($A403:$Z403,MATCH(Settings!$L$10,$A$1:$Z$1,0))&amp;""),""),15,2)),VALUE(MID(IFERROR(TRIM(INDEX($A403:$Z403,MATCH(Settings!$L$10,$A$1:$Z$1,0))&amp;""),""),18,2)))),"")),"")</f>
        <v/>
      </c>
      <c r="AL403" s="32">
        <f>IF(AE403="","",IF(ISNUMBER(AK403),AK403,IFERROR(INT(IFERROR(IF(ISNUMBER(INDEX($A403:$Z403,MATCH(Settings!$L$11,$A$1:$Z$1,0))),INDEX($A403:$Z403,MATCH(Settings!$L$11,$A$1:$Z$1,0)),DATE(VALUE(LEFT(IFERROR(TRIM(INDEX($A403:$Z403,MATCH(Settings!$L$11,$A$1:$Z$1,0))&amp;""),""),4)),VALUE(MID(IFERROR(TRIM(INDEX($A403:$Z403,MATCH(Settings!$L$11,$A$1:$Z$1,0))&amp;""),""),6,2)),VALUE(MID(IFERROR(TRIM(INDEX($A403:$Z403,MATCH(Settings!$L$11,$A$1:$Z$1,0))&amp;""),""),9,2)))+TIME(VALUE(MID(IFERROR(TRIM(INDEX($A403:$Z403,MATCH(Settings!$L$11,$A$1:$Z$1,0))&amp;""),""),12,2)),VALUE(MID(IFERROR(TRIM(INDEX($A403:$Z403,MATCH(Settings!$L$11,$A$1:$Z$1,0))&amp;""),""),15,2)),VALUE(MID(IFERROR(TRIM(INDEX($A403:$Z403,MATCH(Settings!$L$11,$A$1:$Z$1,0))&amp;""),""),18,2)))),"")),"")))</f>
        <v/>
      </c>
      <c r="AM403" s="31">
        <f>IF(AE403="","",IF(ISNUMBER(IFERROR(INDEX(Settings!$G$4:$G$11,MATCH(AH403,Settings!$F$4:$F$11,0)),"")),INDEX(Settings!$G$4:$G$11,MATCH(AH403,Settings!$F$4:$F$11,0)),Settings!$D$5))</f>
        <v/>
      </c>
      <c r="AN403" s="32">
        <f>IF(OR(AE403="",NOT(ISNUMBER(AL403)),NOT(ISNUMBER(AM403))),"",IF(AM403&lt;=0,"",IF(ISNUMBER(Settings!$D$8),DATE(YEAR(AL403)+IF(DATE(YEAR(AL403),MONTH(Settings!$D$8),DAY(Settings!$D$8))&gt;AL403,0,1),MONTH(Settings!$D$8),DAY(Settings!$D$8)),MIN(DATE(YEAR(AL403),MONTH(AL403)+AM403,DAY(AL403)),DATE(YEAR(AL403),MONTH(AL403)+AM403+1,0)))))</f>
        <v/>
      </c>
      <c r="AO403" s="31">
        <f>IF(ISNUMBER(AN403),AN403-Settings!$D$4,"")</f>
        <v/>
      </c>
      <c r="AP403" s="31">
        <f>IF(ISNUMBER(AL403),AL403+0+ROW()/100000,"")</f>
        <v/>
      </c>
      <c r="AQ403" s="31">
        <f>IF(OR(AG403="",NOT(ISNUMBER(AP403))),0,IF(SUMPRODUCT(('Responses'!$AG$2:$AG$501=AG403)*('Responses'!$AJ$2:$AJ$501=1)*ISNUMBER('Responses'!$AP$2:$AP$501)*('Responses'!$AP$2:$AP$501&gt;AP403)) + SUMPRODUCT(('Paper sign-ups'!$K$2:$K$101=AG403)*('Paper sign-ups'!$N$2:$N$101=1)*ISNUMBER('Paper sign-ups'!$T$2:$T$101)*('Paper sign-ups'!$T$2:$T$101&gt;AP403))&gt;0,1,0))</f>
        <v/>
      </c>
      <c r="AR403" s="31">
        <f>IF(AE403="","",IF(AQ403=1,"Joined again",IF(AJ403=0,"Unpaid",IF(NOT(ISNUMBER(AL403)),"Add a join date",IF(AN403="","No reminder",IF(AO403&lt;0,"Lapsed",IF(AO403&lt;=Settings!$D$6,"Remind soon","Current")))))))</f>
        <v/>
      </c>
      <c r="AS403" s="33">
        <f>IF(AJ403=1,IFERROR(VALUE(IFERROR(TRIM(INDEX($A403:$Z403,MATCH(Settings!$L$8,$A$1:$Z$1,0))&amp;""),"")),0)-IFERROR(VALUE(IFERROR(TRIM(INDEX($A403:$Z403,MATCH(Settings!$L$9,$A$1:$Z$1,0))&amp;""),"")),0),0)</f>
        <v/>
      </c>
      <c r="AT403" s="31">
        <f>IF(AND(AE403&lt;&gt;"",AQ403=0),1,0)</f>
        <v/>
      </c>
      <c r="AU403" s="31">
        <f>IF(AT403=0,"",IF(ISNUMBER(AN403),AN403,100000)+0+ROW()/1000000)</f>
        <v/>
      </c>
      <c r="AV403" s="31">
        <f>IF(ISNUMBER(AU403),SUMPRODUCT(ISNUMBER('Responses'!$AU$2:$AU$501)*('Responses'!$AU$2:$AU$501&lt;AU403)) + SUMPRODUCT(ISNUMBER('Paper sign-ups'!$Y$2:$Y$101)*('Paper sign-ups'!$Y$2:$Y$101&lt;AU403))+1,"")</f>
        <v/>
      </c>
    </row>
    <row r="404">
      <c r="AA404" s="29" t="n"/>
      <c r="AB404" s="30" t="n"/>
      <c r="AC404" s="30" t="n"/>
      <c r="AD404" s="29" t="n"/>
      <c r="AE404" s="31">
        <f>IFERROR(TRIM(INDEX($A404:$Z404,MATCH(Settings!$L$4,$A$1:$Z$1,0))&amp;""),"")</f>
        <v/>
      </c>
      <c r="AF404" s="31">
        <f>IFERROR(TRIM(INDEX($A404:$Z404,MATCH(Settings!$L$5,$A$1:$Z$1,0))&amp;""),"")</f>
        <v/>
      </c>
      <c r="AG404" s="31">
        <f>IF(AE404="","",LOWER(IF(AF404&lt;&gt;"",AF404,AE404)))</f>
        <v/>
      </c>
      <c r="AH404" s="31">
        <f>IFERROR(TRIM(INDEX($A404:$Z404,MATCH(Settings!$L$6,$A$1:$Z$1,0))&amp;""),"")</f>
        <v/>
      </c>
      <c r="AI404" s="31">
        <f>IF(AE404="","",IF(UPPER(TRIM(AB404&amp;""))="Y","Paid another way",IF(IFERROR(TRIM(INDEX($A404:$Z404,MATCH(Settings!$L$7,$A$1:$Z$1,0))&amp;""),"")="","No payment status",IFERROR(TRIM(INDEX($A404:$Z404,MATCH(Settings!$L$7,$A$1:$Z$1,0))&amp;""),""))))</f>
        <v/>
      </c>
      <c r="AJ404" s="31">
        <f>IF(AE404="",0,IF(IFERROR(INDEX(Settings!$J$4:$J$14,MATCH(AI404,Settings!$I$4:$I$14,0)),"N")="Y",1,0))</f>
        <v/>
      </c>
      <c r="AK404" s="32">
        <f>IFERROR(INT(IFERROR(IF(ISNUMBER(INDEX($A404:$Z404,MATCH(Settings!$L$10,$A$1:$Z$1,0))),INDEX($A404:$Z404,MATCH(Settings!$L$10,$A$1:$Z$1,0)),DATE(VALUE(LEFT(IFERROR(TRIM(INDEX($A404:$Z404,MATCH(Settings!$L$10,$A$1:$Z$1,0))&amp;""),""),4)),VALUE(MID(IFERROR(TRIM(INDEX($A404:$Z404,MATCH(Settings!$L$10,$A$1:$Z$1,0))&amp;""),""),6,2)),VALUE(MID(IFERROR(TRIM(INDEX($A404:$Z404,MATCH(Settings!$L$10,$A$1:$Z$1,0))&amp;""),""),9,2)))+TIME(VALUE(MID(IFERROR(TRIM(INDEX($A404:$Z404,MATCH(Settings!$L$10,$A$1:$Z$1,0))&amp;""),""),12,2)),VALUE(MID(IFERROR(TRIM(INDEX($A404:$Z404,MATCH(Settings!$L$10,$A$1:$Z$1,0))&amp;""),""),15,2)),VALUE(MID(IFERROR(TRIM(INDEX($A404:$Z404,MATCH(Settings!$L$10,$A$1:$Z$1,0))&amp;""),""),18,2)))),"")),"")</f>
        <v/>
      </c>
      <c r="AL404" s="32">
        <f>IF(AE404="","",IF(ISNUMBER(AK404),AK404,IFERROR(INT(IFERROR(IF(ISNUMBER(INDEX($A404:$Z404,MATCH(Settings!$L$11,$A$1:$Z$1,0))),INDEX($A404:$Z404,MATCH(Settings!$L$11,$A$1:$Z$1,0)),DATE(VALUE(LEFT(IFERROR(TRIM(INDEX($A404:$Z404,MATCH(Settings!$L$11,$A$1:$Z$1,0))&amp;""),""),4)),VALUE(MID(IFERROR(TRIM(INDEX($A404:$Z404,MATCH(Settings!$L$11,$A$1:$Z$1,0))&amp;""),""),6,2)),VALUE(MID(IFERROR(TRIM(INDEX($A404:$Z404,MATCH(Settings!$L$11,$A$1:$Z$1,0))&amp;""),""),9,2)))+TIME(VALUE(MID(IFERROR(TRIM(INDEX($A404:$Z404,MATCH(Settings!$L$11,$A$1:$Z$1,0))&amp;""),""),12,2)),VALUE(MID(IFERROR(TRIM(INDEX($A404:$Z404,MATCH(Settings!$L$11,$A$1:$Z$1,0))&amp;""),""),15,2)),VALUE(MID(IFERROR(TRIM(INDEX($A404:$Z404,MATCH(Settings!$L$11,$A$1:$Z$1,0))&amp;""),""),18,2)))),"")),"")))</f>
        <v/>
      </c>
      <c r="AM404" s="31">
        <f>IF(AE404="","",IF(ISNUMBER(IFERROR(INDEX(Settings!$G$4:$G$11,MATCH(AH404,Settings!$F$4:$F$11,0)),"")),INDEX(Settings!$G$4:$G$11,MATCH(AH404,Settings!$F$4:$F$11,0)),Settings!$D$5))</f>
        <v/>
      </c>
      <c r="AN404" s="32">
        <f>IF(OR(AE404="",NOT(ISNUMBER(AL404)),NOT(ISNUMBER(AM404))),"",IF(AM404&lt;=0,"",IF(ISNUMBER(Settings!$D$8),DATE(YEAR(AL404)+IF(DATE(YEAR(AL404),MONTH(Settings!$D$8),DAY(Settings!$D$8))&gt;AL404,0,1),MONTH(Settings!$D$8),DAY(Settings!$D$8)),MIN(DATE(YEAR(AL404),MONTH(AL404)+AM404,DAY(AL404)),DATE(YEAR(AL404),MONTH(AL404)+AM404+1,0)))))</f>
        <v/>
      </c>
      <c r="AO404" s="31">
        <f>IF(ISNUMBER(AN404),AN404-Settings!$D$4,"")</f>
        <v/>
      </c>
      <c r="AP404" s="31">
        <f>IF(ISNUMBER(AL404),AL404+0+ROW()/100000,"")</f>
        <v/>
      </c>
      <c r="AQ404" s="31">
        <f>IF(OR(AG404="",NOT(ISNUMBER(AP404))),0,IF(SUMPRODUCT(('Responses'!$AG$2:$AG$501=AG404)*('Responses'!$AJ$2:$AJ$501=1)*ISNUMBER('Responses'!$AP$2:$AP$501)*('Responses'!$AP$2:$AP$501&gt;AP404)) + SUMPRODUCT(('Paper sign-ups'!$K$2:$K$101=AG404)*('Paper sign-ups'!$N$2:$N$101=1)*ISNUMBER('Paper sign-ups'!$T$2:$T$101)*('Paper sign-ups'!$T$2:$T$101&gt;AP404))&gt;0,1,0))</f>
        <v/>
      </c>
      <c r="AR404" s="31">
        <f>IF(AE404="","",IF(AQ404=1,"Joined again",IF(AJ404=0,"Unpaid",IF(NOT(ISNUMBER(AL404)),"Add a join date",IF(AN404="","No reminder",IF(AO404&lt;0,"Lapsed",IF(AO404&lt;=Settings!$D$6,"Remind soon","Current")))))))</f>
        <v/>
      </c>
      <c r="AS404" s="33">
        <f>IF(AJ404=1,IFERROR(VALUE(IFERROR(TRIM(INDEX($A404:$Z404,MATCH(Settings!$L$8,$A$1:$Z$1,0))&amp;""),"")),0)-IFERROR(VALUE(IFERROR(TRIM(INDEX($A404:$Z404,MATCH(Settings!$L$9,$A$1:$Z$1,0))&amp;""),"")),0),0)</f>
        <v/>
      </c>
      <c r="AT404" s="31">
        <f>IF(AND(AE404&lt;&gt;"",AQ404=0),1,0)</f>
        <v/>
      </c>
      <c r="AU404" s="31">
        <f>IF(AT404=0,"",IF(ISNUMBER(AN404),AN404,100000)+0+ROW()/1000000)</f>
        <v/>
      </c>
      <c r="AV404" s="31">
        <f>IF(ISNUMBER(AU404),SUMPRODUCT(ISNUMBER('Responses'!$AU$2:$AU$501)*('Responses'!$AU$2:$AU$501&lt;AU404)) + SUMPRODUCT(ISNUMBER('Paper sign-ups'!$Y$2:$Y$101)*('Paper sign-ups'!$Y$2:$Y$101&lt;AU404))+1,"")</f>
        <v/>
      </c>
    </row>
    <row r="405">
      <c r="AA405" s="29" t="n"/>
      <c r="AB405" s="30" t="n"/>
      <c r="AC405" s="30" t="n"/>
      <c r="AD405" s="29" t="n"/>
      <c r="AE405" s="31">
        <f>IFERROR(TRIM(INDEX($A405:$Z405,MATCH(Settings!$L$4,$A$1:$Z$1,0))&amp;""),"")</f>
        <v/>
      </c>
      <c r="AF405" s="31">
        <f>IFERROR(TRIM(INDEX($A405:$Z405,MATCH(Settings!$L$5,$A$1:$Z$1,0))&amp;""),"")</f>
        <v/>
      </c>
      <c r="AG405" s="31">
        <f>IF(AE405="","",LOWER(IF(AF405&lt;&gt;"",AF405,AE405)))</f>
        <v/>
      </c>
      <c r="AH405" s="31">
        <f>IFERROR(TRIM(INDEX($A405:$Z405,MATCH(Settings!$L$6,$A$1:$Z$1,0))&amp;""),"")</f>
        <v/>
      </c>
      <c r="AI405" s="31">
        <f>IF(AE405="","",IF(UPPER(TRIM(AB405&amp;""))="Y","Paid another way",IF(IFERROR(TRIM(INDEX($A405:$Z405,MATCH(Settings!$L$7,$A$1:$Z$1,0))&amp;""),"")="","No payment status",IFERROR(TRIM(INDEX($A405:$Z405,MATCH(Settings!$L$7,$A$1:$Z$1,0))&amp;""),""))))</f>
        <v/>
      </c>
      <c r="AJ405" s="31">
        <f>IF(AE405="",0,IF(IFERROR(INDEX(Settings!$J$4:$J$14,MATCH(AI405,Settings!$I$4:$I$14,0)),"N")="Y",1,0))</f>
        <v/>
      </c>
      <c r="AK405" s="32">
        <f>IFERROR(INT(IFERROR(IF(ISNUMBER(INDEX($A405:$Z405,MATCH(Settings!$L$10,$A$1:$Z$1,0))),INDEX($A405:$Z405,MATCH(Settings!$L$10,$A$1:$Z$1,0)),DATE(VALUE(LEFT(IFERROR(TRIM(INDEX($A405:$Z405,MATCH(Settings!$L$10,$A$1:$Z$1,0))&amp;""),""),4)),VALUE(MID(IFERROR(TRIM(INDEX($A405:$Z405,MATCH(Settings!$L$10,$A$1:$Z$1,0))&amp;""),""),6,2)),VALUE(MID(IFERROR(TRIM(INDEX($A405:$Z405,MATCH(Settings!$L$10,$A$1:$Z$1,0))&amp;""),""),9,2)))+TIME(VALUE(MID(IFERROR(TRIM(INDEX($A405:$Z405,MATCH(Settings!$L$10,$A$1:$Z$1,0))&amp;""),""),12,2)),VALUE(MID(IFERROR(TRIM(INDEX($A405:$Z405,MATCH(Settings!$L$10,$A$1:$Z$1,0))&amp;""),""),15,2)),VALUE(MID(IFERROR(TRIM(INDEX($A405:$Z405,MATCH(Settings!$L$10,$A$1:$Z$1,0))&amp;""),""),18,2)))),"")),"")</f>
        <v/>
      </c>
      <c r="AL405" s="32">
        <f>IF(AE405="","",IF(ISNUMBER(AK405),AK405,IFERROR(INT(IFERROR(IF(ISNUMBER(INDEX($A405:$Z405,MATCH(Settings!$L$11,$A$1:$Z$1,0))),INDEX($A405:$Z405,MATCH(Settings!$L$11,$A$1:$Z$1,0)),DATE(VALUE(LEFT(IFERROR(TRIM(INDEX($A405:$Z405,MATCH(Settings!$L$11,$A$1:$Z$1,0))&amp;""),""),4)),VALUE(MID(IFERROR(TRIM(INDEX($A405:$Z405,MATCH(Settings!$L$11,$A$1:$Z$1,0))&amp;""),""),6,2)),VALUE(MID(IFERROR(TRIM(INDEX($A405:$Z405,MATCH(Settings!$L$11,$A$1:$Z$1,0))&amp;""),""),9,2)))+TIME(VALUE(MID(IFERROR(TRIM(INDEX($A405:$Z405,MATCH(Settings!$L$11,$A$1:$Z$1,0))&amp;""),""),12,2)),VALUE(MID(IFERROR(TRIM(INDEX($A405:$Z405,MATCH(Settings!$L$11,$A$1:$Z$1,0))&amp;""),""),15,2)),VALUE(MID(IFERROR(TRIM(INDEX($A405:$Z405,MATCH(Settings!$L$11,$A$1:$Z$1,0))&amp;""),""),18,2)))),"")),"")))</f>
        <v/>
      </c>
      <c r="AM405" s="31">
        <f>IF(AE405="","",IF(ISNUMBER(IFERROR(INDEX(Settings!$G$4:$G$11,MATCH(AH405,Settings!$F$4:$F$11,0)),"")),INDEX(Settings!$G$4:$G$11,MATCH(AH405,Settings!$F$4:$F$11,0)),Settings!$D$5))</f>
        <v/>
      </c>
      <c r="AN405" s="32">
        <f>IF(OR(AE405="",NOT(ISNUMBER(AL405)),NOT(ISNUMBER(AM405))),"",IF(AM405&lt;=0,"",IF(ISNUMBER(Settings!$D$8),DATE(YEAR(AL405)+IF(DATE(YEAR(AL405),MONTH(Settings!$D$8),DAY(Settings!$D$8))&gt;AL405,0,1),MONTH(Settings!$D$8),DAY(Settings!$D$8)),MIN(DATE(YEAR(AL405),MONTH(AL405)+AM405,DAY(AL405)),DATE(YEAR(AL405),MONTH(AL405)+AM405+1,0)))))</f>
        <v/>
      </c>
      <c r="AO405" s="31">
        <f>IF(ISNUMBER(AN405),AN405-Settings!$D$4,"")</f>
        <v/>
      </c>
      <c r="AP405" s="31">
        <f>IF(ISNUMBER(AL405),AL405+0+ROW()/100000,"")</f>
        <v/>
      </c>
      <c r="AQ405" s="31">
        <f>IF(OR(AG405="",NOT(ISNUMBER(AP405))),0,IF(SUMPRODUCT(('Responses'!$AG$2:$AG$501=AG405)*('Responses'!$AJ$2:$AJ$501=1)*ISNUMBER('Responses'!$AP$2:$AP$501)*('Responses'!$AP$2:$AP$501&gt;AP405)) + SUMPRODUCT(('Paper sign-ups'!$K$2:$K$101=AG405)*('Paper sign-ups'!$N$2:$N$101=1)*ISNUMBER('Paper sign-ups'!$T$2:$T$101)*('Paper sign-ups'!$T$2:$T$101&gt;AP405))&gt;0,1,0))</f>
        <v/>
      </c>
      <c r="AR405" s="31">
        <f>IF(AE405="","",IF(AQ405=1,"Joined again",IF(AJ405=0,"Unpaid",IF(NOT(ISNUMBER(AL405)),"Add a join date",IF(AN405="","No reminder",IF(AO405&lt;0,"Lapsed",IF(AO405&lt;=Settings!$D$6,"Remind soon","Current")))))))</f>
        <v/>
      </c>
      <c r="AS405" s="33">
        <f>IF(AJ405=1,IFERROR(VALUE(IFERROR(TRIM(INDEX($A405:$Z405,MATCH(Settings!$L$8,$A$1:$Z$1,0))&amp;""),"")),0)-IFERROR(VALUE(IFERROR(TRIM(INDEX($A405:$Z405,MATCH(Settings!$L$9,$A$1:$Z$1,0))&amp;""),"")),0),0)</f>
        <v/>
      </c>
      <c r="AT405" s="31">
        <f>IF(AND(AE405&lt;&gt;"",AQ405=0),1,0)</f>
        <v/>
      </c>
      <c r="AU405" s="31">
        <f>IF(AT405=0,"",IF(ISNUMBER(AN405),AN405,100000)+0+ROW()/1000000)</f>
        <v/>
      </c>
      <c r="AV405" s="31">
        <f>IF(ISNUMBER(AU405),SUMPRODUCT(ISNUMBER('Responses'!$AU$2:$AU$501)*('Responses'!$AU$2:$AU$501&lt;AU405)) + SUMPRODUCT(ISNUMBER('Paper sign-ups'!$Y$2:$Y$101)*('Paper sign-ups'!$Y$2:$Y$101&lt;AU405))+1,"")</f>
        <v/>
      </c>
    </row>
    <row r="406">
      <c r="AA406" s="29" t="n"/>
      <c r="AB406" s="30" t="n"/>
      <c r="AC406" s="30" t="n"/>
      <c r="AD406" s="29" t="n"/>
      <c r="AE406" s="31">
        <f>IFERROR(TRIM(INDEX($A406:$Z406,MATCH(Settings!$L$4,$A$1:$Z$1,0))&amp;""),"")</f>
        <v/>
      </c>
      <c r="AF406" s="31">
        <f>IFERROR(TRIM(INDEX($A406:$Z406,MATCH(Settings!$L$5,$A$1:$Z$1,0))&amp;""),"")</f>
        <v/>
      </c>
      <c r="AG406" s="31">
        <f>IF(AE406="","",LOWER(IF(AF406&lt;&gt;"",AF406,AE406)))</f>
        <v/>
      </c>
      <c r="AH406" s="31">
        <f>IFERROR(TRIM(INDEX($A406:$Z406,MATCH(Settings!$L$6,$A$1:$Z$1,0))&amp;""),"")</f>
        <v/>
      </c>
      <c r="AI406" s="31">
        <f>IF(AE406="","",IF(UPPER(TRIM(AB406&amp;""))="Y","Paid another way",IF(IFERROR(TRIM(INDEX($A406:$Z406,MATCH(Settings!$L$7,$A$1:$Z$1,0))&amp;""),"")="","No payment status",IFERROR(TRIM(INDEX($A406:$Z406,MATCH(Settings!$L$7,$A$1:$Z$1,0))&amp;""),""))))</f>
        <v/>
      </c>
      <c r="AJ406" s="31">
        <f>IF(AE406="",0,IF(IFERROR(INDEX(Settings!$J$4:$J$14,MATCH(AI406,Settings!$I$4:$I$14,0)),"N")="Y",1,0))</f>
        <v/>
      </c>
      <c r="AK406" s="32">
        <f>IFERROR(INT(IFERROR(IF(ISNUMBER(INDEX($A406:$Z406,MATCH(Settings!$L$10,$A$1:$Z$1,0))),INDEX($A406:$Z406,MATCH(Settings!$L$10,$A$1:$Z$1,0)),DATE(VALUE(LEFT(IFERROR(TRIM(INDEX($A406:$Z406,MATCH(Settings!$L$10,$A$1:$Z$1,0))&amp;""),""),4)),VALUE(MID(IFERROR(TRIM(INDEX($A406:$Z406,MATCH(Settings!$L$10,$A$1:$Z$1,0))&amp;""),""),6,2)),VALUE(MID(IFERROR(TRIM(INDEX($A406:$Z406,MATCH(Settings!$L$10,$A$1:$Z$1,0))&amp;""),""),9,2)))+TIME(VALUE(MID(IFERROR(TRIM(INDEX($A406:$Z406,MATCH(Settings!$L$10,$A$1:$Z$1,0))&amp;""),""),12,2)),VALUE(MID(IFERROR(TRIM(INDEX($A406:$Z406,MATCH(Settings!$L$10,$A$1:$Z$1,0))&amp;""),""),15,2)),VALUE(MID(IFERROR(TRIM(INDEX($A406:$Z406,MATCH(Settings!$L$10,$A$1:$Z$1,0))&amp;""),""),18,2)))),"")),"")</f>
        <v/>
      </c>
      <c r="AL406" s="32">
        <f>IF(AE406="","",IF(ISNUMBER(AK406),AK406,IFERROR(INT(IFERROR(IF(ISNUMBER(INDEX($A406:$Z406,MATCH(Settings!$L$11,$A$1:$Z$1,0))),INDEX($A406:$Z406,MATCH(Settings!$L$11,$A$1:$Z$1,0)),DATE(VALUE(LEFT(IFERROR(TRIM(INDEX($A406:$Z406,MATCH(Settings!$L$11,$A$1:$Z$1,0))&amp;""),""),4)),VALUE(MID(IFERROR(TRIM(INDEX($A406:$Z406,MATCH(Settings!$L$11,$A$1:$Z$1,0))&amp;""),""),6,2)),VALUE(MID(IFERROR(TRIM(INDEX($A406:$Z406,MATCH(Settings!$L$11,$A$1:$Z$1,0))&amp;""),""),9,2)))+TIME(VALUE(MID(IFERROR(TRIM(INDEX($A406:$Z406,MATCH(Settings!$L$11,$A$1:$Z$1,0))&amp;""),""),12,2)),VALUE(MID(IFERROR(TRIM(INDEX($A406:$Z406,MATCH(Settings!$L$11,$A$1:$Z$1,0))&amp;""),""),15,2)),VALUE(MID(IFERROR(TRIM(INDEX($A406:$Z406,MATCH(Settings!$L$11,$A$1:$Z$1,0))&amp;""),""),18,2)))),"")),"")))</f>
        <v/>
      </c>
      <c r="AM406" s="31">
        <f>IF(AE406="","",IF(ISNUMBER(IFERROR(INDEX(Settings!$G$4:$G$11,MATCH(AH406,Settings!$F$4:$F$11,0)),"")),INDEX(Settings!$G$4:$G$11,MATCH(AH406,Settings!$F$4:$F$11,0)),Settings!$D$5))</f>
        <v/>
      </c>
      <c r="AN406" s="32">
        <f>IF(OR(AE406="",NOT(ISNUMBER(AL406)),NOT(ISNUMBER(AM406))),"",IF(AM406&lt;=0,"",IF(ISNUMBER(Settings!$D$8),DATE(YEAR(AL406)+IF(DATE(YEAR(AL406),MONTH(Settings!$D$8),DAY(Settings!$D$8))&gt;AL406,0,1),MONTH(Settings!$D$8),DAY(Settings!$D$8)),MIN(DATE(YEAR(AL406),MONTH(AL406)+AM406,DAY(AL406)),DATE(YEAR(AL406),MONTH(AL406)+AM406+1,0)))))</f>
        <v/>
      </c>
      <c r="AO406" s="31">
        <f>IF(ISNUMBER(AN406),AN406-Settings!$D$4,"")</f>
        <v/>
      </c>
      <c r="AP406" s="31">
        <f>IF(ISNUMBER(AL406),AL406+0+ROW()/100000,"")</f>
        <v/>
      </c>
      <c r="AQ406" s="31">
        <f>IF(OR(AG406="",NOT(ISNUMBER(AP406))),0,IF(SUMPRODUCT(('Responses'!$AG$2:$AG$501=AG406)*('Responses'!$AJ$2:$AJ$501=1)*ISNUMBER('Responses'!$AP$2:$AP$501)*('Responses'!$AP$2:$AP$501&gt;AP406)) + SUMPRODUCT(('Paper sign-ups'!$K$2:$K$101=AG406)*('Paper sign-ups'!$N$2:$N$101=1)*ISNUMBER('Paper sign-ups'!$T$2:$T$101)*('Paper sign-ups'!$T$2:$T$101&gt;AP406))&gt;0,1,0))</f>
        <v/>
      </c>
      <c r="AR406" s="31">
        <f>IF(AE406="","",IF(AQ406=1,"Joined again",IF(AJ406=0,"Unpaid",IF(NOT(ISNUMBER(AL406)),"Add a join date",IF(AN406="","No reminder",IF(AO406&lt;0,"Lapsed",IF(AO406&lt;=Settings!$D$6,"Remind soon","Current")))))))</f>
        <v/>
      </c>
      <c r="AS406" s="33">
        <f>IF(AJ406=1,IFERROR(VALUE(IFERROR(TRIM(INDEX($A406:$Z406,MATCH(Settings!$L$8,$A$1:$Z$1,0))&amp;""),"")),0)-IFERROR(VALUE(IFERROR(TRIM(INDEX($A406:$Z406,MATCH(Settings!$L$9,$A$1:$Z$1,0))&amp;""),"")),0),0)</f>
        <v/>
      </c>
      <c r="AT406" s="31">
        <f>IF(AND(AE406&lt;&gt;"",AQ406=0),1,0)</f>
        <v/>
      </c>
      <c r="AU406" s="31">
        <f>IF(AT406=0,"",IF(ISNUMBER(AN406),AN406,100000)+0+ROW()/1000000)</f>
        <v/>
      </c>
      <c r="AV406" s="31">
        <f>IF(ISNUMBER(AU406),SUMPRODUCT(ISNUMBER('Responses'!$AU$2:$AU$501)*('Responses'!$AU$2:$AU$501&lt;AU406)) + SUMPRODUCT(ISNUMBER('Paper sign-ups'!$Y$2:$Y$101)*('Paper sign-ups'!$Y$2:$Y$101&lt;AU406))+1,"")</f>
        <v/>
      </c>
    </row>
    <row r="407">
      <c r="AA407" s="29" t="n"/>
      <c r="AB407" s="30" t="n"/>
      <c r="AC407" s="30" t="n"/>
      <c r="AD407" s="29" t="n"/>
      <c r="AE407" s="31">
        <f>IFERROR(TRIM(INDEX($A407:$Z407,MATCH(Settings!$L$4,$A$1:$Z$1,0))&amp;""),"")</f>
        <v/>
      </c>
      <c r="AF407" s="31">
        <f>IFERROR(TRIM(INDEX($A407:$Z407,MATCH(Settings!$L$5,$A$1:$Z$1,0))&amp;""),"")</f>
        <v/>
      </c>
      <c r="AG407" s="31">
        <f>IF(AE407="","",LOWER(IF(AF407&lt;&gt;"",AF407,AE407)))</f>
        <v/>
      </c>
      <c r="AH407" s="31">
        <f>IFERROR(TRIM(INDEX($A407:$Z407,MATCH(Settings!$L$6,$A$1:$Z$1,0))&amp;""),"")</f>
        <v/>
      </c>
      <c r="AI407" s="31">
        <f>IF(AE407="","",IF(UPPER(TRIM(AB407&amp;""))="Y","Paid another way",IF(IFERROR(TRIM(INDEX($A407:$Z407,MATCH(Settings!$L$7,$A$1:$Z$1,0))&amp;""),"")="","No payment status",IFERROR(TRIM(INDEX($A407:$Z407,MATCH(Settings!$L$7,$A$1:$Z$1,0))&amp;""),""))))</f>
        <v/>
      </c>
      <c r="AJ407" s="31">
        <f>IF(AE407="",0,IF(IFERROR(INDEX(Settings!$J$4:$J$14,MATCH(AI407,Settings!$I$4:$I$14,0)),"N")="Y",1,0))</f>
        <v/>
      </c>
      <c r="AK407" s="32">
        <f>IFERROR(INT(IFERROR(IF(ISNUMBER(INDEX($A407:$Z407,MATCH(Settings!$L$10,$A$1:$Z$1,0))),INDEX($A407:$Z407,MATCH(Settings!$L$10,$A$1:$Z$1,0)),DATE(VALUE(LEFT(IFERROR(TRIM(INDEX($A407:$Z407,MATCH(Settings!$L$10,$A$1:$Z$1,0))&amp;""),""),4)),VALUE(MID(IFERROR(TRIM(INDEX($A407:$Z407,MATCH(Settings!$L$10,$A$1:$Z$1,0))&amp;""),""),6,2)),VALUE(MID(IFERROR(TRIM(INDEX($A407:$Z407,MATCH(Settings!$L$10,$A$1:$Z$1,0))&amp;""),""),9,2)))+TIME(VALUE(MID(IFERROR(TRIM(INDEX($A407:$Z407,MATCH(Settings!$L$10,$A$1:$Z$1,0))&amp;""),""),12,2)),VALUE(MID(IFERROR(TRIM(INDEX($A407:$Z407,MATCH(Settings!$L$10,$A$1:$Z$1,0))&amp;""),""),15,2)),VALUE(MID(IFERROR(TRIM(INDEX($A407:$Z407,MATCH(Settings!$L$10,$A$1:$Z$1,0))&amp;""),""),18,2)))),"")),"")</f>
        <v/>
      </c>
      <c r="AL407" s="32">
        <f>IF(AE407="","",IF(ISNUMBER(AK407),AK407,IFERROR(INT(IFERROR(IF(ISNUMBER(INDEX($A407:$Z407,MATCH(Settings!$L$11,$A$1:$Z$1,0))),INDEX($A407:$Z407,MATCH(Settings!$L$11,$A$1:$Z$1,0)),DATE(VALUE(LEFT(IFERROR(TRIM(INDEX($A407:$Z407,MATCH(Settings!$L$11,$A$1:$Z$1,0))&amp;""),""),4)),VALUE(MID(IFERROR(TRIM(INDEX($A407:$Z407,MATCH(Settings!$L$11,$A$1:$Z$1,0))&amp;""),""),6,2)),VALUE(MID(IFERROR(TRIM(INDEX($A407:$Z407,MATCH(Settings!$L$11,$A$1:$Z$1,0))&amp;""),""),9,2)))+TIME(VALUE(MID(IFERROR(TRIM(INDEX($A407:$Z407,MATCH(Settings!$L$11,$A$1:$Z$1,0))&amp;""),""),12,2)),VALUE(MID(IFERROR(TRIM(INDEX($A407:$Z407,MATCH(Settings!$L$11,$A$1:$Z$1,0))&amp;""),""),15,2)),VALUE(MID(IFERROR(TRIM(INDEX($A407:$Z407,MATCH(Settings!$L$11,$A$1:$Z$1,0))&amp;""),""),18,2)))),"")),"")))</f>
        <v/>
      </c>
      <c r="AM407" s="31">
        <f>IF(AE407="","",IF(ISNUMBER(IFERROR(INDEX(Settings!$G$4:$G$11,MATCH(AH407,Settings!$F$4:$F$11,0)),"")),INDEX(Settings!$G$4:$G$11,MATCH(AH407,Settings!$F$4:$F$11,0)),Settings!$D$5))</f>
        <v/>
      </c>
      <c r="AN407" s="32">
        <f>IF(OR(AE407="",NOT(ISNUMBER(AL407)),NOT(ISNUMBER(AM407))),"",IF(AM407&lt;=0,"",IF(ISNUMBER(Settings!$D$8),DATE(YEAR(AL407)+IF(DATE(YEAR(AL407),MONTH(Settings!$D$8),DAY(Settings!$D$8))&gt;AL407,0,1),MONTH(Settings!$D$8),DAY(Settings!$D$8)),MIN(DATE(YEAR(AL407),MONTH(AL407)+AM407,DAY(AL407)),DATE(YEAR(AL407),MONTH(AL407)+AM407+1,0)))))</f>
        <v/>
      </c>
      <c r="AO407" s="31">
        <f>IF(ISNUMBER(AN407),AN407-Settings!$D$4,"")</f>
        <v/>
      </c>
      <c r="AP407" s="31">
        <f>IF(ISNUMBER(AL407),AL407+0+ROW()/100000,"")</f>
        <v/>
      </c>
      <c r="AQ407" s="31">
        <f>IF(OR(AG407="",NOT(ISNUMBER(AP407))),0,IF(SUMPRODUCT(('Responses'!$AG$2:$AG$501=AG407)*('Responses'!$AJ$2:$AJ$501=1)*ISNUMBER('Responses'!$AP$2:$AP$501)*('Responses'!$AP$2:$AP$501&gt;AP407)) + SUMPRODUCT(('Paper sign-ups'!$K$2:$K$101=AG407)*('Paper sign-ups'!$N$2:$N$101=1)*ISNUMBER('Paper sign-ups'!$T$2:$T$101)*('Paper sign-ups'!$T$2:$T$101&gt;AP407))&gt;0,1,0))</f>
        <v/>
      </c>
      <c r="AR407" s="31">
        <f>IF(AE407="","",IF(AQ407=1,"Joined again",IF(AJ407=0,"Unpaid",IF(NOT(ISNUMBER(AL407)),"Add a join date",IF(AN407="","No reminder",IF(AO407&lt;0,"Lapsed",IF(AO407&lt;=Settings!$D$6,"Remind soon","Current")))))))</f>
        <v/>
      </c>
      <c r="AS407" s="33">
        <f>IF(AJ407=1,IFERROR(VALUE(IFERROR(TRIM(INDEX($A407:$Z407,MATCH(Settings!$L$8,$A$1:$Z$1,0))&amp;""),"")),0)-IFERROR(VALUE(IFERROR(TRIM(INDEX($A407:$Z407,MATCH(Settings!$L$9,$A$1:$Z$1,0))&amp;""),"")),0),0)</f>
        <v/>
      </c>
      <c r="AT407" s="31">
        <f>IF(AND(AE407&lt;&gt;"",AQ407=0),1,0)</f>
        <v/>
      </c>
      <c r="AU407" s="31">
        <f>IF(AT407=0,"",IF(ISNUMBER(AN407),AN407,100000)+0+ROW()/1000000)</f>
        <v/>
      </c>
      <c r="AV407" s="31">
        <f>IF(ISNUMBER(AU407),SUMPRODUCT(ISNUMBER('Responses'!$AU$2:$AU$501)*('Responses'!$AU$2:$AU$501&lt;AU407)) + SUMPRODUCT(ISNUMBER('Paper sign-ups'!$Y$2:$Y$101)*('Paper sign-ups'!$Y$2:$Y$101&lt;AU407))+1,"")</f>
        <v/>
      </c>
    </row>
    <row r="408">
      <c r="AA408" s="29" t="n"/>
      <c r="AB408" s="30" t="n"/>
      <c r="AC408" s="30" t="n"/>
      <c r="AD408" s="29" t="n"/>
      <c r="AE408" s="31">
        <f>IFERROR(TRIM(INDEX($A408:$Z408,MATCH(Settings!$L$4,$A$1:$Z$1,0))&amp;""),"")</f>
        <v/>
      </c>
      <c r="AF408" s="31">
        <f>IFERROR(TRIM(INDEX($A408:$Z408,MATCH(Settings!$L$5,$A$1:$Z$1,0))&amp;""),"")</f>
        <v/>
      </c>
      <c r="AG408" s="31">
        <f>IF(AE408="","",LOWER(IF(AF408&lt;&gt;"",AF408,AE408)))</f>
        <v/>
      </c>
      <c r="AH408" s="31">
        <f>IFERROR(TRIM(INDEX($A408:$Z408,MATCH(Settings!$L$6,$A$1:$Z$1,0))&amp;""),"")</f>
        <v/>
      </c>
      <c r="AI408" s="31">
        <f>IF(AE408="","",IF(UPPER(TRIM(AB408&amp;""))="Y","Paid another way",IF(IFERROR(TRIM(INDEX($A408:$Z408,MATCH(Settings!$L$7,$A$1:$Z$1,0))&amp;""),"")="","No payment status",IFERROR(TRIM(INDEX($A408:$Z408,MATCH(Settings!$L$7,$A$1:$Z$1,0))&amp;""),""))))</f>
        <v/>
      </c>
      <c r="AJ408" s="31">
        <f>IF(AE408="",0,IF(IFERROR(INDEX(Settings!$J$4:$J$14,MATCH(AI408,Settings!$I$4:$I$14,0)),"N")="Y",1,0))</f>
        <v/>
      </c>
      <c r="AK408" s="32">
        <f>IFERROR(INT(IFERROR(IF(ISNUMBER(INDEX($A408:$Z408,MATCH(Settings!$L$10,$A$1:$Z$1,0))),INDEX($A408:$Z408,MATCH(Settings!$L$10,$A$1:$Z$1,0)),DATE(VALUE(LEFT(IFERROR(TRIM(INDEX($A408:$Z408,MATCH(Settings!$L$10,$A$1:$Z$1,0))&amp;""),""),4)),VALUE(MID(IFERROR(TRIM(INDEX($A408:$Z408,MATCH(Settings!$L$10,$A$1:$Z$1,0))&amp;""),""),6,2)),VALUE(MID(IFERROR(TRIM(INDEX($A408:$Z408,MATCH(Settings!$L$10,$A$1:$Z$1,0))&amp;""),""),9,2)))+TIME(VALUE(MID(IFERROR(TRIM(INDEX($A408:$Z408,MATCH(Settings!$L$10,$A$1:$Z$1,0))&amp;""),""),12,2)),VALUE(MID(IFERROR(TRIM(INDEX($A408:$Z408,MATCH(Settings!$L$10,$A$1:$Z$1,0))&amp;""),""),15,2)),VALUE(MID(IFERROR(TRIM(INDEX($A408:$Z408,MATCH(Settings!$L$10,$A$1:$Z$1,0))&amp;""),""),18,2)))),"")),"")</f>
        <v/>
      </c>
      <c r="AL408" s="32">
        <f>IF(AE408="","",IF(ISNUMBER(AK408),AK408,IFERROR(INT(IFERROR(IF(ISNUMBER(INDEX($A408:$Z408,MATCH(Settings!$L$11,$A$1:$Z$1,0))),INDEX($A408:$Z408,MATCH(Settings!$L$11,$A$1:$Z$1,0)),DATE(VALUE(LEFT(IFERROR(TRIM(INDEX($A408:$Z408,MATCH(Settings!$L$11,$A$1:$Z$1,0))&amp;""),""),4)),VALUE(MID(IFERROR(TRIM(INDEX($A408:$Z408,MATCH(Settings!$L$11,$A$1:$Z$1,0))&amp;""),""),6,2)),VALUE(MID(IFERROR(TRIM(INDEX($A408:$Z408,MATCH(Settings!$L$11,$A$1:$Z$1,0))&amp;""),""),9,2)))+TIME(VALUE(MID(IFERROR(TRIM(INDEX($A408:$Z408,MATCH(Settings!$L$11,$A$1:$Z$1,0))&amp;""),""),12,2)),VALUE(MID(IFERROR(TRIM(INDEX($A408:$Z408,MATCH(Settings!$L$11,$A$1:$Z$1,0))&amp;""),""),15,2)),VALUE(MID(IFERROR(TRIM(INDEX($A408:$Z408,MATCH(Settings!$L$11,$A$1:$Z$1,0))&amp;""),""),18,2)))),"")),"")))</f>
        <v/>
      </c>
      <c r="AM408" s="31">
        <f>IF(AE408="","",IF(ISNUMBER(IFERROR(INDEX(Settings!$G$4:$G$11,MATCH(AH408,Settings!$F$4:$F$11,0)),"")),INDEX(Settings!$G$4:$G$11,MATCH(AH408,Settings!$F$4:$F$11,0)),Settings!$D$5))</f>
        <v/>
      </c>
      <c r="AN408" s="32">
        <f>IF(OR(AE408="",NOT(ISNUMBER(AL408)),NOT(ISNUMBER(AM408))),"",IF(AM408&lt;=0,"",IF(ISNUMBER(Settings!$D$8),DATE(YEAR(AL408)+IF(DATE(YEAR(AL408),MONTH(Settings!$D$8),DAY(Settings!$D$8))&gt;AL408,0,1),MONTH(Settings!$D$8),DAY(Settings!$D$8)),MIN(DATE(YEAR(AL408),MONTH(AL408)+AM408,DAY(AL408)),DATE(YEAR(AL408),MONTH(AL408)+AM408+1,0)))))</f>
        <v/>
      </c>
      <c r="AO408" s="31">
        <f>IF(ISNUMBER(AN408),AN408-Settings!$D$4,"")</f>
        <v/>
      </c>
      <c r="AP408" s="31">
        <f>IF(ISNUMBER(AL408),AL408+0+ROW()/100000,"")</f>
        <v/>
      </c>
      <c r="AQ408" s="31">
        <f>IF(OR(AG408="",NOT(ISNUMBER(AP408))),0,IF(SUMPRODUCT(('Responses'!$AG$2:$AG$501=AG408)*('Responses'!$AJ$2:$AJ$501=1)*ISNUMBER('Responses'!$AP$2:$AP$501)*('Responses'!$AP$2:$AP$501&gt;AP408)) + SUMPRODUCT(('Paper sign-ups'!$K$2:$K$101=AG408)*('Paper sign-ups'!$N$2:$N$101=1)*ISNUMBER('Paper sign-ups'!$T$2:$T$101)*('Paper sign-ups'!$T$2:$T$101&gt;AP408))&gt;0,1,0))</f>
        <v/>
      </c>
      <c r="AR408" s="31">
        <f>IF(AE408="","",IF(AQ408=1,"Joined again",IF(AJ408=0,"Unpaid",IF(NOT(ISNUMBER(AL408)),"Add a join date",IF(AN408="","No reminder",IF(AO408&lt;0,"Lapsed",IF(AO408&lt;=Settings!$D$6,"Remind soon","Current")))))))</f>
        <v/>
      </c>
      <c r="AS408" s="33">
        <f>IF(AJ408=1,IFERROR(VALUE(IFERROR(TRIM(INDEX($A408:$Z408,MATCH(Settings!$L$8,$A$1:$Z$1,0))&amp;""),"")),0)-IFERROR(VALUE(IFERROR(TRIM(INDEX($A408:$Z408,MATCH(Settings!$L$9,$A$1:$Z$1,0))&amp;""),"")),0),0)</f>
        <v/>
      </c>
      <c r="AT408" s="31">
        <f>IF(AND(AE408&lt;&gt;"",AQ408=0),1,0)</f>
        <v/>
      </c>
      <c r="AU408" s="31">
        <f>IF(AT408=0,"",IF(ISNUMBER(AN408),AN408,100000)+0+ROW()/1000000)</f>
        <v/>
      </c>
      <c r="AV408" s="31">
        <f>IF(ISNUMBER(AU408),SUMPRODUCT(ISNUMBER('Responses'!$AU$2:$AU$501)*('Responses'!$AU$2:$AU$501&lt;AU408)) + SUMPRODUCT(ISNUMBER('Paper sign-ups'!$Y$2:$Y$101)*('Paper sign-ups'!$Y$2:$Y$101&lt;AU408))+1,"")</f>
        <v/>
      </c>
    </row>
    <row r="409">
      <c r="AA409" s="29" t="n"/>
      <c r="AB409" s="30" t="n"/>
      <c r="AC409" s="30" t="n"/>
      <c r="AD409" s="29" t="n"/>
      <c r="AE409" s="31">
        <f>IFERROR(TRIM(INDEX($A409:$Z409,MATCH(Settings!$L$4,$A$1:$Z$1,0))&amp;""),"")</f>
        <v/>
      </c>
      <c r="AF409" s="31">
        <f>IFERROR(TRIM(INDEX($A409:$Z409,MATCH(Settings!$L$5,$A$1:$Z$1,0))&amp;""),"")</f>
        <v/>
      </c>
      <c r="AG409" s="31">
        <f>IF(AE409="","",LOWER(IF(AF409&lt;&gt;"",AF409,AE409)))</f>
        <v/>
      </c>
      <c r="AH409" s="31">
        <f>IFERROR(TRIM(INDEX($A409:$Z409,MATCH(Settings!$L$6,$A$1:$Z$1,0))&amp;""),"")</f>
        <v/>
      </c>
      <c r="AI409" s="31">
        <f>IF(AE409="","",IF(UPPER(TRIM(AB409&amp;""))="Y","Paid another way",IF(IFERROR(TRIM(INDEX($A409:$Z409,MATCH(Settings!$L$7,$A$1:$Z$1,0))&amp;""),"")="","No payment status",IFERROR(TRIM(INDEX($A409:$Z409,MATCH(Settings!$L$7,$A$1:$Z$1,0))&amp;""),""))))</f>
        <v/>
      </c>
      <c r="AJ409" s="31">
        <f>IF(AE409="",0,IF(IFERROR(INDEX(Settings!$J$4:$J$14,MATCH(AI409,Settings!$I$4:$I$14,0)),"N")="Y",1,0))</f>
        <v/>
      </c>
      <c r="AK409" s="32">
        <f>IFERROR(INT(IFERROR(IF(ISNUMBER(INDEX($A409:$Z409,MATCH(Settings!$L$10,$A$1:$Z$1,0))),INDEX($A409:$Z409,MATCH(Settings!$L$10,$A$1:$Z$1,0)),DATE(VALUE(LEFT(IFERROR(TRIM(INDEX($A409:$Z409,MATCH(Settings!$L$10,$A$1:$Z$1,0))&amp;""),""),4)),VALUE(MID(IFERROR(TRIM(INDEX($A409:$Z409,MATCH(Settings!$L$10,$A$1:$Z$1,0))&amp;""),""),6,2)),VALUE(MID(IFERROR(TRIM(INDEX($A409:$Z409,MATCH(Settings!$L$10,$A$1:$Z$1,0))&amp;""),""),9,2)))+TIME(VALUE(MID(IFERROR(TRIM(INDEX($A409:$Z409,MATCH(Settings!$L$10,$A$1:$Z$1,0))&amp;""),""),12,2)),VALUE(MID(IFERROR(TRIM(INDEX($A409:$Z409,MATCH(Settings!$L$10,$A$1:$Z$1,0))&amp;""),""),15,2)),VALUE(MID(IFERROR(TRIM(INDEX($A409:$Z409,MATCH(Settings!$L$10,$A$1:$Z$1,0))&amp;""),""),18,2)))),"")),"")</f>
        <v/>
      </c>
      <c r="AL409" s="32">
        <f>IF(AE409="","",IF(ISNUMBER(AK409),AK409,IFERROR(INT(IFERROR(IF(ISNUMBER(INDEX($A409:$Z409,MATCH(Settings!$L$11,$A$1:$Z$1,0))),INDEX($A409:$Z409,MATCH(Settings!$L$11,$A$1:$Z$1,0)),DATE(VALUE(LEFT(IFERROR(TRIM(INDEX($A409:$Z409,MATCH(Settings!$L$11,$A$1:$Z$1,0))&amp;""),""),4)),VALUE(MID(IFERROR(TRIM(INDEX($A409:$Z409,MATCH(Settings!$L$11,$A$1:$Z$1,0))&amp;""),""),6,2)),VALUE(MID(IFERROR(TRIM(INDEX($A409:$Z409,MATCH(Settings!$L$11,$A$1:$Z$1,0))&amp;""),""),9,2)))+TIME(VALUE(MID(IFERROR(TRIM(INDEX($A409:$Z409,MATCH(Settings!$L$11,$A$1:$Z$1,0))&amp;""),""),12,2)),VALUE(MID(IFERROR(TRIM(INDEX($A409:$Z409,MATCH(Settings!$L$11,$A$1:$Z$1,0))&amp;""),""),15,2)),VALUE(MID(IFERROR(TRIM(INDEX($A409:$Z409,MATCH(Settings!$L$11,$A$1:$Z$1,0))&amp;""),""),18,2)))),"")),"")))</f>
        <v/>
      </c>
      <c r="AM409" s="31">
        <f>IF(AE409="","",IF(ISNUMBER(IFERROR(INDEX(Settings!$G$4:$G$11,MATCH(AH409,Settings!$F$4:$F$11,0)),"")),INDEX(Settings!$G$4:$G$11,MATCH(AH409,Settings!$F$4:$F$11,0)),Settings!$D$5))</f>
        <v/>
      </c>
      <c r="AN409" s="32">
        <f>IF(OR(AE409="",NOT(ISNUMBER(AL409)),NOT(ISNUMBER(AM409))),"",IF(AM409&lt;=0,"",IF(ISNUMBER(Settings!$D$8),DATE(YEAR(AL409)+IF(DATE(YEAR(AL409),MONTH(Settings!$D$8),DAY(Settings!$D$8))&gt;AL409,0,1),MONTH(Settings!$D$8),DAY(Settings!$D$8)),MIN(DATE(YEAR(AL409),MONTH(AL409)+AM409,DAY(AL409)),DATE(YEAR(AL409),MONTH(AL409)+AM409+1,0)))))</f>
        <v/>
      </c>
      <c r="AO409" s="31">
        <f>IF(ISNUMBER(AN409),AN409-Settings!$D$4,"")</f>
        <v/>
      </c>
      <c r="AP409" s="31">
        <f>IF(ISNUMBER(AL409),AL409+0+ROW()/100000,"")</f>
        <v/>
      </c>
      <c r="AQ409" s="31">
        <f>IF(OR(AG409="",NOT(ISNUMBER(AP409))),0,IF(SUMPRODUCT(('Responses'!$AG$2:$AG$501=AG409)*('Responses'!$AJ$2:$AJ$501=1)*ISNUMBER('Responses'!$AP$2:$AP$501)*('Responses'!$AP$2:$AP$501&gt;AP409)) + SUMPRODUCT(('Paper sign-ups'!$K$2:$K$101=AG409)*('Paper sign-ups'!$N$2:$N$101=1)*ISNUMBER('Paper sign-ups'!$T$2:$T$101)*('Paper sign-ups'!$T$2:$T$101&gt;AP409))&gt;0,1,0))</f>
        <v/>
      </c>
      <c r="AR409" s="31">
        <f>IF(AE409="","",IF(AQ409=1,"Joined again",IF(AJ409=0,"Unpaid",IF(NOT(ISNUMBER(AL409)),"Add a join date",IF(AN409="","No reminder",IF(AO409&lt;0,"Lapsed",IF(AO409&lt;=Settings!$D$6,"Remind soon","Current")))))))</f>
        <v/>
      </c>
      <c r="AS409" s="33">
        <f>IF(AJ409=1,IFERROR(VALUE(IFERROR(TRIM(INDEX($A409:$Z409,MATCH(Settings!$L$8,$A$1:$Z$1,0))&amp;""),"")),0)-IFERROR(VALUE(IFERROR(TRIM(INDEX($A409:$Z409,MATCH(Settings!$L$9,$A$1:$Z$1,0))&amp;""),"")),0),0)</f>
        <v/>
      </c>
      <c r="AT409" s="31">
        <f>IF(AND(AE409&lt;&gt;"",AQ409=0),1,0)</f>
        <v/>
      </c>
      <c r="AU409" s="31">
        <f>IF(AT409=0,"",IF(ISNUMBER(AN409),AN409,100000)+0+ROW()/1000000)</f>
        <v/>
      </c>
      <c r="AV409" s="31">
        <f>IF(ISNUMBER(AU409),SUMPRODUCT(ISNUMBER('Responses'!$AU$2:$AU$501)*('Responses'!$AU$2:$AU$501&lt;AU409)) + SUMPRODUCT(ISNUMBER('Paper sign-ups'!$Y$2:$Y$101)*('Paper sign-ups'!$Y$2:$Y$101&lt;AU409))+1,"")</f>
        <v/>
      </c>
    </row>
    <row r="410">
      <c r="AA410" s="29" t="n"/>
      <c r="AB410" s="30" t="n"/>
      <c r="AC410" s="30" t="n"/>
      <c r="AD410" s="29" t="n"/>
      <c r="AE410" s="31">
        <f>IFERROR(TRIM(INDEX($A410:$Z410,MATCH(Settings!$L$4,$A$1:$Z$1,0))&amp;""),"")</f>
        <v/>
      </c>
      <c r="AF410" s="31">
        <f>IFERROR(TRIM(INDEX($A410:$Z410,MATCH(Settings!$L$5,$A$1:$Z$1,0))&amp;""),"")</f>
        <v/>
      </c>
      <c r="AG410" s="31">
        <f>IF(AE410="","",LOWER(IF(AF410&lt;&gt;"",AF410,AE410)))</f>
        <v/>
      </c>
      <c r="AH410" s="31">
        <f>IFERROR(TRIM(INDEX($A410:$Z410,MATCH(Settings!$L$6,$A$1:$Z$1,0))&amp;""),"")</f>
        <v/>
      </c>
      <c r="AI410" s="31">
        <f>IF(AE410="","",IF(UPPER(TRIM(AB410&amp;""))="Y","Paid another way",IF(IFERROR(TRIM(INDEX($A410:$Z410,MATCH(Settings!$L$7,$A$1:$Z$1,0))&amp;""),"")="","No payment status",IFERROR(TRIM(INDEX($A410:$Z410,MATCH(Settings!$L$7,$A$1:$Z$1,0))&amp;""),""))))</f>
        <v/>
      </c>
      <c r="AJ410" s="31">
        <f>IF(AE410="",0,IF(IFERROR(INDEX(Settings!$J$4:$J$14,MATCH(AI410,Settings!$I$4:$I$14,0)),"N")="Y",1,0))</f>
        <v/>
      </c>
      <c r="AK410" s="32">
        <f>IFERROR(INT(IFERROR(IF(ISNUMBER(INDEX($A410:$Z410,MATCH(Settings!$L$10,$A$1:$Z$1,0))),INDEX($A410:$Z410,MATCH(Settings!$L$10,$A$1:$Z$1,0)),DATE(VALUE(LEFT(IFERROR(TRIM(INDEX($A410:$Z410,MATCH(Settings!$L$10,$A$1:$Z$1,0))&amp;""),""),4)),VALUE(MID(IFERROR(TRIM(INDEX($A410:$Z410,MATCH(Settings!$L$10,$A$1:$Z$1,0))&amp;""),""),6,2)),VALUE(MID(IFERROR(TRIM(INDEX($A410:$Z410,MATCH(Settings!$L$10,$A$1:$Z$1,0))&amp;""),""),9,2)))+TIME(VALUE(MID(IFERROR(TRIM(INDEX($A410:$Z410,MATCH(Settings!$L$10,$A$1:$Z$1,0))&amp;""),""),12,2)),VALUE(MID(IFERROR(TRIM(INDEX($A410:$Z410,MATCH(Settings!$L$10,$A$1:$Z$1,0))&amp;""),""),15,2)),VALUE(MID(IFERROR(TRIM(INDEX($A410:$Z410,MATCH(Settings!$L$10,$A$1:$Z$1,0))&amp;""),""),18,2)))),"")),"")</f>
        <v/>
      </c>
      <c r="AL410" s="32">
        <f>IF(AE410="","",IF(ISNUMBER(AK410),AK410,IFERROR(INT(IFERROR(IF(ISNUMBER(INDEX($A410:$Z410,MATCH(Settings!$L$11,$A$1:$Z$1,0))),INDEX($A410:$Z410,MATCH(Settings!$L$11,$A$1:$Z$1,0)),DATE(VALUE(LEFT(IFERROR(TRIM(INDEX($A410:$Z410,MATCH(Settings!$L$11,$A$1:$Z$1,0))&amp;""),""),4)),VALUE(MID(IFERROR(TRIM(INDEX($A410:$Z410,MATCH(Settings!$L$11,$A$1:$Z$1,0))&amp;""),""),6,2)),VALUE(MID(IFERROR(TRIM(INDEX($A410:$Z410,MATCH(Settings!$L$11,$A$1:$Z$1,0))&amp;""),""),9,2)))+TIME(VALUE(MID(IFERROR(TRIM(INDEX($A410:$Z410,MATCH(Settings!$L$11,$A$1:$Z$1,0))&amp;""),""),12,2)),VALUE(MID(IFERROR(TRIM(INDEX($A410:$Z410,MATCH(Settings!$L$11,$A$1:$Z$1,0))&amp;""),""),15,2)),VALUE(MID(IFERROR(TRIM(INDEX($A410:$Z410,MATCH(Settings!$L$11,$A$1:$Z$1,0))&amp;""),""),18,2)))),"")),"")))</f>
        <v/>
      </c>
      <c r="AM410" s="31">
        <f>IF(AE410="","",IF(ISNUMBER(IFERROR(INDEX(Settings!$G$4:$G$11,MATCH(AH410,Settings!$F$4:$F$11,0)),"")),INDEX(Settings!$G$4:$G$11,MATCH(AH410,Settings!$F$4:$F$11,0)),Settings!$D$5))</f>
        <v/>
      </c>
      <c r="AN410" s="32">
        <f>IF(OR(AE410="",NOT(ISNUMBER(AL410)),NOT(ISNUMBER(AM410))),"",IF(AM410&lt;=0,"",IF(ISNUMBER(Settings!$D$8),DATE(YEAR(AL410)+IF(DATE(YEAR(AL410),MONTH(Settings!$D$8),DAY(Settings!$D$8))&gt;AL410,0,1),MONTH(Settings!$D$8),DAY(Settings!$D$8)),MIN(DATE(YEAR(AL410),MONTH(AL410)+AM410,DAY(AL410)),DATE(YEAR(AL410),MONTH(AL410)+AM410+1,0)))))</f>
        <v/>
      </c>
      <c r="AO410" s="31">
        <f>IF(ISNUMBER(AN410),AN410-Settings!$D$4,"")</f>
        <v/>
      </c>
      <c r="AP410" s="31">
        <f>IF(ISNUMBER(AL410),AL410+0+ROW()/100000,"")</f>
        <v/>
      </c>
      <c r="AQ410" s="31">
        <f>IF(OR(AG410="",NOT(ISNUMBER(AP410))),0,IF(SUMPRODUCT(('Responses'!$AG$2:$AG$501=AG410)*('Responses'!$AJ$2:$AJ$501=1)*ISNUMBER('Responses'!$AP$2:$AP$501)*('Responses'!$AP$2:$AP$501&gt;AP410)) + SUMPRODUCT(('Paper sign-ups'!$K$2:$K$101=AG410)*('Paper sign-ups'!$N$2:$N$101=1)*ISNUMBER('Paper sign-ups'!$T$2:$T$101)*('Paper sign-ups'!$T$2:$T$101&gt;AP410))&gt;0,1,0))</f>
        <v/>
      </c>
      <c r="AR410" s="31">
        <f>IF(AE410="","",IF(AQ410=1,"Joined again",IF(AJ410=0,"Unpaid",IF(NOT(ISNUMBER(AL410)),"Add a join date",IF(AN410="","No reminder",IF(AO410&lt;0,"Lapsed",IF(AO410&lt;=Settings!$D$6,"Remind soon","Current")))))))</f>
        <v/>
      </c>
      <c r="AS410" s="33">
        <f>IF(AJ410=1,IFERROR(VALUE(IFERROR(TRIM(INDEX($A410:$Z410,MATCH(Settings!$L$8,$A$1:$Z$1,0))&amp;""),"")),0)-IFERROR(VALUE(IFERROR(TRIM(INDEX($A410:$Z410,MATCH(Settings!$L$9,$A$1:$Z$1,0))&amp;""),"")),0),0)</f>
        <v/>
      </c>
      <c r="AT410" s="31">
        <f>IF(AND(AE410&lt;&gt;"",AQ410=0),1,0)</f>
        <v/>
      </c>
      <c r="AU410" s="31">
        <f>IF(AT410=0,"",IF(ISNUMBER(AN410),AN410,100000)+0+ROW()/1000000)</f>
        <v/>
      </c>
      <c r="AV410" s="31">
        <f>IF(ISNUMBER(AU410),SUMPRODUCT(ISNUMBER('Responses'!$AU$2:$AU$501)*('Responses'!$AU$2:$AU$501&lt;AU410)) + SUMPRODUCT(ISNUMBER('Paper sign-ups'!$Y$2:$Y$101)*('Paper sign-ups'!$Y$2:$Y$101&lt;AU410))+1,"")</f>
        <v/>
      </c>
    </row>
    <row r="411">
      <c r="AA411" s="29" t="n"/>
      <c r="AB411" s="30" t="n"/>
      <c r="AC411" s="30" t="n"/>
      <c r="AD411" s="29" t="n"/>
      <c r="AE411" s="31">
        <f>IFERROR(TRIM(INDEX($A411:$Z411,MATCH(Settings!$L$4,$A$1:$Z$1,0))&amp;""),"")</f>
        <v/>
      </c>
      <c r="AF411" s="31">
        <f>IFERROR(TRIM(INDEX($A411:$Z411,MATCH(Settings!$L$5,$A$1:$Z$1,0))&amp;""),"")</f>
        <v/>
      </c>
      <c r="AG411" s="31">
        <f>IF(AE411="","",LOWER(IF(AF411&lt;&gt;"",AF411,AE411)))</f>
        <v/>
      </c>
      <c r="AH411" s="31">
        <f>IFERROR(TRIM(INDEX($A411:$Z411,MATCH(Settings!$L$6,$A$1:$Z$1,0))&amp;""),"")</f>
        <v/>
      </c>
      <c r="AI411" s="31">
        <f>IF(AE411="","",IF(UPPER(TRIM(AB411&amp;""))="Y","Paid another way",IF(IFERROR(TRIM(INDEX($A411:$Z411,MATCH(Settings!$L$7,$A$1:$Z$1,0))&amp;""),"")="","No payment status",IFERROR(TRIM(INDEX($A411:$Z411,MATCH(Settings!$L$7,$A$1:$Z$1,0))&amp;""),""))))</f>
        <v/>
      </c>
      <c r="AJ411" s="31">
        <f>IF(AE411="",0,IF(IFERROR(INDEX(Settings!$J$4:$J$14,MATCH(AI411,Settings!$I$4:$I$14,0)),"N")="Y",1,0))</f>
        <v/>
      </c>
      <c r="AK411" s="32">
        <f>IFERROR(INT(IFERROR(IF(ISNUMBER(INDEX($A411:$Z411,MATCH(Settings!$L$10,$A$1:$Z$1,0))),INDEX($A411:$Z411,MATCH(Settings!$L$10,$A$1:$Z$1,0)),DATE(VALUE(LEFT(IFERROR(TRIM(INDEX($A411:$Z411,MATCH(Settings!$L$10,$A$1:$Z$1,0))&amp;""),""),4)),VALUE(MID(IFERROR(TRIM(INDEX($A411:$Z411,MATCH(Settings!$L$10,$A$1:$Z$1,0))&amp;""),""),6,2)),VALUE(MID(IFERROR(TRIM(INDEX($A411:$Z411,MATCH(Settings!$L$10,$A$1:$Z$1,0))&amp;""),""),9,2)))+TIME(VALUE(MID(IFERROR(TRIM(INDEX($A411:$Z411,MATCH(Settings!$L$10,$A$1:$Z$1,0))&amp;""),""),12,2)),VALUE(MID(IFERROR(TRIM(INDEX($A411:$Z411,MATCH(Settings!$L$10,$A$1:$Z$1,0))&amp;""),""),15,2)),VALUE(MID(IFERROR(TRIM(INDEX($A411:$Z411,MATCH(Settings!$L$10,$A$1:$Z$1,0))&amp;""),""),18,2)))),"")),"")</f>
        <v/>
      </c>
      <c r="AL411" s="32">
        <f>IF(AE411="","",IF(ISNUMBER(AK411),AK411,IFERROR(INT(IFERROR(IF(ISNUMBER(INDEX($A411:$Z411,MATCH(Settings!$L$11,$A$1:$Z$1,0))),INDEX($A411:$Z411,MATCH(Settings!$L$11,$A$1:$Z$1,0)),DATE(VALUE(LEFT(IFERROR(TRIM(INDEX($A411:$Z411,MATCH(Settings!$L$11,$A$1:$Z$1,0))&amp;""),""),4)),VALUE(MID(IFERROR(TRIM(INDEX($A411:$Z411,MATCH(Settings!$L$11,$A$1:$Z$1,0))&amp;""),""),6,2)),VALUE(MID(IFERROR(TRIM(INDEX($A411:$Z411,MATCH(Settings!$L$11,$A$1:$Z$1,0))&amp;""),""),9,2)))+TIME(VALUE(MID(IFERROR(TRIM(INDEX($A411:$Z411,MATCH(Settings!$L$11,$A$1:$Z$1,0))&amp;""),""),12,2)),VALUE(MID(IFERROR(TRIM(INDEX($A411:$Z411,MATCH(Settings!$L$11,$A$1:$Z$1,0))&amp;""),""),15,2)),VALUE(MID(IFERROR(TRIM(INDEX($A411:$Z411,MATCH(Settings!$L$11,$A$1:$Z$1,0))&amp;""),""),18,2)))),"")),"")))</f>
        <v/>
      </c>
      <c r="AM411" s="31">
        <f>IF(AE411="","",IF(ISNUMBER(IFERROR(INDEX(Settings!$G$4:$G$11,MATCH(AH411,Settings!$F$4:$F$11,0)),"")),INDEX(Settings!$G$4:$G$11,MATCH(AH411,Settings!$F$4:$F$11,0)),Settings!$D$5))</f>
        <v/>
      </c>
      <c r="AN411" s="32">
        <f>IF(OR(AE411="",NOT(ISNUMBER(AL411)),NOT(ISNUMBER(AM411))),"",IF(AM411&lt;=0,"",IF(ISNUMBER(Settings!$D$8),DATE(YEAR(AL411)+IF(DATE(YEAR(AL411),MONTH(Settings!$D$8),DAY(Settings!$D$8))&gt;AL411,0,1),MONTH(Settings!$D$8),DAY(Settings!$D$8)),MIN(DATE(YEAR(AL411),MONTH(AL411)+AM411,DAY(AL411)),DATE(YEAR(AL411),MONTH(AL411)+AM411+1,0)))))</f>
        <v/>
      </c>
      <c r="AO411" s="31">
        <f>IF(ISNUMBER(AN411),AN411-Settings!$D$4,"")</f>
        <v/>
      </c>
      <c r="AP411" s="31">
        <f>IF(ISNUMBER(AL411),AL411+0+ROW()/100000,"")</f>
        <v/>
      </c>
      <c r="AQ411" s="31">
        <f>IF(OR(AG411="",NOT(ISNUMBER(AP411))),0,IF(SUMPRODUCT(('Responses'!$AG$2:$AG$501=AG411)*('Responses'!$AJ$2:$AJ$501=1)*ISNUMBER('Responses'!$AP$2:$AP$501)*('Responses'!$AP$2:$AP$501&gt;AP411)) + SUMPRODUCT(('Paper sign-ups'!$K$2:$K$101=AG411)*('Paper sign-ups'!$N$2:$N$101=1)*ISNUMBER('Paper sign-ups'!$T$2:$T$101)*('Paper sign-ups'!$T$2:$T$101&gt;AP411))&gt;0,1,0))</f>
        <v/>
      </c>
      <c r="AR411" s="31">
        <f>IF(AE411="","",IF(AQ411=1,"Joined again",IF(AJ411=0,"Unpaid",IF(NOT(ISNUMBER(AL411)),"Add a join date",IF(AN411="","No reminder",IF(AO411&lt;0,"Lapsed",IF(AO411&lt;=Settings!$D$6,"Remind soon","Current")))))))</f>
        <v/>
      </c>
      <c r="AS411" s="33">
        <f>IF(AJ411=1,IFERROR(VALUE(IFERROR(TRIM(INDEX($A411:$Z411,MATCH(Settings!$L$8,$A$1:$Z$1,0))&amp;""),"")),0)-IFERROR(VALUE(IFERROR(TRIM(INDEX($A411:$Z411,MATCH(Settings!$L$9,$A$1:$Z$1,0))&amp;""),"")),0),0)</f>
        <v/>
      </c>
      <c r="AT411" s="31">
        <f>IF(AND(AE411&lt;&gt;"",AQ411=0),1,0)</f>
        <v/>
      </c>
      <c r="AU411" s="31">
        <f>IF(AT411=0,"",IF(ISNUMBER(AN411),AN411,100000)+0+ROW()/1000000)</f>
        <v/>
      </c>
      <c r="AV411" s="31">
        <f>IF(ISNUMBER(AU411),SUMPRODUCT(ISNUMBER('Responses'!$AU$2:$AU$501)*('Responses'!$AU$2:$AU$501&lt;AU411)) + SUMPRODUCT(ISNUMBER('Paper sign-ups'!$Y$2:$Y$101)*('Paper sign-ups'!$Y$2:$Y$101&lt;AU411))+1,"")</f>
        <v/>
      </c>
    </row>
    <row r="412">
      <c r="AA412" s="29" t="n"/>
      <c r="AB412" s="30" t="n"/>
      <c r="AC412" s="30" t="n"/>
      <c r="AD412" s="29" t="n"/>
      <c r="AE412" s="31">
        <f>IFERROR(TRIM(INDEX($A412:$Z412,MATCH(Settings!$L$4,$A$1:$Z$1,0))&amp;""),"")</f>
        <v/>
      </c>
      <c r="AF412" s="31">
        <f>IFERROR(TRIM(INDEX($A412:$Z412,MATCH(Settings!$L$5,$A$1:$Z$1,0))&amp;""),"")</f>
        <v/>
      </c>
      <c r="AG412" s="31">
        <f>IF(AE412="","",LOWER(IF(AF412&lt;&gt;"",AF412,AE412)))</f>
        <v/>
      </c>
      <c r="AH412" s="31">
        <f>IFERROR(TRIM(INDEX($A412:$Z412,MATCH(Settings!$L$6,$A$1:$Z$1,0))&amp;""),"")</f>
        <v/>
      </c>
      <c r="AI412" s="31">
        <f>IF(AE412="","",IF(UPPER(TRIM(AB412&amp;""))="Y","Paid another way",IF(IFERROR(TRIM(INDEX($A412:$Z412,MATCH(Settings!$L$7,$A$1:$Z$1,0))&amp;""),"")="","No payment status",IFERROR(TRIM(INDEX($A412:$Z412,MATCH(Settings!$L$7,$A$1:$Z$1,0))&amp;""),""))))</f>
        <v/>
      </c>
      <c r="AJ412" s="31">
        <f>IF(AE412="",0,IF(IFERROR(INDEX(Settings!$J$4:$J$14,MATCH(AI412,Settings!$I$4:$I$14,0)),"N")="Y",1,0))</f>
        <v/>
      </c>
      <c r="AK412" s="32">
        <f>IFERROR(INT(IFERROR(IF(ISNUMBER(INDEX($A412:$Z412,MATCH(Settings!$L$10,$A$1:$Z$1,0))),INDEX($A412:$Z412,MATCH(Settings!$L$10,$A$1:$Z$1,0)),DATE(VALUE(LEFT(IFERROR(TRIM(INDEX($A412:$Z412,MATCH(Settings!$L$10,$A$1:$Z$1,0))&amp;""),""),4)),VALUE(MID(IFERROR(TRIM(INDEX($A412:$Z412,MATCH(Settings!$L$10,$A$1:$Z$1,0))&amp;""),""),6,2)),VALUE(MID(IFERROR(TRIM(INDEX($A412:$Z412,MATCH(Settings!$L$10,$A$1:$Z$1,0))&amp;""),""),9,2)))+TIME(VALUE(MID(IFERROR(TRIM(INDEX($A412:$Z412,MATCH(Settings!$L$10,$A$1:$Z$1,0))&amp;""),""),12,2)),VALUE(MID(IFERROR(TRIM(INDEX($A412:$Z412,MATCH(Settings!$L$10,$A$1:$Z$1,0))&amp;""),""),15,2)),VALUE(MID(IFERROR(TRIM(INDEX($A412:$Z412,MATCH(Settings!$L$10,$A$1:$Z$1,0))&amp;""),""),18,2)))),"")),"")</f>
        <v/>
      </c>
      <c r="AL412" s="32">
        <f>IF(AE412="","",IF(ISNUMBER(AK412),AK412,IFERROR(INT(IFERROR(IF(ISNUMBER(INDEX($A412:$Z412,MATCH(Settings!$L$11,$A$1:$Z$1,0))),INDEX($A412:$Z412,MATCH(Settings!$L$11,$A$1:$Z$1,0)),DATE(VALUE(LEFT(IFERROR(TRIM(INDEX($A412:$Z412,MATCH(Settings!$L$11,$A$1:$Z$1,0))&amp;""),""),4)),VALUE(MID(IFERROR(TRIM(INDEX($A412:$Z412,MATCH(Settings!$L$11,$A$1:$Z$1,0))&amp;""),""),6,2)),VALUE(MID(IFERROR(TRIM(INDEX($A412:$Z412,MATCH(Settings!$L$11,$A$1:$Z$1,0))&amp;""),""),9,2)))+TIME(VALUE(MID(IFERROR(TRIM(INDEX($A412:$Z412,MATCH(Settings!$L$11,$A$1:$Z$1,0))&amp;""),""),12,2)),VALUE(MID(IFERROR(TRIM(INDEX($A412:$Z412,MATCH(Settings!$L$11,$A$1:$Z$1,0))&amp;""),""),15,2)),VALUE(MID(IFERROR(TRIM(INDEX($A412:$Z412,MATCH(Settings!$L$11,$A$1:$Z$1,0))&amp;""),""),18,2)))),"")),"")))</f>
        <v/>
      </c>
      <c r="AM412" s="31">
        <f>IF(AE412="","",IF(ISNUMBER(IFERROR(INDEX(Settings!$G$4:$G$11,MATCH(AH412,Settings!$F$4:$F$11,0)),"")),INDEX(Settings!$G$4:$G$11,MATCH(AH412,Settings!$F$4:$F$11,0)),Settings!$D$5))</f>
        <v/>
      </c>
      <c r="AN412" s="32">
        <f>IF(OR(AE412="",NOT(ISNUMBER(AL412)),NOT(ISNUMBER(AM412))),"",IF(AM412&lt;=0,"",IF(ISNUMBER(Settings!$D$8),DATE(YEAR(AL412)+IF(DATE(YEAR(AL412),MONTH(Settings!$D$8),DAY(Settings!$D$8))&gt;AL412,0,1),MONTH(Settings!$D$8),DAY(Settings!$D$8)),MIN(DATE(YEAR(AL412),MONTH(AL412)+AM412,DAY(AL412)),DATE(YEAR(AL412),MONTH(AL412)+AM412+1,0)))))</f>
        <v/>
      </c>
      <c r="AO412" s="31">
        <f>IF(ISNUMBER(AN412),AN412-Settings!$D$4,"")</f>
        <v/>
      </c>
      <c r="AP412" s="31">
        <f>IF(ISNUMBER(AL412),AL412+0+ROW()/100000,"")</f>
        <v/>
      </c>
      <c r="AQ412" s="31">
        <f>IF(OR(AG412="",NOT(ISNUMBER(AP412))),0,IF(SUMPRODUCT(('Responses'!$AG$2:$AG$501=AG412)*('Responses'!$AJ$2:$AJ$501=1)*ISNUMBER('Responses'!$AP$2:$AP$501)*('Responses'!$AP$2:$AP$501&gt;AP412)) + SUMPRODUCT(('Paper sign-ups'!$K$2:$K$101=AG412)*('Paper sign-ups'!$N$2:$N$101=1)*ISNUMBER('Paper sign-ups'!$T$2:$T$101)*('Paper sign-ups'!$T$2:$T$101&gt;AP412))&gt;0,1,0))</f>
        <v/>
      </c>
      <c r="AR412" s="31">
        <f>IF(AE412="","",IF(AQ412=1,"Joined again",IF(AJ412=0,"Unpaid",IF(NOT(ISNUMBER(AL412)),"Add a join date",IF(AN412="","No reminder",IF(AO412&lt;0,"Lapsed",IF(AO412&lt;=Settings!$D$6,"Remind soon","Current")))))))</f>
        <v/>
      </c>
      <c r="AS412" s="33">
        <f>IF(AJ412=1,IFERROR(VALUE(IFERROR(TRIM(INDEX($A412:$Z412,MATCH(Settings!$L$8,$A$1:$Z$1,0))&amp;""),"")),0)-IFERROR(VALUE(IFERROR(TRIM(INDEX($A412:$Z412,MATCH(Settings!$L$9,$A$1:$Z$1,0))&amp;""),"")),0),0)</f>
        <v/>
      </c>
      <c r="AT412" s="31">
        <f>IF(AND(AE412&lt;&gt;"",AQ412=0),1,0)</f>
        <v/>
      </c>
      <c r="AU412" s="31">
        <f>IF(AT412=0,"",IF(ISNUMBER(AN412),AN412,100000)+0+ROW()/1000000)</f>
        <v/>
      </c>
      <c r="AV412" s="31">
        <f>IF(ISNUMBER(AU412),SUMPRODUCT(ISNUMBER('Responses'!$AU$2:$AU$501)*('Responses'!$AU$2:$AU$501&lt;AU412)) + SUMPRODUCT(ISNUMBER('Paper sign-ups'!$Y$2:$Y$101)*('Paper sign-ups'!$Y$2:$Y$101&lt;AU412))+1,"")</f>
        <v/>
      </c>
    </row>
    <row r="413">
      <c r="AA413" s="29" t="n"/>
      <c r="AB413" s="30" t="n"/>
      <c r="AC413" s="30" t="n"/>
      <c r="AD413" s="29" t="n"/>
      <c r="AE413" s="31">
        <f>IFERROR(TRIM(INDEX($A413:$Z413,MATCH(Settings!$L$4,$A$1:$Z$1,0))&amp;""),"")</f>
        <v/>
      </c>
      <c r="AF413" s="31">
        <f>IFERROR(TRIM(INDEX($A413:$Z413,MATCH(Settings!$L$5,$A$1:$Z$1,0))&amp;""),"")</f>
        <v/>
      </c>
      <c r="AG413" s="31">
        <f>IF(AE413="","",LOWER(IF(AF413&lt;&gt;"",AF413,AE413)))</f>
        <v/>
      </c>
      <c r="AH413" s="31">
        <f>IFERROR(TRIM(INDEX($A413:$Z413,MATCH(Settings!$L$6,$A$1:$Z$1,0))&amp;""),"")</f>
        <v/>
      </c>
      <c r="AI413" s="31">
        <f>IF(AE413="","",IF(UPPER(TRIM(AB413&amp;""))="Y","Paid another way",IF(IFERROR(TRIM(INDEX($A413:$Z413,MATCH(Settings!$L$7,$A$1:$Z$1,0))&amp;""),"")="","No payment status",IFERROR(TRIM(INDEX($A413:$Z413,MATCH(Settings!$L$7,$A$1:$Z$1,0))&amp;""),""))))</f>
        <v/>
      </c>
      <c r="AJ413" s="31">
        <f>IF(AE413="",0,IF(IFERROR(INDEX(Settings!$J$4:$J$14,MATCH(AI413,Settings!$I$4:$I$14,0)),"N")="Y",1,0))</f>
        <v/>
      </c>
      <c r="AK413" s="32">
        <f>IFERROR(INT(IFERROR(IF(ISNUMBER(INDEX($A413:$Z413,MATCH(Settings!$L$10,$A$1:$Z$1,0))),INDEX($A413:$Z413,MATCH(Settings!$L$10,$A$1:$Z$1,0)),DATE(VALUE(LEFT(IFERROR(TRIM(INDEX($A413:$Z413,MATCH(Settings!$L$10,$A$1:$Z$1,0))&amp;""),""),4)),VALUE(MID(IFERROR(TRIM(INDEX($A413:$Z413,MATCH(Settings!$L$10,$A$1:$Z$1,0))&amp;""),""),6,2)),VALUE(MID(IFERROR(TRIM(INDEX($A413:$Z413,MATCH(Settings!$L$10,$A$1:$Z$1,0))&amp;""),""),9,2)))+TIME(VALUE(MID(IFERROR(TRIM(INDEX($A413:$Z413,MATCH(Settings!$L$10,$A$1:$Z$1,0))&amp;""),""),12,2)),VALUE(MID(IFERROR(TRIM(INDEX($A413:$Z413,MATCH(Settings!$L$10,$A$1:$Z$1,0))&amp;""),""),15,2)),VALUE(MID(IFERROR(TRIM(INDEX($A413:$Z413,MATCH(Settings!$L$10,$A$1:$Z$1,0))&amp;""),""),18,2)))),"")),"")</f>
        <v/>
      </c>
      <c r="AL413" s="32">
        <f>IF(AE413="","",IF(ISNUMBER(AK413),AK413,IFERROR(INT(IFERROR(IF(ISNUMBER(INDEX($A413:$Z413,MATCH(Settings!$L$11,$A$1:$Z$1,0))),INDEX($A413:$Z413,MATCH(Settings!$L$11,$A$1:$Z$1,0)),DATE(VALUE(LEFT(IFERROR(TRIM(INDEX($A413:$Z413,MATCH(Settings!$L$11,$A$1:$Z$1,0))&amp;""),""),4)),VALUE(MID(IFERROR(TRIM(INDEX($A413:$Z413,MATCH(Settings!$L$11,$A$1:$Z$1,0))&amp;""),""),6,2)),VALUE(MID(IFERROR(TRIM(INDEX($A413:$Z413,MATCH(Settings!$L$11,$A$1:$Z$1,0))&amp;""),""),9,2)))+TIME(VALUE(MID(IFERROR(TRIM(INDEX($A413:$Z413,MATCH(Settings!$L$11,$A$1:$Z$1,0))&amp;""),""),12,2)),VALUE(MID(IFERROR(TRIM(INDEX($A413:$Z413,MATCH(Settings!$L$11,$A$1:$Z$1,0))&amp;""),""),15,2)),VALUE(MID(IFERROR(TRIM(INDEX($A413:$Z413,MATCH(Settings!$L$11,$A$1:$Z$1,0))&amp;""),""),18,2)))),"")),"")))</f>
        <v/>
      </c>
      <c r="AM413" s="31">
        <f>IF(AE413="","",IF(ISNUMBER(IFERROR(INDEX(Settings!$G$4:$G$11,MATCH(AH413,Settings!$F$4:$F$11,0)),"")),INDEX(Settings!$G$4:$G$11,MATCH(AH413,Settings!$F$4:$F$11,0)),Settings!$D$5))</f>
        <v/>
      </c>
      <c r="AN413" s="32">
        <f>IF(OR(AE413="",NOT(ISNUMBER(AL413)),NOT(ISNUMBER(AM413))),"",IF(AM413&lt;=0,"",IF(ISNUMBER(Settings!$D$8),DATE(YEAR(AL413)+IF(DATE(YEAR(AL413),MONTH(Settings!$D$8),DAY(Settings!$D$8))&gt;AL413,0,1),MONTH(Settings!$D$8),DAY(Settings!$D$8)),MIN(DATE(YEAR(AL413),MONTH(AL413)+AM413,DAY(AL413)),DATE(YEAR(AL413),MONTH(AL413)+AM413+1,0)))))</f>
        <v/>
      </c>
      <c r="AO413" s="31">
        <f>IF(ISNUMBER(AN413),AN413-Settings!$D$4,"")</f>
        <v/>
      </c>
      <c r="AP413" s="31">
        <f>IF(ISNUMBER(AL413),AL413+0+ROW()/100000,"")</f>
        <v/>
      </c>
      <c r="AQ413" s="31">
        <f>IF(OR(AG413="",NOT(ISNUMBER(AP413))),0,IF(SUMPRODUCT(('Responses'!$AG$2:$AG$501=AG413)*('Responses'!$AJ$2:$AJ$501=1)*ISNUMBER('Responses'!$AP$2:$AP$501)*('Responses'!$AP$2:$AP$501&gt;AP413)) + SUMPRODUCT(('Paper sign-ups'!$K$2:$K$101=AG413)*('Paper sign-ups'!$N$2:$N$101=1)*ISNUMBER('Paper sign-ups'!$T$2:$T$101)*('Paper sign-ups'!$T$2:$T$101&gt;AP413))&gt;0,1,0))</f>
        <v/>
      </c>
      <c r="AR413" s="31">
        <f>IF(AE413="","",IF(AQ413=1,"Joined again",IF(AJ413=0,"Unpaid",IF(NOT(ISNUMBER(AL413)),"Add a join date",IF(AN413="","No reminder",IF(AO413&lt;0,"Lapsed",IF(AO413&lt;=Settings!$D$6,"Remind soon","Current")))))))</f>
        <v/>
      </c>
      <c r="AS413" s="33">
        <f>IF(AJ413=1,IFERROR(VALUE(IFERROR(TRIM(INDEX($A413:$Z413,MATCH(Settings!$L$8,$A$1:$Z$1,0))&amp;""),"")),0)-IFERROR(VALUE(IFERROR(TRIM(INDEX($A413:$Z413,MATCH(Settings!$L$9,$A$1:$Z$1,0))&amp;""),"")),0),0)</f>
        <v/>
      </c>
      <c r="AT413" s="31">
        <f>IF(AND(AE413&lt;&gt;"",AQ413=0),1,0)</f>
        <v/>
      </c>
      <c r="AU413" s="31">
        <f>IF(AT413=0,"",IF(ISNUMBER(AN413),AN413,100000)+0+ROW()/1000000)</f>
        <v/>
      </c>
      <c r="AV413" s="31">
        <f>IF(ISNUMBER(AU413),SUMPRODUCT(ISNUMBER('Responses'!$AU$2:$AU$501)*('Responses'!$AU$2:$AU$501&lt;AU413)) + SUMPRODUCT(ISNUMBER('Paper sign-ups'!$Y$2:$Y$101)*('Paper sign-ups'!$Y$2:$Y$101&lt;AU413))+1,"")</f>
        <v/>
      </c>
    </row>
    <row r="414">
      <c r="AA414" s="29" t="n"/>
      <c r="AB414" s="30" t="n"/>
      <c r="AC414" s="30" t="n"/>
      <c r="AD414" s="29" t="n"/>
      <c r="AE414" s="31">
        <f>IFERROR(TRIM(INDEX($A414:$Z414,MATCH(Settings!$L$4,$A$1:$Z$1,0))&amp;""),"")</f>
        <v/>
      </c>
      <c r="AF414" s="31">
        <f>IFERROR(TRIM(INDEX($A414:$Z414,MATCH(Settings!$L$5,$A$1:$Z$1,0))&amp;""),"")</f>
        <v/>
      </c>
      <c r="AG414" s="31">
        <f>IF(AE414="","",LOWER(IF(AF414&lt;&gt;"",AF414,AE414)))</f>
        <v/>
      </c>
      <c r="AH414" s="31">
        <f>IFERROR(TRIM(INDEX($A414:$Z414,MATCH(Settings!$L$6,$A$1:$Z$1,0))&amp;""),"")</f>
        <v/>
      </c>
      <c r="AI414" s="31">
        <f>IF(AE414="","",IF(UPPER(TRIM(AB414&amp;""))="Y","Paid another way",IF(IFERROR(TRIM(INDEX($A414:$Z414,MATCH(Settings!$L$7,$A$1:$Z$1,0))&amp;""),"")="","No payment status",IFERROR(TRIM(INDEX($A414:$Z414,MATCH(Settings!$L$7,$A$1:$Z$1,0))&amp;""),""))))</f>
        <v/>
      </c>
      <c r="AJ414" s="31">
        <f>IF(AE414="",0,IF(IFERROR(INDEX(Settings!$J$4:$J$14,MATCH(AI414,Settings!$I$4:$I$14,0)),"N")="Y",1,0))</f>
        <v/>
      </c>
      <c r="AK414" s="32">
        <f>IFERROR(INT(IFERROR(IF(ISNUMBER(INDEX($A414:$Z414,MATCH(Settings!$L$10,$A$1:$Z$1,0))),INDEX($A414:$Z414,MATCH(Settings!$L$10,$A$1:$Z$1,0)),DATE(VALUE(LEFT(IFERROR(TRIM(INDEX($A414:$Z414,MATCH(Settings!$L$10,$A$1:$Z$1,0))&amp;""),""),4)),VALUE(MID(IFERROR(TRIM(INDEX($A414:$Z414,MATCH(Settings!$L$10,$A$1:$Z$1,0))&amp;""),""),6,2)),VALUE(MID(IFERROR(TRIM(INDEX($A414:$Z414,MATCH(Settings!$L$10,$A$1:$Z$1,0))&amp;""),""),9,2)))+TIME(VALUE(MID(IFERROR(TRIM(INDEX($A414:$Z414,MATCH(Settings!$L$10,$A$1:$Z$1,0))&amp;""),""),12,2)),VALUE(MID(IFERROR(TRIM(INDEX($A414:$Z414,MATCH(Settings!$L$10,$A$1:$Z$1,0))&amp;""),""),15,2)),VALUE(MID(IFERROR(TRIM(INDEX($A414:$Z414,MATCH(Settings!$L$10,$A$1:$Z$1,0))&amp;""),""),18,2)))),"")),"")</f>
        <v/>
      </c>
      <c r="AL414" s="32">
        <f>IF(AE414="","",IF(ISNUMBER(AK414),AK414,IFERROR(INT(IFERROR(IF(ISNUMBER(INDEX($A414:$Z414,MATCH(Settings!$L$11,$A$1:$Z$1,0))),INDEX($A414:$Z414,MATCH(Settings!$L$11,$A$1:$Z$1,0)),DATE(VALUE(LEFT(IFERROR(TRIM(INDEX($A414:$Z414,MATCH(Settings!$L$11,$A$1:$Z$1,0))&amp;""),""),4)),VALUE(MID(IFERROR(TRIM(INDEX($A414:$Z414,MATCH(Settings!$L$11,$A$1:$Z$1,0))&amp;""),""),6,2)),VALUE(MID(IFERROR(TRIM(INDEX($A414:$Z414,MATCH(Settings!$L$11,$A$1:$Z$1,0))&amp;""),""),9,2)))+TIME(VALUE(MID(IFERROR(TRIM(INDEX($A414:$Z414,MATCH(Settings!$L$11,$A$1:$Z$1,0))&amp;""),""),12,2)),VALUE(MID(IFERROR(TRIM(INDEX($A414:$Z414,MATCH(Settings!$L$11,$A$1:$Z$1,0))&amp;""),""),15,2)),VALUE(MID(IFERROR(TRIM(INDEX($A414:$Z414,MATCH(Settings!$L$11,$A$1:$Z$1,0))&amp;""),""),18,2)))),"")),"")))</f>
        <v/>
      </c>
      <c r="AM414" s="31">
        <f>IF(AE414="","",IF(ISNUMBER(IFERROR(INDEX(Settings!$G$4:$G$11,MATCH(AH414,Settings!$F$4:$F$11,0)),"")),INDEX(Settings!$G$4:$G$11,MATCH(AH414,Settings!$F$4:$F$11,0)),Settings!$D$5))</f>
        <v/>
      </c>
      <c r="AN414" s="32">
        <f>IF(OR(AE414="",NOT(ISNUMBER(AL414)),NOT(ISNUMBER(AM414))),"",IF(AM414&lt;=0,"",IF(ISNUMBER(Settings!$D$8),DATE(YEAR(AL414)+IF(DATE(YEAR(AL414),MONTH(Settings!$D$8),DAY(Settings!$D$8))&gt;AL414,0,1),MONTH(Settings!$D$8),DAY(Settings!$D$8)),MIN(DATE(YEAR(AL414),MONTH(AL414)+AM414,DAY(AL414)),DATE(YEAR(AL414),MONTH(AL414)+AM414+1,0)))))</f>
        <v/>
      </c>
      <c r="AO414" s="31">
        <f>IF(ISNUMBER(AN414),AN414-Settings!$D$4,"")</f>
        <v/>
      </c>
      <c r="AP414" s="31">
        <f>IF(ISNUMBER(AL414),AL414+0+ROW()/100000,"")</f>
        <v/>
      </c>
      <c r="AQ414" s="31">
        <f>IF(OR(AG414="",NOT(ISNUMBER(AP414))),0,IF(SUMPRODUCT(('Responses'!$AG$2:$AG$501=AG414)*('Responses'!$AJ$2:$AJ$501=1)*ISNUMBER('Responses'!$AP$2:$AP$501)*('Responses'!$AP$2:$AP$501&gt;AP414)) + SUMPRODUCT(('Paper sign-ups'!$K$2:$K$101=AG414)*('Paper sign-ups'!$N$2:$N$101=1)*ISNUMBER('Paper sign-ups'!$T$2:$T$101)*('Paper sign-ups'!$T$2:$T$101&gt;AP414))&gt;0,1,0))</f>
        <v/>
      </c>
      <c r="AR414" s="31">
        <f>IF(AE414="","",IF(AQ414=1,"Joined again",IF(AJ414=0,"Unpaid",IF(NOT(ISNUMBER(AL414)),"Add a join date",IF(AN414="","No reminder",IF(AO414&lt;0,"Lapsed",IF(AO414&lt;=Settings!$D$6,"Remind soon","Current")))))))</f>
        <v/>
      </c>
      <c r="AS414" s="33">
        <f>IF(AJ414=1,IFERROR(VALUE(IFERROR(TRIM(INDEX($A414:$Z414,MATCH(Settings!$L$8,$A$1:$Z$1,0))&amp;""),"")),0)-IFERROR(VALUE(IFERROR(TRIM(INDEX($A414:$Z414,MATCH(Settings!$L$9,$A$1:$Z$1,0))&amp;""),"")),0),0)</f>
        <v/>
      </c>
      <c r="AT414" s="31">
        <f>IF(AND(AE414&lt;&gt;"",AQ414=0),1,0)</f>
        <v/>
      </c>
      <c r="AU414" s="31">
        <f>IF(AT414=0,"",IF(ISNUMBER(AN414),AN414,100000)+0+ROW()/1000000)</f>
        <v/>
      </c>
      <c r="AV414" s="31">
        <f>IF(ISNUMBER(AU414),SUMPRODUCT(ISNUMBER('Responses'!$AU$2:$AU$501)*('Responses'!$AU$2:$AU$501&lt;AU414)) + SUMPRODUCT(ISNUMBER('Paper sign-ups'!$Y$2:$Y$101)*('Paper sign-ups'!$Y$2:$Y$101&lt;AU414))+1,"")</f>
        <v/>
      </c>
    </row>
    <row r="415">
      <c r="AA415" s="29" t="n"/>
      <c r="AB415" s="30" t="n"/>
      <c r="AC415" s="30" t="n"/>
      <c r="AD415" s="29" t="n"/>
      <c r="AE415" s="31">
        <f>IFERROR(TRIM(INDEX($A415:$Z415,MATCH(Settings!$L$4,$A$1:$Z$1,0))&amp;""),"")</f>
        <v/>
      </c>
      <c r="AF415" s="31">
        <f>IFERROR(TRIM(INDEX($A415:$Z415,MATCH(Settings!$L$5,$A$1:$Z$1,0))&amp;""),"")</f>
        <v/>
      </c>
      <c r="AG415" s="31">
        <f>IF(AE415="","",LOWER(IF(AF415&lt;&gt;"",AF415,AE415)))</f>
        <v/>
      </c>
      <c r="AH415" s="31">
        <f>IFERROR(TRIM(INDEX($A415:$Z415,MATCH(Settings!$L$6,$A$1:$Z$1,0))&amp;""),"")</f>
        <v/>
      </c>
      <c r="AI415" s="31">
        <f>IF(AE415="","",IF(UPPER(TRIM(AB415&amp;""))="Y","Paid another way",IF(IFERROR(TRIM(INDEX($A415:$Z415,MATCH(Settings!$L$7,$A$1:$Z$1,0))&amp;""),"")="","No payment status",IFERROR(TRIM(INDEX($A415:$Z415,MATCH(Settings!$L$7,$A$1:$Z$1,0))&amp;""),""))))</f>
        <v/>
      </c>
      <c r="AJ415" s="31">
        <f>IF(AE415="",0,IF(IFERROR(INDEX(Settings!$J$4:$J$14,MATCH(AI415,Settings!$I$4:$I$14,0)),"N")="Y",1,0))</f>
        <v/>
      </c>
      <c r="AK415" s="32">
        <f>IFERROR(INT(IFERROR(IF(ISNUMBER(INDEX($A415:$Z415,MATCH(Settings!$L$10,$A$1:$Z$1,0))),INDEX($A415:$Z415,MATCH(Settings!$L$10,$A$1:$Z$1,0)),DATE(VALUE(LEFT(IFERROR(TRIM(INDEX($A415:$Z415,MATCH(Settings!$L$10,$A$1:$Z$1,0))&amp;""),""),4)),VALUE(MID(IFERROR(TRIM(INDEX($A415:$Z415,MATCH(Settings!$L$10,$A$1:$Z$1,0))&amp;""),""),6,2)),VALUE(MID(IFERROR(TRIM(INDEX($A415:$Z415,MATCH(Settings!$L$10,$A$1:$Z$1,0))&amp;""),""),9,2)))+TIME(VALUE(MID(IFERROR(TRIM(INDEX($A415:$Z415,MATCH(Settings!$L$10,$A$1:$Z$1,0))&amp;""),""),12,2)),VALUE(MID(IFERROR(TRIM(INDEX($A415:$Z415,MATCH(Settings!$L$10,$A$1:$Z$1,0))&amp;""),""),15,2)),VALUE(MID(IFERROR(TRIM(INDEX($A415:$Z415,MATCH(Settings!$L$10,$A$1:$Z$1,0))&amp;""),""),18,2)))),"")),"")</f>
        <v/>
      </c>
      <c r="AL415" s="32">
        <f>IF(AE415="","",IF(ISNUMBER(AK415),AK415,IFERROR(INT(IFERROR(IF(ISNUMBER(INDEX($A415:$Z415,MATCH(Settings!$L$11,$A$1:$Z$1,0))),INDEX($A415:$Z415,MATCH(Settings!$L$11,$A$1:$Z$1,0)),DATE(VALUE(LEFT(IFERROR(TRIM(INDEX($A415:$Z415,MATCH(Settings!$L$11,$A$1:$Z$1,0))&amp;""),""),4)),VALUE(MID(IFERROR(TRIM(INDEX($A415:$Z415,MATCH(Settings!$L$11,$A$1:$Z$1,0))&amp;""),""),6,2)),VALUE(MID(IFERROR(TRIM(INDEX($A415:$Z415,MATCH(Settings!$L$11,$A$1:$Z$1,0))&amp;""),""),9,2)))+TIME(VALUE(MID(IFERROR(TRIM(INDEX($A415:$Z415,MATCH(Settings!$L$11,$A$1:$Z$1,0))&amp;""),""),12,2)),VALUE(MID(IFERROR(TRIM(INDEX($A415:$Z415,MATCH(Settings!$L$11,$A$1:$Z$1,0))&amp;""),""),15,2)),VALUE(MID(IFERROR(TRIM(INDEX($A415:$Z415,MATCH(Settings!$L$11,$A$1:$Z$1,0))&amp;""),""),18,2)))),"")),"")))</f>
        <v/>
      </c>
      <c r="AM415" s="31">
        <f>IF(AE415="","",IF(ISNUMBER(IFERROR(INDEX(Settings!$G$4:$G$11,MATCH(AH415,Settings!$F$4:$F$11,0)),"")),INDEX(Settings!$G$4:$G$11,MATCH(AH415,Settings!$F$4:$F$11,0)),Settings!$D$5))</f>
        <v/>
      </c>
      <c r="AN415" s="32">
        <f>IF(OR(AE415="",NOT(ISNUMBER(AL415)),NOT(ISNUMBER(AM415))),"",IF(AM415&lt;=0,"",IF(ISNUMBER(Settings!$D$8),DATE(YEAR(AL415)+IF(DATE(YEAR(AL415),MONTH(Settings!$D$8),DAY(Settings!$D$8))&gt;AL415,0,1),MONTH(Settings!$D$8),DAY(Settings!$D$8)),MIN(DATE(YEAR(AL415),MONTH(AL415)+AM415,DAY(AL415)),DATE(YEAR(AL415),MONTH(AL415)+AM415+1,0)))))</f>
        <v/>
      </c>
      <c r="AO415" s="31">
        <f>IF(ISNUMBER(AN415),AN415-Settings!$D$4,"")</f>
        <v/>
      </c>
      <c r="AP415" s="31">
        <f>IF(ISNUMBER(AL415),AL415+0+ROW()/100000,"")</f>
        <v/>
      </c>
      <c r="AQ415" s="31">
        <f>IF(OR(AG415="",NOT(ISNUMBER(AP415))),0,IF(SUMPRODUCT(('Responses'!$AG$2:$AG$501=AG415)*('Responses'!$AJ$2:$AJ$501=1)*ISNUMBER('Responses'!$AP$2:$AP$501)*('Responses'!$AP$2:$AP$501&gt;AP415)) + SUMPRODUCT(('Paper sign-ups'!$K$2:$K$101=AG415)*('Paper sign-ups'!$N$2:$N$101=1)*ISNUMBER('Paper sign-ups'!$T$2:$T$101)*('Paper sign-ups'!$T$2:$T$101&gt;AP415))&gt;0,1,0))</f>
        <v/>
      </c>
      <c r="AR415" s="31">
        <f>IF(AE415="","",IF(AQ415=1,"Joined again",IF(AJ415=0,"Unpaid",IF(NOT(ISNUMBER(AL415)),"Add a join date",IF(AN415="","No reminder",IF(AO415&lt;0,"Lapsed",IF(AO415&lt;=Settings!$D$6,"Remind soon","Current")))))))</f>
        <v/>
      </c>
      <c r="AS415" s="33">
        <f>IF(AJ415=1,IFERROR(VALUE(IFERROR(TRIM(INDEX($A415:$Z415,MATCH(Settings!$L$8,$A$1:$Z$1,0))&amp;""),"")),0)-IFERROR(VALUE(IFERROR(TRIM(INDEX($A415:$Z415,MATCH(Settings!$L$9,$A$1:$Z$1,0))&amp;""),"")),0),0)</f>
        <v/>
      </c>
      <c r="AT415" s="31">
        <f>IF(AND(AE415&lt;&gt;"",AQ415=0),1,0)</f>
        <v/>
      </c>
      <c r="AU415" s="31">
        <f>IF(AT415=0,"",IF(ISNUMBER(AN415),AN415,100000)+0+ROW()/1000000)</f>
        <v/>
      </c>
      <c r="AV415" s="31">
        <f>IF(ISNUMBER(AU415),SUMPRODUCT(ISNUMBER('Responses'!$AU$2:$AU$501)*('Responses'!$AU$2:$AU$501&lt;AU415)) + SUMPRODUCT(ISNUMBER('Paper sign-ups'!$Y$2:$Y$101)*('Paper sign-ups'!$Y$2:$Y$101&lt;AU415))+1,"")</f>
        <v/>
      </c>
    </row>
    <row r="416">
      <c r="AA416" s="29" t="n"/>
      <c r="AB416" s="30" t="n"/>
      <c r="AC416" s="30" t="n"/>
      <c r="AD416" s="29" t="n"/>
      <c r="AE416" s="31">
        <f>IFERROR(TRIM(INDEX($A416:$Z416,MATCH(Settings!$L$4,$A$1:$Z$1,0))&amp;""),"")</f>
        <v/>
      </c>
      <c r="AF416" s="31">
        <f>IFERROR(TRIM(INDEX($A416:$Z416,MATCH(Settings!$L$5,$A$1:$Z$1,0))&amp;""),"")</f>
        <v/>
      </c>
      <c r="AG416" s="31">
        <f>IF(AE416="","",LOWER(IF(AF416&lt;&gt;"",AF416,AE416)))</f>
        <v/>
      </c>
      <c r="AH416" s="31">
        <f>IFERROR(TRIM(INDEX($A416:$Z416,MATCH(Settings!$L$6,$A$1:$Z$1,0))&amp;""),"")</f>
        <v/>
      </c>
      <c r="AI416" s="31">
        <f>IF(AE416="","",IF(UPPER(TRIM(AB416&amp;""))="Y","Paid another way",IF(IFERROR(TRIM(INDEX($A416:$Z416,MATCH(Settings!$L$7,$A$1:$Z$1,0))&amp;""),"")="","No payment status",IFERROR(TRIM(INDEX($A416:$Z416,MATCH(Settings!$L$7,$A$1:$Z$1,0))&amp;""),""))))</f>
        <v/>
      </c>
      <c r="AJ416" s="31">
        <f>IF(AE416="",0,IF(IFERROR(INDEX(Settings!$J$4:$J$14,MATCH(AI416,Settings!$I$4:$I$14,0)),"N")="Y",1,0))</f>
        <v/>
      </c>
      <c r="AK416" s="32">
        <f>IFERROR(INT(IFERROR(IF(ISNUMBER(INDEX($A416:$Z416,MATCH(Settings!$L$10,$A$1:$Z$1,0))),INDEX($A416:$Z416,MATCH(Settings!$L$10,$A$1:$Z$1,0)),DATE(VALUE(LEFT(IFERROR(TRIM(INDEX($A416:$Z416,MATCH(Settings!$L$10,$A$1:$Z$1,0))&amp;""),""),4)),VALUE(MID(IFERROR(TRIM(INDEX($A416:$Z416,MATCH(Settings!$L$10,$A$1:$Z$1,0))&amp;""),""),6,2)),VALUE(MID(IFERROR(TRIM(INDEX($A416:$Z416,MATCH(Settings!$L$10,$A$1:$Z$1,0))&amp;""),""),9,2)))+TIME(VALUE(MID(IFERROR(TRIM(INDEX($A416:$Z416,MATCH(Settings!$L$10,$A$1:$Z$1,0))&amp;""),""),12,2)),VALUE(MID(IFERROR(TRIM(INDEX($A416:$Z416,MATCH(Settings!$L$10,$A$1:$Z$1,0))&amp;""),""),15,2)),VALUE(MID(IFERROR(TRIM(INDEX($A416:$Z416,MATCH(Settings!$L$10,$A$1:$Z$1,0))&amp;""),""),18,2)))),"")),"")</f>
        <v/>
      </c>
      <c r="AL416" s="32">
        <f>IF(AE416="","",IF(ISNUMBER(AK416),AK416,IFERROR(INT(IFERROR(IF(ISNUMBER(INDEX($A416:$Z416,MATCH(Settings!$L$11,$A$1:$Z$1,0))),INDEX($A416:$Z416,MATCH(Settings!$L$11,$A$1:$Z$1,0)),DATE(VALUE(LEFT(IFERROR(TRIM(INDEX($A416:$Z416,MATCH(Settings!$L$11,$A$1:$Z$1,0))&amp;""),""),4)),VALUE(MID(IFERROR(TRIM(INDEX($A416:$Z416,MATCH(Settings!$L$11,$A$1:$Z$1,0))&amp;""),""),6,2)),VALUE(MID(IFERROR(TRIM(INDEX($A416:$Z416,MATCH(Settings!$L$11,$A$1:$Z$1,0))&amp;""),""),9,2)))+TIME(VALUE(MID(IFERROR(TRIM(INDEX($A416:$Z416,MATCH(Settings!$L$11,$A$1:$Z$1,0))&amp;""),""),12,2)),VALUE(MID(IFERROR(TRIM(INDEX($A416:$Z416,MATCH(Settings!$L$11,$A$1:$Z$1,0))&amp;""),""),15,2)),VALUE(MID(IFERROR(TRIM(INDEX($A416:$Z416,MATCH(Settings!$L$11,$A$1:$Z$1,0))&amp;""),""),18,2)))),"")),"")))</f>
        <v/>
      </c>
      <c r="AM416" s="31">
        <f>IF(AE416="","",IF(ISNUMBER(IFERROR(INDEX(Settings!$G$4:$G$11,MATCH(AH416,Settings!$F$4:$F$11,0)),"")),INDEX(Settings!$G$4:$G$11,MATCH(AH416,Settings!$F$4:$F$11,0)),Settings!$D$5))</f>
        <v/>
      </c>
      <c r="AN416" s="32">
        <f>IF(OR(AE416="",NOT(ISNUMBER(AL416)),NOT(ISNUMBER(AM416))),"",IF(AM416&lt;=0,"",IF(ISNUMBER(Settings!$D$8),DATE(YEAR(AL416)+IF(DATE(YEAR(AL416),MONTH(Settings!$D$8),DAY(Settings!$D$8))&gt;AL416,0,1),MONTH(Settings!$D$8),DAY(Settings!$D$8)),MIN(DATE(YEAR(AL416),MONTH(AL416)+AM416,DAY(AL416)),DATE(YEAR(AL416),MONTH(AL416)+AM416+1,0)))))</f>
        <v/>
      </c>
      <c r="AO416" s="31">
        <f>IF(ISNUMBER(AN416),AN416-Settings!$D$4,"")</f>
        <v/>
      </c>
      <c r="AP416" s="31">
        <f>IF(ISNUMBER(AL416),AL416+0+ROW()/100000,"")</f>
        <v/>
      </c>
      <c r="AQ416" s="31">
        <f>IF(OR(AG416="",NOT(ISNUMBER(AP416))),0,IF(SUMPRODUCT(('Responses'!$AG$2:$AG$501=AG416)*('Responses'!$AJ$2:$AJ$501=1)*ISNUMBER('Responses'!$AP$2:$AP$501)*('Responses'!$AP$2:$AP$501&gt;AP416)) + SUMPRODUCT(('Paper sign-ups'!$K$2:$K$101=AG416)*('Paper sign-ups'!$N$2:$N$101=1)*ISNUMBER('Paper sign-ups'!$T$2:$T$101)*('Paper sign-ups'!$T$2:$T$101&gt;AP416))&gt;0,1,0))</f>
        <v/>
      </c>
      <c r="AR416" s="31">
        <f>IF(AE416="","",IF(AQ416=1,"Joined again",IF(AJ416=0,"Unpaid",IF(NOT(ISNUMBER(AL416)),"Add a join date",IF(AN416="","No reminder",IF(AO416&lt;0,"Lapsed",IF(AO416&lt;=Settings!$D$6,"Remind soon","Current")))))))</f>
        <v/>
      </c>
      <c r="AS416" s="33">
        <f>IF(AJ416=1,IFERROR(VALUE(IFERROR(TRIM(INDEX($A416:$Z416,MATCH(Settings!$L$8,$A$1:$Z$1,0))&amp;""),"")),0)-IFERROR(VALUE(IFERROR(TRIM(INDEX($A416:$Z416,MATCH(Settings!$L$9,$A$1:$Z$1,0))&amp;""),"")),0),0)</f>
        <v/>
      </c>
      <c r="AT416" s="31">
        <f>IF(AND(AE416&lt;&gt;"",AQ416=0),1,0)</f>
        <v/>
      </c>
      <c r="AU416" s="31">
        <f>IF(AT416=0,"",IF(ISNUMBER(AN416),AN416,100000)+0+ROW()/1000000)</f>
        <v/>
      </c>
      <c r="AV416" s="31">
        <f>IF(ISNUMBER(AU416),SUMPRODUCT(ISNUMBER('Responses'!$AU$2:$AU$501)*('Responses'!$AU$2:$AU$501&lt;AU416)) + SUMPRODUCT(ISNUMBER('Paper sign-ups'!$Y$2:$Y$101)*('Paper sign-ups'!$Y$2:$Y$101&lt;AU416))+1,"")</f>
        <v/>
      </c>
    </row>
    <row r="417">
      <c r="AA417" s="29" t="n"/>
      <c r="AB417" s="30" t="n"/>
      <c r="AC417" s="30" t="n"/>
      <c r="AD417" s="29" t="n"/>
      <c r="AE417" s="31">
        <f>IFERROR(TRIM(INDEX($A417:$Z417,MATCH(Settings!$L$4,$A$1:$Z$1,0))&amp;""),"")</f>
        <v/>
      </c>
      <c r="AF417" s="31">
        <f>IFERROR(TRIM(INDEX($A417:$Z417,MATCH(Settings!$L$5,$A$1:$Z$1,0))&amp;""),"")</f>
        <v/>
      </c>
      <c r="AG417" s="31">
        <f>IF(AE417="","",LOWER(IF(AF417&lt;&gt;"",AF417,AE417)))</f>
        <v/>
      </c>
      <c r="AH417" s="31">
        <f>IFERROR(TRIM(INDEX($A417:$Z417,MATCH(Settings!$L$6,$A$1:$Z$1,0))&amp;""),"")</f>
        <v/>
      </c>
      <c r="AI417" s="31">
        <f>IF(AE417="","",IF(UPPER(TRIM(AB417&amp;""))="Y","Paid another way",IF(IFERROR(TRIM(INDEX($A417:$Z417,MATCH(Settings!$L$7,$A$1:$Z$1,0))&amp;""),"")="","No payment status",IFERROR(TRIM(INDEX($A417:$Z417,MATCH(Settings!$L$7,$A$1:$Z$1,0))&amp;""),""))))</f>
        <v/>
      </c>
      <c r="AJ417" s="31">
        <f>IF(AE417="",0,IF(IFERROR(INDEX(Settings!$J$4:$J$14,MATCH(AI417,Settings!$I$4:$I$14,0)),"N")="Y",1,0))</f>
        <v/>
      </c>
      <c r="AK417" s="32">
        <f>IFERROR(INT(IFERROR(IF(ISNUMBER(INDEX($A417:$Z417,MATCH(Settings!$L$10,$A$1:$Z$1,0))),INDEX($A417:$Z417,MATCH(Settings!$L$10,$A$1:$Z$1,0)),DATE(VALUE(LEFT(IFERROR(TRIM(INDEX($A417:$Z417,MATCH(Settings!$L$10,$A$1:$Z$1,0))&amp;""),""),4)),VALUE(MID(IFERROR(TRIM(INDEX($A417:$Z417,MATCH(Settings!$L$10,$A$1:$Z$1,0))&amp;""),""),6,2)),VALUE(MID(IFERROR(TRIM(INDEX($A417:$Z417,MATCH(Settings!$L$10,$A$1:$Z$1,0))&amp;""),""),9,2)))+TIME(VALUE(MID(IFERROR(TRIM(INDEX($A417:$Z417,MATCH(Settings!$L$10,$A$1:$Z$1,0))&amp;""),""),12,2)),VALUE(MID(IFERROR(TRIM(INDEX($A417:$Z417,MATCH(Settings!$L$10,$A$1:$Z$1,0))&amp;""),""),15,2)),VALUE(MID(IFERROR(TRIM(INDEX($A417:$Z417,MATCH(Settings!$L$10,$A$1:$Z$1,0))&amp;""),""),18,2)))),"")),"")</f>
        <v/>
      </c>
      <c r="AL417" s="32">
        <f>IF(AE417="","",IF(ISNUMBER(AK417),AK417,IFERROR(INT(IFERROR(IF(ISNUMBER(INDEX($A417:$Z417,MATCH(Settings!$L$11,$A$1:$Z$1,0))),INDEX($A417:$Z417,MATCH(Settings!$L$11,$A$1:$Z$1,0)),DATE(VALUE(LEFT(IFERROR(TRIM(INDEX($A417:$Z417,MATCH(Settings!$L$11,$A$1:$Z$1,0))&amp;""),""),4)),VALUE(MID(IFERROR(TRIM(INDEX($A417:$Z417,MATCH(Settings!$L$11,$A$1:$Z$1,0))&amp;""),""),6,2)),VALUE(MID(IFERROR(TRIM(INDEX($A417:$Z417,MATCH(Settings!$L$11,$A$1:$Z$1,0))&amp;""),""),9,2)))+TIME(VALUE(MID(IFERROR(TRIM(INDEX($A417:$Z417,MATCH(Settings!$L$11,$A$1:$Z$1,0))&amp;""),""),12,2)),VALUE(MID(IFERROR(TRIM(INDEX($A417:$Z417,MATCH(Settings!$L$11,$A$1:$Z$1,0))&amp;""),""),15,2)),VALUE(MID(IFERROR(TRIM(INDEX($A417:$Z417,MATCH(Settings!$L$11,$A$1:$Z$1,0))&amp;""),""),18,2)))),"")),"")))</f>
        <v/>
      </c>
      <c r="AM417" s="31">
        <f>IF(AE417="","",IF(ISNUMBER(IFERROR(INDEX(Settings!$G$4:$G$11,MATCH(AH417,Settings!$F$4:$F$11,0)),"")),INDEX(Settings!$G$4:$G$11,MATCH(AH417,Settings!$F$4:$F$11,0)),Settings!$D$5))</f>
        <v/>
      </c>
      <c r="AN417" s="32">
        <f>IF(OR(AE417="",NOT(ISNUMBER(AL417)),NOT(ISNUMBER(AM417))),"",IF(AM417&lt;=0,"",IF(ISNUMBER(Settings!$D$8),DATE(YEAR(AL417)+IF(DATE(YEAR(AL417),MONTH(Settings!$D$8),DAY(Settings!$D$8))&gt;AL417,0,1),MONTH(Settings!$D$8),DAY(Settings!$D$8)),MIN(DATE(YEAR(AL417),MONTH(AL417)+AM417,DAY(AL417)),DATE(YEAR(AL417),MONTH(AL417)+AM417+1,0)))))</f>
        <v/>
      </c>
      <c r="AO417" s="31">
        <f>IF(ISNUMBER(AN417),AN417-Settings!$D$4,"")</f>
        <v/>
      </c>
      <c r="AP417" s="31">
        <f>IF(ISNUMBER(AL417),AL417+0+ROW()/100000,"")</f>
        <v/>
      </c>
      <c r="AQ417" s="31">
        <f>IF(OR(AG417="",NOT(ISNUMBER(AP417))),0,IF(SUMPRODUCT(('Responses'!$AG$2:$AG$501=AG417)*('Responses'!$AJ$2:$AJ$501=1)*ISNUMBER('Responses'!$AP$2:$AP$501)*('Responses'!$AP$2:$AP$501&gt;AP417)) + SUMPRODUCT(('Paper sign-ups'!$K$2:$K$101=AG417)*('Paper sign-ups'!$N$2:$N$101=1)*ISNUMBER('Paper sign-ups'!$T$2:$T$101)*('Paper sign-ups'!$T$2:$T$101&gt;AP417))&gt;0,1,0))</f>
        <v/>
      </c>
      <c r="AR417" s="31">
        <f>IF(AE417="","",IF(AQ417=1,"Joined again",IF(AJ417=0,"Unpaid",IF(NOT(ISNUMBER(AL417)),"Add a join date",IF(AN417="","No reminder",IF(AO417&lt;0,"Lapsed",IF(AO417&lt;=Settings!$D$6,"Remind soon","Current")))))))</f>
        <v/>
      </c>
      <c r="AS417" s="33">
        <f>IF(AJ417=1,IFERROR(VALUE(IFERROR(TRIM(INDEX($A417:$Z417,MATCH(Settings!$L$8,$A$1:$Z$1,0))&amp;""),"")),0)-IFERROR(VALUE(IFERROR(TRIM(INDEX($A417:$Z417,MATCH(Settings!$L$9,$A$1:$Z$1,0))&amp;""),"")),0),0)</f>
        <v/>
      </c>
      <c r="AT417" s="31">
        <f>IF(AND(AE417&lt;&gt;"",AQ417=0),1,0)</f>
        <v/>
      </c>
      <c r="AU417" s="31">
        <f>IF(AT417=0,"",IF(ISNUMBER(AN417),AN417,100000)+0+ROW()/1000000)</f>
        <v/>
      </c>
      <c r="AV417" s="31">
        <f>IF(ISNUMBER(AU417),SUMPRODUCT(ISNUMBER('Responses'!$AU$2:$AU$501)*('Responses'!$AU$2:$AU$501&lt;AU417)) + SUMPRODUCT(ISNUMBER('Paper sign-ups'!$Y$2:$Y$101)*('Paper sign-ups'!$Y$2:$Y$101&lt;AU417))+1,"")</f>
        <v/>
      </c>
    </row>
    <row r="418">
      <c r="AA418" s="29" t="n"/>
      <c r="AB418" s="30" t="n"/>
      <c r="AC418" s="30" t="n"/>
      <c r="AD418" s="29" t="n"/>
      <c r="AE418" s="31">
        <f>IFERROR(TRIM(INDEX($A418:$Z418,MATCH(Settings!$L$4,$A$1:$Z$1,0))&amp;""),"")</f>
        <v/>
      </c>
      <c r="AF418" s="31">
        <f>IFERROR(TRIM(INDEX($A418:$Z418,MATCH(Settings!$L$5,$A$1:$Z$1,0))&amp;""),"")</f>
        <v/>
      </c>
      <c r="AG418" s="31">
        <f>IF(AE418="","",LOWER(IF(AF418&lt;&gt;"",AF418,AE418)))</f>
        <v/>
      </c>
      <c r="AH418" s="31">
        <f>IFERROR(TRIM(INDEX($A418:$Z418,MATCH(Settings!$L$6,$A$1:$Z$1,0))&amp;""),"")</f>
        <v/>
      </c>
      <c r="AI418" s="31">
        <f>IF(AE418="","",IF(UPPER(TRIM(AB418&amp;""))="Y","Paid another way",IF(IFERROR(TRIM(INDEX($A418:$Z418,MATCH(Settings!$L$7,$A$1:$Z$1,0))&amp;""),"")="","No payment status",IFERROR(TRIM(INDEX($A418:$Z418,MATCH(Settings!$L$7,$A$1:$Z$1,0))&amp;""),""))))</f>
        <v/>
      </c>
      <c r="AJ418" s="31">
        <f>IF(AE418="",0,IF(IFERROR(INDEX(Settings!$J$4:$J$14,MATCH(AI418,Settings!$I$4:$I$14,0)),"N")="Y",1,0))</f>
        <v/>
      </c>
      <c r="AK418" s="32">
        <f>IFERROR(INT(IFERROR(IF(ISNUMBER(INDEX($A418:$Z418,MATCH(Settings!$L$10,$A$1:$Z$1,0))),INDEX($A418:$Z418,MATCH(Settings!$L$10,$A$1:$Z$1,0)),DATE(VALUE(LEFT(IFERROR(TRIM(INDEX($A418:$Z418,MATCH(Settings!$L$10,$A$1:$Z$1,0))&amp;""),""),4)),VALUE(MID(IFERROR(TRIM(INDEX($A418:$Z418,MATCH(Settings!$L$10,$A$1:$Z$1,0))&amp;""),""),6,2)),VALUE(MID(IFERROR(TRIM(INDEX($A418:$Z418,MATCH(Settings!$L$10,$A$1:$Z$1,0))&amp;""),""),9,2)))+TIME(VALUE(MID(IFERROR(TRIM(INDEX($A418:$Z418,MATCH(Settings!$L$10,$A$1:$Z$1,0))&amp;""),""),12,2)),VALUE(MID(IFERROR(TRIM(INDEX($A418:$Z418,MATCH(Settings!$L$10,$A$1:$Z$1,0))&amp;""),""),15,2)),VALUE(MID(IFERROR(TRIM(INDEX($A418:$Z418,MATCH(Settings!$L$10,$A$1:$Z$1,0))&amp;""),""),18,2)))),"")),"")</f>
        <v/>
      </c>
      <c r="AL418" s="32">
        <f>IF(AE418="","",IF(ISNUMBER(AK418),AK418,IFERROR(INT(IFERROR(IF(ISNUMBER(INDEX($A418:$Z418,MATCH(Settings!$L$11,$A$1:$Z$1,0))),INDEX($A418:$Z418,MATCH(Settings!$L$11,$A$1:$Z$1,0)),DATE(VALUE(LEFT(IFERROR(TRIM(INDEX($A418:$Z418,MATCH(Settings!$L$11,$A$1:$Z$1,0))&amp;""),""),4)),VALUE(MID(IFERROR(TRIM(INDEX($A418:$Z418,MATCH(Settings!$L$11,$A$1:$Z$1,0))&amp;""),""),6,2)),VALUE(MID(IFERROR(TRIM(INDEX($A418:$Z418,MATCH(Settings!$L$11,$A$1:$Z$1,0))&amp;""),""),9,2)))+TIME(VALUE(MID(IFERROR(TRIM(INDEX($A418:$Z418,MATCH(Settings!$L$11,$A$1:$Z$1,0))&amp;""),""),12,2)),VALUE(MID(IFERROR(TRIM(INDEX($A418:$Z418,MATCH(Settings!$L$11,$A$1:$Z$1,0))&amp;""),""),15,2)),VALUE(MID(IFERROR(TRIM(INDEX($A418:$Z418,MATCH(Settings!$L$11,$A$1:$Z$1,0))&amp;""),""),18,2)))),"")),"")))</f>
        <v/>
      </c>
      <c r="AM418" s="31">
        <f>IF(AE418="","",IF(ISNUMBER(IFERROR(INDEX(Settings!$G$4:$G$11,MATCH(AH418,Settings!$F$4:$F$11,0)),"")),INDEX(Settings!$G$4:$G$11,MATCH(AH418,Settings!$F$4:$F$11,0)),Settings!$D$5))</f>
        <v/>
      </c>
      <c r="AN418" s="32">
        <f>IF(OR(AE418="",NOT(ISNUMBER(AL418)),NOT(ISNUMBER(AM418))),"",IF(AM418&lt;=0,"",IF(ISNUMBER(Settings!$D$8),DATE(YEAR(AL418)+IF(DATE(YEAR(AL418),MONTH(Settings!$D$8),DAY(Settings!$D$8))&gt;AL418,0,1),MONTH(Settings!$D$8),DAY(Settings!$D$8)),MIN(DATE(YEAR(AL418),MONTH(AL418)+AM418,DAY(AL418)),DATE(YEAR(AL418),MONTH(AL418)+AM418+1,0)))))</f>
        <v/>
      </c>
      <c r="AO418" s="31">
        <f>IF(ISNUMBER(AN418),AN418-Settings!$D$4,"")</f>
        <v/>
      </c>
      <c r="AP418" s="31">
        <f>IF(ISNUMBER(AL418),AL418+0+ROW()/100000,"")</f>
        <v/>
      </c>
      <c r="AQ418" s="31">
        <f>IF(OR(AG418="",NOT(ISNUMBER(AP418))),0,IF(SUMPRODUCT(('Responses'!$AG$2:$AG$501=AG418)*('Responses'!$AJ$2:$AJ$501=1)*ISNUMBER('Responses'!$AP$2:$AP$501)*('Responses'!$AP$2:$AP$501&gt;AP418)) + SUMPRODUCT(('Paper sign-ups'!$K$2:$K$101=AG418)*('Paper sign-ups'!$N$2:$N$101=1)*ISNUMBER('Paper sign-ups'!$T$2:$T$101)*('Paper sign-ups'!$T$2:$T$101&gt;AP418))&gt;0,1,0))</f>
        <v/>
      </c>
      <c r="AR418" s="31">
        <f>IF(AE418="","",IF(AQ418=1,"Joined again",IF(AJ418=0,"Unpaid",IF(NOT(ISNUMBER(AL418)),"Add a join date",IF(AN418="","No reminder",IF(AO418&lt;0,"Lapsed",IF(AO418&lt;=Settings!$D$6,"Remind soon","Current")))))))</f>
        <v/>
      </c>
      <c r="AS418" s="33">
        <f>IF(AJ418=1,IFERROR(VALUE(IFERROR(TRIM(INDEX($A418:$Z418,MATCH(Settings!$L$8,$A$1:$Z$1,0))&amp;""),"")),0)-IFERROR(VALUE(IFERROR(TRIM(INDEX($A418:$Z418,MATCH(Settings!$L$9,$A$1:$Z$1,0))&amp;""),"")),0),0)</f>
        <v/>
      </c>
      <c r="AT418" s="31">
        <f>IF(AND(AE418&lt;&gt;"",AQ418=0),1,0)</f>
        <v/>
      </c>
      <c r="AU418" s="31">
        <f>IF(AT418=0,"",IF(ISNUMBER(AN418),AN418,100000)+0+ROW()/1000000)</f>
        <v/>
      </c>
      <c r="AV418" s="31">
        <f>IF(ISNUMBER(AU418),SUMPRODUCT(ISNUMBER('Responses'!$AU$2:$AU$501)*('Responses'!$AU$2:$AU$501&lt;AU418)) + SUMPRODUCT(ISNUMBER('Paper sign-ups'!$Y$2:$Y$101)*('Paper sign-ups'!$Y$2:$Y$101&lt;AU418))+1,"")</f>
        <v/>
      </c>
    </row>
    <row r="419">
      <c r="AA419" s="29" t="n"/>
      <c r="AB419" s="30" t="n"/>
      <c r="AC419" s="30" t="n"/>
      <c r="AD419" s="29" t="n"/>
      <c r="AE419" s="31">
        <f>IFERROR(TRIM(INDEX($A419:$Z419,MATCH(Settings!$L$4,$A$1:$Z$1,0))&amp;""),"")</f>
        <v/>
      </c>
      <c r="AF419" s="31">
        <f>IFERROR(TRIM(INDEX($A419:$Z419,MATCH(Settings!$L$5,$A$1:$Z$1,0))&amp;""),"")</f>
        <v/>
      </c>
      <c r="AG419" s="31">
        <f>IF(AE419="","",LOWER(IF(AF419&lt;&gt;"",AF419,AE419)))</f>
        <v/>
      </c>
      <c r="AH419" s="31">
        <f>IFERROR(TRIM(INDEX($A419:$Z419,MATCH(Settings!$L$6,$A$1:$Z$1,0))&amp;""),"")</f>
        <v/>
      </c>
      <c r="AI419" s="31">
        <f>IF(AE419="","",IF(UPPER(TRIM(AB419&amp;""))="Y","Paid another way",IF(IFERROR(TRIM(INDEX($A419:$Z419,MATCH(Settings!$L$7,$A$1:$Z$1,0))&amp;""),"")="","No payment status",IFERROR(TRIM(INDEX($A419:$Z419,MATCH(Settings!$L$7,$A$1:$Z$1,0))&amp;""),""))))</f>
        <v/>
      </c>
      <c r="AJ419" s="31">
        <f>IF(AE419="",0,IF(IFERROR(INDEX(Settings!$J$4:$J$14,MATCH(AI419,Settings!$I$4:$I$14,0)),"N")="Y",1,0))</f>
        <v/>
      </c>
      <c r="AK419" s="32">
        <f>IFERROR(INT(IFERROR(IF(ISNUMBER(INDEX($A419:$Z419,MATCH(Settings!$L$10,$A$1:$Z$1,0))),INDEX($A419:$Z419,MATCH(Settings!$L$10,$A$1:$Z$1,0)),DATE(VALUE(LEFT(IFERROR(TRIM(INDEX($A419:$Z419,MATCH(Settings!$L$10,$A$1:$Z$1,0))&amp;""),""),4)),VALUE(MID(IFERROR(TRIM(INDEX($A419:$Z419,MATCH(Settings!$L$10,$A$1:$Z$1,0))&amp;""),""),6,2)),VALUE(MID(IFERROR(TRIM(INDEX($A419:$Z419,MATCH(Settings!$L$10,$A$1:$Z$1,0))&amp;""),""),9,2)))+TIME(VALUE(MID(IFERROR(TRIM(INDEX($A419:$Z419,MATCH(Settings!$L$10,$A$1:$Z$1,0))&amp;""),""),12,2)),VALUE(MID(IFERROR(TRIM(INDEX($A419:$Z419,MATCH(Settings!$L$10,$A$1:$Z$1,0))&amp;""),""),15,2)),VALUE(MID(IFERROR(TRIM(INDEX($A419:$Z419,MATCH(Settings!$L$10,$A$1:$Z$1,0))&amp;""),""),18,2)))),"")),"")</f>
        <v/>
      </c>
      <c r="AL419" s="32">
        <f>IF(AE419="","",IF(ISNUMBER(AK419),AK419,IFERROR(INT(IFERROR(IF(ISNUMBER(INDEX($A419:$Z419,MATCH(Settings!$L$11,$A$1:$Z$1,0))),INDEX($A419:$Z419,MATCH(Settings!$L$11,$A$1:$Z$1,0)),DATE(VALUE(LEFT(IFERROR(TRIM(INDEX($A419:$Z419,MATCH(Settings!$L$11,$A$1:$Z$1,0))&amp;""),""),4)),VALUE(MID(IFERROR(TRIM(INDEX($A419:$Z419,MATCH(Settings!$L$11,$A$1:$Z$1,0))&amp;""),""),6,2)),VALUE(MID(IFERROR(TRIM(INDEX($A419:$Z419,MATCH(Settings!$L$11,$A$1:$Z$1,0))&amp;""),""),9,2)))+TIME(VALUE(MID(IFERROR(TRIM(INDEX($A419:$Z419,MATCH(Settings!$L$11,$A$1:$Z$1,0))&amp;""),""),12,2)),VALUE(MID(IFERROR(TRIM(INDEX($A419:$Z419,MATCH(Settings!$L$11,$A$1:$Z$1,0))&amp;""),""),15,2)),VALUE(MID(IFERROR(TRIM(INDEX($A419:$Z419,MATCH(Settings!$L$11,$A$1:$Z$1,0))&amp;""),""),18,2)))),"")),"")))</f>
        <v/>
      </c>
      <c r="AM419" s="31">
        <f>IF(AE419="","",IF(ISNUMBER(IFERROR(INDEX(Settings!$G$4:$G$11,MATCH(AH419,Settings!$F$4:$F$11,0)),"")),INDEX(Settings!$G$4:$G$11,MATCH(AH419,Settings!$F$4:$F$11,0)),Settings!$D$5))</f>
        <v/>
      </c>
      <c r="AN419" s="32">
        <f>IF(OR(AE419="",NOT(ISNUMBER(AL419)),NOT(ISNUMBER(AM419))),"",IF(AM419&lt;=0,"",IF(ISNUMBER(Settings!$D$8),DATE(YEAR(AL419)+IF(DATE(YEAR(AL419),MONTH(Settings!$D$8),DAY(Settings!$D$8))&gt;AL419,0,1),MONTH(Settings!$D$8),DAY(Settings!$D$8)),MIN(DATE(YEAR(AL419),MONTH(AL419)+AM419,DAY(AL419)),DATE(YEAR(AL419),MONTH(AL419)+AM419+1,0)))))</f>
        <v/>
      </c>
      <c r="AO419" s="31">
        <f>IF(ISNUMBER(AN419),AN419-Settings!$D$4,"")</f>
        <v/>
      </c>
      <c r="AP419" s="31">
        <f>IF(ISNUMBER(AL419),AL419+0+ROW()/100000,"")</f>
        <v/>
      </c>
      <c r="AQ419" s="31">
        <f>IF(OR(AG419="",NOT(ISNUMBER(AP419))),0,IF(SUMPRODUCT(('Responses'!$AG$2:$AG$501=AG419)*('Responses'!$AJ$2:$AJ$501=1)*ISNUMBER('Responses'!$AP$2:$AP$501)*('Responses'!$AP$2:$AP$501&gt;AP419)) + SUMPRODUCT(('Paper sign-ups'!$K$2:$K$101=AG419)*('Paper sign-ups'!$N$2:$N$101=1)*ISNUMBER('Paper sign-ups'!$T$2:$T$101)*('Paper sign-ups'!$T$2:$T$101&gt;AP419))&gt;0,1,0))</f>
        <v/>
      </c>
      <c r="AR419" s="31">
        <f>IF(AE419="","",IF(AQ419=1,"Joined again",IF(AJ419=0,"Unpaid",IF(NOT(ISNUMBER(AL419)),"Add a join date",IF(AN419="","No reminder",IF(AO419&lt;0,"Lapsed",IF(AO419&lt;=Settings!$D$6,"Remind soon","Current")))))))</f>
        <v/>
      </c>
      <c r="AS419" s="33">
        <f>IF(AJ419=1,IFERROR(VALUE(IFERROR(TRIM(INDEX($A419:$Z419,MATCH(Settings!$L$8,$A$1:$Z$1,0))&amp;""),"")),0)-IFERROR(VALUE(IFERROR(TRIM(INDEX($A419:$Z419,MATCH(Settings!$L$9,$A$1:$Z$1,0))&amp;""),"")),0),0)</f>
        <v/>
      </c>
      <c r="AT419" s="31">
        <f>IF(AND(AE419&lt;&gt;"",AQ419=0),1,0)</f>
        <v/>
      </c>
      <c r="AU419" s="31">
        <f>IF(AT419=0,"",IF(ISNUMBER(AN419),AN419,100000)+0+ROW()/1000000)</f>
        <v/>
      </c>
      <c r="AV419" s="31">
        <f>IF(ISNUMBER(AU419),SUMPRODUCT(ISNUMBER('Responses'!$AU$2:$AU$501)*('Responses'!$AU$2:$AU$501&lt;AU419)) + SUMPRODUCT(ISNUMBER('Paper sign-ups'!$Y$2:$Y$101)*('Paper sign-ups'!$Y$2:$Y$101&lt;AU419))+1,"")</f>
        <v/>
      </c>
    </row>
    <row r="420">
      <c r="AA420" s="29" t="n"/>
      <c r="AB420" s="30" t="n"/>
      <c r="AC420" s="30" t="n"/>
      <c r="AD420" s="29" t="n"/>
      <c r="AE420" s="31">
        <f>IFERROR(TRIM(INDEX($A420:$Z420,MATCH(Settings!$L$4,$A$1:$Z$1,0))&amp;""),"")</f>
        <v/>
      </c>
      <c r="AF420" s="31">
        <f>IFERROR(TRIM(INDEX($A420:$Z420,MATCH(Settings!$L$5,$A$1:$Z$1,0))&amp;""),"")</f>
        <v/>
      </c>
      <c r="AG420" s="31">
        <f>IF(AE420="","",LOWER(IF(AF420&lt;&gt;"",AF420,AE420)))</f>
        <v/>
      </c>
      <c r="AH420" s="31">
        <f>IFERROR(TRIM(INDEX($A420:$Z420,MATCH(Settings!$L$6,$A$1:$Z$1,0))&amp;""),"")</f>
        <v/>
      </c>
      <c r="AI420" s="31">
        <f>IF(AE420="","",IF(UPPER(TRIM(AB420&amp;""))="Y","Paid another way",IF(IFERROR(TRIM(INDEX($A420:$Z420,MATCH(Settings!$L$7,$A$1:$Z$1,0))&amp;""),"")="","No payment status",IFERROR(TRIM(INDEX($A420:$Z420,MATCH(Settings!$L$7,$A$1:$Z$1,0))&amp;""),""))))</f>
        <v/>
      </c>
      <c r="AJ420" s="31">
        <f>IF(AE420="",0,IF(IFERROR(INDEX(Settings!$J$4:$J$14,MATCH(AI420,Settings!$I$4:$I$14,0)),"N")="Y",1,0))</f>
        <v/>
      </c>
      <c r="AK420" s="32">
        <f>IFERROR(INT(IFERROR(IF(ISNUMBER(INDEX($A420:$Z420,MATCH(Settings!$L$10,$A$1:$Z$1,0))),INDEX($A420:$Z420,MATCH(Settings!$L$10,$A$1:$Z$1,0)),DATE(VALUE(LEFT(IFERROR(TRIM(INDEX($A420:$Z420,MATCH(Settings!$L$10,$A$1:$Z$1,0))&amp;""),""),4)),VALUE(MID(IFERROR(TRIM(INDEX($A420:$Z420,MATCH(Settings!$L$10,$A$1:$Z$1,0))&amp;""),""),6,2)),VALUE(MID(IFERROR(TRIM(INDEX($A420:$Z420,MATCH(Settings!$L$10,$A$1:$Z$1,0))&amp;""),""),9,2)))+TIME(VALUE(MID(IFERROR(TRIM(INDEX($A420:$Z420,MATCH(Settings!$L$10,$A$1:$Z$1,0))&amp;""),""),12,2)),VALUE(MID(IFERROR(TRIM(INDEX($A420:$Z420,MATCH(Settings!$L$10,$A$1:$Z$1,0))&amp;""),""),15,2)),VALUE(MID(IFERROR(TRIM(INDEX($A420:$Z420,MATCH(Settings!$L$10,$A$1:$Z$1,0))&amp;""),""),18,2)))),"")),"")</f>
        <v/>
      </c>
      <c r="AL420" s="32">
        <f>IF(AE420="","",IF(ISNUMBER(AK420),AK420,IFERROR(INT(IFERROR(IF(ISNUMBER(INDEX($A420:$Z420,MATCH(Settings!$L$11,$A$1:$Z$1,0))),INDEX($A420:$Z420,MATCH(Settings!$L$11,$A$1:$Z$1,0)),DATE(VALUE(LEFT(IFERROR(TRIM(INDEX($A420:$Z420,MATCH(Settings!$L$11,$A$1:$Z$1,0))&amp;""),""),4)),VALUE(MID(IFERROR(TRIM(INDEX($A420:$Z420,MATCH(Settings!$L$11,$A$1:$Z$1,0))&amp;""),""),6,2)),VALUE(MID(IFERROR(TRIM(INDEX($A420:$Z420,MATCH(Settings!$L$11,$A$1:$Z$1,0))&amp;""),""),9,2)))+TIME(VALUE(MID(IFERROR(TRIM(INDEX($A420:$Z420,MATCH(Settings!$L$11,$A$1:$Z$1,0))&amp;""),""),12,2)),VALUE(MID(IFERROR(TRIM(INDEX($A420:$Z420,MATCH(Settings!$L$11,$A$1:$Z$1,0))&amp;""),""),15,2)),VALUE(MID(IFERROR(TRIM(INDEX($A420:$Z420,MATCH(Settings!$L$11,$A$1:$Z$1,0))&amp;""),""),18,2)))),"")),"")))</f>
        <v/>
      </c>
      <c r="AM420" s="31">
        <f>IF(AE420="","",IF(ISNUMBER(IFERROR(INDEX(Settings!$G$4:$G$11,MATCH(AH420,Settings!$F$4:$F$11,0)),"")),INDEX(Settings!$G$4:$G$11,MATCH(AH420,Settings!$F$4:$F$11,0)),Settings!$D$5))</f>
        <v/>
      </c>
      <c r="AN420" s="32">
        <f>IF(OR(AE420="",NOT(ISNUMBER(AL420)),NOT(ISNUMBER(AM420))),"",IF(AM420&lt;=0,"",IF(ISNUMBER(Settings!$D$8),DATE(YEAR(AL420)+IF(DATE(YEAR(AL420),MONTH(Settings!$D$8),DAY(Settings!$D$8))&gt;AL420,0,1),MONTH(Settings!$D$8),DAY(Settings!$D$8)),MIN(DATE(YEAR(AL420),MONTH(AL420)+AM420,DAY(AL420)),DATE(YEAR(AL420),MONTH(AL420)+AM420+1,0)))))</f>
        <v/>
      </c>
      <c r="AO420" s="31">
        <f>IF(ISNUMBER(AN420),AN420-Settings!$D$4,"")</f>
        <v/>
      </c>
      <c r="AP420" s="31">
        <f>IF(ISNUMBER(AL420),AL420+0+ROW()/100000,"")</f>
        <v/>
      </c>
      <c r="AQ420" s="31">
        <f>IF(OR(AG420="",NOT(ISNUMBER(AP420))),0,IF(SUMPRODUCT(('Responses'!$AG$2:$AG$501=AG420)*('Responses'!$AJ$2:$AJ$501=1)*ISNUMBER('Responses'!$AP$2:$AP$501)*('Responses'!$AP$2:$AP$501&gt;AP420)) + SUMPRODUCT(('Paper sign-ups'!$K$2:$K$101=AG420)*('Paper sign-ups'!$N$2:$N$101=1)*ISNUMBER('Paper sign-ups'!$T$2:$T$101)*('Paper sign-ups'!$T$2:$T$101&gt;AP420))&gt;0,1,0))</f>
        <v/>
      </c>
      <c r="AR420" s="31">
        <f>IF(AE420="","",IF(AQ420=1,"Joined again",IF(AJ420=0,"Unpaid",IF(NOT(ISNUMBER(AL420)),"Add a join date",IF(AN420="","No reminder",IF(AO420&lt;0,"Lapsed",IF(AO420&lt;=Settings!$D$6,"Remind soon","Current")))))))</f>
        <v/>
      </c>
      <c r="AS420" s="33">
        <f>IF(AJ420=1,IFERROR(VALUE(IFERROR(TRIM(INDEX($A420:$Z420,MATCH(Settings!$L$8,$A$1:$Z$1,0))&amp;""),"")),0)-IFERROR(VALUE(IFERROR(TRIM(INDEX($A420:$Z420,MATCH(Settings!$L$9,$A$1:$Z$1,0))&amp;""),"")),0),0)</f>
        <v/>
      </c>
      <c r="AT420" s="31">
        <f>IF(AND(AE420&lt;&gt;"",AQ420=0),1,0)</f>
        <v/>
      </c>
      <c r="AU420" s="31">
        <f>IF(AT420=0,"",IF(ISNUMBER(AN420),AN420,100000)+0+ROW()/1000000)</f>
        <v/>
      </c>
      <c r="AV420" s="31">
        <f>IF(ISNUMBER(AU420),SUMPRODUCT(ISNUMBER('Responses'!$AU$2:$AU$501)*('Responses'!$AU$2:$AU$501&lt;AU420)) + SUMPRODUCT(ISNUMBER('Paper sign-ups'!$Y$2:$Y$101)*('Paper sign-ups'!$Y$2:$Y$101&lt;AU420))+1,"")</f>
        <v/>
      </c>
    </row>
    <row r="421">
      <c r="AA421" s="29" t="n"/>
      <c r="AB421" s="30" t="n"/>
      <c r="AC421" s="30" t="n"/>
      <c r="AD421" s="29" t="n"/>
      <c r="AE421" s="31">
        <f>IFERROR(TRIM(INDEX($A421:$Z421,MATCH(Settings!$L$4,$A$1:$Z$1,0))&amp;""),"")</f>
        <v/>
      </c>
      <c r="AF421" s="31">
        <f>IFERROR(TRIM(INDEX($A421:$Z421,MATCH(Settings!$L$5,$A$1:$Z$1,0))&amp;""),"")</f>
        <v/>
      </c>
      <c r="AG421" s="31">
        <f>IF(AE421="","",LOWER(IF(AF421&lt;&gt;"",AF421,AE421)))</f>
        <v/>
      </c>
      <c r="AH421" s="31">
        <f>IFERROR(TRIM(INDEX($A421:$Z421,MATCH(Settings!$L$6,$A$1:$Z$1,0))&amp;""),"")</f>
        <v/>
      </c>
      <c r="AI421" s="31">
        <f>IF(AE421="","",IF(UPPER(TRIM(AB421&amp;""))="Y","Paid another way",IF(IFERROR(TRIM(INDEX($A421:$Z421,MATCH(Settings!$L$7,$A$1:$Z$1,0))&amp;""),"")="","No payment status",IFERROR(TRIM(INDEX($A421:$Z421,MATCH(Settings!$L$7,$A$1:$Z$1,0))&amp;""),""))))</f>
        <v/>
      </c>
      <c r="AJ421" s="31">
        <f>IF(AE421="",0,IF(IFERROR(INDEX(Settings!$J$4:$J$14,MATCH(AI421,Settings!$I$4:$I$14,0)),"N")="Y",1,0))</f>
        <v/>
      </c>
      <c r="AK421" s="32">
        <f>IFERROR(INT(IFERROR(IF(ISNUMBER(INDEX($A421:$Z421,MATCH(Settings!$L$10,$A$1:$Z$1,0))),INDEX($A421:$Z421,MATCH(Settings!$L$10,$A$1:$Z$1,0)),DATE(VALUE(LEFT(IFERROR(TRIM(INDEX($A421:$Z421,MATCH(Settings!$L$10,$A$1:$Z$1,0))&amp;""),""),4)),VALUE(MID(IFERROR(TRIM(INDEX($A421:$Z421,MATCH(Settings!$L$10,$A$1:$Z$1,0))&amp;""),""),6,2)),VALUE(MID(IFERROR(TRIM(INDEX($A421:$Z421,MATCH(Settings!$L$10,$A$1:$Z$1,0))&amp;""),""),9,2)))+TIME(VALUE(MID(IFERROR(TRIM(INDEX($A421:$Z421,MATCH(Settings!$L$10,$A$1:$Z$1,0))&amp;""),""),12,2)),VALUE(MID(IFERROR(TRIM(INDEX($A421:$Z421,MATCH(Settings!$L$10,$A$1:$Z$1,0))&amp;""),""),15,2)),VALUE(MID(IFERROR(TRIM(INDEX($A421:$Z421,MATCH(Settings!$L$10,$A$1:$Z$1,0))&amp;""),""),18,2)))),"")),"")</f>
        <v/>
      </c>
      <c r="AL421" s="32">
        <f>IF(AE421="","",IF(ISNUMBER(AK421),AK421,IFERROR(INT(IFERROR(IF(ISNUMBER(INDEX($A421:$Z421,MATCH(Settings!$L$11,$A$1:$Z$1,0))),INDEX($A421:$Z421,MATCH(Settings!$L$11,$A$1:$Z$1,0)),DATE(VALUE(LEFT(IFERROR(TRIM(INDEX($A421:$Z421,MATCH(Settings!$L$11,$A$1:$Z$1,0))&amp;""),""),4)),VALUE(MID(IFERROR(TRIM(INDEX($A421:$Z421,MATCH(Settings!$L$11,$A$1:$Z$1,0))&amp;""),""),6,2)),VALUE(MID(IFERROR(TRIM(INDEX($A421:$Z421,MATCH(Settings!$L$11,$A$1:$Z$1,0))&amp;""),""),9,2)))+TIME(VALUE(MID(IFERROR(TRIM(INDEX($A421:$Z421,MATCH(Settings!$L$11,$A$1:$Z$1,0))&amp;""),""),12,2)),VALUE(MID(IFERROR(TRIM(INDEX($A421:$Z421,MATCH(Settings!$L$11,$A$1:$Z$1,0))&amp;""),""),15,2)),VALUE(MID(IFERROR(TRIM(INDEX($A421:$Z421,MATCH(Settings!$L$11,$A$1:$Z$1,0))&amp;""),""),18,2)))),"")),"")))</f>
        <v/>
      </c>
      <c r="AM421" s="31">
        <f>IF(AE421="","",IF(ISNUMBER(IFERROR(INDEX(Settings!$G$4:$G$11,MATCH(AH421,Settings!$F$4:$F$11,0)),"")),INDEX(Settings!$G$4:$G$11,MATCH(AH421,Settings!$F$4:$F$11,0)),Settings!$D$5))</f>
        <v/>
      </c>
      <c r="AN421" s="32">
        <f>IF(OR(AE421="",NOT(ISNUMBER(AL421)),NOT(ISNUMBER(AM421))),"",IF(AM421&lt;=0,"",IF(ISNUMBER(Settings!$D$8),DATE(YEAR(AL421)+IF(DATE(YEAR(AL421),MONTH(Settings!$D$8),DAY(Settings!$D$8))&gt;AL421,0,1),MONTH(Settings!$D$8),DAY(Settings!$D$8)),MIN(DATE(YEAR(AL421),MONTH(AL421)+AM421,DAY(AL421)),DATE(YEAR(AL421),MONTH(AL421)+AM421+1,0)))))</f>
        <v/>
      </c>
      <c r="AO421" s="31">
        <f>IF(ISNUMBER(AN421),AN421-Settings!$D$4,"")</f>
        <v/>
      </c>
      <c r="AP421" s="31">
        <f>IF(ISNUMBER(AL421),AL421+0+ROW()/100000,"")</f>
        <v/>
      </c>
      <c r="AQ421" s="31">
        <f>IF(OR(AG421="",NOT(ISNUMBER(AP421))),0,IF(SUMPRODUCT(('Responses'!$AG$2:$AG$501=AG421)*('Responses'!$AJ$2:$AJ$501=1)*ISNUMBER('Responses'!$AP$2:$AP$501)*('Responses'!$AP$2:$AP$501&gt;AP421)) + SUMPRODUCT(('Paper sign-ups'!$K$2:$K$101=AG421)*('Paper sign-ups'!$N$2:$N$101=1)*ISNUMBER('Paper sign-ups'!$T$2:$T$101)*('Paper sign-ups'!$T$2:$T$101&gt;AP421))&gt;0,1,0))</f>
        <v/>
      </c>
      <c r="AR421" s="31">
        <f>IF(AE421="","",IF(AQ421=1,"Joined again",IF(AJ421=0,"Unpaid",IF(NOT(ISNUMBER(AL421)),"Add a join date",IF(AN421="","No reminder",IF(AO421&lt;0,"Lapsed",IF(AO421&lt;=Settings!$D$6,"Remind soon","Current")))))))</f>
        <v/>
      </c>
      <c r="AS421" s="33">
        <f>IF(AJ421=1,IFERROR(VALUE(IFERROR(TRIM(INDEX($A421:$Z421,MATCH(Settings!$L$8,$A$1:$Z$1,0))&amp;""),"")),0)-IFERROR(VALUE(IFERROR(TRIM(INDEX($A421:$Z421,MATCH(Settings!$L$9,$A$1:$Z$1,0))&amp;""),"")),0),0)</f>
        <v/>
      </c>
      <c r="AT421" s="31">
        <f>IF(AND(AE421&lt;&gt;"",AQ421=0),1,0)</f>
        <v/>
      </c>
      <c r="AU421" s="31">
        <f>IF(AT421=0,"",IF(ISNUMBER(AN421),AN421,100000)+0+ROW()/1000000)</f>
        <v/>
      </c>
      <c r="AV421" s="31">
        <f>IF(ISNUMBER(AU421),SUMPRODUCT(ISNUMBER('Responses'!$AU$2:$AU$501)*('Responses'!$AU$2:$AU$501&lt;AU421)) + SUMPRODUCT(ISNUMBER('Paper sign-ups'!$Y$2:$Y$101)*('Paper sign-ups'!$Y$2:$Y$101&lt;AU421))+1,"")</f>
        <v/>
      </c>
    </row>
    <row r="422">
      <c r="AA422" s="29" t="n"/>
      <c r="AB422" s="30" t="n"/>
      <c r="AC422" s="30" t="n"/>
      <c r="AD422" s="29" t="n"/>
      <c r="AE422" s="31">
        <f>IFERROR(TRIM(INDEX($A422:$Z422,MATCH(Settings!$L$4,$A$1:$Z$1,0))&amp;""),"")</f>
        <v/>
      </c>
      <c r="AF422" s="31">
        <f>IFERROR(TRIM(INDEX($A422:$Z422,MATCH(Settings!$L$5,$A$1:$Z$1,0))&amp;""),"")</f>
        <v/>
      </c>
      <c r="AG422" s="31">
        <f>IF(AE422="","",LOWER(IF(AF422&lt;&gt;"",AF422,AE422)))</f>
        <v/>
      </c>
      <c r="AH422" s="31">
        <f>IFERROR(TRIM(INDEX($A422:$Z422,MATCH(Settings!$L$6,$A$1:$Z$1,0))&amp;""),"")</f>
        <v/>
      </c>
      <c r="AI422" s="31">
        <f>IF(AE422="","",IF(UPPER(TRIM(AB422&amp;""))="Y","Paid another way",IF(IFERROR(TRIM(INDEX($A422:$Z422,MATCH(Settings!$L$7,$A$1:$Z$1,0))&amp;""),"")="","No payment status",IFERROR(TRIM(INDEX($A422:$Z422,MATCH(Settings!$L$7,$A$1:$Z$1,0))&amp;""),""))))</f>
        <v/>
      </c>
      <c r="AJ422" s="31">
        <f>IF(AE422="",0,IF(IFERROR(INDEX(Settings!$J$4:$J$14,MATCH(AI422,Settings!$I$4:$I$14,0)),"N")="Y",1,0))</f>
        <v/>
      </c>
      <c r="AK422" s="32">
        <f>IFERROR(INT(IFERROR(IF(ISNUMBER(INDEX($A422:$Z422,MATCH(Settings!$L$10,$A$1:$Z$1,0))),INDEX($A422:$Z422,MATCH(Settings!$L$10,$A$1:$Z$1,0)),DATE(VALUE(LEFT(IFERROR(TRIM(INDEX($A422:$Z422,MATCH(Settings!$L$10,$A$1:$Z$1,0))&amp;""),""),4)),VALUE(MID(IFERROR(TRIM(INDEX($A422:$Z422,MATCH(Settings!$L$10,$A$1:$Z$1,0))&amp;""),""),6,2)),VALUE(MID(IFERROR(TRIM(INDEX($A422:$Z422,MATCH(Settings!$L$10,$A$1:$Z$1,0))&amp;""),""),9,2)))+TIME(VALUE(MID(IFERROR(TRIM(INDEX($A422:$Z422,MATCH(Settings!$L$10,$A$1:$Z$1,0))&amp;""),""),12,2)),VALUE(MID(IFERROR(TRIM(INDEX($A422:$Z422,MATCH(Settings!$L$10,$A$1:$Z$1,0))&amp;""),""),15,2)),VALUE(MID(IFERROR(TRIM(INDEX($A422:$Z422,MATCH(Settings!$L$10,$A$1:$Z$1,0))&amp;""),""),18,2)))),"")),"")</f>
        <v/>
      </c>
      <c r="AL422" s="32">
        <f>IF(AE422="","",IF(ISNUMBER(AK422),AK422,IFERROR(INT(IFERROR(IF(ISNUMBER(INDEX($A422:$Z422,MATCH(Settings!$L$11,$A$1:$Z$1,0))),INDEX($A422:$Z422,MATCH(Settings!$L$11,$A$1:$Z$1,0)),DATE(VALUE(LEFT(IFERROR(TRIM(INDEX($A422:$Z422,MATCH(Settings!$L$11,$A$1:$Z$1,0))&amp;""),""),4)),VALUE(MID(IFERROR(TRIM(INDEX($A422:$Z422,MATCH(Settings!$L$11,$A$1:$Z$1,0))&amp;""),""),6,2)),VALUE(MID(IFERROR(TRIM(INDEX($A422:$Z422,MATCH(Settings!$L$11,$A$1:$Z$1,0))&amp;""),""),9,2)))+TIME(VALUE(MID(IFERROR(TRIM(INDEX($A422:$Z422,MATCH(Settings!$L$11,$A$1:$Z$1,0))&amp;""),""),12,2)),VALUE(MID(IFERROR(TRIM(INDEX($A422:$Z422,MATCH(Settings!$L$11,$A$1:$Z$1,0))&amp;""),""),15,2)),VALUE(MID(IFERROR(TRIM(INDEX($A422:$Z422,MATCH(Settings!$L$11,$A$1:$Z$1,0))&amp;""),""),18,2)))),"")),"")))</f>
        <v/>
      </c>
      <c r="AM422" s="31">
        <f>IF(AE422="","",IF(ISNUMBER(IFERROR(INDEX(Settings!$G$4:$G$11,MATCH(AH422,Settings!$F$4:$F$11,0)),"")),INDEX(Settings!$G$4:$G$11,MATCH(AH422,Settings!$F$4:$F$11,0)),Settings!$D$5))</f>
        <v/>
      </c>
      <c r="AN422" s="32">
        <f>IF(OR(AE422="",NOT(ISNUMBER(AL422)),NOT(ISNUMBER(AM422))),"",IF(AM422&lt;=0,"",IF(ISNUMBER(Settings!$D$8),DATE(YEAR(AL422)+IF(DATE(YEAR(AL422),MONTH(Settings!$D$8),DAY(Settings!$D$8))&gt;AL422,0,1),MONTH(Settings!$D$8),DAY(Settings!$D$8)),MIN(DATE(YEAR(AL422),MONTH(AL422)+AM422,DAY(AL422)),DATE(YEAR(AL422),MONTH(AL422)+AM422+1,0)))))</f>
        <v/>
      </c>
      <c r="AO422" s="31">
        <f>IF(ISNUMBER(AN422),AN422-Settings!$D$4,"")</f>
        <v/>
      </c>
      <c r="AP422" s="31">
        <f>IF(ISNUMBER(AL422),AL422+0+ROW()/100000,"")</f>
        <v/>
      </c>
      <c r="AQ422" s="31">
        <f>IF(OR(AG422="",NOT(ISNUMBER(AP422))),0,IF(SUMPRODUCT(('Responses'!$AG$2:$AG$501=AG422)*('Responses'!$AJ$2:$AJ$501=1)*ISNUMBER('Responses'!$AP$2:$AP$501)*('Responses'!$AP$2:$AP$501&gt;AP422)) + SUMPRODUCT(('Paper sign-ups'!$K$2:$K$101=AG422)*('Paper sign-ups'!$N$2:$N$101=1)*ISNUMBER('Paper sign-ups'!$T$2:$T$101)*('Paper sign-ups'!$T$2:$T$101&gt;AP422))&gt;0,1,0))</f>
        <v/>
      </c>
      <c r="AR422" s="31">
        <f>IF(AE422="","",IF(AQ422=1,"Joined again",IF(AJ422=0,"Unpaid",IF(NOT(ISNUMBER(AL422)),"Add a join date",IF(AN422="","No reminder",IF(AO422&lt;0,"Lapsed",IF(AO422&lt;=Settings!$D$6,"Remind soon","Current")))))))</f>
        <v/>
      </c>
      <c r="AS422" s="33">
        <f>IF(AJ422=1,IFERROR(VALUE(IFERROR(TRIM(INDEX($A422:$Z422,MATCH(Settings!$L$8,$A$1:$Z$1,0))&amp;""),"")),0)-IFERROR(VALUE(IFERROR(TRIM(INDEX($A422:$Z422,MATCH(Settings!$L$9,$A$1:$Z$1,0))&amp;""),"")),0),0)</f>
        <v/>
      </c>
      <c r="AT422" s="31">
        <f>IF(AND(AE422&lt;&gt;"",AQ422=0),1,0)</f>
        <v/>
      </c>
      <c r="AU422" s="31">
        <f>IF(AT422=0,"",IF(ISNUMBER(AN422),AN422,100000)+0+ROW()/1000000)</f>
        <v/>
      </c>
      <c r="AV422" s="31">
        <f>IF(ISNUMBER(AU422),SUMPRODUCT(ISNUMBER('Responses'!$AU$2:$AU$501)*('Responses'!$AU$2:$AU$501&lt;AU422)) + SUMPRODUCT(ISNUMBER('Paper sign-ups'!$Y$2:$Y$101)*('Paper sign-ups'!$Y$2:$Y$101&lt;AU422))+1,"")</f>
        <v/>
      </c>
    </row>
    <row r="423">
      <c r="AA423" s="29" t="n"/>
      <c r="AB423" s="30" t="n"/>
      <c r="AC423" s="30" t="n"/>
      <c r="AD423" s="29" t="n"/>
      <c r="AE423" s="31">
        <f>IFERROR(TRIM(INDEX($A423:$Z423,MATCH(Settings!$L$4,$A$1:$Z$1,0))&amp;""),"")</f>
        <v/>
      </c>
      <c r="AF423" s="31">
        <f>IFERROR(TRIM(INDEX($A423:$Z423,MATCH(Settings!$L$5,$A$1:$Z$1,0))&amp;""),"")</f>
        <v/>
      </c>
      <c r="AG423" s="31">
        <f>IF(AE423="","",LOWER(IF(AF423&lt;&gt;"",AF423,AE423)))</f>
        <v/>
      </c>
      <c r="AH423" s="31">
        <f>IFERROR(TRIM(INDEX($A423:$Z423,MATCH(Settings!$L$6,$A$1:$Z$1,0))&amp;""),"")</f>
        <v/>
      </c>
      <c r="AI423" s="31">
        <f>IF(AE423="","",IF(UPPER(TRIM(AB423&amp;""))="Y","Paid another way",IF(IFERROR(TRIM(INDEX($A423:$Z423,MATCH(Settings!$L$7,$A$1:$Z$1,0))&amp;""),"")="","No payment status",IFERROR(TRIM(INDEX($A423:$Z423,MATCH(Settings!$L$7,$A$1:$Z$1,0))&amp;""),""))))</f>
        <v/>
      </c>
      <c r="AJ423" s="31">
        <f>IF(AE423="",0,IF(IFERROR(INDEX(Settings!$J$4:$J$14,MATCH(AI423,Settings!$I$4:$I$14,0)),"N")="Y",1,0))</f>
        <v/>
      </c>
      <c r="AK423" s="32">
        <f>IFERROR(INT(IFERROR(IF(ISNUMBER(INDEX($A423:$Z423,MATCH(Settings!$L$10,$A$1:$Z$1,0))),INDEX($A423:$Z423,MATCH(Settings!$L$10,$A$1:$Z$1,0)),DATE(VALUE(LEFT(IFERROR(TRIM(INDEX($A423:$Z423,MATCH(Settings!$L$10,$A$1:$Z$1,0))&amp;""),""),4)),VALUE(MID(IFERROR(TRIM(INDEX($A423:$Z423,MATCH(Settings!$L$10,$A$1:$Z$1,0))&amp;""),""),6,2)),VALUE(MID(IFERROR(TRIM(INDEX($A423:$Z423,MATCH(Settings!$L$10,$A$1:$Z$1,0))&amp;""),""),9,2)))+TIME(VALUE(MID(IFERROR(TRIM(INDEX($A423:$Z423,MATCH(Settings!$L$10,$A$1:$Z$1,0))&amp;""),""),12,2)),VALUE(MID(IFERROR(TRIM(INDEX($A423:$Z423,MATCH(Settings!$L$10,$A$1:$Z$1,0))&amp;""),""),15,2)),VALUE(MID(IFERROR(TRIM(INDEX($A423:$Z423,MATCH(Settings!$L$10,$A$1:$Z$1,0))&amp;""),""),18,2)))),"")),"")</f>
        <v/>
      </c>
      <c r="AL423" s="32">
        <f>IF(AE423="","",IF(ISNUMBER(AK423),AK423,IFERROR(INT(IFERROR(IF(ISNUMBER(INDEX($A423:$Z423,MATCH(Settings!$L$11,$A$1:$Z$1,0))),INDEX($A423:$Z423,MATCH(Settings!$L$11,$A$1:$Z$1,0)),DATE(VALUE(LEFT(IFERROR(TRIM(INDEX($A423:$Z423,MATCH(Settings!$L$11,$A$1:$Z$1,0))&amp;""),""),4)),VALUE(MID(IFERROR(TRIM(INDEX($A423:$Z423,MATCH(Settings!$L$11,$A$1:$Z$1,0))&amp;""),""),6,2)),VALUE(MID(IFERROR(TRIM(INDEX($A423:$Z423,MATCH(Settings!$L$11,$A$1:$Z$1,0))&amp;""),""),9,2)))+TIME(VALUE(MID(IFERROR(TRIM(INDEX($A423:$Z423,MATCH(Settings!$L$11,$A$1:$Z$1,0))&amp;""),""),12,2)),VALUE(MID(IFERROR(TRIM(INDEX($A423:$Z423,MATCH(Settings!$L$11,$A$1:$Z$1,0))&amp;""),""),15,2)),VALUE(MID(IFERROR(TRIM(INDEX($A423:$Z423,MATCH(Settings!$L$11,$A$1:$Z$1,0))&amp;""),""),18,2)))),"")),"")))</f>
        <v/>
      </c>
      <c r="AM423" s="31">
        <f>IF(AE423="","",IF(ISNUMBER(IFERROR(INDEX(Settings!$G$4:$G$11,MATCH(AH423,Settings!$F$4:$F$11,0)),"")),INDEX(Settings!$G$4:$G$11,MATCH(AH423,Settings!$F$4:$F$11,0)),Settings!$D$5))</f>
        <v/>
      </c>
      <c r="AN423" s="32">
        <f>IF(OR(AE423="",NOT(ISNUMBER(AL423)),NOT(ISNUMBER(AM423))),"",IF(AM423&lt;=0,"",IF(ISNUMBER(Settings!$D$8),DATE(YEAR(AL423)+IF(DATE(YEAR(AL423),MONTH(Settings!$D$8),DAY(Settings!$D$8))&gt;AL423,0,1),MONTH(Settings!$D$8),DAY(Settings!$D$8)),MIN(DATE(YEAR(AL423),MONTH(AL423)+AM423,DAY(AL423)),DATE(YEAR(AL423),MONTH(AL423)+AM423+1,0)))))</f>
        <v/>
      </c>
      <c r="AO423" s="31">
        <f>IF(ISNUMBER(AN423),AN423-Settings!$D$4,"")</f>
        <v/>
      </c>
      <c r="AP423" s="31">
        <f>IF(ISNUMBER(AL423),AL423+0+ROW()/100000,"")</f>
        <v/>
      </c>
      <c r="AQ423" s="31">
        <f>IF(OR(AG423="",NOT(ISNUMBER(AP423))),0,IF(SUMPRODUCT(('Responses'!$AG$2:$AG$501=AG423)*('Responses'!$AJ$2:$AJ$501=1)*ISNUMBER('Responses'!$AP$2:$AP$501)*('Responses'!$AP$2:$AP$501&gt;AP423)) + SUMPRODUCT(('Paper sign-ups'!$K$2:$K$101=AG423)*('Paper sign-ups'!$N$2:$N$101=1)*ISNUMBER('Paper sign-ups'!$T$2:$T$101)*('Paper sign-ups'!$T$2:$T$101&gt;AP423))&gt;0,1,0))</f>
        <v/>
      </c>
      <c r="AR423" s="31">
        <f>IF(AE423="","",IF(AQ423=1,"Joined again",IF(AJ423=0,"Unpaid",IF(NOT(ISNUMBER(AL423)),"Add a join date",IF(AN423="","No reminder",IF(AO423&lt;0,"Lapsed",IF(AO423&lt;=Settings!$D$6,"Remind soon","Current")))))))</f>
        <v/>
      </c>
      <c r="AS423" s="33">
        <f>IF(AJ423=1,IFERROR(VALUE(IFERROR(TRIM(INDEX($A423:$Z423,MATCH(Settings!$L$8,$A$1:$Z$1,0))&amp;""),"")),0)-IFERROR(VALUE(IFERROR(TRIM(INDEX($A423:$Z423,MATCH(Settings!$L$9,$A$1:$Z$1,0))&amp;""),"")),0),0)</f>
        <v/>
      </c>
      <c r="AT423" s="31">
        <f>IF(AND(AE423&lt;&gt;"",AQ423=0),1,0)</f>
        <v/>
      </c>
      <c r="AU423" s="31">
        <f>IF(AT423=0,"",IF(ISNUMBER(AN423),AN423,100000)+0+ROW()/1000000)</f>
        <v/>
      </c>
      <c r="AV423" s="31">
        <f>IF(ISNUMBER(AU423),SUMPRODUCT(ISNUMBER('Responses'!$AU$2:$AU$501)*('Responses'!$AU$2:$AU$501&lt;AU423)) + SUMPRODUCT(ISNUMBER('Paper sign-ups'!$Y$2:$Y$101)*('Paper sign-ups'!$Y$2:$Y$101&lt;AU423))+1,"")</f>
        <v/>
      </c>
    </row>
    <row r="424">
      <c r="AA424" s="29" t="n"/>
      <c r="AB424" s="30" t="n"/>
      <c r="AC424" s="30" t="n"/>
      <c r="AD424" s="29" t="n"/>
      <c r="AE424" s="31">
        <f>IFERROR(TRIM(INDEX($A424:$Z424,MATCH(Settings!$L$4,$A$1:$Z$1,0))&amp;""),"")</f>
        <v/>
      </c>
      <c r="AF424" s="31">
        <f>IFERROR(TRIM(INDEX($A424:$Z424,MATCH(Settings!$L$5,$A$1:$Z$1,0))&amp;""),"")</f>
        <v/>
      </c>
      <c r="AG424" s="31">
        <f>IF(AE424="","",LOWER(IF(AF424&lt;&gt;"",AF424,AE424)))</f>
        <v/>
      </c>
      <c r="AH424" s="31">
        <f>IFERROR(TRIM(INDEX($A424:$Z424,MATCH(Settings!$L$6,$A$1:$Z$1,0))&amp;""),"")</f>
        <v/>
      </c>
      <c r="AI424" s="31">
        <f>IF(AE424="","",IF(UPPER(TRIM(AB424&amp;""))="Y","Paid another way",IF(IFERROR(TRIM(INDEX($A424:$Z424,MATCH(Settings!$L$7,$A$1:$Z$1,0))&amp;""),"")="","No payment status",IFERROR(TRIM(INDEX($A424:$Z424,MATCH(Settings!$L$7,$A$1:$Z$1,0))&amp;""),""))))</f>
        <v/>
      </c>
      <c r="AJ424" s="31">
        <f>IF(AE424="",0,IF(IFERROR(INDEX(Settings!$J$4:$J$14,MATCH(AI424,Settings!$I$4:$I$14,0)),"N")="Y",1,0))</f>
        <v/>
      </c>
      <c r="AK424" s="32">
        <f>IFERROR(INT(IFERROR(IF(ISNUMBER(INDEX($A424:$Z424,MATCH(Settings!$L$10,$A$1:$Z$1,0))),INDEX($A424:$Z424,MATCH(Settings!$L$10,$A$1:$Z$1,0)),DATE(VALUE(LEFT(IFERROR(TRIM(INDEX($A424:$Z424,MATCH(Settings!$L$10,$A$1:$Z$1,0))&amp;""),""),4)),VALUE(MID(IFERROR(TRIM(INDEX($A424:$Z424,MATCH(Settings!$L$10,$A$1:$Z$1,0))&amp;""),""),6,2)),VALUE(MID(IFERROR(TRIM(INDEX($A424:$Z424,MATCH(Settings!$L$10,$A$1:$Z$1,0))&amp;""),""),9,2)))+TIME(VALUE(MID(IFERROR(TRIM(INDEX($A424:$Z424,MATCH(Settings!$L$10,$A$1:$Z$1,0))&amp;""),""),12,2)),VALUE(MID(IFERROR(TRIM(INDEX($A424:$Z424,MATCH(Settings!$L$10,$A$1:$Z$1,0))&amp;""),""),15,2)),VALUE(MID(IFERROR(TRIM(INDEX($A424:$Z424,MATCH(Settings!$L$10,$A$1:$Z$1,0))&amp;""),""),18,2)))),"")),"")</f>
        <v/>
      </c>
      <c r="AL424" s="32">
        <f>IF(AE424="","",IF(ISNUMBER(AK424),AK424,IFERROR(INT(IFERROR(IF(ISNUMBER(INDEX($A424:$Z424,MATCH(Settings!$L$11,$A$1:$Z$1,0))),INDEX($A424:$Z424,MATCH(Settings!$L$11,$A$1:$Z$1,0)),DATE(VALUE(LEFT(IFERROR(TRIM(INDEX($A424:$Z424,MATCH(Settings!$L$11,$A$1:$Z$1,0))&amp;""),""),4)),VALUE(MID(IFERROR(TRIM(INDEX($A424:$Z424,MATCH(Settings!$L$11,$A$1:$Z$1,0))&amp;""),""),6,2)),VALUE(MID(IFERROR(TRIM(INDEX($A424:$Z424,MATCH(Settings!$L$11,$A$1:$Z$1,0))&amp;""),""),9,2)))+TIME(VALUE(MID(IFERROR(TRIM(INDEX($A424:$Z424,MATCH(Settings!$L$11,$A$1:$Z$1,0))&amp;""),""),12,2)),VALUE(MID(IFERROR(TRIM(INDEX($A424:$Z424,MATCH(Settings!$L$11,$A$1:$Z$1,0))&amp;""),""),15,2)),VALUE(MID(IFERROR(TRIM(INDEX($A424:$Z424,MATCH(Settings!$L$11,$A$1:$Z$1,0))&amp;""),""),18,2)))),"")),"")))</f>
        <v/>
      </c>
      <c r="AM424" s="31">
        <f>IF(AE424="","",IF(ISNUMBER(IFERROR(INDEX(Settings!$G$4:$G$11,MATCH(AH424,Settings!$F$4:$F$11,0)),"")),INDEX(Settings!$G$4:$G$11,MATCH(AH424,Settings!$F$4:$F$11,0)),Settings!$D$5))</f>
        <v/>
      </c>
      <c r="AN424" s="32">
        <f>IF(OR(AE424="",NOT(ISNUMBER(AL424)),NOT(ISNUMBER(AM424))),"",IF(AM424&lt;=0,"",IF(ISNUMBER(Settings!$D$8),DATE(YEAR(AL424)+IF(DATE(YEAR(AL424),MONTH(Settings!$D$8),DAY(Settings!$D$8))&gt;AL424,0,1),MONTH(Settings!$D$8),DAY(Settings!$D$8)),MIN(DATE(YEAR(AL424),MONTH(AL424)+AM424,DAY(AL424)),DATE(YEAR(AL424),MONTH(AL424)+AM424+1,0)))))</f>
        <v/>
      </c>
      <c r="AO424" s="31">
        <f>IF(ISNUMBER(AN424),AN424-Settings!$D$4,"")</f>
        <v/>
      </c>
      <c r="AP424" s="31">
        <f>IF(ISNUMBER(AL424),AL424+0+ROW()/100000,"")</f>
        <v/>
      </c>
      <c r="AQ424" s="31">
        <f>IF(OR(AG424="",NOT(ISNUMBER(AP424))),0,IF(SUMPRODUCT(('Responses'!$AG$2:$AG$501=AG424)*('Responses'!$AJ$2:$AJ$501=1)*ISNUMBER('Responses'!$AP$2:$AP$501)*('Responses'!$AP$2:$AP$501&gt;AP424)) + SUMPRODUCT(('Paper sign-ups'!$K$2:$K$101=AG424)*('Paper sign-ups'!$N$2:$N$101=1)*ISNUMBER('Paper sign-ups'!$T$2:$T$101)*('Paper sign-ups'!$T$2:$T$101&gt;AP424))&gt;0,1,0))</f>
        <v/>
      </c>
      <c r="AR424" s="31">
        <f>IF(AE424="","",IF(AQ424=1,"Joined again",IF(AJ424=0,"Unpaid",IF(NOT(ISNUMBER(AL424)),"Add a join date",IF(AN424="","No reminder",IF(AO424&lt;0,"Lapsed",IF(AO424&lt;=Settings!$D$6,"Remind soon","Current")))))))</f>
        <v/>
      </c>
      <c r="AS424" s="33">
        <f>IF(AJ424=1,IFERROR(VALUE(IFERROR(TRIM(INDEX($A424:$Z424,MATCH(Settings!$L$8,$A$1:$Z$1,0))&amp;""),"")),0)-IFERROR(VALUE(IFERROR(TRIM(INDEX($A424:$Z424,MATCH(Settings!$L$9,$A$1:$Z$1,0))&amp;""),"")),0),0)</f>
        <v/>
      </c>
      <c r="AT424" s="31">
        <f>IF(AND(AE424&lt;&gt;"",AQ424=0),1,0)</f>
        <v/>
      </c>
      <c r="AU424" s="31">
        <f>IF(AT424=0,"",IF(ISNUMBER(AN424),AN424,100000)+0+ROW()/1000000)</f>
        <v/>
      </c>
      <c r="AV424" s="31">
        <f>IF(ISNUMBER(AU424),SUMPRODUCT(ISNUMBER('Responses'!$AU$2:$AU$501)*('Responses'!$AU$2:$AU$501&lt;AU424)) + SUMPRODUCT(ISNUMBER('Paper sign-ups'!$Y$2:$Y$101)*('Paper sign-ups'!$Y$2:$Y$101&lt;AU424))+1,"")</f>
        <v/>
      </c>
    </row>
    <row r="425">
      <c r="AA425" s="29" t="n"/>
      <c r="AB425" s="30" t="n"/>
      <c r="AC425" s="30" t="n"/>
      <c r="AD425" s="29" t="n"/>
      <c r="AE425" s="31">
        <f>IFERROR(TRIM(INDEX($A425:$Z425,MATCH(Settings!$L$4,$A$1:$Z$1,0))&amp;""),"")</f>
        <v/>
      </c>
      <c r="AF425" s="31">
        <f>IFERROR(TRIM(INDEX($A425:$Z425,MATCH(Settings!$L$5,$A$1:$Z$1,0))&amp;""),"")</f>
        <v/>
      </c>
      <c r="AG425" s="31">
        <f>IF(AE425="","",LOWER(IF(AF425&lt;&gt;"",AF425,AE425)))</f>
        <v/>
      </c>
      <c r="AH425" s="31">
        <f>IFERROR(TRIM(INDEX($A425:$Z425,MATCH(Settings!$L$6,$A$1:$Z$1,0))&amp;""),"")</f>
        <v/>
      </c>
      <c r="AI425" s="31">
        <f>IF(AE425="","",IF(UPPER(TRIM(AB425&amp;""))="Y","Paid another way",IF(IFERROR(TRIM(INDEX($A425:$Z425,MATCH(Settings!$L$7,$A$1:$Z$1,0))&amp;""),"")="","No payment status",IFERROR(TRIM(INDEX($A425:$Z425,MATCH(Settings!$L$7,$A$1:$Z$1,0))&amp;""),""))))</f>
        <v/>
      </c>
      <c r="AJ425" s="31">
        <f>IF(AE425="",0,IF(IFERROR(INDEX(Settings!$J$4:$J$14,MATCH(AI425,Settings!$I$4:$I$14,0)),"N")="Y",1,0))</f>
        <v/>
      </c>
      <c r="AK425" s="32">
        <f>IFERROR(INT(IFERROR(IF(ISNUMBER(INDEX($A425:$Z425,MATCH(Settings!$L$10,$A$1:$Z$1,0))),INDEX($A425:$Z425,MATCH(Settings!$L$10,$A$1:$Z$1,0)),DATE(VALUE(LEFT(IFERROR(TRIM(INDEX($A425:$Z425,MATCH(Settings!$L$10,$A$1:$Z$1,0))&amp;""),""),4)),VALUE(MID(IFERROR(TRIM(INDEX($A425:$Z425,MATCH(Settings!$L$10,$A$1:$Z$1,0))&amp;""),""),6,2)),VALUE(MID(IFERROR(TRIM(INDEX($A425:$Z425,MATCH(Settings!$L$10,$A$1:$Z$1,0))&amp;""),""),9,2)))+TIME(VALUE(MID(IFERROR(TRIM(INDEX($A425:$Z425,MATCH(Settings!$L$10,$A$1:$Z$1,0))&amp;""),""),12,2)),VALUE(MID(IFERROR(TRIM(INDEX($A425:$Z425,MATCH(Settings!$L$10,$A$1:$Z$1,0))&amp;""),""),15,2)),VALUE(MID(IFERROR(TRIM(INDEX($A425:$Z425,MATCH(Settings!$L$10,$A$1:$Z$1,0))&amp;""),""),18,2)))),"")),"")</f>
        <v/>
      </c>
      <c r="AL425" s="32">
        <f>IF(AE425="","",IF(ISNUMBER(AK425),AK425,IFERROR(INT(IFERROR(IF(ISNUMBER(INDEX($A425:$Z425,MATCH(Settings!$L$11,$A$1:$Z$1,0))),INDEX($A425:$Z425,MATCH(Settings!$L$11,$A$1:$Z$1,0)),DATE(VALUE(LEFT(IFERROR(TRIM(INDEX($A425:$Z425,MATCH(Settings!$L$11,$A$1:$Z$1,0))&amp;""),""),4)),VALUE(MID(IFERROR(TRIM(INDEX($A425:$Z425,MATCH(Settings!$L$11,$A$1:$Z$1,0))&amp;""),""),6,2)),VALUE(MID(IFERROR(TRIM(INDEX($A425:$Z425,MATCH(Settings!$L$11,$A$1:$Z$1,0))&amp;""),""),9,2)))+TIME(VALUE(MID(IFERROR(TRIM(INDEX($A425:$Z425,MATCH(Settings!$L$11,$A$1:$Z$1,0))&amp;""),""),12,2)),VALUE(MID(IFERROR(TRIM(INDEX($A425:$Z425,MATCH(Settings!$L$11,$A$1:$Z$1,0))&amp;""),""),15,2)),VALUE(MID(IFERROR(TRIM(INDEX($A425:$Z425,MATCH(Settings!$L$11,$A$1:$Z$1,0))&amp;""),""),18,2)))),"")),"")))</f>
        <v/>
      </c>
      <c r="AM425" s="31">
        <f>IF(AE425="","",IF(ISNUMBER(IFERROR(INDEX(Settings!$G$4:$G$11,MATCH(AH425,Settings!$F$4:$F$11,0)),"")),INDEX(Settings!$G$4:$G$11,MATCH(AH425,Settings!$F$4:$F$11,0)),Settings!$D$5))</f>
        <v/>
      </c>
      <c r="AN425" s="32">
        <f>IF(OR(AE425="",NOT(ISNUMBER(AL425)),NOT(ISNUMBER(AM425))),"",IF(AM425&lt;=0,"",IF(ISNUMBER(Settings!$D$8),DATE(YEAR(AL425)+IF(DATE(YEAR(AL425),MONTH(Settings!$D$8),DAY(Settings!$D$8))&gt;AL425,0,1),MONTH(Settings!$D$8),DAY(Settings!$D$8)),MIN(DATE(YEAR(AL425),MONTH(AL425)+AM425,DAY(AL425)),DATE(YEAR(AL425),MONTH(AL425)+AM425+1,0)))))</f>
        <v/>
      </c>
      <c r="AO425" s="31">
        <f>IF(ISNUMBER(AN425),AN425-Settings!$D$4,"")</f>
        <v/>
      </c>
      <c r="AP425" s="31">
        <f>IF(ISNUMBER(AL425),AL425+0+ROW()/100000,"")</f>
        <v/>
      </c>
      <c r="AQ425" s="31">
        <f>IF(OR(AG425="",NOT(ISNUMBER(AP425))),0,IF(SUMPRODUCT(('Responses'!$AG$2:$AG$501=AG425)*('Responses'!$AJ$2:$AJ$501=1)*ISNUMBER('Responses'!$AP$2:$AP$501)*('Responses'!$AP$2:$AP$501&gt;AP425)) + SUMPRODUCT(('Paper sign-ups'!$K$2:$K$101=AG425)*('Paper sign-ups'!$N$2:$N$101=1)*ISNUMBER('Paper sign-ups'!$T$2:$T$101)*('Paper sign-ups'!$T$2:$T$101&gt;AP425))&gt;0,1,0))</f>
        <v/>
      </c>
      <c r="AR425" s="31">
        <f>IF(AE425="","",IF(AQ425=1,"Joined again",IF(AJ425=0,"Unpaid",IF(NOT(ISNUMBER(AL425)),"Add a join date",IF(AN425="","No reminder",IF(AO425&lt;0,"Lapsed",IF(AO425&lt;=Settings!$D$6,"Remind soon","Current")))))))</f>
        <v/>
      </c>
      <c r="AS425" s="33">
        <f>IF(AJ425=1,IFERROR(VALUE(IFERROR(TRIM(INDEX($A425:$Z425,MATCH(Settings!$L$8,$A$1:$Z$1,0))&amp;""),"")),0)-IFERROR(VALUE(IFERROR(TRIM(INDEX($A425:$Z425,MATCH(Settings!$L$9,$A$1:$Z$1,0))&amp;""),"")),0),0)</f>
        <v/>
      </c>
      <c r="AT425" s="31">
        <f>IF(AND(AE425&lt;&gt;"",AQ425=0),1,0)</f>
        <v/>
      </c>
      <c r="AU425" s="31">
        <f>IF(AT425=0,"",IF(ISNUMBER(AN425),AN425,100000)+0+ROW()/1000000)</f>
        <v/>
      </c>
      <c r="AV425" s="31">
        <f>IF(ISNUMBER(AU425),SUMPRODUCT(ISNUMBER('Responses'!$AU$2:$AU$501)*('Responses'!$AU$2:$AU$501&lt;AU425)) + SUMPRODUCT(ISNUMBER('Paper sign-ups'!$Y$2:$Y$101)*('Paper sign-ups'!$Y$2:$Y$101&lt;AU425))+1,"")</f>
        <v/>
      </c>
    </row>
    <row r="426">
      <c r="AA426" s="29" t="n"/>
      <c r="AB426" s="30" t="n"/>
      <c r="AC426" s="30" t="n"/>
      <c r="AD426" s="29" t="n"/>
      <c r="AE426" s="31">
        <f>IFERROR(TRIM(INDEX($A426:$Z426,MATCH(Settings!$L$4,$A$1:$Z$1,0))&amp;""),"")</f>
        <v/>
      </c>
      <c r="AF426" s="31">
        <f>IFERROR(TRIM(INDEX($A426:$Z426,MATCH(Settings!$L$5,$A$1:$Z$1,0))&amp;""),"")</f>
        <v/>
      </c>
      <c r="AG426" s="31">
        <f>IF(AE426="","",LOWER(IF(AF426&lt;&gt;"",AF426,AE426)))</f>
        <v/>
      </c>
      <c r="AH426" s="31">
        <f>IFERROR(TRIM(INDEX($A426:$Z426,MATCH(Settings!$L$6,$A$1:$Z$1,0))&amp;""),"")</f>
        <v/>
      </c>
      <c r="AI426" s="31">
        <f>IF(AE426="","",IF(UPPER(TRIM(AB426&amp;""))="Y","Paid another way",IF(IFERROR(TRIM(INDEX($A426:$Z426,MATCH(Settings!$L$7,$A$1:$Z$1,0))&amp;""),"")="","No payment status",IFERROR(TRIM(INDEX($A426:$Z426,MATCH(Settings!$L$7,$A$1:$Z$1,0))&amp;""),""))))</f>
        <v/>
      </c>
      <c r="AJ426" s="31">
        <f>IF(AE426="",0,IF(IFERROR(INDEX(Settings!$J$4:$J$14,MATCH(AI426,Settings!$I$4:$I$14,0)),"N")="Y",1,0))</f>
        <v/>
      </c>
      <c r="AK426" s="32">
        <f>IFERROR(INT(IFERROR(IF(ISNUMBER(INDEX($A426:$Z426,MATCH(Settings!$L$10,$A$1:$Z$1,0))),INDEX($A426:$Z426,MATCH(Settings!$L$10,$A$1:$Z$1,0)),DATE(VALUE(LEFT(IFERROR(TRIM(INDEX($A426:$Z426,MATCH(Settings!$L$10,$A$1:$Z$1,0))&amp;""),""),4)),VALUE(MID(IFERROR(TRIM(INDEX($A426:$Z426,MATCH(Settings!$L$10,$A$1:$Z$1,0))&amp;""),""),6,2)),VALUE(MID(IFERROR(TRIM(INDEX($A426:$Z426,MATCH(Settings!$L$10,$A$1:$Z$1,0))&amp;""),""),9,2)))+TIME(VALUE(MID(IFERROR(TRIM(INDEX($A426:$Z426,MATCH(Settings!$L$10,$A$1:$Z$1,0))&amp;""),""),12,2)),VALUE(MID(IFERROR(TRIM(INDEX($A426:$Z426,MATCH(Settings!$L$10,$A$1:$Z$1,0))&amp;""),""),15,2)),VALUE(MID(IFERROR(TRIM(INDEX($A426:$Z426,MATCH(Settings!$L$10,$A$1:$Z$1,0))&amp;""),""),18,2)))),"")),"")</f>
        <v/>
      </c>
      <c r="AL426" s="32">
        <f>IF(AE426="","",IF(ISNUMBER(AK426),AK426,IFERROR(INT(IFERROR(IF(ISNUMBER(INDEX($A426:$Z426,MATCH(Settings!$L$11,$A$1:$Z$1,0))),INDEX($A426:$Z426,MATCH(Settings!$L$11,$A$1:$Z$1,0)),DATE(VALUE(LEFT(IFERROR(TRIM(INDEX($A426:$Z426,MATCH(Settings!$L$11,$A$1:$Z$1,0))&amp;""),""),4)),VALUE(MID(IFERROR(TRIM(INDEX($A426:$Z426,MATCH(Settings!$L$11,$A$1:$Z$1,0))&amp;""),""),6,2)),VALUE(MID(IFERROR(TRIM(INDEX($A426:$Z426,MATCH(Settings!$L$11,$A$1:$Z$1,0))&amp;""),""),9,2)))+TIME(VALUE(MID(IFERROR(TRIM(INDEX($A426:$Z426,MATCH(Settings!$L$11,$A$1:$Z$1,0))&amp;""),""),12,2)),VALUE(MID(IFERROR(TRIM(INDEX($A426:$Z426,MATCH(Settings!$L$11,$A$1:$Z$1,0))&amp;""),""),15,2)),VALUE(MID(IFERROR(TRIM(INDEX($A426:$Z426,MATCH(Settings!$L$11,$A$1:$Z$1,0))&amp;""),""),18,2)))),"")),"")))</f>
        <v/>
      </c>
      <c r="AM426" s="31">
        <f>IF(AE426="","",IF(ISNUMBER(IFERROR(INDEX(Settings!$G$4:$G$11,MATCH(AH426,Settings!$F$4:$F$11,0)),"")),INDEX(Settings!$G$4:$G$11,MATCH(AH426,Settings!$F$4:$F$11,0)),Settings!$D$5))</f>
        <v/>
      </c>
      <c r="AN426" s="32">
        <f>IF(OR(AE426="",NOT(ISNUMBER(AL426)),NOT(ISNUMBER(AM426))),"",IF(AM426&lt;=0,"",IF(ISNUMBER(Settings!$D$8),DATE(YEAR(AL426)+IF(DATE(YEAR(AL426),MONTH(Settings!$D$8),DAY(Settings!$D$8))&gt;AL426,0,1),MONTH(Settings!$D$8),DAY(Settings!$D$8)),MIN(DATE(YEAR(AL426),MONTH(AL426)+AM426,DAY(AL426)),DATE(YEAR(AL426),MONTH(AL426)+AM426+1,0)))))</f>
        <v/>
      </c>
      <c r="AO426" s="31">
        <f>IF(ISNUMBER(AN426),AN426-Settings!$D$4,"")</f>
        <v/>
      </c>
      <c r="AP426" s="31">
        <f>IF(ISNUMBER(AL426),AL426+0+ROW()/100000,"")</f>
        <v/>
      </c>
      <c r="AQ426" s="31">
        <f>IF(OR(AG426="",NOT(ISNUMBER(AP426))),0,IF(SUMPRODUCT(('Responses'!$AG$2:$AG$501=AG426)*('Responses'!$AJ$2:$AJ$501=1)*ISNUMBER('Responses'!$AP$2:$AP$501)*('Responses'!$AP$2:$AP$501&gt;AP426)) + SUMPRODUCT(('Paper sign-ups'!$K$2:$K$101=AG426)*('Paper sign-ups'!$N$2:$N$101=1)*ISNUMBER('Paper sign-ups'!$T$2:$T$101)*('Paper sign-ups'!$T$2:$T$101&gt;AP426))&gt;0,1,0))</f>
        <v/>
      </c>
      <c r="AR426" s="31">
        <f>IF(AE426="","",IF(AQ426=1,"Joined again",IF(AJ426=0,"Unpaid",IF(NOT(ISNUMBER(AL426)),"Add a join date",IF(AN426="","No reminder",IF(AO426&lt;0,"Lapsed",IF(AO426&lt;=Settings!$D$6,"Remind soon","Current")))))))</f>
        <v/>
      </c>
      <c r="AS426" s="33">
        <f>IF(AJ426=1,IFERROR(VALUE(IFERROR(TRIM(INDEX($A426:$Z426,MATCH(Settings!$L$8,$A$1:$Z$1,0))&amp;""),"")),0)-IFERROR(VALUE(IFERROR(TRIM(INDEX($A426:$Z426,MATCH(Settings!$L$9,$A$1:$Z$1,0))&amp;""),"")),0),0)</f>
        <v/>
      </c>
      <c r="AT426" s="31">
        <f>IF(AND(AE426&lt;&gt;"",AQ426=0),1,0)</f>
        <v/>
      </c>
      <c r="AU426" s="31">
        <f>IF(AT426=0,"",IF(ISNUMBER(AN426),AN426,100000)+0+ROW()/1000000)</f>
        <v/>
      </c>
      <c r="AV426" s="31">
        <f>IF(ISNUMBER(AU426),SUMPRODUCT(ISNUMBER('Responses'!$AU$2:$AU$501)*('Responses'!$AU$2:$AU$501&lt;AU426)) + SUMPRODUCT(ISNUMBER('Paper sign-ups'!$Y$2:$Y$101)*('Paper sign-ups'!$Y$2:$Y$101&lt;AU426))+1,"")</f>
        <v/>
      </c>
    </row>
    <row r="427">
      <c r="AA427" s="29" t="n"/>
      <c r="AB427" s="30" t="n"/>
      <c r="AC427" s="30" t="n"/>
      <c r="AD427" s="29" t="n"/>
      <c r="AE427" s="31">
        <f>IFERROR(TRIM(INDEX($A427:$Z427,MATCH(Settings!$L$4,$A$1:$Z$1,0))&amp;""),"")</f>
        <v/>
      </c>
      <c r="AF427" s="31">
        <f>IFERROR(TRIM(INDEX($A427:$Z427,MATCH(Settings!$L$5,$A$1:$Z$1,0))&amp;""),"")</f>
        <v/>
      </c>
      <c r="AG427" s="31">
        <f>IF(AE427="","",LOWER(IF(AF427&lt;&gt;"",AF427,AE427)))</f>
        <v/>
      </c>
      <c r="AH427" s="31">
        <f>IFERROR(TRIM(INDEX($A427:$Z427,MATCH(Settings!$L$6,$A$1:$Z$1,0))&amp;""),"")</f>
        <v/>
      </c>
      <c r="AI427" s="31">
        <f>IF(AE427="","",IF(UPPER(TRIM(AB427&amp;""))="Y","Paid another way",IF(IFERROR(TRIM(INDEX($A427:$Z427,MATCH(Settings!$L$7,$A$1:$Z$1,0))&amp;""),"")="","No payment status",IFERROR(TRIM(INDEX($A427:$Z427,MATCH(Settings!$L$7,$A$1:$Z$1,0))&amp;""),""))))</f>
        <v/>
      </c>
      <c r="AJ427" s="31">
        <f>IF(AE427="",0,IF(IFERROR(INDEX(Settings!$J$4:$J$14,MATCH(AI427,Settings!$I$4:$I$14,0)),"N")="Y",1,0))</f>
        <v/>
      </c>
      <c r="AK427" s="32">
        <f>IFERROR(INT(IFERROR(IF(ISNUMBER(INDEX($A427:$Z427,MATCH(Settings!$L$10,$A$1:$Z$1,0))),INDEX($A427:$Z427,MATCH(Settings!$L$10,$A$1:$Z$1,0)),DATE(VALUE(LEFT(IFERROR(TRIM(INDEX($A427:$Z427,MATCH(Settings!$L$10,$A$1:$Z$1,0))&amp;""),""),4)),VALUE(MID(IFERROR(TRIM(INDEX($A427:$Z427,MATCH(Settings!$L$10,$A$1:$Z$1,0))&amp;""),""),6,2)),VALUE(MID(IFERROR(TRIM(INDEX($A427:$Z427,MATCH(Settings!$L$10,$A$1:$Z$1,0))&amp;""),""),9,2)))+TIME(VALUE(MID(IFERROR(TRIM(INDEX($A427:$Z427,MATCH(Settings!$L$10,$A$1:$Z$1,0))&amp;""),""),12,2)),VALUE(MID(IFERROR(TRIM(INDEX($A427:$Z427,MATCH(Settings!$L$10,$A$1:$Z$1,0))&amp;""),""),15,2)),VALUE(MID(IFERROR(TRIM(INDEX($A427:$Z427,MATCH(Settings!$L$10,$A$1:$Z$1,0))&amp;""),""),18,2)))),"")),"")</f>
        <v/>
      </c>
      <c r="AL427" s="32">
        <f>IF(AE427="","",IF(ISNUMBER(AK427),AK427,IFERROR(INT(IFERROR(IF(ISNUMBER(INDEX($A427:$Z427,MATCH(Settings!$L$11,$A$1:$Z$1,0))),INDEX($A427:$Z427,MATCH(Settings!$L$11,$A$1:$Z$1,0)),DATE(VALUE(LEFT(IFERROR(TRIM(INDEX($A427:$Z427,MATCH(Settings!$L$11,$A$1:$Z$1,0))&amp;""),""),4)),VALUE(MID(IFERROR(TRIM(INDEX($A427:$Z427,MATCH(Settings!$L$11,$A$1:$Z$1,0))&amp;""),""),6,2)),VALUE(MID(IFERROR(TRIM(INDEX($A427:$Z427,MATCH(Settings!$L$11,$A$1:$Z$1,0))&amp;""),""),9,2)))+TIME(VALUE(MID(IFERROR(TRIM(INDEX($A427:$Z427,MATCH(Settings!$L$11,$A$1:$Z$1,0))&amp;""),""),12,2)),VALUE(MID(IFERROR(TRIM(INDEX($A427:$Z427,MATCH(Settings!$L$11,$A$1:$Z$1,0))&amp;""),""),15,2)),VALUE(MID(IFERROR(TRIM(INDEX($A427:$Z427,MATCH(Settings!$L$11,$A$1:$Z$1,0))&amp;""),""),18,2)))),"")),"")))</f>
        <v/>
      </c>
      <c r="AM427" s="31">
        <f>IF(AE427="","",IF(ISNUMBER(IFERROR(INDEX(Settings!$G$4:$G$11,MATCH(AH427,Settings!$F$4:$F$11,0)),"")),INDEX(Settings!$G$4:$G$11,MATCH(AH427,Settings!$F$4:$F$11,0)),Settings!$D$5))</f>
        <v/>
      </c>
      <c r="AN427" s="32">
        <f>IF(OR(AE427="",NOT(ISNUMBER(AL427)),NOT(ISNUMBER(AM427))),"",IF(AM427&lt;=0,"",IF(ISNUMBER(Settings!$D$8),DATE(YEAR(AL427)+IF(DATE(YEAR(AL427),MONTH(Settings!$D$8),DAY(Settings!$D$8))&gt;AL427,0,1),MONTH(Settings!$D$8),DAY(Settings!$D$8)),MIN(DATE(YEAR(AL427),MONTH(AL427)+AM427,DAY(AL427)),DATE(YEAR(AL427),MONTH(AL427)+AM427+1,0)))))</f>
        <v/>
      </c>
      <c r="AO427" s="31">
        <f>IF(ISNUMBER(AN427),AN427-Settings!$D$4,"")</f>
        <v/>
      </c>
      <c r="AP427" s="31">
        <f>IF(ISNUMBER(AL427),AL427+0+ROW()/100000,"")</f>
        <v/>
      </c>
      <c r="AQ427" s="31">
        <f>IF(OR(AG427="",NOT(ISNUMBER(AP427))),0,IF(SUMPRODUCT(('Responses'!$AG$2:$AG$501=AG427)*('Responses'!$AJ$2:$AJ$501=1)*ISNUMBER('Responses'!$AP$2:$AP$501)*('Responses'!$AP$2:$AP$501&gt;AP427)) + SUMPRODUCT(('Paper sign-ups'!$K$2:$K$101=AG427)*('Paper sign-ups'!$N$2:$N$101=1)*ISNUMBER('Paper sign-ups'!$T$2:$T$101)*('Paper sign-ups'!$T$2:$T$101&gt;AP427))&gt;0,1,0))</f>
        <v/>
      </c>
      <c r="AR427" s="31">
        <f>IF(AE427="","",IF(AQ427=1,"Joined again",IF(AJ427=0,"Unpaid",IF(NOT(ISNUMBER(AL427)),"Add a join date",IF(AN427="","No reminder",IF(AO427&lt;0,"Lapsed",IF(AO427&lt;=Settings!$D$6,"Remind soon","Current")))))))</f>
        <v/>
      </c>
      <c r="AS427" s="33">
        <f>IF(AJ427=1,IFERROR(VALUE(IFERROR(TRIM(INDEX($A427:$Z427,MATCH(Settings!$L$8,$A$1:$Z$1,0))&amp;""),"")),0)-IFERROR(VALUE(IFERROR(TRIM(INDEX($A427:$Z427,MATCH(Settings!$L$9,$A$1:$Z$1,0))&amp;""),"")),0),0)</f>
        <v/>
      </c>
      <c r="AT427" s="31">
        <f>IF(AND(AE427&lt;&gt;"",AQ427=0),1,0)</f>
        <v/>
      </c>
      <c r="AU427" s="31">
        <f>IF(AT427=0,"",IF(ISNUMBER(AN427),AN427,100000)+0+ROW()/1000000)</f>
        <v/>
      </c>
      <c r="AV427" s="31">
        <f>IF(ISNUMBER(AU427),SUMPRODUCT(ISNUMBER('Responses'!$AU$2:$AU$501)*('Responses'!$AU$2:$AU$501&lt;AU427)) + SUMPRODUCT(ISNUMBER('Paper sign-ups'!$Y$2:$Y$101)*('Paper sign-ups'!$Y$2:$Y$101&lt;AU427))+1,"")</f>
        <v/>
      </c>
    </row>
    <row r="428">
      <c r="AA428" s="29" t="n"/>
      <c r="AB428" s="30" t="n"/>
      <c r="AC428" s="30" t="n"/>
      <c r="AD428" s="29" t="n"/>
      <c r="AE428" s="31">
        <f>IFERROR(TRIM(INDEX($A428:$Z428,MATCH(Settings!$L$4,$A$1:$Z$1,0))&amp;""),"")</f>
        <v/>
      </c>
      <c r="AF428" s="31">
        <f>IFERROR(TRIM(INDEX($A428:$Z428,MATCH(Settings!$L$5,$A$1:$Z$1,0))&amp;""),"")</f>
        <v/>
      </c>
      <c r="AG428" s="31">
        <f>IF(AE428="","",LOWER(IF(AF428&lt;&gt;"",AF428,AE428)))</f>
        <v/>
      </c>
      <c r="AH428" s="31">
        <f>IFERROR(TRIM(INDEX($A428:$Z428,MATCH(Settings!$L$6,$A$1:$Z$1,0))&amp;""),"")</f>
        <v/>
      </c>
      <c r="AI428" s="31">
        <f>IF(AE428="","",IF(UPPER(TRIM(AB428&amp;""))="Y","Paid another way",IF(IFERROR(TRIM(INDEX($A428:$Z428,MATCH(Settings!$L$7,$A$1:$Z$1,0))&amp;""),"")="","No payment status",IFERROR(TRIM(INDEX($A428:$Z428,MATCH(Settings!$L$7,$A$1:$Z$1,0))&amp;""),""))))</f>
        <v/>
      </c>
      <c r="AJ428" s="31">
        <f>IF(AE428="",0,IF(IFERROR(INDEX(Settings!$J$4:$J$14,MATCH(AI428,Settings!$I$4:$I$14,0)),"N")="Y",1,0))</f>
        <v/>
      </c>
      <c r="AK428" s="32">
        <f>IFERROR(INT(IFERROR(IF(ISNUMBER(INDEX($A428:$Z428,MATCH(Settings!$L$10,$A$1:$Z$1,0))),INDEX($A428:$Z428,MATCH(Settings!$L$10,$A$1:$Z$1,0)),DATE(VALUE(LEFT(IFERROR(TRIM(INDEX($A428:$Z428,MATCH(Settings!$L$10,$A$1:$Z$1,0))&amp;""),""),4)),VALUE(MID(IFERROR(TRIM(INDEX($A428:$Z428,MATCH(Settings!$L$10,$A$1:$Z$1,0))&amp;""),""),6,2)),VALUE(MID(IFERROR(TRIM(INDEX($A428:$Z428,MATCH(Settings!$L$10,$A$1:$Z$1,0))&amp;""),""),9,2)))+TIME(VALUE(MID(IFERROR(TRIM(INDEX($A428:$Z428,MATCH(Settings!$L$10,$A$1:$Z$1,0))&amp;""),""),12,2)),VALUE(MID(IFERROR(TRIM(INDEX($A428:$Z428,MATCH(Settings!$L$10,$A$1:$Z$1,0))&amp;""),""),15,2)),VALUE(MID(IFERROR(TRIM(INDEX($A428:$Z428,MATCH(Settings!$L$10,$A$1:$Z$1,0))&amp;""),""),18,2)))),"")),"")</f>
        <v/>
      </c>
      <c r="AL428" s="32">
        <f>IF(AE428="","",IF(ISNUMBER(AK428),AK428,IFERROR(INT(IFERROR(IF(ISNUMBER(INDEX($A428:$Z428,MATCH(Settings!$L$11,$A$1:$Z$1,0))),INDEX($A428:$Z428,MATCH(Settings!$L$11,$A$1:$Z$1,0)),DATE(VALUE(LEFT(IFERROR(TRIM(INDEX($A428:$Z428,MATCH(Settings!$L$11,$A$1:$Z$1,0))&amp;""),""),4)),VALUE(MID(IFERROR(TRIM(INDEX($A428:$Z428,MATCH(Settings!$L$11,$A$1:$Z$1,0))&amp;""),""),6,2)),VALUE(MID(IFERROR(TRIM(INDEX($A428:$Z428,MATCH(Settings!$L$11,$A$1:$Z$1,0))&amp;""),""),9,2)))+TIME(VALUE(MID(IFERROR(TRIM(INDEX($A428:$Z428,MATCH(Settings!$L$11,$A$1:$Z$1,0))&amp;""),""),12,2)),VALUE(MID(IFERROR(TRIM(INDEX($A428:$Z428,MATCH(Settings!$L$11,$A$1:$Z$1,0))&amp;""),""),15,2)),VALUE(MID(IFERROR(TRIM(INDEX($A428:$Z428,MATCH(Settings!$L$11,$A$1:$Z$1,0))&amp;""),""),18,2)))),"")),"")))</f>
        <v/>
      </c>
      <c r="AM428" s="31">
        <f>IF(AE428="","",IF(ISNUMBER(IFERROR(INDEX(Settings!$G$4:$G$11,MATCH(AH428,Settings!$F$4:$F$11,0)),"")),INDEX(Settings!$G$4:$G$11,MATCH(AH428,Settings!$F$4:$F$11,0)),Settings!$D$5))</f>
        <v/>
      </c>
      <c r="AN428" s="32">
        <f>IF(OR(AE428="",NOT(ISNUMBER(AL428)),NOT(ISNUMBER(AM428))),"",IF(AM428&lt;=0,"",IF(ISNUMBER(Settings!$D$8),DATE(YEAR(AL428)+IF(DATE(YEAR(AL428),MONTH(Settings!$D$8),DAY(Settings!$D$8))&gt;AL428,0,1),MONTH(Settings!$D$8),DAY(Settings!$D$8)),MIN(DATE(YEAR(AL428),MONTH(AL428)+AM428,DAY(AL428)),DATE(YEAR(AL428),MONTH(AL428)+AM428+1,0)))))</f>
        <v/>
      </c>
      <c r="AO428" s="31">
        <f>IF(ISNUMBER(AN428),AN428-Settings!$D$4,"")</f>
        <v/>
      </c>
      <c r="AP428" s="31">
        <f>IF(ISNUMBER(AL428),AL428+0+ROW()/100000,"")</f>
        <v/>
      </c>
      <c r="AQ428" s="31">
        <f>IF(OR(AG428="",NOT(ISNUMBER(AP428))),0,IF(SUMPRODUCT(('Responses'!$AG$2:$AG$501=AG428)*('Responses'!$AJ$2:$AJ$501=1)*ISNUMBER('Responses'!$AP$2:$AP$501)*('Responses'!$AP$2:$AP$501&gt;AP428)) + SUMPRODUCT(('Paper sign-ups'!$K$2:$K$101=AG428)*('Paper sign-ups'!$N$2:$N$101=1)*ISNUMBER('Paper sign-ups'!$T$2:$T$101)*('Paper sign-ups'!$T$2:$T$101&gt;AP428))&gt;0,1,0))</f>
        <v/>
      </c>
      <c r="AR428" s="31">
        <f>IF(AE428="","",IF(AQ428=1,"Joined again",IF(AJ428=0,"Unpaid",IF(NOT(ISNUMBER(AL428)),"Add a join date",IF(AN428="","No reminder",IF(AO428&lt;0,"Lapsed",IF(AO428&lt;=Settings!$D$6,"Remind soon","Current")))))))</f>
        <v/>
      </c>
      <c r="AS428" s="33">
        <f>IF(AJ428=1,IFERROR(VALUE(IFERROR(TRIM(INDEX($A428:$Z428,MATCH(Settings!$L$8,$A$1:$Z$1,0))&amp;""),"")),0)-IFERROR(VALUE(IFERROR(TRIM(INDEX($A428:$Z428,MATCH(Settings!$L$9,$A$1:$Z$1,0))&amp;""),"")),0),0)</f>
        <v/>
      </c>
      <c r="AT428" s="31">
        <f>IF(AND(AE428&lt;&gt;"",AQ428=0),1,0)</f>
        <v/>
      </c>
      <c r="AU428" s="31">
        <f>IF(AT428=0,"",IF(ISNUMBER(AN428),AN428,100000)+0+ROW()/1000000)</f>
        <v/>
      </c>
      <c r="AV428" s="31">
        <f>IF(ISNUMBER(AU428),SUMPRODUCT(ISNUMBER('Responses'!$AU$2:$AU$501)*('Responses'!$AU$2:$AU$501&lt;AU428)) + SUMPRODUCT(ISNUMBER('Paper sign-ups'!$Y$2:$Y$101)*('Paper sign-ups'!$Y$2:$Y$101&lt;AU428))+1,"")</f>
        <v/>
      </c>
    </row>
    <row r="429">
      <c r="AA429" s="29" t="n"/>
      <c r="AB429" s="30" t="n"/>
      <c r="AC429" s="30" t="n"/>
      <c r="AD429" s="29" t="n"/>
      <c r="AE429" s="31">
        <f>IFERROR(TRIM(INDEX($A429:$Z429,MATCH(Settings!$L$4,$A$1:$Z$1,0))&amp;""),"")</f>
        <v/>
      </c>
      <c r="AF429" s="31">
        <f>IFERROR(TRIM(INDEX($A429:$Z429,MATCH(Settings!$L$5,$A$1:$Z$1,0))&amp;""),"")</f>
        <v/>
      </c>
      <c r="AG429" s="31">
        <f>IF(AE429="","",LOWER(IF(AF429&lt;&gt;"",AF429,AE429)))</f>
        <v/>
      </c>
      <c r="AH429" s="31">
        <f>IFERROR(TRIM(INDEX($A429:$Z429,MATCH(Settings!$L$6,$A$1:$Z$1,0))&amp;""),"")</f>
        <v/>
      </c>
      <c r="AI429" s="31">
        <f>IF(AE429="","",IF(UPPER(TRIM(AB429&amp;""))="Y","Paid another way",IF(IFERROR(TRIM(INDEX($A429:$Z429,MATCH(Settings!$L$7,$A$1:$Z$1,0))&amp;""),"")="","No payment status",IFERROR(TRIM(INDEX($A429:$Z429,MATCH(Settings!$L$7,$A$1:$Z$1,0))&amp;""),""))))</f>
        <v/>
      </c>
      <c r="AJ429" s="31">
        <f>IF(AE429="",0,IF(IFERROR(INDEX(Settings!$J$4:$J$14,MATCH(AI429,Settings!$I$4:$I$14,0)),"N")="Y",1,0))</f>
        <v/>
      </c>
      <c r="AK429" s="32">
        <f>IFERROR(INT(IFERROR(IF(ISNUMBER(INDEX($A429:$Z429,MATCH(Settings!$L$10,$A$1:$Z$1,0))),INDEX($A429:$Z429,MATCH(Settings!$L$10,$A$1:$Z$1,0)),DATE(VALUE(LEFT(IFERROR(TRIM(INDEX($A429:$Z429,MATCH(Settings!$L$10,$A$1:$Z$1,0))&amp;""),""),4)),VALUE(MID(IFERROR(TRIM(INDEX($A429:$Z429,MATCH(Settings!$L$10,$A$1:$Z$1,0))&amp;""),""),6,2)),VALUE(MID(IFERROR(TRIM(INDEX($A429:$Z429,MATCH(Settings!$L$10,$A$1:$Z$1,0))&amp;""),""),9,2)))+TIME(VALUE(MID(IFERROR(TRIM(INDEX($A429:$Z429,MATCH(Settings!$L$10,$A$1:$Z$1,0))&amp;""),""),12,2)),VALUE(MID(IFERROR(TRIM(INDEX($A429:$Z429,MATCH(Settings!$L$10,$A$1:$Z$1,0))&amp;""),""),15,2)),VALUE(MID(IFERROR(TRIM(INDEX($A429:$Z429,MATCH(Settings!$L$10,$A$1:$Z$1,0))&amp;""),""),18,2)))),"")),"")</f>
        <v/>
      </c>
      <c r="AL429" s="32">
        <f>IF(AE429="","",IF(ISNUMBER(AK429),AK429,IFERROR(INT(IFERROR(IF(ISNUMBER(INDEX($A429:$Z429,MATCH(Settings!$L$11,$A$1:$Z$1,0))),INDEX($A429:$Z429,MATCH(Settings!$L$11,$A$1:$Z$1,0)),DATE(VALUE(LEFT(IFERROR(TRIM(INDEX($A429:$Z429,MATCH(Settings!$L$11,$A$1:$Z$1,0))&amp;""),""),4)),VALUE(MID(IFERROR(TRIM(INDEX($A429:$Z429,MATCH(Settings!$L$11,$A$1:$Z$1,0))&amp;""),""),6,2)),VALUE(MID(IFERROR(TRIM(INDEX($A429:$Z429,MATCH(Settings!$L$11,$A$1:$Z$1,0))&amp;""),""),9,2)))+TIME(VALUE(MID(IFERROR(TRIM(INDEX($A429:$Z429,MATCH(Settings!$L$11,$A$1:$Z$1,0))&amp;""),""),12,2)),VALUE(MID(IFERROR(TRIM(INDEX($A429:$Z429,MATCH(Settings!$L$11,$A$1:$Z$1,0))&amp;""),""),15,2)),VALUE(MID(IFERROR(TRIM(INDEX($A429:$Z429,MATCH(Settings!$L$11,$A$1:$Z$1,0))&amp;""),""),18,2)))),"")),"")))</f>
        <v/>
      </c>
      <c r="AM429" s="31">
        <f>IF(AE429="","",IF(ISNUMBER(IFERROR(INDEX(Settings!$G$4:$G$11,MATCH(AH429,Settings!$F$4:$F$11,0)),"")),INDEX(Settings!$G$4:$G$11,MATCH(AH429,Settings!$F$4:$F$11,0)),Settings!$D$5))</f>
        <v/>
      </c>
      <c r="AN429" s="32">
        <f>IF(OR(AE429="",NOT(ISNUMBER(AL429)),NOT(ISNUMBER(AM429))),"",IF(AM429&lt;=0,"",IF(ISNUMBER(Settings!$D$8),DATE(YEAR(AL429)+IF(DATE(YEAR(AL429),MONTH(Settings!$D$8),DAY(Settings!$D$8))&gt;AL429,0,1),MONTH(Settings!$D$8),DAY(Settings!$D$8)),MIN(DATE(YEAR(AL429),MONTH(AL429)+AM429,DAY(AL429)),DATE(YEAR(AL429),MONTH(AL429)+AM429+1,0)))))</f>
        <v/>
      </c>
      <c r="AO429" s="31">
        <f>IF(ISNUMBER(AN429),AN429-Settings!$D$4,"")</f>
        <v/>
      </c>
      <c r="AP429" s="31">
        <f>IF(ISNUMBER(AL429),AL429+0+ROW()/100000,"")</f>
        <v/>
      </c>
      <c r="AQ429" s="31">
        <f>IF(OR(AG429="",NOT(ISNUMBER(AP429))),0,IF(SUMPRODUCT(('Responses'!$AG$2:$AG$501=AG429)*('Responses'!$AJ$2:$AJ$501=1)*ISNUMBER('Responses'!$AP$2:$AP$501)*('Responses'!$AP$2:$AP$501&gt;AP429)) + SUMPRODUCT(('Paper sign-ups'!$K$2:$K$101=AG429)*('Paper sign-ups'!$N$2:$N$101=1)*ISNUMBER('Paper sign-ups'!$T$2:$T$101)*('Paper sign-ups'!$T$2:$T$101&gt;AP429))&gt;0,1,0))</f>
        <v/>
      </c>
      <c r="AR429" s="31">
        <f>IF(AE429="","",IF(AQ429=1,"Joined again",IF(AJ429=0,"Unpaid",IF(NOT(ISNUMBER(AL429)),"Add a join date",IF(AN429="","No reminder",IF(AO429&lt;0,"Lapsed",IF(AO429&lt;=Settings!$D$6,"Remind soon","Current")))))))</f>
        <v/>
      </c>
      <c r="AS429" s="33">
        <f>IF(AJ429=1,IFERROR(VALUE(IFERROR(TRIM(INDEX($A429:$Z429,MATCH(Settings!$L$8,$A$1:$Z$1,0))&amp;""),"")),0)-IFERROR(VALUE(IFERROR(TRIM(INDEX($A429:$Z429,MATCH(Settings!$L$9,$A$1:$Z$1,0))&amp;""),"")),0),0)</f>
        <v/>
      </c>
      <c r="AT429" s="31">
        <f>IF(AND(AE429&lt;&gt;"",AQ429=0),1,0)</f>
        <v/>
      </c>
      <c r="AU429" s="31">
        <f>IF(AT429=0,"",IF(ISNUMBER(AN429),AN429,100000)+0+ROW()/1000000)</f>
        <v/>
      </c>
      <c r="AV429" s="31">
        <f>IF(ISNUMBER(AU429),SUMPRODUCT(ISNUMBER('Responses'!$AU$2:$AU$501)*('Responses'!$AU$2:$AU$501&lt;AU429)) + SUMPRODUCT(ISNUMBER('Paper sign-ups'!$Y$2:$Y$101)*('Paper sign-ups'!$Y$2:$Y$101&lt;AU429))+1,"")</f>
        <v/>
      </c>
    </row>
    <row r="430">
      <c r="AA430" s="29" t="n"/>
      <c r="AB430" s="30" t="n"/>
      <c r="AC430" s="30" t="n"/>
      <c r="AD430" s="29" t="n"/>
      <c r="AE430" s="31">
        <f>IFERROR(TRIM(INDEX($A430:$Z430,MATCH(Settings!$L$4,$A$1:$Z$1,0))&amp;""),"")</f>
        <v/>
      </c>
      <c r="AF430" s="31">
        <f>IFERROR(TRIM(INDEX($A430:$Z430,MATCH(Settings!$L$5,$A$1:$Z$1,0))&amp;""),"")</f>
        <v/>
      </c>
      <c r="AG430" s="31">
        <f>IF(AE430="","",LOWER(IF(AF430&lt;&gt;"",AF430,AE430)))</f>
        <v/>
      </c>
      <c r="AH430" s="31">
        <f>IFERROR(TRIM(INDEX($A430:$Z430,MATCH(Settings!$L$6,$A$1:$Z$1,0))&amp;""),"")</f>
        <v/>
      </c>
      <c r="AI430" s="31">
        <f>IF(AE430="","",IF(UPPER(TRIM(AB430&amp;""))="Y","Paid another way",IF(IFERROR(TRIM(INDEX($A430:$Z430,MATCH(Settings!$L$7,$A$1:$Z$1,0))&amp;""),"")="","No payment status",IFERROR(TRIM(INDEX($A430:$Z430,MATCH(Settings!$L$7,$A$1:$Z$1,0))&amp;""),""))))</f>
        <v/>
      </c>
      <c r="AJ430" s="31">
        <f>IF(AE430="",0,IF(IFERROR(INDEX(Settings!$J$4:$J$14,MATCH(AI430,Settings!$I$4:$I$14,0)),"N")="Y",1,0))</f>
        <v/>
      </c>
      <c r="AK430" s="32">
        <f>IFERROR(INT(IFERROR(IF(ISNUMBER(INDEX($A430:$Z430,MATCH(Settings!$L$10,$A$1:$Z$1,0))),INDEX($A430:$Z430,MATCH(Settings!$L$10,$A$1:$Z$1,0)),DATE(VALUE(LEFT(IFERROR(TRIM(INDEX($A430:$Z430,MATCH(Settings!$L$10,$A$1:$Z$1,0))&amp;""),""),4)),VALUE(MID(IFERROR(TRIM(INDEX($A430:$Z430,MATCH(Settings!$L$10,$A$1:$Z$1,0))&amp;""),""),6,2)),VALUE(MID(IFERROR(TRIM(INDEX($A430:$Z430,MATCH(Settings!$L$10,$A$1:$Z$1,0))&amp;""),""),9,2)))+TIME(VALUE(MID(IFERROR(TRIM(INDEX($A430:$Z430,MATCH(Settings!$L$10,$A$1:$Z$1,0))&amp;""),""),12,2)),VALUE(MID(IFERROR(TRIM(INDEX($A430:$Z430,MATCH(Settings!$L$10,$A$1:$Z$1,0))&amp;""),""),15,2)),VALUE(MID(IFERROR(TRIM(INDEX($A430:$Z430,MATCH(Settings!$L$10,$A$1:$Z$1,0))&amp;""),""),18,2)))),"")),"")</f>
        <v/>
      </c>
      <c r="AL430" s="32">
        <f>IF(AE430="","",IF(ISNUMBER(AK430),AK430,IFERROR(INT(IFERROR(IF(ISNUMBER(INDEX($A430:$Z430,MATCH(Settings!$L$11,$A$1:$Z$1,0))),INDEX($A430:$Z430,MATCH(Settings!$L$11,$A$1:$Z$1,0)),DATE(VALUE(LEFT(IFERROR(TRIM(INDEX($A430:$Z430,MATCH(Settings!$L$11,$A$1:$Z$1,0))&amp;""),""),4)),VALUE(MID(IFERROR(TRIM(INDEX($A430:$Z430,MATCH(Settings!$L$11,$A$1:$Z$1,0))&amp;""),""),6,2)),VALUE(MID(IFERROR(TRIM(INDEX($A430:$Z430,MATCH(Settings!$L$11,$A$1:$Z$1,0))&amp;""),""),9,2)))+TIME(VALUE(MID(IFERROR(TRIM(INDEX($A430:$Z430,MATCH(Settings!$L$11,$A$1:$Z$1,0))&amp;""),""),12,2)),VALUE(MID(IFERROR(TRIM(INDEX($A430:$Z430,MATCH(Settings!$L$11,$A$1:$Z$1,0))&amp;""),""),15,2)),VALUE(MID(IFERROR(TRIM(INDEX($A430:$Z430,MATCH(Settings!$L$11,$A$1:$Z$1,0))&amp;""),""),18,2)))),"")),"")))</f>
        <v/>
      </c>
      <c r="AM430" s="31">
        <f>IF(AE430="","",IF(ISNUMBER(IFERROR(INDEX(Settings!$G$4:$G$11,MATCH(AH430,Settings!$F$4:$F$11,0)),"")),INDEX(Settings!$G$4:$G$11,MATCH(AH430,Settings!$F$4:$F$11,0)),Settings!$D$5))</f>
        <v/>
      </c>
      <c r="AN430" s="32">
        <f>IF(OR(AE430="",NOT(ISNUMBER(AL430)),NOT(ISNUMBER(AM430))),"",IF(AM430&lt;=0,"",IF(ISNUMBER(Settings!$D$8),DATE(YEAR(AL430)+IF(DATE(YEAR(AL430),MONTH(Settings!$D$8),DAY(Settings!$D$8))&gt;AL430,0,1),MONTH(Settings!$D$8),DAY(Settings!$D$8)),MIN(DATE(YEAR(AL430),MONTH(AL430)+AM430,DAY(AL430)),DATE(YEAR(AL430),MONTH(AL430)+AM430+1,0)))))</f>
        <v/>
      </c>
      <c r="AO430" s="31">
        <f>IF(ISNUMBER(AN430),AN430-Settings!$D$4,"")</f>
        <v/>
      </c>
      <c r="AP430" s="31">
        <f>IF(ISNUMBER(AL430),AL430+0+ROW()/100000,"")</f>
        <v/>
      </c>
      <c r="AQ430" s="31">
        <f>IF(OR(AG430="",NOT(ISNUMBER(AP430))),0,IF(SUMPRODUCT(('Responses'!$AG$2:$AG$501=AG430)*('Responses'!$AJ$2:$AJ$501=1)*ISNUMBER('Responses'!$AP$2:$AP$501)*('Responses'!$AP$2:$AP$501&gt;AP430)) + SUMPRODUCT(('Paper sign-ups'!$K$2:$K$101=AG430)*('Paper sign-ups'!$N$2:$N$101=1)*ISNUMBER('Paper sign-ups'!$T$2:$T$101)*('Paper sign-ups'!$T$2:$T$101&gt;AP430))&gt;0,1,0))</f>
        <v/>
      </c>
      <c r="AR430" s="31">
        <f>IF(AE430="","",IF(AQ430=1,"Joined again",IF(AJ430=0,"Unpaid",IF(NOT(ISNUMBER(AL430)),"Add a join date",IF(AN430="","No reminder",IF(AO430&lt;0,"Lapsed",IF(AO430&lt;=Settings!$D$6,"Remind soon","Current")))))))</f>
        <v/>
      </c>
      <c r="AS430" s="33">
        <f>IF(AJ430=1,IFERROR(VALUE(IFERROR(TRIM(INDEX($A430:$Z430,MATCH(Settings!$L$8,$A$1:$Z$1,0))&amp;""),"")),0)-IFERROR(VALUE(IFERROR(TRIM(INDEX($A430:$Z430,MATCH(Settings!$L$9,$A$1:$Z$1,0))&amp;""),"")),0),0)</f>
        <v/>
      </c>
      <c r="AT430" s="31">
        <f>IF(AND(AE430&lt;&gt;"",AQ430=0),1,0)</f>
        <v/>
      </c>
      <c r="AU430" s="31">
        <f>IF(AT430=0,"",IF(ISNUMBER(AN430),AN430,100000)+0+ROW()/1000000)</f>
        <v/>
      </c>
      <c r="AV430" s="31">
        <f>IF(ISNUMBER(AU430),SUMPRODUCT(ISNUMBER('Responses'!$AU$2:$AU$501)*('Responses'!$AU$2:$AU$501&lt;AU430)) + SUMPRODUCT(ISNUMBER('Paper sign-ups'!$Y$2:$Y$101)*('Paper sign-ups'!$Y$2:$Y$101&lt;AU430))+1,"")</f>
        <v/>
      </c>
    </row>
    <row r="431">
      <c r="AA431" s="29" t="n"/>
      <c r="AB431" s="30" t="n"/>
      <c r="AC431" s="30" t="n"/>
      <c r="AD431" s="29" t="n"/>
      <c r="AE431" s="31">
        <f>IFERROR(TRIM(INDEX($A431:$Z431,MATCH(Settings!$L$4,$A$1:$Z$1,0))&amp;""),"")</f>
        <v/>
      </c>
      <c r="AF431" s="31">
        <f>IFERROR(TRIM(INDEX($A431:$Z431,MATCH(Settings!$L$5,$A$1:$Z$1,0))&amp;""),"")</f>
        <v/>
      </c>
      <c r="AG431" s="31">
        <f>IF(AE431="","",LOWER(IF(AF431&lt;&gt;"",AF431,AE431)))</f>
        <v/>
      </c>
      <c r="AH431" s="31">
        <f>IFERROR(TRIM(INDEX($A431:$Z431,MATCH(Settings!$L$6,$A$1:$Z$1,0))&amp;""),"")</f>
        <v/>
      </c>
      <c r="AI431" s="31">
        <f>IF(AE431="","",IF(UPPER(TRIM(AB431&amp;""))="Y","Paid another way",IF(IFERROR(TRIM(INDEX($A431:$Z431,MATCH(Settings!$L$7,$A$1:$Z$1,0))&amp;""),"")="","No payment status",IFERROR(TRIM(INDEX($A431:$Z431,MATCH(Settings!$L$7,$A$1:$Z$1,0))&amp;""),""))))</f>
        <v/>
      </c>
      <c r="AJ431" s="31">
        <f>IF(AE431="",0,IF(IFERROR(INDEX(Settings!$J$4:$J$14,MATCH(AI431,Settings!$I$4:$I$14,0)),"N")="Y",1,0))</f>
        <v/>
      </c>
      <c r="AK431" s="32">
        <f>IFERROR(INT(IFERROR(IF(ISNUMBER(INDEX($A431:$Z431,MATCH(Settings!$L$10,$A$1:$Z$1,0))),INDEX($A431:$Z431,MATCH(Settings!$L$10,$A$1:$Z$1,0)),DATE(VALUE(LEFT(IFERROR(TRIM(INDEX($A431:$Z431,MATCH(Settings!$L$10,$A$1:$Z$1,0))&amp;""),""),4)),VALUE(MID(IFERROR(TRIM(INDEX($A431:$Z431,MATCH(Settings!$L$10,$A$1:$Z$1,0))&amp;""),""),6,2)),VALUE(MID(IFERROR(TRIM(INDEX($A431:$Z431,MATCH(Settings!$L$10,$A$1:$Z$1,0))&amp;""),""),9,2)))+TIME(VALUE(MID(IFERROR(TRIM(INDEX($A431:$Z431,MATCH(Settings!$L$10,$A$1:$Z$1,0))&amp;""),""),12,2)),VALUE(MID(IFERROR(TRIM(INDEX($A431:$Z431,MATCH(Settings!$L$10,$A$1:$Z$1,0))&amp;""),""),15,2)),VALUE(MID(IFERROR(TRIM(INDEX($A431:$Z431,MATCH(Settings!$L$10,$A$1:$Z$1,0))&amp;""),""),18,2)))),"")),"")</f>
        <v/>
      </c>
      <c r="AL431" s="32">
        <f>IF(AE431="","",IF(ISNUMBER(AK431),AK431,IFERROR(INT(IFERROR(IF(ISNUMBER(INDEX($A431:$Z431,MATCH(Settings!$L$11,$A$1:$Z$1,0))),INDEX($A431:$Z431,MATCH(Settings!$L$11,$A$1:$Z$1,0)),DATE(VALUE(LEFT(IFERROR(TRIM(INDEX($A431:$Z431,MATCH(Settings!$L$11,$A$1:$Z$1,0))&amp;""),""),4)),VALUE(MID(IFERROR(TRIM(INDEX($A431:$Z431,MATCH(Settings!$L$11,$A$1:$Z$1,0))&amp;""),""),6,2)),VALUE(MID(IFERROR(TRIM(INDEX($A431:$Z431,MATCH(Settings!$L$11,$A$1:$Z$1,0))&amp;""),""),9,2)))+TIME(VALUE(MID(IFERROR(TRIM(INDEX($A431:$Z431,MATCH(Settings!$L$11,$A$1:$Z$1,0))&amp;""),""),12,2)),VALUE(MID(IFERROR(TRIM(INDEX($A431:$Z431,MATCH(Settings!$L$11,$A$1:$Z$1,0))&amp;""),""),15,2)),VALUE(MID(IFERROR(TRIM(INDEX($A431:$Z431,MATCH(Settings!$L$11,$A$1:$Z$1,0))&amp;""),""),18,2)))),"")),"")))</f>
        <v/>
      </c>
      <c r="AM431" s="31">
        <f>IF(AE431="","",IF(ISNUMBER(IFERROR(INDEX(Settings!$G$4:$G$11,MATCH(AH431,Settings!$F$4:$F$11,0)),"")),INDEX(Settings!$G$4:$G$11,MATCH(AH431,Settings!$F$4:$F$11,0)),Settings!$D$5))</f>
        <v/>
      </c>
      <c r="AN431" s="32">
        <f>IF(OR(AE431="",NOT(ISNUMBER(AL431)),NOT(ISNUMBER(AM431))),"",IF(AM431&lt;=0,"",IF(ISNUMBER(Settings!$D$8),DATE(YEAR(AL431)+IF(DATE(YEAR(AL431),MONTH(Settings!$D$8),DAY(Settings!$D$8))&gt;AL431,0,1),MONTH(Settings!$D$8),DAY(Settings!$D$8)),MIN(DATE(YEAR(AL431),MONTH(AL431)+AM431,DAY(AL431)),DATE(YEAR(AL431),MONTH(AL431)+AM431+1,0)))))</f>
        <v/>
      </c>
      <c r="AO431" s="31">
        <f>IF(ISNUMBER(AN431),AN431-Settings!$D$4,"")</f>
        <v/>
      </c>
      <c r="AP431" s="31">
        <f>IF(ISNUMBER(AL431),AL431+0+ROW()/100000,"")</f>
        <v/>
      </c>
      <c r="AQ431" s="31">
        <f>IF(OR(AG431="",NOT(ISNUMBER(AP431))),0,IF(SUMPRODUCT(('Responses'!$AG$2:$AG$501=AG431)*('Responses'!$AJ$2:$AJ$501=1)*ISNUMBER('Responses'!$AP$2:$AP$501)*('Responses'!$AP$2:$AP$501&gt;AP431)) + SUMPRODUCT(('Paper sign-ups'!$K$2:$K$101=AG431)*('Paper sign-ups'!$N$2:$N$101=1)*ISNUMBER('Paper sign-ups'!$T$2:$T$101)*('Paper sign-ups'!$T$2:$T$101&gt;AP431))&gt;0,1,0))</f>
        <v/>
      </c>
      <c r="AR431" s="31">
        <f>IF(AE431="","",IF(AQ431=1,"Joined again",IF(AJ431=0,"Unpaid",IF(NOT(ISNUMBER(AL431)),"Add a join date",IF(AN431="","No reminder",IF(AO431&lt;0,"Lapsed",IF(AO431&lt;=Settings!$D$6,"Remind soon","Current")))))))</f>
        <v/>
      </c>
      <c r="AS431" s="33">
        <f>IF(AJ431=1,IFERROR(VALUE(IFERROR(TRIM(INDEX($A431:$Z431,MATCH(Settings!$L$8,$A$1:$Z$1,0))&amp;""),"")),0)-IFERROR(VALUE(IFERROR(TRIM(INDEX($A431:$Z431,MATCH(Settings!$L$9,$A$1:$Z$1,0))&amp;""),"")),0),0)</f>
        <v/>
      </c>
      <c r="AT431" s="31">
        <f>IF(AND(AE431&lt;&gt;"",AQ431=0),1,0)</f>
        <v/>
      </c>
      <c r="AU431" s="31">
        <f>IF(AT431=0,"",IF(ISNUMBER(AN431),AN431,100000)+0+ROW()/1000000)</f>
        <v/>
      </c>
      <c r="AV431" s="31">
        <f>IF(ISNUMBER(AU431),SUMPRODUCT(ISNUMBER('Responses'!$AU$2:$AU$501)*('Responses'!$AU$2:$AU$501&lt;AU431)) + SUMPRODUCT(ISNUMBER('Paper sign-ups'!$Y$2:$Y$101)*('Paper sign-ups'!$Y$2:$Y$101&lt;AU431))+1,"")</f>
        <v/>
      </c>
    </row>
    <row r="432">
      <c r="AA432" s="29" t="n"/>
      <c r="AB432" s="30" t="n"/>
      <c r="AC432" s="30" t="n"/>
      <c r="AD432" s="29" t="n"/>
      <c r="AE432" s="31">
        <f>IFERROR(TRIM(INDEX($A432:$Z432,MATCH(Settings!$L$4,$A$1:$Z$1,0))&amp;""),"")</f>
        <v/>
      </c>
      <c r="AF432" s="31">
        <f>IFERROR(TRIM(INDEX($A432:$Z432,MATCH(Settings!$L$5,$A$1:$Z$1,0))&amp;""),"")</f>
        <v/>
      </c>
      <c r="AG432" s="31">
        <f>IF(AE432="","",LOWER(IF(AF432&lt;&gt;"",AF432,AE432)))</f>
        <v/>
      </c>
      <c r="AH432" s="31">
        <f>IFERROR(TRIM(INDEX($A432:$Z432,MATCH(Settings!$L$6,$A$1:$Z$1,0))&amp;""),"")</f>
        <v/>
      </c>
      <c r="AI432" s="31">
        <f>IF(AE432="","",IF(UPPER(TRIM(AB432&amp;""))="Y","Paid another way",IF(IFERROR(TRIM(INDEX($A432:$Z432,MATCH(Settings!$L$7,$A$1:$Z$1,0))&amp;""),"")="","No payment status",IFERROR(TRIM(INDEX($A432:$Z432,MATCH(Settings!$L$7,$A$1:$Z$1,0))&amp;""),""))))</f>
        <v/>
      </c>
      <c r="AJ432" s="31">
        <f>IF(AE432="",0,IF(IFERROR(INDEX(Settings!$J$4:$J$14,MATCH(AI432,Settings!$I$4:$I$14,0)),"N")="Y",1,0))</f>
        <v/>
      </c>
      <c r="AK432" s="32">
        <f>IFERROR(INT(IFERROR(IF(ISNUMBER(INDEX($A432:$Z432,MATCH(Settings!$L$10,$A$1:$Z$1,0))),INDEX($A432:$Z432,MATCH(Settings!$L$10,$A$1:$Z$1,0)),DATE(VALUE(LEFT(IFERROR(TRIM(INDEX($A432:$Z432,MATCH(Settings!$L$10,$A$1:$Z$1,0))&amp;""),""),4)),VALUE(MID(IFERROR(TRIM(INDEX($A432:$Z432,MATCH(Settings!$L$10,$A$1:$Z$1,0))&amp;""),""),6,2)),VALUE(MID(IFERROR(TRIM(INDEX($A432:$Z432,MATCH(Settings!$L$10,$A$1:$Z$1,0))&amp;""),""),9,2)))+TIME(VALUE(MID(IFERROR(TRIM(INDEX($A432:$Z432,MATCH(Settings!$L$10,$A$1:$Z$1,0))&amp;""),""),12,2)),VALUE(MID(IFERROR(TRIM(INDEX($A432:$Z432,MATCH(Settings!$L$10,$A$1:$Z$1,0))&amp;""),""),15,2)),VALUE(MID(IFERROR(TRIM(INDEX($A432:$Z432,MATCH(Settings!$L$10,$A$1:$Z$1,0))&amp;""),""),18,2)))),"")),"")</f>
        <v/>
      </c>
      <c r="AL432" s="32">
        <f>IF(AE432="","",IF(ISNUMBER(AK432),AK432,IFERROR(INT(IFERROR(IF(ISNUMBER(INDEX($A432:$Z432,MATCH(Settings!$L$11,$A$1:$Z$1,0))),INDEX($A432:$Z432,MATCH(Settings!$L$11,$A$1:$Z$1,0)),DATE(VALUE(LEFT(IFERROR(TRIM(INDEX($A432:$Z432,MATCH(Settings!$L$11,$A$1:$Z$1,0))&amp;""),""),4)),VALUE(MID(IFERROR(TRIM(INDEX($A432:$Z432,MATCH(Settings!$L$11,$A$1:$Z$1,0))&amp;""),""),6,2)),VALUE(MID(IFERROR(TRIM(INDEX($A432:$Z432,MATCH(Settings!$L$11,$A$1:$Z$1,0))&amp;""),""),9,2)))+TIME(VALUE(MID(IFERROR(TRIM(INDEX($A432:$Z432,MATCH(Settings!$L$11,$A$1:$Z$1,0))&amp;""),""),12,2)),VALUE(MID(IFERROR(TRIM(INDEX($A432:$Z432,MATCH(Settings!$L$11,$A$1:$Z$1,0))&amp;""),""),15,2)),VALUE(MID(IFERROR(TRIM(INDEX($A432:$Z432,MATCH(Settings!$L$11,$A$1:$Z$1,0))&amp;""),""),18,2)))),"")),"")))</f>
        <v/>
      </c>
      <c r="AM432" s="31">
        <f>IF(AE432="","",IF(ISNUMBER(IFERROR(INDEX(Settings!$G$4:$G$11,MATCH(AH432,Settings!$F$4:$F$11,0)),"")),INDEX(Settings!$G$4:$G$11,MATCH(AH432,Settings!$F$4:$F$11,0)),Settings!$D$5))</f>
        <v/>
      </c>
      <c r="AN432" s="32">
        <f>IF(OR(AE432="",NOT(ISNUMBER(AL432)),NOT(ISNUMBER(AM432))),"",IF(AM432&lt;=0,"",IF(ISNUMBER(Settings!$D$8),DATE(YEAR(AL432)+IF(DATE(YEAR(AL432),MONTH(Settings!$D$8),DAY(Settings!$D$8))&gt;AL432,0,1),MONTH(Settings!$D$8),DAY(Settings!$D$8)),MIN(DATE(YEAR(AL432),MONTH(AL432)+AM432,DAY(AL432)),DATE(YEAR(AL432),MONTH(AL432)+AM432+1,0)))))</f>
        <v/>
      </c>
      <c r="AO432" s="31">
        <f>IF(ISNUMBER(AN432),AN432-Settings!$D$4,"")</f>
        <v/>
      </c>
      <c r="AP432" s="31">
        <f>IF(ISNUMBER(AL432),AL432+0+ROW()/100000,"")</f>
        <v/>
      </c>
      <c r="AQ432" s="31">
        <f>IF(OR(AG432="",NOT(ISNUMBER(AP432))),0,IF(SUMPRODUCT(('Responses'!$AG$2:$AG$501=AG432)*('Responses'!$AJ$2:$AJ$501=1)*ISNUMBER('Responses'!$AP$2:$AP$501)*('Responses'!$AP$2:$AP$501&gt;AP432)) + SUMPRODUCT(('Paper sign-ups'!$K$2:$K$101=AG432)*('Paper sign-ups'!$N$2:$N$101=1)*ISNUMBER('Paper sign-ups'!$T$2:$T$101)*('Paper sign-ups'!$T$2:$T$101&gt;AP432))&gt;0,1,0))</f>
        <v/>
      </c>
      <c r="AR432" s="31">
        <f>IF(AE432="","",IF(AQ432=1,"Joined again",IF(AJ432=0,"Unpaid",IF(NOT(ISNUMBER(AL432)),"Add a join date",IF(AN432="","No reminder",IF(AO432&lt;0,"Lapsed",IF(AO432&lt;=Settings!$D$6,"Remind soon","Current")))))))</f>
        <v/>
      </c>
      <c r="AS432" s="33">
        <f>IF(AJ432=1,IFERROR(VALUE(IFERROR(TRIM(INDEX($A432:$Z432,MATCH(Settings!$L$8,$A$1:$Z$1,0))&amp;""),"")),0)-IFERROR(VALUE(IFERROR(TRIM(INDEX($A432:$Z432,MATCH(Settings!$L$9,$A$1:$Z$1,0))&amp;""),"")),0),0)</f>
        <v/>
      </c>
      <c r="AT432" s="31">
        <f>IF(AND(AE432&lt;&gt;"",AQ432=0),1,0)</f>
        <v/>
      </c>
      <c r="AU432" s="31">
        <f>IF(AT432=0,"",IF(ISNUMBER(AN432),AN432,100000)+0+ROW()/1000000)</f>
        <v/>
      </c>
      <c r="AV432" s="31">
        <f>IF(ISNUMBER(AU432),SUMPRODUCT(ISNUMBER('Responses'!$AU$2:$AU$501)*('Responses'!$AU$2:$AU$501&lt;AU432)) + SUMPRODUCT(ISNUMBER('Paper sign-ups'!$Y$2:$Y$101)*('Paper sign-ups'!$Y$2:$Y$101&lt;AU432))+1,"")</f>
        <v/>
      </c>
    </row>
    <row r="433">
      <c r="AA433" s="29" t="n"/>
      <c r="AB433" s="30" t="n"/>
      <c r="AC433" s="30" t="n"/>
      <c r="AD433" s="29" t="n"/>
      <c r="AE433" s="31">
        <f>IFERROR(TRIM(INDEX($A433:$Z433,MATCH(Settings!$L$4,$A$1:$Z$1,0))&amp;""),"")</f>
        <v/>
      </c>
      <c r="AF433" s="31">
        <f>IFERROR(TRIM(INDEX($A433:$Z433,MATCH(Settings!$L$5,$A$1:$Z$1,0))&amp;""),"")</f>
        <v/>
      </c>
      <c r="AG433" s="31">
        <f>IF(AE433="","",LOWER(IF(AF433&lt;&gt;"",AF433,AE433)))</f>
        <v/>
      </c>
      <c r="AH433" s="31">
        <f>IFERROR(TRIM(INDEX($A433:$Z433,MATCH(Settings!$L$6,$A$1:$Z$1,0))&amp;""),"")</f>
        <v/>
      </c>
      <c r="AI433" s="31">
        <f>IF(AE433="","",IF(UPPER(TRIM(AB433&amp;""))="Y","Paid another way",IF(IFERROR(TRIM(INDEX($A433:$Z433,MATCH(Settings!$L$7,$A$1:$Z$1,0))&amp;""),"")="","No payment status",IFERROR(TRIM(INDEX($A433:$Z433,MATCH(Settings!$L$7,$A$1:$Z$1,0))&amp;""),""))))</f>
        <v/>
      </c>
      <c r="AJ433" s="31">
        <f>IF(AE433="",0,IF(IFERROR(INDEX(Settings!$J$4:$J$14,MATCH(AI433,Settings!$I$4:$I$14,0)),"N")="Y",1,0))</f>
        <v/>
      </c>
      <c r="AK433" s="32">
        <f>IFERROR(INT(IFERROR(IF(ISNUMBER(INDEX($A433:$Z433,MATCH(Settings!$L$10,$A$1:$Z$1,0))),INDEX($A433:$Z433,MATCH(Settings!$L$10,$A$1:$Z$1,0)),DATE(VALUE(LEFT(IFERROR(TRIM(INDEX($A433:$Z433,MATCH(Settings!$L$10,$A$1:$Z$1,0))&amp;""),""),4)),VALUE(MID(IFERROR(TRIM(INDEX($A433:$Z433,MATCH(Settings!$L$10,$A$1:$Z$1,0))&amp;""),""),6,2)),VALUE(MID(IFERROR(TRIM(INDEX($A433:$Z433,MATCH(Settings!$L$10,$A$1:$Z$1,0))&amp;""),""),9,2)))+TIME(VALUE(MID(IFERROR(TRIM(INDEX($A433:$Z433,MATCH(Settings!$L$10,$A$1:$Z$1,0))&amp;""),""),12,2)),VALUE(MID(IFERROR(TRIM(INDEX($A433:$Z433,MATCH(Settings!$L$10,$A$1:$Z$1,0))&amp;""),""),15,2)),VALUE(MID(IFERROR(TRIM(INDEX($A433:$Z433,MATCH(Settings!$L$10,$A$1:$Z$1,0))&amp;""),""),18,2)))),"")),"")</f>
        <v/>
      </c>
      <c r="AL433" s="32">
        <f>IF(AE433="","",IF(ISNUMBER(AK433),AK433,IFERROR(INT(IFERROR(IF(ISNUMBER(INDEX($A433:$Z433,MATCH(Settings!$L$11,$A$1:$Z$1,0))),INDEX($A433:$Z433,MATCH(Settings!$L$11,$A$1:$Z$1,0)),DATE(VALUE(LEFT(IFERROR(TRIM(INDEX($A433:$Z433,MATCH(Settings!$L$11,$A$1:$Z$1,0))&amp;""),""),4)),VALUE(MID(IFERROR(TRIM(INDEX($A433:$Z433,MATCH(Settings!$L$11,$A$1:$Z$1,0))&amp;""),""),6,2)),VALUE(MID(IFERROR(TRIM(INDEX($A433:$Z433,MATCH(Settings!$L$11,$A$1:$Z$1,0))&amp;""),""),9,2)))+TIME(VALUE(MID(IFERROR(TRIM(INDEX($A433:$Z433,MATCH(Settings!$L$11,$A$1:$Z$1,0))&amp;""),""),12,2)),VALUE(MID(IFERROR(TRIM(INDEX($A433:$Z433,MATCH(Settings!$L$11,$A$1:$Z$1,0))&amp;""),""),15,2)),VALUE(MID(IFERROR(TRIM(INDEX($A433:$Z433,MATCH(Settings!$L$11,$A$1:$Z$1,0))&amp;""),""),18,2)))),"")),"")))</f>
        <v/>
      </c>
      <c r="AM433" s="31">
        <f>IF(AE433="","",IF(ISNUMBER(IFERROR(INDEX(Settings!$G$4:$G$11,MATCH(AH433,Settings!$F$4:$F$11,0)),"")),INDEX(Settings!$G$4:$G$11,MATCH(AH433,Settings!$F$4:$F$11,0)),Settings!$D$5))</f>
        <v/>
      </c>
      <c r="AN433" s="32">
        <f>IF(OR(AE433="",NOT(ISNUMBER(AL433)),NOT(ISNUMBER(AM433))),"",IF(AM433&lt;=0,"",IF(ISNUMBER(Settings!$D$8),DATE(YEAR(AL433)+IF(DATE(YEAR(AL433),MONTH(Settings!$D$8),DAY(Settings!$D$8))&gt;AL433,0,1),MONTH(Settings!$D$8),DAY(Settings!$D$8)),MIN(DATE(YEAR(AL433),MONTH(AL433)+AM433,DAY(AL433)),DATE(YEAR(AL433),MONTH(AL433)+AM433+1,0)))))</f>
        <v/>
      </c>
      <c r="AO433" s="31">
        <f>IF(ISNUMBER(AN433),AN433-Settings!$D$4,"")</f>
        <v/>
      </c>
      <c r="AP433" s="31">
        <f>IF(ISNUMBER(AL433),AL433+0+ROW()/100000,"")</f>
        <v/>
      </c>
      <c r="AQ433" s="31">
        <f>IF(OR(AG433="",NOT(ISNUMBER(AP433))),0,IF(SUMPRODUCT(('Responses'!$AG$2:$AG$501=AG433)*('Responses'!$AJ$2:$AJ$501=1)*ISNUMBER('Responses'!$AP$2:$AP$501)*('Responses'!$AP$2:$AP$501&gt;AP433)) + SUMPRODUCT(('Paper sign-ups'!$K$2:$K$101=AG433)*('Paper sign-ups'!$N$2:$N$101=1)*ISNUMBER('Paper sign-ups'!$T$2:$T$101)*('Paper sign-ups'!$T$2:$T$101&gt;AP433))&gt;0,1,0))</f>
        <v/>
      </c>
      <c r="AR433" s="31">
        <f>IF(AE433="","",IF(AQ433=1,"Joined again",IF(AJ433=0,"Unpaid",IF(NOT(ISNUMBER(AL433)),"Add a join date",IF(AN433="","No reminder",IF(AO433&lt;0,"Lapsed",IF(AO433&lt;=Settings!$D$6,"Remind soon","Current")))))))</f>
        <v/>
      </c>
      <c r="AS433" s="33">
        <f>IF(AJ433=1,IFERROR(VALUE(IFERROR(TRIM(INDEX($A433:$Z433,MATCH(Settings!$L$8,$A$1:$Z$1,0))&amp;""),"")),0)-IFERROR(VALUE(IFERROR(TRIM(INDEX($A433:$Z433,MATCH(Settings!$L$9,$A$1:$Z$1,0))&amp;""),"")),0),0)</f>
        <v/>
      </c>
      <c r="AT433" s="31">
        <f>IF(AND(AE433&lt;&gt;"",AQ433=0),1,0)</f>
        <v/>
      </c>
      <c r="AU433" s="31">
        <f>IF(AT433=0,"",IF(ISNUMBER(AN433),AN433,100000)+0+ROW()/1000000)</f>
        <v/>
      </c>
      <c r="AV433" s="31">
        <f>IF(ISNUMBER(AU433),SUMPRODUCT(ISNUMBER('Responses'!$AU$2:$AU$501)*('Responses'!$AU$2:$AU$501&lt;AU433)) + SUMPRODUCT(ISNUMBER('Paper sign-ups'!$Y$2:$Y$101)*('Paper sign-ups'!$Y$2:$Y$101&lt;AU433))+1,"")</f>
        <v/>
      </c>
    </row>
    <row r="434">
      <c r="AA434" s="29" t="n"/>
      <c r="AB434" s="30" t="n"/>
      <c r="AC434" s="30" t="n"/>
      <c r="AD434" s="29" t="n"/>
      <c r="AE434" s="31">
        <f>IFERROR(TRIM(INDEX($A434:$Z434,MATCH(Settings!$L$4,$A$1:$Z$1,0))&amp;""),"")</f>
        <v/>
      </c>
      <c r="AF434" s="31">
        <f>IFERROR(TRIM(INDEX($A434:$Z434,MATCH(Settings!$L$5,$A$1:$Z$1,0))&amp;""),"")</f>
        <v/>
      </c>
      <c r="AG434" s="31">
        <f>IF(AE434="","",LOWER(IF(AF434&lt;&gt;"",AF434,AE434)))</f>
        <v/>
      </c>
      <c r="AH434" s="31">
        <f>IFERROR(TRIM(INDEX($A434:$Z434,MATCH(Settings!$L$6,$A$1:$Z$1,0))&amp;""),"")</f>
        <v/>
      </c>
      <c r="AI434" s="31">
        <f>IF(AE434="","",IF(UPPER(TRIM(AB434&amp;""))="Y","Paid another way",IF(IFERROR(TRIM(INDEX($A434:$Z434,MATCH(Settings!$L$7,$A$1:$Z$1,0))&amp;""),"")="","No payment status",IFERROR(TRIM(INDEX($A434:$Z434,MATCH(Settings!$L$7,$A$1:$Z$1,0))&amp;""),""))))</f>
        <v/>
      </c>
      <c r="AJ434" s="31">
        <f>IF(AE434="",0,IF(IFERROR(INDEX(Settings!$J$4:$J$14,MATCH(AI434,Settings!$I$4:$I$14,0)),"N")="Y",1,0))</f>
        <v/>
      </c>
      <c r="AK434" s="32">
        <f>IFERROR(INT(IFERROR(IF(ISNUMBER(INDEX($A434:$Z434,MATCH(Settings!$L$10,$A$1:$Z$1,0))),INDEX($A434:$Z434,MATCH(Settings!$L$10,$A$1:$Z$1,0)),DATE(VALUE(LEFT(IFERROR(TRIM(INDEX($A434:$Z434,MATCH(Settings!$L$10,$A$1:$Z$1,0))&amp;""),""),4)),VALUE(MID(IFERROR(TRIM(INDEX($A434:$Z434,MATCH(Settings!$L$10,$A$1:$Z$1,0))&amp;""),""),6,2)),VALUE(MID(IFERROR(TRIM(INDEX($A434:$Z434,MATCH(Settings!$L$10,$A$1:$Z$1,0))&amp;""),""),9,2)))+TIME(VALUE(MID(IFERROR(TRIM(INDEX($A434:$Z434,MATCH(Settings!$L$10,$A$1:$Z$1,0))&amp;""),""),12,2)),VALUE(MID(IFERROR(TRIM(INDEX($A434:$Z434,MATCH(Settings!$L$10,$A$1:$Z$1,0))&amp;""),""),15,2)),VALUE(MID(IFERROR(TRIM(INDEX($A434:$Z434,MATCH(Settings!$L$10,$A$1:$Z$1,0))&amp;""),""),18,2)))),"")),"")</f>
        <v/>
      </c>
      <c r="AL434" s="32">
        <f>IF(AE434="","",IF(ISNUMBER(AK434),AK434,IFERROR(INT(IFERROR(IF(ISNUMBER(INDEX($A434:$Z434,MATCH(Settings!$L$11,$A$1:$Z$1,0))),INDEX($A434:$Z434,MATCH(Settings!$L$11,$A$1:$Z$1,0)),DATE(VALUE(LEFT(IFERROR(TRIM(INDEX($A434:$Z434,MATCH(Settings!$L$11,$A$1:$Z$1,0))&amp;""),""),4)),VALUE(MID(IFERROR(TRIM(INDEX($A434:$Z434,MATCH(Settings!$L$11,$A$1:$Z$1,0))&amp;""),""),6,2)),VALUE(MID(IFERROR(TRIM(INDEX($A434:$Z434,MATCH(Settings!$L$11,$A$1:$Z$1,0))&amp;""),""),9,2)))+TIME(VALUE(MID(IFERROR(TRIM(INDEX($A434:$Z434,MATCH(Settings!$L$11,$A$1:$Z$1,0))&amp;""),""),12,2)),VALUE(MID(IFERROR(TRIM(INDEX($A434:$Z434,MATCH(Settings!$L$11,$A$1:$Z$1,0))&amp;""),""),15,2)),VALUE(MID(IFERROR(TRIM(INDEX($A434:$Z434,MATCH(Settings!$L$11,$A$1:$Z$1,0))&amp;""),""),18,2)))),"")),"")))</f>
        <v/>
      </c>
      <c r="AM434" s="31">
        <f>IF(AE434="","",IF(ISNUMBER(IFERROR(INDEX(Settings!$G$4:$G$11,MATCH(AH434,Settings!$F$4:$F$11,0)),"")),INDEX(Settings!$G$4:$G$11,MATCH(AH434,Settings!$F$4:$F$11,0)),Settings!$D$5))</f>
        <v/>
      </c>
      <c r="AN434" s="32">
        <f>IF(OR(AE434="",NOT(ISNUMBER(AL434)),NOT(ISNUMBER(AM434))),"",IF(AM434&lt;=0,"",IF(ISNUMBER(Settings!$D$8),DATE(YEAR(AL434)+IF(DATE(YEAR(AL434),MONTH(Settings!$D$8),DAY(Settings!$D$8))&gt;AL434,0,1),MONTH(Settings!$D$8),DAY(Settings!$D$8)),MIN(DATE(YEAR(AL434),MONTH(AL434)+AM434,DAY(AL434)),DATE(YEAR(AL434),MONTH(AL434)+AM434+1,0)))))</f>
        <v/>
      </c>
      <c r="AO434" s="31">
        <f>IF(ISNUMBER(AN434),AN434-Settings!$D$4,"")</f>
        <v/>
      </c>
      <c r="AP434" s="31">
        <f>IF(ISNUMBER(AL434),AL434+0+ROW()/100000,"")</f>
        <v/>
      </c>
      <c r="AQ434" s="31">
        <f>IF(OR(AG434="",NOT(ISNUMBER(AP434))),0,IF(SUMPRODUCT(('Responses'!$AG$2:$AG$501=AG434)*('Responses'!$AJ$2:$AJ$501=1)*ISNUMBER('Responses'!$AP$2:$AP$501)*('Responses'!$AP$2:$AP$501&gt;AP434)) + SUMPRODUCT(('Paper sign-ups'!$K$2:$K$101=AG434)*('Paper sign-ups'!$N$2:$N$101=1)*ISNUMBER('Paper sign-ups'!$T$2:$T$101)*('Paper sign-ups'!$T$2:$T$101&gt;AP434))&gt;0,1,0))</f>
        <v/>
      </c>
      <c r="AR434" s="31">
        <f>IF(AE434="","",IF(AQ434=1,"Joined again",IF(AJ434=0,"Unpaid",IF(NOT(ISNUMBER(AL434)),"Add a join date",IF(AN434="","No reminder",IF(AO434&lt;0,"Lapsed",IF(AO434&lt;=Settings!$D$6,"Remind soon","Current")))))))</f>
        <v/>
      </c>
      <c r="AS434" s="33">
        <f>IF(AJ434=1,IFERROR(VALUE(IFERROR(TRIM(INDEX($A434:$Z434,MATCH(Settings!$L$8,$A$1:$Z$1,0))&amp;""),"")),0)-IFERROR(VALUE(IFERROR(TRIM(INDEX($A434:$Z434,MATCH(Settings!$L$9,$A$1:$Z$1,0))&amp;""),"")),0),0)</f>
        <v/>
      </c>
      <c r="AT434" s="31">
        <f>IF(AND(AE434&lt;&gt;"",AQ434=0),1,0)</f>
        <v/>
      </c>
      <c r="AU434" s="31">
        <f>IF(AT434=0,"",IF(ISNUMBER(AN434),AN434,100000)+0+ROW()/1000000)</f>
        <v/>
      </c>
      <c r="AV434" s="31">
        <f>IF(ISNUMBER(AU434),SUMPRODUCT(ISNUMBER('Responses'!$AU$2:$AU$501)*('Responses'!$AU$2:$AU$501&lt;AU434)) + SUMPRODUCT(ISNUMBER('Paper sign-ups'!$Y$2:$Y$101)*('Paper sign-ups'!$Y$2:$Y$101&lt;AU434))+1,"")</f>
        <v/>
      </c>
    </row>
    <row r="435">
      <c r="AA435" s="29" t="n"/>
      <c r="AB435" s="30" t="n"/>
      <c r="AC435" s="30" t="n"/>
      <c r="AD435" s="29" t="n"/>
      <c r="AE435" s="31">
        <f>IFERROR(TRIM(INDEX($A435:$Z435,MATCH(Settings!$L$4,$A$1:$Z$1,0))&amp;""),"")</f>
        <v/>
      </c>
      <c r="AF435" s="31">
        <f>IFERROR(TRIM(INDEX($A435:$Z435,MATCH(Settings!$L$5,$A$1:$Z$1,0))&amp;""),"")</f>
        <v/>
      </c>
      <c r="AG435" s="31">
        <f>IF(AE435="","",LOWER(IF(AF435&lt;&gt;"",AF435,AE435)))</f>
        <v/>
      </c>
      <c r="AH435" s="31">
        <f>IFERROR(TRIM(INDEX($A435:$Z435,MATCH(Settings!$L$6,$A$1:$Z$1,0))&amp;""),"")</f>
        <v/>
      </c>
      <c r="AI435" s="31">
        <f>IF(AE435="","",IF(UPPER(TRIM(AB435&amp;""))="Y","Paid another way",IF(IFERROR(TRIM(INDEX($A435:$Z435,MATCH(Settings!$L$7,$A$1:$Z$1,0))&amp;""),"")="","No payment status",IFERROR(TRIM(INDEX($A435:$Z435,MATCH(Settings!$L$7,$A$1:$Z$1,0))&amp;""),""))))</f>
        <v/>
      </c>
      <c r="AJ435" s="31">
        <f>IF(AE435="",0,IF(IFERROR(INDEX(Settings!$J$4:$J$14,MATCH(AI435,Settings!$I$4:$I$14,0)),"N")="Y",1,0))</f>
        <v/>
      </c>
      <c r="AK435" s="32">
        <f>IFERROR(INT(IFERROR(IF(ISNUMBER(INDEX($A435:$Z435,MATCH(Settings!$L$10,$A$1:$Z$1,0))),INDEX($A435:$Z435,MATCH(Settings!$L$10,$A$1:$Z$1,0)),DATE(VALUE(LEFT(IFERROR(TRIM(INDEX($A435:$Z435,MATCH(Settings!$L$10,$A$1:$Z$1,0))&amp;""),""),4)),VALUE(MID(IFERROR(TRIM(INDEX($A435:$Z435,MATCH(Settings!$L$10,$A$1:$Z$1,0))&amp;""),""),6,2)),VALUE(MID(IFERROR(TRIM(INDEX($A435:$Z435,MATCH(Settings!$L$10,$A$1:$Z$1,0))&amp;""),""),9,2)))+TIME(VALUE(MID(IFERROR(TRIM(INDEX($A435:$Z435,MATCH(Settings!$L$10,$A$1:$Z$1,0))&amp;""),""),12,2)),VALUE(MID(IFERROR(TRIM(INDEX($A435:$Z435,MATCH(Settings!$L$10,$A$1:$Z$1,0))&amp;""),""),15,2)),VALUE(MID(IFERROR(TRIM(INDEX($A435:$Z435,MATCH(Settings!$L$10,$A$1:$Z$1,0))&amp;""),""),18,2)))),"")),"")</f>
        <v/>
      </c>
      <c r="AL435" s="32">
        <f>IF(AE435="","",IF(ISNUMBER(AK435),AK435,IFERROR(INT(IFERROR(IF(ISNUMBER(INDEX($A435:$Z435,MATCH(Settings!$L$11,$A$1:$Z$1,0))),INDEX($A435:$Z435,MATCH(Settings!$L$11,$A$1:$Z$1,0)),DATE(VALUE(LEFT(IFERROR(TRIM(INDEX($A435:$Z435,MATCH(Settings!$L$11,$A$1:$Z$1,0))&amp;""),""),4)),VALUE(MID(IFERROR(TRIM(INDEX($A435:$Z435,MATCH(Settings!$L$11,$A$1:$Z$1,0))&amp;""),""),6,2)),VALUE(MID(IFERROR(TRIM(INDEX($A435:$Z435,MATCH(Settings!$L$11,$A$1:$Z$1,0))&amp;""),""),9,2)))+TIME(VALUE(MID(IFERROR(TRIM(INDEX($A435:$Z435,MATCH(Settings!$L$11,$A$1:$Z$1,0))&amp;""),""),12,2)),VALUE(MID(IFERROR(TRIM(INDEX($A435:$Z435,MATCH(Settings!$L$11,$A$1:$Z$1,0))&amp;""),""),15,2)),VALUE(MID(IFERROR(TRIM(INDEX($A435:$Z435,MATCH(Settings!$L$11,$A$1:$Z$1,0))&amp;""),""),18,2)))),"")),"")))</f>
        <v/>
      </c>
      <c r="AM435" s="31">
        <f>IF(AE435="","",IF(ISNUMBER(IFERROR(INDEX(Settings!$G$4:$G$11,MATCH(AH435,Settings!$F$4:$F$11,0)),"")),INDEX(Settings!$G$4:$G$11,MATCH(AH435,Settings!$F$4:$F$11,0)),Settings!$D$5))</f>
        <v/>
      </c>
      <c r="AN435" s="32">
        <f>IF(OR(AE435="",NOT(ISNUMBER(AL435)),NOT(ISNUMBER(AM435))),"",IF(AM435&lt;=0,"",IF(ISNUMBER(Settings!$D$8),DATE(YEAR(AL435)+IF(DATE(YEAR(AL435),MONTH(Settings!$D$8),DAY(Settings!$D$8))&gt;AL435,0,1),MONTH(Settings!$D$8),DAY(Settings!$D$8)),MIN(DATE(YEAR(AL435),MONTH(AL435)+AM435,DAY(AL435)),DATE(YEAR(AL435),MONTH(AL435)+AM435+1,0)))))</f>
        <v/>
      </c>
      <c r="AO435" s="31">
        <f>IF(ISNUMBER(AN435),AN435-Settings!$D$4,"")</f>
        <v/>
      </c>
      <c r="AP435" s="31">
        <f>IF(ISNUMBER(AL435),AL435+0+ROW()/100000,"")</f>
        <v/>
      </c>
      <c r="AQ435" s="31">
        <f>IF(OR(AG435="",NOT(ISNUMBER(AP435))),0,IF(SUMPRODUCT(('Responses'!$AG$2:$AG$501=AG435)*('Responses'!$AJ$2:$AJ$501=1)*ISNUMBER('Responses'!$AP$2:$AP$501)*('Responses'!$AP$2:$AP$501&gt;AP435)) + SUMPRODUCT(('Paper sign-ups'!$K$2:$K$101=AG435)*('Paper sign-ups'!$N$2:$N$101=1)*ISNUMBER('Paper sign-ups'!$T$2:$T$101)*('Paper sign-ups'!$T$2:$T$101&gt;AP435))&gt;0,1,0))</f>
        <v/>
      </c>
      <c r="AR435" s="31">
        <f>IF(AE435="","",IF(AQ435=1,"Joined again",IF(AJ435=0,"Unpaid",IF(NOT(ISNUMBER(AL435)),"Add a join date",IF(AN435="","No reminder",IF(AO435&lt;0,"Lapsed",IF(AO435&lt;=Settings!$D$6,"Remind soon","Current")))))))</f>
        <v/>
      </c>
      <c r="AS435" s="33">
        <f>IF(AJ435=1,IFERROR(VALUE(IFERROR(TRIM(INDEX($A435:$Z435,MATCH(Settings!$L$8,$A$1:$Z$1,0))&amp;""),"")),0)-IFERROR(VALUE(IFERROR(TRIM(INDEX($A435:$Z435,MATCH(Settings!$L$9,$A$1:$Z$1,0))&amp;""),"")),0),0)</f>
        <v/>
      </c>
      <c r="AT435" s="31">
        <f>IF(AND(AE435&lt;&gt;"",AQ435=0),1,0)</f>
        <v/>
      </c>
      <c r="AU435" s="31">
        <f>IF(AT435=0,"",IF(ISNUMBER(AN435),AN435,100000)+0+ROW()/1000000)</f>
        <v/>
      </c>
      <c r="AV435" s="31">
        <f>IF(ISNUMBER(AU435),SUMPRODUCT(ISNUMBER('Responses'!$AU$2:$AU$501)*('Responses'!$AU$2:$AU$501&lt;AU435)) + SUMPRODUCT(ISNUMBER('Paper sign-ups'!$Y$2:$Y$101)*('Paper sign-ups'!$Y$2:$Y$101&lt;AU435))+1,"")</f>
        <v/>
      </c>
    </row>
    <row r="436">
      <c r="AA436" s="29" t="n"/>
      <c r="AB436" s="30" t="n"/>
      <c r="AC436" s="30" t="n"/>
      <c r="AD436" s="29" t="n"/>
      <c r="AE436" s="31">
        <f>IFERROR(TRIM(INDEX($A436:$Z436,MATCH(Settings!$L$4,$A$1:$Z$1,0))&amp;""),"")</f>
        <v/>
      </c>
      <c r="AF436" s="31">
        <f>IFERROR(TRIM(INDEX($A436:$Z436,MATCH(Settings!$L$5,$A$1:$Z$1,0))&amp;""),"")</f>
        <v/>
      </c>
      <c r="AG436" s="31">
        <f>IF(AE436="","",LOWER(IF(AF436&lt;&gt;"",AF436,AE436)))</f>
        <v/>
      </c>
      <c r="AH436" s="31">
        <f>IFERROR(TRIM(INDEX($A436:$Z436,MATCH(Settings!$L$6,$A$1:$Z$1,0))&amp;""),"")</f>
        <v/>
      </c>
      <c r="AI436" s="31">
        <f>IF(AE436="","",IF(UPPER(TRIM(AB436&amp;""))="Y","Paid another way",IF(IFERROR(TRIM(INDEX($A436:$Z436,MATCH(Settings!$L$7,$A$1:$Z$1,0))&amp;""),"")="","No payment status",IFERROR(TRIM(INDEX($A436:$Z436,MATCH(Settings!$L$7,$A$1:$Z$1,0))&amp;""),""))))</f>
        <v/>
      </c>
      <c r="AJ436" s="31">
        <f>IF(AE436="",0,IF(IFERROR(INDEX(Settings!$J$4:$J$14,MATCH(AI436,Settings!$I$4:$I$14,0)),"N")="Y",1,0))</f>
        <v/>
      </c>
      <c r="AK436" s="32">
        <f>IFERROR(INT(IFERROR(IF(ISNUMBER(INDEX($A436:$Z436,MATCH(Settings!$L$10,$A$1:$Z$1,0))),INDEX($A436:$Z436,MATCH(Settings!$L$10,$A$1:$Z$1,0)),DATE(VALUE(LEFT(IFERROR(TRIM(INDEX($A436:$Z436,MATCH(Settings!$L$10,$A$1:$Z$1,0))&amp;""),""),4)),VALUE(MID(IFERROR(TRIM(INDEX($A436:$Z436,MATCH(Settings!$L$10,$A$1:$Z$1,0))&amp;""),""),6,2)),VALUE(MID(IFERROR(TRIM(INDEX($A436:$Z436,MATCH(Settings!$L$10,$A$1:$Z$1,0))&amp;""),""),9,2)))+TIME(VALUE(MID(IFERROR(TRIM(INDEX($A436:$Z436,MATCH(Settings!$L$10,$A$1:$Z$1,0))&amp;""),""),12,2)),VALUE(MID(IFERROR(TRIM(INDEX($A436:$Z436,MATCH(Settings!$L$10,$A$1:$Z$1,0))&amp;""),""),15,2)),VALUE(MID(IFERROR(TRIM(INDEX($A436:$Z436,MATCH(Settings!$L$10,$A$1:$Z$1,0))&amp;""),""),18,2)))),"")),"")</f>
        <v/>
      </c>
      <c r="AL436" s="32">
        <f>IF(AE436="","",IF(ISNUMBER(AK436),AK436,IFERROR(INT(IFERROR(IF(ISNUMBER(INDEX($A436:$Z436,MATCH(Settings!$L$11,$A$1:$Z$1,0))),INDEX($A436:$Z436,MATCH(Settings!$L$11,$A$1:$Z$1,0)),DATE(VALUE(LEFT(IFERROR(TRIM(INDEX($A436:$Z436,MATCH(Settings!$L$11,$A$1:$Z$1,0))&amp;""),""),4)),VALUE(MID(IFERROR(TRIM(INDEX($A436:$Z436,MATCH(Settings!$L$11,$A$1:$Z$1,0))&amp;""),""),6,2)),VALUE(MID(IFERROR(TRIM(INDEX($A436:$Z436,MATCH(Settings!$L$11,$A$1:$Z$1,0))&amp;""),""),9,2)))+TIME(VALUE(MID(IFERROR(TRIM(INDEX($A436:$Z436,MATCH(Settings!$L$11,$A$1:$Z$1,0))&amp;""),""),12,2)),VALUE(MID(IFERROR(TRIM(INDEX($A436:$Z436,MATCH(Settings!$L$11,$A$1:$Z$1,0))&amp;""),""),15,2)),VALUE(MID(IFERROR(TRIM(INDEX($A436:$Z436,MATCH(Settings!$L$11,$A$1:$Z$1,0))&amp;""),""),18,2)))),"")),"")))</f>
        <v/>
      </c>
      <c r="AM436" s="31">
        <f>IF(AE436="","",IF(ISNUMBER(IFERROR(INDEX(Settings!$G$4:$G$11,MATCH(AH436,Settings!$F$4:$F$11,0)),"")),INDEX(Settings!$G$4:$G$11,MATCH(AH436,Settings!$F$4:$F$11,0)),Settings!$D$5))</f>
        <v/>
      </c>
      <c r="AN436" s="32">
        <f>IF(OR(AE436="",NOT(ISNUMBER(AL436)),NOT(ISNUMBER(AM436))),"",IF(AM436&lt;=0,"",IF(ISNUMBER(Settings!$D$8),DATE(YEAR(AL436)+IF(DATE(YEAR(AL436),MONTH(Settings!$D$8),DAY(Settings!$D$8))&gt;AL436,0,1),MONTH(Settings!$D$8),DAY(Settings!$D$8)),MIN(DATE(YEAR(AL436),MONTH(AL436)+AM436,DAY(AL436)),DATE(YEAR(AL436),MONTH(AL436)+AM436+1,0)))))</f>
        <v/>
      </c>
      <c r="AO436" s="31">
        <f>IF(ISNUMBER(AN436),AN436-Settings!$D$4,"")</f>
        <v/>
      </c>
      <c r="AP436" s="31">
        <f>IF(ISNUMBER(AL436),AL436+0+ROW()/100000,"")</f>
        <v/>
      </c>
      <c r="AQ436" s="31">
        <f>IF(OR(AG436="",NOT(ISNUMBER(AP436))),0,IF(SUMPRODUCT(('Responses'!$AG$2:$AG$501=AG436)*('Responses'!$AJ$2:$AJ$501=1)*ISNUMBER('Responses'!$AP$2:$AP$501)*('Responses'!$AP$2:$AP$501&gt;AP436)) + SUMPRODUCT(('Paper sign-ups'!$K$2:$K$101=AG436)*('Paper sign-ups'!$N$2:$N$101=1)*ISNUMBER('Paper sign-ups'!$T$2:$T$101)*('Paper sign-ups'!$T$2:$T$101&gt;AP436))&gt;0,1,0))</f>
        <v/>
      </c>
      <c r="AR436" s="31">
        <f>IF(AE436="","",IF(AQ436=1,"Joined again",IF(AJ436=0,"Unpaid",IF(NOT(ISNUMBER(AL436)),"Add a join date",IF(AN436="","No reminder",IF(AO436&lt;0,"Lapsed",IF(AO436&lt;=Settings!$D$6,"Remind soon","Current")))))))</f>
        <v/>
      </c>
      <c r="AS436" s="33">
        <f>IF(AJ436=1,IFERROR(VALUE(IFERROR(TRIM(INDEX($A436:$Z436,MATCH(Settings!$L$8,$A$1:$Z$1,0))&amp;""),"")),0)-IFERROR(VALUE(IFERROR(TRIM(INDEX($A436:$Z436,MATCH(Settings!$L$9,$A$1:$Z$1,0))&amp;""),"")),0),0)</f>
        <v/>
      </c>
      <c r="AT436" s="31">
        <f>IF(AND(AE436&lt;&gt;"",AQ436=0),1,0)</f>
        <v/>
      </c>
      <c r="AU436" s="31">
        <f>IF(AT436=0,"",IF(ISNUMBER(AN436),AN436,100000)+0+ROW()/1000000)</f>
        <v/>
      </c>
      <c r="AV436" s="31">
        <f>IF(ISNUMBER(AU436),SUMPRODUCT(ISNUMBER('Responses'!$AU$2:$AU$501)*('Responses'!$AU$2:$AU$501&lt;AU436)) + SUMPRODUCT(ISNUMBER('Paper sign-ups'!$Y$2:$Y$101)*('Paper sign-ups'!$Y$2:$Y$101&lt;AU436))+1,"")</f>
        <v/>
      </c>
    </row>
    <row r="437">
      <c r="AA437" s="29" t="n"/>
      <c r="AB437" s="30" t="n"/>
      <c r="AC437" s="30" t="n"/>
      <c r="AD437" s="29" t="n"/>
      <c r="AE437" s="31">
        <f>IFERROR(TRIM(INDEX($A437:$Z437,MATCH(Settings!$L$4,$A$1:$Z$1,0))&amp;""),"")</f>
        <v/>
      </c>
      <c r="AF437" s="31">
        <f>IFERROR(TRIM(INDEX($A437:$Z437,MATCH(Settings!$L$5,$A$1:$Z$1,0))&amp;""),"")</f>
        <v/>
      </c>
      <c r="AG437" s="31">
        <f>IF(AE437="","",LOWER(IF(AF437&lt;&gt;"",AF437,AE437)))</f>
        <v/>
      </c>
      <c r="AH437" s="31">
        <f>IFERROR(TRIM(INDEX($A437:$Z437,MATCH(Settings!$L$6,$A$1:$Z$1,0))&amp;""),"")</f>
        <v/>
      </c>
      <c r="AI437" s="31">
        <f>IF(AE437="","",IF(UPPER(TRIM(AB437&amp;""))="Y","Paid another way",IF(IFERROR(TRIM(INDEX($A437:$Z437,MATCH(Settings!$L$7,$A$1:$Z$1,0))&amp;""),"")="","No payment status",IFERROR(TRIM(INDEX($A437:$Z437,MATCH(Settings!$L$7,$A$1:$Z$1,0))&amp;""),""))))</f>
        <v/>
      </c>
      <c r="AJ437" s="31">
        <f>IF(AE437="",0,IF(IFERROR(INDEX(Settings!$J$4:$J$14,MATCH(AI437,Settings!$I$4:$I$14,0)),"N")="Y",1,0))</f>
        <v/>
      </c>
      <c r="AK437" s="32">
        <f>IFERROR(INT(IFERROR(IF(ISNUMBER(INDEX($A437:$Z437,MATCH(Settings!$L$10,$A$1:$Z$1,0))),INDEX($A437:$Z437,MATCH(Settings!$L$10,$A$1:$Z$1,0)),DATE(VALUE(LEFT(IFERROR(TRIM(INDEX($A437:$Z437,MATCH(Settings!$L$10,$A$1:$Z$1,0))&amp;""),""),4)),VALUE(MID(IFERROR(TRIM(INDEX($A437:$Z437,MATCH(Settings!$L$10,$A$1:$Z$1,0))&amp;""),""),6,2)),VALUE(MID(IFERROR(TRIM(INDEX($A437:$Z437,MATCH(Settings!$L$10,$A$1:$Z$1,0))&amp;""),""),9,2)))+TIME(VALUE(MID(IFERROR(TRIM(INDEX($A437:$Z437,MATCH(Settings!$L$10,$A$1:$Z$1,0))&amp;""),""),12,2)),VALUE(MID(IFERROR(TRIM(INDEX($A437:$Z437,MATCH(Settings!$L$10,$A$1:$Z$1,0))&amp;""),""),15,2)),VALUE(MID(IFERROR(TRIM(INDEX($A437:$Z437,MATCH(Settings!$L$10,$A$1:$Z$1,0))&amp;""),""),18,2)))),"")),"")</f>
        <v/>
      </c>
      <c r="AL437" s="32">
        <f>IF(AE437="","",IF(ISNUMBER(AK437),AK437,IFERROR(INT(IFERROR(IF(ISNUMBER(INDEX($A437:$Z437,MATCH(Settings!$L$11,$A$1:$Z$1,0))),INDEX($A437:$Z437,MATCH(Settings!$L$11,$A$1:$Z$1,0)),DATE(VALUE(LEFT(IFERROR(TRIM(INDEX($A437:$Z437,MATCH(Settings!$L$11,$A$1:$Z$1,0))&amp;""),""),4)),VALUE(MID(IFERROR(TRIM(INDEX($A437:$Z437,MATCH(Settings!$L$11,$A$1:$Z$1,0))&amp;""),""),6,2)),VALUE(MID(IFERROR(TRIM(INDEX($A437:$Z437,MATCH(Settings!$L$11,$A$1:$Z$1,0))&amp;""),""),9,2)))+TIME(VALUE(MID(IFERROR(TRIM(INDEX($A437:$Z437,MATCH(Settings!$L$11,$A$1:$Z$1,0))&amp;""),""),12,2)),VALUE(MID(IFERROR(TRIM(INDEX($A437:$Z437,MATCH(Settings!$L$11,$A$1:$Z$1,0))&amp;""),""),15,2)),VALUE(MID(IFERROR(TRIM(INDEX($A437:$Z437,MATCH(Settings!$L$11,$A$1:$Z$1,0))&amp;""),""),18,2)))),"")),"")))</f>
        <v/>
      </c>
      <c r="AM437" s="31">
        <f>IF(AE437="","",IF(ISNUMBER(IFERROR(INDEX(Settings!$G$4:$G$11,MATCH(AH437,Settings!$F$4:$F$11,0)),"")),INDEX(Settings!$G$4:$G$11,MATCH(AH437,Settings!$F$4:$F$11,0)),Settings!$D$5))</f>
        <v/>
      </c>
      <c r="AN437" s="32">
        <f>IF(OR(AE437="",NOT(ISNUMBER(AL437)),NOT(ISNUMBER(AM437))),"",IF(AM437&lt;=0,"",IF(ISNUMBER(Settings!$D$8),DATE(YEAR(AL437)+IF(DATE(YEAR(AL437),MONTH(Settings!$D$8),DAY(Settings!$D$8))&gt;AL437,0,1),MONTH(Settings!$D$8),DAY(Settings!$D$8)),MIN(DATE(YEAR(AL437),MONTH(AL437)+AM437,DAY(AL437)),DATE(YEAR(AL437),MONTH(AL437)+AM437+1,0)))))</f>
        <v/>
      </c>
      <c r="AO437" s="31">
        <f>IF(ISNUMBER(AN437),AN437-Settings!$D$4,"")</f>
        <v/>
      </c>
      <c r="AP437" s="31">
        <f>IF(ISNUMBER(AL437),AL437+0+ROW()/100000,"")</f>
        <v/>
      </c>
      <c r="AQ437" s="31">
        <f>IF(OR(AG437="",NOT(ISNUMBER(AP437))),0,IF(SUMPRODUCT(('Responses'!$AG$2:$AG$501=AG437)*('Responses'!$AJ$2:$AJ$501=1)*ISNUMBER('Responses'!$AP$2:$AP$501)*('Responses'!$AP$2:$AP$501&gt;AP437)) + SUMPRODUCT(('Paper sign-ups'!$K$2:$K$101=AG437)*('Paper sign-ups'!$N$2:$N$101=1)*ISNUMBER('Paper sign-ups'!$T$2:$T$101)*('Paper sign-ups'!$T$2:$T$101&gt;AP437))&gt;0,1,0))</f>
        <v/>
      </c>
      <c r="AR437" s="31">
        <f>IF(AE437="","",IF(AQ437=1,"Joined again",IF(AJ437=0,"Unpaid",IF(NOT(ISNUMBER(AL437)),"Add a join date",IF(AN437="","No reminder",IF(AO437&lt;0,"Lapsed",IF(AO437&lt;=Settings!$D$6,"Remind soon","Current")))))))</f>
        <v/>
      </c>
      <c r="AS437" s="33">
        <f>IF(AJ437=1,IFERROR(VALUE(IFERROR(TRIM(INDEX($A437:$Z437,MATCH(Settings!$L$8,$A$1:$Z$1,0))&amp;""),"")),0)-IFERROR(VALUE(IFERROR(TRIM(INDEX($A437:$Z437,MATCH(Settings!$L$9,$A$1:$Z$1,0))&amp;""),"")),0),0)</f>
        <v/>
      </c>
      <c r="AT437" s="31">
        <f>IF(AND(AE437&lt;&gt;"",AQ437=0),1,0)</f>
        <v/>
      </c>
      <c r="AU437" s="31">
        <f>IF(AT437=0,"",IF(ISNUMBER(AN437),AN437,100000)+0+ROW()/1000000)</f>
        <v/>
      </c>
      <c r="AV437" s="31">
        <f>IF(ISNUMBER(AU437),SUMPRODUCT(ISNUMBER('Responses'!$AU$2:$AU$501)*('Responses'!$AU$2:$AU$501&lt;AU437)) + SUMPRODUCT(ISNUMBER('Paper sign-ups'!$Y$2:$Y$101)*('Paper sign-ups'!$Y$2:$Y$101&lt;AU437))+1,"")</f>
        <v/>
      </c>
    </row>
    <row r="438">
      <c r="AA438" s="29" t="n"/>
      <c r="AB438" s="30" t="n"/>
      <c r="AC438" s="30" t="n"/>
      <c r="AD438" s="29" t="n"/>
      <c r="AE438" s="31">
        <f>IFERROR(TRIM(INDEX($A438:$Z438,MATCH(Settings!$L$4,$A$1:$Z$1,0))&amp;""),"")</f>
        <v/>
      </c>
      <c r="AF438" s="31">
        <f>IFERROR(TRIM(INDEX($A438:$Z438,MATCH(Settings!$L$5,$A$1:$Z$1,0))&amp;""),"")</f>
        <v/>
      </c>
      <c r="AG438" s="31">
        <f>IF(AE438="","",LOWER(IF(AF438&lt;&gt;"",AF438,AE438)))</f>
        <v/>
      </c>
      <c r="AH438" s="31">
        <f>IFERROR(TRIM(INDEX($A438:$Z438,MATCH(Settings!$L$6,$A$1:$Z$1,0))&amp;""),"")</f>
        <v/>
      </c>
      <c r="AI438" s="31">
        <f>IF(AE438="","",IF(UPPER(TRIM(AB438&amp;""))="Y","Paid another way",IF(IFERROR(TRIM(INDEX($A438:$Z438,MATCH(Settings!$L$7,$A$1:$Z$1,0))&amp;""),"")="","No payment status",IFERROR(TRIM(INDEX($A438:$Z438,MATCH(Settings!$L$7,$A$1:$Z$1,0))&amp;""),""))))</f>
        <v/>
      </c>
      <c r="AJ438" s="31">
        <f>IF(AE438="",0,IF(IFERROR(INDEX(Settings!$J$4:$J$14,MATCH(AI438,Settings!$I$4:$I$14,0)),"N")="Y",1,0))</f>
        <v/>
      </c>
      <c r="AK438" s="32">
        <f>IFERROR(INT(IFERROR(IF(ISNUMBER(INDEX($A438:$Z438,MATCH(Settings!$L$10,$A$1:$Z$1,0))),INDEX($A438:$Z438,MATCH(Settings!$L$10,$A$1:$Z$1,0)),DATE(VALUE(LEFT(IFERROR(TRIM(INDEX($A438:$Z438,MATCH(Settings!$L$10,$A$1:$Z$1,0))&amp;""),""),4)),VALUE(MID(IFERROR(TRIM(INDEX($A438:$Z438,MATCH(Settings!$L$10,$A$1:$Z$1,0))&amp;""),""),6,2)),VALUE(MID(IFERROR(TRIM(INDEX($A438:$Z438,MATCH(Settings!$L$10,$A$1:$Z$1,0))&amp;""),""),9,2)))+TIME(VALUE(MID(IFERROR(TRIM(INDEX($A438:$Z438,MATCH(Settings!$L$10,$A$1:$Z$1,0))&amp;""),""),12,2)),VALUE(MID(IFERROR(TRIM(INDEX($A438:$Z438,MATCH(Settings!$L$10,$A$1:$Z$1,0))&amp;""),""),15,2)),VALUE(MID(IFERROR(TRIM(INDEX($A438:$Z438,MATCH(Settings!$L$10,$A$1:$Z$1,0))&amp;""),""),18,2)))),"")),"")</f>
        <v/>
      </c>
      <c r="AL438" s="32">
        <f>IF(AE438="","",IF(ISNUMBER(AK438),AK438,IFERROR(INT(IFERROR(IF(ISNUMBER(INDEX($A438:$Z438,MATCH(Settings!$L$11,$A$1:$Z$1,0))),INDEX($A438:$Z438,MATCH(Settings!$L$11,$A$1:$Z$1,0)),DATE(VALUE(LEFT(IFERROR(TRIM(INDEX($A438:$Z438,MATCH(Settings!$L$11,$A$1:$Z$1,0))&amp;""),""),4)),VALUE(MID(IFERROR(TRIM(INDEX($A438:$Z438,MATCH(Settings!$L$11,$A$1:$Z$1,0))&amp;""),""),6,2)),VALUE(MID(IFERROR(TRIM(INDEX($A438:$Z438,MATCH(Settings!$L$11,$A$1:$Z$1,0))&amp;""),""),9,2)))+TIME(VALUE(MID(IFERROR(TRIM(INDEX($A438:$Z438,MATCH(Settings!$L$11,$A$1:$Z$1,0))&amp;""),""),12,2)),VALUE(MID(IFERROR(TRIM(INDEX($A438:$Z438,MATCH(Settings!$L$11,$A$1:$Z$1,0))&amp;""),""),15,2)),VALUE(MID(IFERROR(TRIM(INDEX($A438:$Z438,MATCH(Settings!$L$11,$A$1:$Z$1,0))&amp;""),""),18,2)))),"")),"")))</f>
        <v/>
      </c>
      <c r="AM438" s="31">
        <f>IF(AE438="","",IF(ISNUMBER(IFERROR(INDEX(Settings!$G$4:$G$11,MATCH(AH438,Settings!$F$4:$F$11,0)),"")),INDEX(Settings!$G$4:$G$11,MATCH(AH438,Settings!$F$4:$F$11,0)),Settings!$D$5))</f>
        <v/>
      </c>
      <c r="AN438" s="32">
        <f>IF(OR(AE438="",NOT(ISNUMBER(AL438)),NOT(ISNUMBER(AM438))),"",IF(AM438&lt;=0,"",IF(ISNUMBER(Settings!$D$8),DATE(YEAR(AL438)+IF(DATE(YEAR(AL438),MONTH(Settings!$D$8),DAY(Settings!$D$8))&gt;AL438,0,1),MONTH(Settings!$D$8),DAY(Settings!$D$8)),MIN(DATE(YEAR(AL438),MONTH(AL438)+AM438,DAY(AL438)),DATE(YEAR(AL438),MONTH(AL438)+AM438+1,0)))))</f>
        <v/>
      </c>
      <c r="AO438" s="31">
        <f>IF(ISNUMBER(AN438),AN438-Settings!$D$4,"")</f>
        <v/>
      </c>
      <c r="AP438" s="31">
        <f>IF(ISNUMBER(AL438),AL438+0+ROW()/100000,"")</f>
        <v/>
      </c>
      <c r="AQ438" s="31">
        <f>IF(OR(AG438="",NOT(ISNUMBER(AP438))),0,IF(SUMPRODUCT(('Responses'!$AG$2:$AG$501=AG438)*('Responses'!$AJ$2:$AJ$501=1)*ISNUMBER('Responses'!$AP$2:$AP$501)*('Responses'!$AP$2:$AP$501&gt;AP438)) + SUMPRODUCT(('Paper sign-ups'!$K$2:$K$101=AG438)*('Paper sign-ups'!$N$2:$N$101=1)*ISNUMBER('Paper sign-ups'!$T$2:$T$101)*('Paper sign-ups'!$T$2:$T$101&gt;AP438))&gt;0,1,0))</f>
        <v/>
      </c>
      <c r="AR438" s="31">
        <f>IF(AE438="","",IF(AQ438=1,"Joined again",IF(AJ438=0,"Unpaid",IF(NOT(ISNUMBER(AL438)),"Add a join date",IF(AN438="","No reminder",IF(AO438&lt;0,"Lapsed",IF(AO438&lt;=Settings!$D$6,"Remind soon","Current")))))))</f>
        <v/>
      </c>
      <c r="AS438" s="33">
        <f>IF(AJ438=1,IFERROR(VALUE(IFERROR(TRIM(INDEX($A438:$Z438,MATCH(Settings!$L$8,$A$1:$Z$1,0))&amp;""),"")),0)-IFERROR(VALUE(IFERROR(TRIM(INDEX($A438:$Z438,MATCH(Settings!$L$9,$A$1:$Z$1,0))&amp;""),"")),0),0)</f>
        <v/>
      </c>
      <c r="AT438" s="31">
        <f>IF(AND(AE438&lt;&gt;"",AQ438=0),1,0)</f>
        <v/>
      </c>
      <c r="AU438" s="31">
        <f>IF(AT438=0,"",IF(ISNUMBER(AN438),AN438,100000)+0+ROW()/1000000)</f>
        <v/>
      </c>
      <c r="AV438" s="31">
        <f>IF(ISNUMBER(AU438),SUMPRODUCT(ISNUMBER('Responses'!$AU$2:$AU$501)*('Responses'!$AU$2:$AU$501&lt;AU438)) + SUMPRODUCT(ISNUMBER('Paper sign-ups'!$Y$2:$Y$101)*('Paper sign-ups'!$Y$2:$Y$101&lt;AU438))+1,"")</f>
        <v/>
      </c>
    </row>
    <row r="439">
      <c r="AA439" s="29" t="n"/>
      <c r="AB439" s="30" t="n"/>
      <c r="AC439" s="30" t="n"/>
      <c r="AD439" s="29" t="n"/>
      <c r="AE439" s="31">
        <f>IFERROR(TRIM(INDEX($A439:$Z439,MATCH(Settings!$L$4,$A$1:$Z$1,0))&amp;""),"")</f>
        <v/>
      </c>
      <c r="AF439" s="31">
        <f>IFERROR(TRIM(INDEX($A439:$Z439,MATCH(Settings!$L$5,$A$1:$Z$1,0))&amp;""),"")</f>
        <v/>
      </c>
      <c r="AG439" s="31">
        <f>IF(AE439="","",LOWER(IF(AF439&lt;&gt;"",AF439,AE439)))</f>
        <v/>
      </c>
      <c r="AH439" s="31">
        <f>IFERROR(TRIM(INDEX($A439:$Z439,MATCH(Settings!$L$6,$A$1:$Z$1,0))&amp;""),"")</f>
        <v/>
      </c>
      <c r="AI439" s="31">
        <f>IF(AE439="","",IF(UPPER(TRIM(AB439&amp;""))="Y","Paid another way",IF(IFERROR(TRIM(INDEX($A439:$Z439,MATCH(Settings!$L$7,$A$1:$Z$1,0))&amp;""),"")="","No payment status",IFERROR(TRIM(INDEX($A439:$Z439,MATCH(Settings!$L$7,$A$1:$Z$1,0))&amp;""),""))))</f>
        <v/>
      </c>
      <c r="AJ439" s="31">
        <f>IF(AE439="",0,IF(IFERROR(INDEX(Settings!$J$4:$J$14,MATCH(AI439,Settings!$I$4:$I$14,0)),"N")="Y",1,0))</f>
        <v/>
      </c>
      <c r="AK439" s="32">
        <f>IFERROR(INT(IFERROR(IF(ISNUMBER(INDEX($A439:$Z439,MATCH(Settings!$L$10,$A$1:$Z$1,0))),INDEX($A439:$Z439,MATCH(Settings!$L$10,$A$1:$Z$1,0)),DATE(VALUE(LEFT(IFERROR(TRIM(INDEX($A439:$Z439,MATCH(Settings!$L$10,$A$1:$Z$1,0))&amp;""),""),4)),VALUE(MID(IFERROR(TRIM(INDEX($A439:$Z439,MATCH(Settings!$L$10,$A$1:$Z$1,0))&amp;""),""),6,2)),VALUE(MID(IFERROR(TRIM(INDEX($A439:$Z439,MATCH(Settings!$L$10,$A$1:$Z$1,0))&amp;""),""),9,2)))+TIME(VALUE(MID(IFERROR(TRIM(INDEX($A439:$Z439,MATCH(Settings!$L$10,$A$1:$Z$1,0))&amp;""),""),12,2)),VALUE(MID(IFERROR(TRIM(INDEX($A439:$Z439,MATCH(Settings!$L$10,$A$1:$Z$1,0))&amp;""),""),15,2)),VALUE(MID(IFERROR(TRIM(INDEX($A439:$Z439,MATCH(Settings!$L$10,$A$1:$Z$1,0))&amp;""),""),18,2)))),"")),"")</f>
        <v/>
      </c>
      <c r="AL439" s="32">
        <f>IF(AE439="","",IF(ISNUMBER(AK439),AK439,IFERROR(INT(IFERROR(IF(ISNUMBER(INDEX($A439:$Z439,MATCH(Settings!$L$11,$A$1:$Z$1,0))),INDEX($A439:$Z439,MATCH(Settings!$L$11,$A$1:$Z$1,0)),DATE(VALUE(LEFT(IFERROR(TRIM(INDEX($A439:$Z439,MATCH(Settings!$L$11,$A$1:$Z$1,0))&amp;""),""),4)),VALUE(MID(IFERROR(TRIM(INDEX($A439:$Z439,MATCH(Settings!$L$11,$A$1:$Z$1,0))&amp;""),""),6,2)),VALUE(MID(IFERROR(TRIM(INDEX($A439:$Z439,MATCH(Settings!$L$11,$A$1:$Z$1,0))&amp;""),""),9,2)))+TIME(VALUE(MID(IFERROR(TRIM(INDEX($A439:$Z439,MATCH(Settings!$L$11,$A$1:$Z$1,0))&amp;""),""),12,2)),VALUE(MID(IFERROR(TRIM(INDEX($A439:$Z439,MATCH(Settings!$L$11,$A$1:$Z$1,0))&amp;""),""),15,2)),VALUE(MID(IFERROR(TRIM(INDEX($A439:$Z439,MATCH(Settings!$L$11,$A$1:$Z$1,0))&amp;""),""),18,2)))),"")),"")))</f>
        <v/>
      </c>
      <c r="AM439" s="31">
        <f>IF(AE439="","",IF(ISNUMBER(IFERROR(INDEX(Settings!$G$4:$G$11,MATCH(AH439,Settings!$F$4:$F$11,0)),"")),INDEX(Settings!$G$4:$G$11,MATCH(AH439,Settings!$F$4:$F$11,0)),Settings!$D$5))</f>
        <v/>
      </c>
      <c r="AN439" s="32">
        <f>IF(OR(AE439="",NOT(ISNUMBER(AL439)),NOT(ISNUMBER(AM439))),"",IF(AM439&lt;=0,"",IF(ISNUMBER(Settings!$D$8),DATE(YEAR(AL439)+IF(DATE(YEAR(AL439),MONTH(Settings!$D$8),DAY(Settings!$D$8))&gt;AL439,0,1),MONTH(Settings!$D$8),DAY(Settings!$D$8)),MIN(DATE(YEAR(AL439),MONTH(AL439)+AM439,DAY(AL439)),DATE(YEAR(AL439),MONTH(AL439)+AM439+1,0)))))</f>
        <v/>
      </c>
      <c r="AO439" s="31">
        <f>IF(ISNUMBER(AN439),AN439-Settings!$D$4,"")</f>
        <v/>
      </c>
      <c r="AP439" s="31">
        <f>IF(ISNUMBER(AL439),AL439+0+ROW()/100000,"")</f>
        <v/>
      </c>
      <c r="AQ439" s="31">
        <f>IF(OR(AG439="",NOT(ISNUMBER(AP439))),0,IF(SUMPRODUCT(('Responses'!$AG$2:$AG$501=AG439)*('Responses'!$AJ$2:$AJ$501=1)*ISNUMBER('Responses'!$AP$2:$AP$501)*('Responses'!$AP$2:$AP$501&gt;AP439)) + SUMPRODUCT(('Paper sign-ups'!$K$2:$K$101=AG439)*('Paper sign-ups'!$N$2:$N$101=1)*ISNUMBER('Paper sign-ups'!$T$2:$T$101)*('Paper sign-ups'!$T$2:$T$101&gt;AP439))&gt;0,1,0))</f>
        <v/>
      </c>
      <c r="AR439" s="31">
        <f>IF(AE439="","",IF(AQ439=1,"Joined again",IF(AJ439=0,"Unpaid",IF(NOT(ISNUMBER(AL439)),"Add a join date",IF(AN439="","No reminder",IF(AO439&lt;0,"Lapsed",IF(AO439&lt;=Settings!$D$6,"Remind soon","Current")))))))</f>
        <v/>
      </c>
      <c r="AS439" s="33">
        <f>IF(AJ439=1,IFERROR(VALUE(IFERROR(TRIM(INDEX($A439:$Z439,MATCH(Settings!$L$8,$A$1:$Z$1,0))&amp;""),"")),0)-IFERROR(VALUE(IFERROR(TRIM(INDEX($A439:$Z439,MATCH(Settings!$L$9,$A$1:$Z$1,0))&amp;""),"")),0),0)</f>
        <v/>
      </c>
      <c r="AT439" s="31">
        <f>IF(AND(AE439&lt;&gt;"",AQ439=0),1,0)</f>
        <v/>
      </c>
      <c r="AU439" s="31">
        <f>IF(AT439=0,"",IF(ISNUMBER(AN439),AN439,100000)+0+ROW()/1000000)</f>
        <v/>
      </c>
      <c r="AV439" s="31">
        <f>IF(ISNUMBER(AU439),SUMPRODUCT(ISNUMBER('Responses'!$AU$2:$AU$501)*('Responses'!$AU$2:$AU$501&lt;AU439)) + SUMPRODUCT(ISNUMBER('Paper sign-ups'!$Y$2:$Y$101)*('Paper sign-ups'!$Y$2:$Y$101&lt;AU439))+1,"")</f>
        <v/>
      </c>
    </row>
    <row r="440">
      <c r="AA440" s="29" t="n"/>
      <c r="AB440" s="30" t="n"/>
      <c r="AC440" s="30" t="n"/>
      <c r="AD440" s="29" t="n"/>
      <c r="AE440" s="31">
        <f>IFERROR(TRIM(INDEX($A440:$Z440,MATCH(Settings!$L$4,$A$1:$Z$1,0))&amp;""),"")</f>
        <v/>
      </c>
      <c r="AF440" s="31">
        <f>IFERROR(TRIM(INDEX($A440:$Z440,MATCH(Settings!$L$5,$A$1:$Z$1,0))&amp;""),"")</f>
        <v/>
      </c>
      <c r="AG440" s="31">
        <f>IF(AE440="","",LOWER(IF(AF440&lt;&gt;"",AF440,AE440)))</f>
        <v/>
      </c>
      <c r="AH440" s="31">
        <f>IFERROR(TRIM(INDEX($A440:$Z440,MATCH(Settings!$L$6,$A$1:$Z$1,0))&amp;""),"")</f>
        <v/>
      </c>
      <c r="AI440" s="31">
        <f>IF(AE440="","",IF(UPPER(TRIM(AB440&amp;""))="Y","Paid another way",IF(IFERROR(TRIM(INDEX($A440:$Z440,MATCH(Settings!$L$7,$A$1:$Z$1,0))&amp;""),"")="","No payment status",IFERROR(TRIM(INDEX($A440:$Z440,MATCH(Settings!$L$7,$A$1:$Z$1,0))&amp;""),""))))</f>
        <v/>
      </c>
      <c r="AJ440" s="31">
        <f>IF(AE440="",0,IF(IFERROR(INDEX(Settings!$J$4:$J$14,MATCH(AI440,Settings!$I$4:$I$14,0)),"N")="Y",1,0))</f>
        <v/>
      </c>
      <c r="AK440" s="32">
        <f>IFERROR(INT(IFERROR(IF(ISNUMBER(INDEX($A440:$Z440,MATCH(Settings!$L$10,$A$1:$Z$1,0))),INDEX($A440:$Z440,MATCH(Settings!$L$10,$A$1:$Z$1,0)),DATE(VALUE(LEFT(IFERROR(TRIM(INDEX($A440:$Z440,MATCH(Settings!$L$10,$A$1:$Z$1,0))&amp;""),""),4)),VALUE(MID(IFERROR(TRIM(INDEX($A440:$Z440,MATCH(Settings!$L$10,$A$1:$Z$1,0))&amp;""),""),6,2)),VALUE(MID(IFERROR(TRIM(INDEX($A440:$Z440,MATCH(Settings!$L$10,$A$1:$Z$1,0))&amp;""),""),9,2)))+TIME(VALUE(MID(IFERROR(TRIM(INDEX($A440:$Z440,MATCH(Settings!$L$10,$A$1:$Z$1,0))&amp;""),""),12,2)),VALUE(MID(IFERROR(TRIM(INDEX($A440:$Z440,MATCH(Settings!$L$10,$A$1:$Z$1,0))&amp;""),""),15,2)),VALUE(MID(IFERROR(TRIM(INDEX($A440:$Z440,MATCH(Settings!$L$10,$A$1:$Z$1,0))&amp;""),""),18,2)))),"")),"")</f>
        <v/>
      </c>
      <c r="AL440" s="32">
        <f>IF(AE440="","",IF(ISNUMBER(AK440),AK440,IFERROR(INT(IFERROR(IF(ISNUMBER(INDEX($A440:$Z440,MATCH(Settings!$L$11,$A$1:$Z$1,0))),INDEX($A440:$Z440,MATCH(Settings!$L$11,$A$1:$Z$1,0)),DATE(VALUE(LEFT(IFERROR(TRIM(INDEX($A440:$Z440,MATCH(Settings!$L$11,$A$1:$Z$1,0))&amp;""),""),4)),VALUE(MID(IFERROR(TRIM(INDEX($A440:$Z440,MATCH(Settings!$L$11,$A$1:$Z$1,0))&amp;""),""),6,2)),VALUE(MID(IFERROR(TRIM(INDEX($A440:$Z440,MATCH(Settings!$L$11,$A$1:$Z$1,0))&amp;""),""),9,2)))+TIME(VALUE(MID(IFERROR(TRIM(INDEX($A440:$Z440,MATCH(Settings!$L$11,$A$1:$Z$1,0))&amp;""),""),12,2)),VALUE(MID(IFERROR(TRIM(INDEX($A440:$Z440,MATCH(Settings!$L$11,$A$1:$Z$1,0))&amp;""),""),15,2)),VALUE(MID(IFERROR(TRIM(INDEX($A440:$Z440,MATCH(Settings!$L$11,$A$1:$Z$1,0))&amp;""),""),18,2)))),"")),"")))</f>
        <v/>
      </c>
      <c r="AM440" s="31">
        <f>IF(AE440="","",IF(ISNUMBER(IFERROR(INDEX(Settings!$G$4:$G$11,MATCH(AH440,Settings!$F$4:$F$11,0)),"")),INDEX(Settings!$G$4:$G$11,MATCH(AH440,Settings!$F$4:$F$11,0)),Settings!$D$5))</f>
        <v/>
      </c>
      <c r="AN440" s="32">
        <f>IF(OR(AE440="",NOT(ISNUMBER(AL440)),NOT(ISNUMBER(AM440))),"",IF(AM440&lt;=0,"",IF(ISNUMBER(Settings!$D$8),DATE(YEAR(AL440)+IF(DATE(YEAR(AL440),MONTH(Settings!$D$8),DAY(Settings!$D$8))&gt;AL440,0,1),MONTH(Settings!$D$8),DAY(Settings!$D$8)),MIN(DATE(YEAR(AL440),MONTH(AL440)+AM440,DAY(AL440)),DATE(YEAR(AL440),MONTH(AL440)+AM440+1,0)))))</f>
        <v/>
      </c>
      <c r="AO440" s="31">
        <f>IF(ISNUMBER(AN440),AN440-Settings!$D$4,"")</f>
        <v/>
      </c>
      <c r="AP440" s="31">
        <f>IF(ISNUMBER(AL440),AL440+0+ROW()/100000,"")</f>
        <v/>
      </c>
      <c r="AQ440" s="31">
        <f>IF(OR(AG440="",NOT(ISNUMBER(AP440))),0,IF(SUMPRODUCT(('Responses'!$AG$2:$AG$501=AG440)*('Responses'!$AJ$2:$AJ$501=1)*ISNUMBER('Responses'!$AP$2:$AP$501)*('Responses'!$AP$2:$AP$501&gt;AP440)) + SUMPRODUCT(('Paper sign-ups'!$K$2:$K$101=AG440)*('Paper sign-ups'!$N$2:$N$101=1)*ISNUMBER('Paper sign-ups'!$T$2:$T$101)*('Paper sign-ups'!$T$2:$T$101&gt;AP440))&gt;0,1,0))</f>
        <v/>
      </c>
      <c r="AR440" s="31">
        <f>IF(AE440="","",IF(AQ440=1,"Joined again",IF(AJ440=0,"Unpaid",IF(NOT(ISNUMBER(AL440)),"Add a join date",IF(AN440="","No reminder",IF(AO440&lt;0,"Lapsed",IF(AO440&lt;=Settings!$D$6,"Remind soon","Current")))))))</f>
        <v/>
      </c>
      <c r="AS440" s="33">
        <f>IF(AJ440=1,IFERROR(VALUE(IFERROR(TRIM(INDEX($A440:$Z440,MATCH(Settings!$L$8,$A$1:$Z$1,0))&amp;""),"")),0)-IFERROR(VALUE(IFERROR(TRIM(INDEX($A440:$Z440,MATCH(Settings!$L$9,$A$1:$Z$1,0))&amp;""),"")),0),0)</f>
        <v/>
      </c>
      <c r="AT440" s="31">
        <f>IF(AND(AE440&lt;&gt;"",AQ440=0),1,0)</f>
        <v/>
      </c>
      <c r="AU440" s="31">
        <f>IF(AT440=0,"",IF(ISNUMBER(AN440),AN440,100000)+0+ROW()/1000000)</f>
        <v/>
      </c>
      <c r="AV440" s="31">
        <f>IF(ISNUMBER(AU440),SUMPRODUCT(ISNUMBER('Responses'!$AU$2:$AU$501)*('Responses'!$AU$2:$AU$501&lt;AU440)) + SUMPRODUCT(ISNUMBER('Paper sign-ups'!$Y$2:$Y$101)*('Paper sign-ups'!$Y$2:$Y$101&lt;AU440))+1,"")</f>
        <v/>
      </c>
    </row>
    <row r="441">
      <c r="AA441" s="29" t="n"/>
      <c r="AB441" s="30" t="n"/>
      <c r="AC441" s="30" t="n"/>
      <c r="AD441" s="29" t="n"/>
      <c r="AE441" s="31">
        <f>IFERROR(TRIM(INDEX($A441:$Z441,MATCH(Settings!$L$4,$A$1:$Z$1,0))&amp;""),"")</f>
        <v/>
      </c>
      <c r="AF441" s="31">
        <f>IFERROR(TRIM(INDEX($A441:$Z441,MATCH(Settings!$L$5,$A$1:$Z$1,0))&amp;""),"")</f>
        <v/>
      </c>
      <c r="AG441" s="31">
        <f>IF(AE441="","",LOWER(IF(AF441&lt;&gt;"",AF441,AE441)))</f>
        <v/>
      </c>
      <c r="AH441" s="31">
        <f>IFERROR(TRIM(INDEX($A441:$Z441,MATCH(Settings!$L$6,$A$1:$Z$1,0))&amp;""),"")</f>
        <v/>
      </c>
      <c r="AI441" s="31">
        <f>IF(AE441="","",IF(UPPER(TRIM(AB441&amp;""))="Y","Paid another way",IF(IFERROR(TRIM(INDEX($A441:$Z441,MATCH(Settings!$L$7,$A$1:$Z$1,0))&amp;""),"")="","No payment status",IFERROR(TRIM(INDEX($A441:$Z441,MATCH(Settings!$L$7,$A$1:$Z$1,0))&amp;""),""))))</f>
        <v/>
      </c>
      <c r="AJ441" s="31">
        <f>IF(AE441="",0,IF(IFERROR(INDEX(Settings!$J$4:$J$14,MATCH(AI441,Settings!$I$4:$I$14,0)),"N")="Y",1,0))</f>
        <v/>
      </c>
      <c r="AK441" s="32">
        <f>IFERROR(INT(IFERROR(IF(ISNUMBER(INDEX($A441:$Z441,MATCH(Settings!$L$10,$A$1:$Z$1,0))),INDEX($A441:$Z441,MATCH(Settings!$L$10,$A$1:$Z$1,0)),DATE(VALUE(LEFT(IFERROR(TRIM(INDEX($A441:$Z441,MATCH(Settings!$L$10,$A$1:$Z$1,0))&amp;""),""),4)),VALUE(MID(IFERROR(TRIM(INDEX($A441:$Z441,MATCH(Settings!$L$10,$A$1:$Z$1,0))&amp;""),""),6,2)),VALUE(MID(IFERROR(TRIM(INDEX($A441:$Z441,MATCH(Settings!$L$10,$A$1:$Z$1,0))&amp;""),""),9,2)))+TIME(VALUE(MID(IFERROR(TRIM(INDEX($A441:$Z441,MATCH(Settings!$L$10,$A$1:$Z$1,0))&amp;""),""),12,2)),VALUE(MID(IFERROR(TRIM(INDEX($A441:$Z441,MATCH(Settings!$L$10,$A$1:$Z$1,0))&amp;""),""),15,2)),VALUE(MID(IFERROR(TRIM(INDEX($A441:$Z441,MATCH(Settings!$L$10,$A$1:$Z$1,0))&amp;""),""),18,2)))),"")),"")</f>
        <v/>
      </c>
      <c r="AL441" s="32">
        <f>IF(AE441="","",IF(ISNUMBER(AK441),AK441,IFERROR(INT(IFERROR(IF(ISNUMBER(INDEX($A441:$Z441,MATCH(Settings!$L$11,$A$1:$Z$1,0))),INDEX($A441:$Z441,MATCH(Settings!$L$11,$A$1:$Z$1,0)),DATE(VALUE(LEFT(IFERROR(TRIM(INDEX($A441:$Z441,MATCH(Settings!$L$11,$A$1:$Z$1,0))&amp;""),""),4)),VALUE(MID(IFERROR(TRIM(INDEX($A441:$Z441,MATCH(Settings!$L$11,$A$1:$Z$1,0))&amp;""),""),6,2)),VALUE(MID(IFERROR(TRIM(INDEX($A441:$Z441,MATCH(Settings!$L$11,$A$1:$Z$1,0))&amp;""),""),9,2)))+TIME(VALUE(MID(IFERROR(TRIM(INDEX($A441:$Z441,MATCH(Settings!$L$11,$A$1:$Z$1,0))&amp;""),""),12,2)),VALUE(MID(IFERROR(TRIM(INDEX($A441:$Z441,MATCH(Settings!$L$11,$A$1:$Z$1,0))&amp;""),""),15,2)),VALUE(MID(IFERROR(TRIM(INDEX($A441:$Z441,MATCH(Settings!$L$11,$A$1:$Z$1,0))&amp;""),""),18,2)))),"")),"")))</f>
        <v/>
      </c>
      <c r="AM441" s="31">
        <f>IF(AE441="","",IF(ISNUMBER(IFERROR(INDEX(Settings!$G$4:$G$11,MATCH(AH441,Settings!$F$4:$F$11,0)),"")),INDEX(Settings!$G$4:$G$11,MATCH(AH441,Settings!$F$4:$F$11,0)),Settings!$D$5))</f>
        <v/>
      </c>
      <c r="AN441" s="32">
        <f>IF(OR(AE441="",NOT(ISNUMBER(AL441)),NOT(ISNUMBER(AM441))),"",IF(AM441&lt;=0,"",IF(ISNUMBER(Settings!$D$8),DATE(YEAR(AL441)+IF(DATE(YEAR(AL441),MONTH(Settings!$D$8),DAY(Settings!$D$8))&gt;AL441,0,1),MONTH(Settings!$D$8),DAY(Settings!$D$8)),MIN(DATE(YEAR(AL441),MONTH(AL441)+AM441,DAY(AL441)),DATE(YEAR(AL441),MONTH(AL441)+AM441+1,0)))))</f>
        <v/>
      </c>
      <c r="AO441" s="31">
        <f>IF(ISNUMBER(AN441),AN441-Settings!$D$4,"")</f>
        <v/>
      </c>
      <c r="AP441" s="31">
        <f>IF(ISNUMBER(AL441),AL441+0+ROW()/100000,"")</f>
        <v/>
      </c>
      <c r="AQ441" s="31">
        <f>IF(OR(AG441="",NOT(ISNUMBER(AP441))),0,IF(SUMPRODUCT(('Responses'!$AG$2:$AG$501=AG441)*('Responses'!$AJ$2:$AJ$501=1)*ISNUMBER('Responses'!$AP$2:$AP$501)*('Responses'!$AP$2:$AP$501&gt;AP441)) + SUMPRODUCT(('Paper sign-ups'!$K$2:$K$101=AG441)*('Paper sign-ups'!$N$2:$N$101=1)*ISNUMBER('Paper sign-ups'!$T$2:$T$101)*('Paper sign-ups'!$T$2:$T$101&gt;AP441))&gt;0,1,0))</f>
        <v/>
      </c>
      <c r="AR441" s="31">
        <f>IF(AE441="","",IF(AQ441=1,"Joined again",IF(AJ441=0,"Unpaid",IF(NOT(ISNUMBER(AL441)),"Add a join date",IF(AN441="","No reminder",IF(AO441&lt;0,"Lapsed",IF(AO441&lt;=Settings!$D$6,"Remind soon","Current")))))))</f>
        <v/>
      </c>
      <c r="AS441" s="33">
        <f>IF(AJ441=1,IFERROR(VALUE(IFERROR(TRIM(INDEX($A441:$Z441,MATCH(Settings!$L$8,$A$1:$Z$1,0))&amp;""),"")),0)-IFERROR(VALUE(IFERROR(TRIM(INDEX($A441:$Z441,MATCH(Settings!$L$9,$A$1:$Z$1,0))&amp;""),"")),0),0)</f>
        <v/>
      </c>
      <c r="AT441" s="31">
        <f>IF(AND(AE441&lt;&gt;"",AQ441=0),1,0)</f>
        <v/>
      </c>
      <c r="AU441" s="31">
        <f>IF(AT441=0,"",IF(ISNUMBER(AN441),AN441,100000)+0+ROW()/1000000)</f>
        <v/>
      </c>
      <c r="AV441" s="31">
        <f>IF(ISNUMBER(AU441),SUMPRODUCT(ISNUMBER('Responses'!$AU$2:$AU$501)*('Responses'!$AU$2:$AU$501&lt;AU441)) + SUMPRODUCT(ISNUMBER('Paper sign-ups'!$Y$2:$Y$101)*('Paper sign-ups'!$Y$2:$Y$101&lt;AU441))+1,"")</f>
        <v/>
      </c>
    </row>
    <row r="442">
      <c r="AA442" s="29" t="n"/>
      <c r="AB442" s="30" t="n"/>
      <c r="AC442" s="30" t="n"/>
      <c r="AD442" s="29" t="n"/>
      <c r="AE442" s="31">
        <f>IFERROR(TRIM(INDEX($A442:$Z442,MATCH(Settings!$L$4,$A$1:$Z$1,0))&amp;""),"")</f>
        <v/>
      </c>
      <c r="AF442" s="31">
        <f>IFERROR(TRIM(INDEX($A442:$Z442,MATCH(Settings!$L$5,$A$1:$Z$1,0))&amp;""),"")</f>
        <v/>
      </c>
      <c r="AG442" s="31">
        <f>IF(AE442="","",LOWER(IF(AF442&lt;&gt;"",AF442,AE442)))</f>
        <v/>
      </c>
      <c r="AH442" s="31">
        <f>IFERROR(TRIM(INDEX($A442:$Z442,MATCH(Settings!$L$6,$A$1:$Z$1,0))&amp;""),"")</f>
        <v/>
      </c>
      <c r="AI442" s="31">
        <f>IF(AE442="","",IF(UPPER(TRIM(AB442&amp;""))="Y","Paid another way",IF(IFERROR(TRIM(INDEX($A442:$Z442,MATCH(Settings!$L$7,$A$1:$Z$1,0))&amp;""),"")="","No payment status",IFERROR(TRIM(INDEX($A442:$Z442,MATCH(Settings!$L$7,$A$1:$Z$1,0))&amp;""),""))))</f>
        <v/>
      </c>
      <c r="AJ442" s="31">
        <f>IF(AE442="",0,IF(IFERROR(INDEX(Settings!$J$4:$J$14,MATCH(AI442,Settings!$I$4:$I$14,0)),"N")="Y",1,0))</f>
        <v/>
      </c>
      <c r="AK442" s="32">
        <f>IFERROR(INT(IFERROR(IF(ISNUMBER(INDEX($A442:$Z442,MATCH(Settings!$L$10,$A$1:$Z$1,0))),INDEX($A442:$Z442,MATCH(Settings!$L$10,$A$1:$Z$1,0)),DATE(VALUE(LEFT(IFERROR(TRIM(INDEX($A442:$Z442,MATCH(Settings!$L$10,$A$1:$Z$1,0))&amp;""),""),4)),VALUE(MID(IFERROR(TRIM(INDEX($A442:$Z442,MATCH(Settings!$L$10,$A$1:$Z$1,0))&amp;""),""),6,2)),VALUE(MID(IFERROR(TRIM(INDEX($A442:$Z442,MATCH(Settings!$L$10,$A$1:$Z$1,0))&amp;""),""),9,2)))+TIME(VALUE(MID(IFERROR(TRIM(INDEX($A442:$Z442,MATCH(Settings!$L$10,$A$1:$Z$1,0))&amp;""),""),12,2)),VALUE(MID(IFERROR(TRIM(INDEX($A442:$Z442,MATCH(Settings!$L$10,$A$1:$Z$1,0))&amp;""),""),15,2)),VALUE(MID(IFERROR(TRIM(INDEX($A442:$Z442,MATCH(Settings!$L$10,$A$1:$Z$1,0))&amp;""),""),18,2)))),"")),"")</f>
        <v/>
      </c>
      <c r="AL442" s="32">
        <f>IF(AE442="","",IF(ISNUMBER(AK442),AK442,IFERROR(INT(IFERROR(IF(ISNUMBER(INDEX($A442:$Z442,MATCH(Settings!$L$11,$A$1:$Z$1,0))),INDEX($A442:$Z442,MATCH(Settings!$L$11,$A$1:$Z$1,0)),DATE(VALUE(LEFT(IFERROR(TRIM(INDEX($A442:$Z442,MATCH(Settings!$L$11,$A$1:$Z$1,0))&amp;""),""),4)),VALUE(MID(IFERROR(TRIM(INDEX($A442:$Z442,MATCH(Settings!$L$11,$A$1:$Z$1,0))&amp;""),""),6,2)),VALUE(MID(IFERROR(TRIM(INDEX($A442:$Z442,MATCH(Settings!$L$11,$A$1:$Z$1,0))&amp;""),""),9,2)))+TIME(VALUE(MID(IFERROR(TRIM(INDEX($A442:$Z442,MATCH(Settings!$L$11,$A$1:$Z$1,0))&amp;""),""),12,2)),VALUE(MID(IFERROR(TRIM(INDEX($A442:$Z442,MATCH(Settings!$L$11,$A$1:$Z$1,0))&amp;""),""),15,2)),VALUE(MID(IFERROR(TRIM(INDEX($A442:$Z442,MATCH(Settings!$L$11,$A$1:$Z$1,0))&amp;""),""),18,2)))),"")),"")))</f>
        <v/>
      </c>
      <c r="AM442" s="31">
        <f>IF(AE442="","",IF(ISNUMBER(IFERROR(INDEX(Settings!$G$4:$G$11,MATCH(AH442,Settings!$F$4:$F$11,0)),"")),INDEX(Settings!$G$4:$G$11,MATCH(AH442,Settings!$F$4:$F$11,0)),Settings!$D$5))</f>
        <v/>
      </c>
      <c r="AN442" s="32">
        <f>IF(OR(AE442="",NOT(ISNUMBER(AL442)),NOT(ISNUMBER(AM442))),"",IF(AM442&lt;=0,"",IF(ISNUMBER(Settings!$D$8),DATE(YEAR(AL442)+IF(DATE(YEAR(AL442),MONTH(Settings!$D$8),DAY(Settings!$D$8))&gt;AL442,0,1),MONTH(Settings!$D$8),DAY(Settings!$D$8)),MIN(DATE(YEAR(AL442),MONTH(AL442)+AM442,DAY(AL442)),DATE(YEAR(AL442),MONTH(AL442)+AM442+1,0)))))</f>
        <v/>
      </c>
      <c r="AO442" s="31">
        <f>IF(ISNUMBER(AN442),AN442-Settings!$D$4,"")</f>
        <v/>
      </c>
      <c r="AP442" s="31">
        <f>IF(ISNUMBER(AL442),AL442+0+ROW()/100000,"")</f>
        <v/>
      </c>
      <c r="AQ442" s="31">
        <f>IF(OR(AG442="",NOT(ISNUMBER(AP442))),0,IF(SUMPRODUCT(('Responses'!$AG$2:$AG$501=AG442)*('Responses'!$AJ$2:$AJ$501=1)*ISNUMBER('Responses'!$AP$2:$AP$501)*('Responses'!$AP$2:$AP$501&gt;AP442)) + SUMPRODUCT(('Paper sign-ups'!$K$2:$K$101=AG442)*('Paper sign-ups'!$N$2:$N$101=1)*ISNUMBER('Paper sign-ups'!$T$2:$T$101)*('Paper sign-ups'!$T$2:$T$101&gt;AP442))&gt;0,1,0))</f>
        <v/>
      </c>
      <c r="AR442" s="31">
        <f>IF(AE442="","",IF(AQ442=1,"Joined again",IF(AJ442=0,"Unpaid",IF(NOT(ISNUMBER(AL442)),"Add a join date",IF(AN442="","No reminder",IF(AO442&lt;0,"Lapsed",IF(AO442&lt;=Settings!$D$6,"Remind soon","Current")))))))</f>
        <v/>
      </c>
      <c r="AS442" s="33">
        <f>IF(AJ442=1,IFERROR(VALUE(IFERROR(TRIM(INDEX($A442:$Z442,MATCH(Settings!$L$8,$A$1:$Z$1,0))&amp;""),"")),0)-IFERROR(VALUE(IFERROR(TRIM(INDEX($A442:$Z442,MATCH(Settings!$L$9,$A$1:$Z$1,0))&amp;""),"")),0),0)</f>
        <v/>
      </c>
      <c r="AT442" s="31">
        <f>IF(AND(AE442&lt;&gt;"",AQ442=0),1,0)</f>
        <v/>
      </c>
      <c r="AU442" s="31">
        <f>IF(AT442=0,"",IF(ISNUMBER(AN442),AN442,100000)+0+ROW()/1000000)</f>
        <v/>
      </c>
      <c r="AV442" s="31">
        <f>IF(ISNUMBER(AU442),SUMPRODUCT(ISNUMBER('Responses'!$AU$2:$AU$501)*('Responses'!$AU$2:$AU$501&lt;AU442)) + SUMPRODUCT(ISNUMBER('Paper sign-ups'!$Y$2:$Y$101)*('Paper sign-ups'!$Y$2:$Y$101&lt;AU442))+1,"")</f>
        <v/>
      </c>
    </row>
    <row r="443">
      <c r="AA443" s="29" t="n"/>
      <c r="AB443" s="30" t="n"/>
      <c r="AC443" s="30" t="n"/>
      <c r="AD443" s="29" t="n"/>
      <c r="AE443" s="31">
        <f>IFERROR(TRIM(INDEX($A443:$Z443,MATCH(Settings!$L$4,$A$1:$Z$1,0))&amp;""),"")</f>
        <v/>
      </c>
      <c r="AF443" s="31">
        <f>IFERROR(TRIM(INDEX($A443:$Z443,MATCH(Settings!$L$5,$A$1:$Z$1,0))&amp;""),"")</f>
        <v/>
      </c>
      <c r="AG443" s="31">
        <f>IF(AE443="","",LOWER(IF(AF443&lt;&gt;"",AF443,AE443)))</f>
        <v/>
      </c>
      <c r="AH443" s="31">
        <f>IFERROR(TRIM(INDEX($A443:$Z443,MATCH(Settings!$L$6,$A$1:$Z$1,0))&amp;""),"")</f>
        <v/>
      </c>
      <c r="AI443" s="31">
        <f>IF(AE443="","",IF(UPPER(TRIM(AB443&amp;""))="Y","Paid another way",IF(IFERROR(TRIM(INDEX($A443:$Z443,MATCH(Settings!$L$7,$A$1:$Z$1,0))&amp;""),"")="","No payment status",IFERROR(TRIM(INDEX($A443:$Z443,MATCH(Settings!$L$7,$A$1:$Z$1,0))&amp;""),""))))</f>
        <v/>
      </c>
      <c r="AJ443" s="31">
        <f>IF(AE443="",0,IF(IFERROR(INDEX(Settings!$J$4:$J$14,MATCH(AI443,Settings!$I$4:$I$14,0)),"N")="Y",1,0))</f>
        <v/>
      </c>
      <c r="AK443" s="32">
        <f>IFERROR(INT(IFERROR(IF(ISNUMBER(INDEX($A443:$Z443,MATCH(Settings!$L$10,$A$1:$Z$1,0))),INDEX($A443:$Z443,MATCH(Settings!$L$10,$A$1:$Z$1,0)),DATE(VALUE(LEFT(IFERROR(TRIM(INDEX($A443:$Z443,MATCH(Settings!$L$10,$A$1:$Z$1,0))&amp;""),""),4)),VALUE(MID(IFERROR(TRIM(INDEX($A443:$Z443,MATCH(Settings!$L$10,$A$1:$Z$1,0))&amp;""),""),6,2)),VALUE(MID(IFERROR(TRIM(INDEX($A443:$Z443,MATCH(Settings!$L$10,$A$1:$Z$1,0))&amp;""),""),9,2)))+TIME(VALUE(MID(IFERROR(TRIM(INDEX($A443:$Z443,MATCH(Settings!$L$10,$A$1:$Z$1,0))&amp;""),""),12,2)),VALUE(MID(IFERROR(TRIM(INDEX($A443:$Z443,MATCH(Settings!$L$10,$A$1:$Z$1,0))&amp;""),""),15,2)),VALUE(MID(IFERROR(TRIM(INDEX($A443:$Z443,MATCH(Settings!$L$10,$A$1:$Z$1,0))&amp;""),""),18,2)))),"")),"")</f>
        <v/>
      </c>
      <c r="AL443" s="32">
        <f>IF(AE443="","",IF(ISNUMBER(AK443),AK443,IFERROR(INT(IFERROR(IF(ISNUMBER(INDEX($A443:$Z443,MATCH(Settings!$L$11,$A$1:$Z$1,0))),INDEX($A443:$Z443,MATCH(Settings!$L$11,$A$1:$Z$1,0)),DATE(VALUE(LEFT(IFERROR(TRIM(INDEX($A443:$Z443,MATCH(Settings!$L$11,$A$1:$Z$1,0))&amp;""),""),4)),VALUE(MID(IFERROR(TRIM(INDEX($A443:$Z443,MATCH(Settings!$L$11,$A$1:$Z$1,0))&amp;""),""),6,2)),VALUE(MID(IFERROR(TRIM(INDEX($A443:$Z443,MATCH(Settings!$L$11,$A$1:$Z$1,0))&amp;""),""),9,2)))+TIME(VALUE(MID(IFERROR(TRIM(INDEX($A443:$Z443,MATCH(Settings!$L$11,$A$1:$Z$1,0))&amp;""),""),12,2)),VALUE(MID(IFERROR(TRIM(INDEX($A443:$Z443,MATCH(Settings!$L$11,$A$1:$Z$1,0))&amp;""),""),15,2)),VALUE(MID(IFERROR(TRIM(INDEX($A443:$Z443,MATCH(Settings!$L$11,$A$1:$Z$1,0))&amp;""),""),18,2)))),"")),"")))</f>
        <v/>
      </c>
      <c r="AM443" s="31">
        <f>IF(AE443="","",IF(ISNUMBER(IFERROR(INDEX(Settings!$G$4:$G$11,MATCH(AH443,Settings!$F$4:$F$11,0)),"")),INDEX(Settings!$G$4:$G$11,MATCH(AH443,Settings!$F$4:$F$11,0)),Settings!$D$5))</f>
        <v/>
      </c>
      <c r="AN443" s="32">
        <f>IF(OR(AE443="",NOT(ISNUMBER(AL443)),NOT(ISNUMBER(AM443))),"",IF(AM443&lt;=0,"",IF(ISNUMBER(Settings!$D$8),DATE(YEAR(AL443)+IF(DATE(YEAR(AL443),MONTH(Settings!$D$8),DAY(Settings!$D$8))&gt;AL443,0,1),MONTH(Settings!$D$8),DAY(Settings!$D$8)),MIN(DATE(YEAR(AL443),MONTH(AL443)+AM443,DAY(AL443)),DATE(YEAR(AL443),MONTH(AL443)+AM443+1,0)))))</f>
        <v/>
      </c>
      <c r="AO443" s="31">
        <f>IF(ISNUMBER(AN443),AN443-Settings!$D$4,"")</f>
        <v/>
      </c>
      <c r="AP443" s="31">
        <f>IF(ISNUMBER(AL443),AL443+0+ROW()/100000,"")</f>
        <v/>
      </c>
      <c r="AQ443" s="31">
        <f>IF(OR(AG443="",NOT(ISNUMBER(AP443))),0,IF(SUMPRODUCT(('Responses'!$AG$2:$AG$501=AG443)*('Responses'!$AJ$2:$AJ$501=1)*ISNUMBER('Responses'!$AP$2:$AP$501)*('Responses'!$AP$2:$AP$501&gt;AP443)) + SUMPRODUCT(('Paper sign-ups'!$K$2:$K$101=AG443)*('Paper sign-ups'!$N$2:$N$101=1)*ISNUMBER('Paper sign-ups'!$T$2:$T$101)*('Paper sign-ups'!$T$2:$T$101&gt;AP443))&gt;0,1,0))</f>
        <v/>
      </c>
      <c r="AR443" s="31">
        <f>IF(AE443="","",IF(AQ443=1,"Joined again",IF(AJ443=0,"Unpaid",IF(NOT(ISNUMBER(AL443)),"Add a join date",IF(AN443="","No reminder",IF(AO443&lt;0,"Lapsed",IF(AO443&lt;=Settings!$D$6,"Remind soon","Current")))))))</f>
        <v/>
      </c>
      <c r="AS443" s="33">
        <f>IF(AJ443=1,IFERROR(VALUE(IFERROR(TRIM(INDEX($A443:$Z443,MATCH(Settings!$L$8,$A$1:$Z$1,0))&amp;""),"")),0)-IFERROR(VALUE(IFERROR(TRIM(INDEX($A443:$Z443,MATCH(Settings!$L$9,$A$1:$Z$1,0))&amp;""),"")),0),0)</f>
        <v/>
      </c>
      <c r="AT443" s="31">
        <f>IF(AND(AE443&lt;&gt;"",AQ443=0),1,0)</f>
        <v/>
      </c>
      <c r="AU443" s="31">
        <f>IF(AT443=0,"",IF(ISNUMBER(AN443),AN443,100000)+0+ROW()/1000000)</f>
        <v/>
      </c>
      <c r="AV443" s="31">
        <f>IF(ISNUMBER(AU443),SUMPRODUCT(ISNUMBER('Responses'!$AU$2:$AU$501)*('Responses'!$AU$2:$AU$501&lt;AU443)) + SUMPRODUCT(ISNUMBER('Paper sign-ups'!$Y$2:$Y$101)*('Paper sign-ups'!$Y$2:$Y$101&lt;AU443))+1,"")</f>
        <v/>
      </c>
    </row>
    <row r="444">
      <c r="AA444" s="29" t="n"/>
      <c r="AB444" s="30" t="n"/>
      <c r="AC444" s="30" t="n"/>
      <c r="AD444" s="29" t="n"/>
      <c r="AE444" s="31">
        <f>IFERROR(TRIM(INDEX($A444:$Z444,MATCH(Settings!$L$4,$A$1:$Z$1,0))&amp;""),"")</f>
        <v/>
      </c>
      <c r="AF444" s="31">
        <f>IFERROR(TRIM(INDEX($A444:$Z444,MATCH(Settings!$L$5,$A$1:$Z$1,0))&amp;""),"")</f>
        <v/>
      </c>
      <c r="AG444" s="31">
        <f>IF(AE444="","",LOWER(IF(AF444&lt;&gt;"",AF444,AE444)))</f>
        <v/>
      </c>
      <c r="AH444" s="31">
        <f>IFERROR(TRIM(INDEX($A444:$Z444,MATCH(Settings!$L$6,$A$1:$Z$1,0))&amp;""),"")</f>
        <v/>
      </c>
      <c r="AI444" s="31">
        <f>IF(AE444="","",IF(UPPER(TRIM(AB444&amp;""))="Y","Paid another way",IF(IFERROR(TRIM(INDEX($A444:$Z444,MATCH(Settings!$L$7,$A$1:$Z$1,0))&amp;""),"")="","No payment status",IFERROR(TRIM(INDEX($A444:$Z444,MATCH(Settings!$L$7,$A$1:$Z$1,0))&amp;""),""))))</f>
        <v/>
      </c>
      <c r="AJ444" s="31">
        <f>IF(AE444="",0,IF(IFERROR(INDEX(Settings!$J$4:$J$14,MATCH(AI444,Settings!$I$4:$I$14,0)),"N")="Y",1,0))</f>
        <v/>
      </c>
      <c r="AK444" s="32">
        <f>IFERROR(INT(IFERROR(IF(ISNUMBER(INDEX($A444:$Z444,MATCH(Settings!$L$10,$A$1:$Z$1,0))),INDEX($A444:$Z444,MATCH(Settings!$L$10,$A$1:$Z$1,0)),DATE(VALUE(LEFT(IFERROR(TRIM(INDEX($A444:$Z444,MATCH(Settings!$L$10,$A$1:$Z$1,0))&amp;""),""),4)),VALUE(MID(IFERROR(TRIM(INDEX($A444:$Z444,MATCH(Settings!$L$10,$A$1:$Z$1,0))&amp;""),""),6,2)),VALUE(MID(IFERROR(TRIM(INDEX($A444:$Z444,MATCH(Settings!$L$10,$A$1:$Z$1,0))&amp;""),""),9,2)))+TIME(VALUE(MID(IFERROR(TRIM(INDEX($A444:$Z444,MATCH(Settings!$L$10,$A$1:$Z$1,0))&amp;""),""),12,2)),VALUE(MID(IFERROR(TRIM(INDEX($A444:$Z444,MATCH(Settings!$L$10,$A$1:$Z$1,0))&amp;""),""),15,2)),VALUE(MID(IFERROR(TRIM(INDEX($A444:$Z444,MATCH(Settings!$L$10,$A$1:$Z$1,0))&amp;""),""),18,2)))),"")),"")</f>
        <v/>
      </c>
      <c r="AL444" s="32">
        <f>IF(AE444="","",IF(ISNUMBER(AK444),AK444,IFERROR(INT(IFERROR(IF(ISNUMBER(INDEX($A444:$Z444,MATCH(Settings!$L$11,$A$1:$Z$1,0))),INDEX($A444:$Z444,MATCH(Settings!$L$11,$A$1:$Z$1,0)),DATE(VALUE(LEFT(IFERROR(TRIM(INDEX($A444:$Z444,MATCH(Settings!$L$11,$A$1:$Z$1,0))&amp;""),""),4)),VALUE(MID(IFERROR(TRIM(INDEX($A444:$Z444,MATCH(Settings!$L$11,$A$1:$Z$1,0))&amp;""),""),6,2)),VALUE(MID(IFERROR(TRIM(INDEX($A444:$Z444,MATCH(Settings!$L$11,$A$1:$Z$1,0))&amp;""),""),9,2)))+TIME(VALUE(MID(IFERROR(TRIM(INDEX($A444:$Z444,MATCH(Settings!$L$11,$A$1:$Z$1,0))&amp;""),""),12,2)),VALUE(MID(IFERROR(TRIM(INDEX($A444:$Z444,MATCH(Settings!$L$11,$A$1:$Z$1,0))&amp;""),""),15,2)),VALUE(MID(IFERROR(TRIM(INDEX($A444:$Z444,MATCH(Settings!$L$11,$A$1:$Z$1,0))&amp;""),""),18,2)))),"")),"")))</f>
        <v/>
      </c>
      <c r="AM444" s="31">
        <f>IF(AE444="","",IF(ISNUMBER(IFERROR(INDEX(Settings!$G$4:$G$11,MATCH(AH444,Settings!$F$4:$F$11,0)),"")),INDEX(Settings!$G$4:$G$11,MATCH(AH444,Settings!$F$4:$F$11,0)),Settings!$D$5))</f>
        <v/>
      </c>
      <c r="AN444" s="32">
        <f>IF(OR(AE444="",NOT(ISNUMBER(AL444)),NOT(ISNUMBER(AM444))),"",IF(AM444&lt;=0,"",IF(ISNUMBER(Settings!$D$8),DATE(YEAR(AL444)+IF(DATE(YEAR(AL444),MONTH(Settings!$D$8),DAY(Settings!$D$8))&gt;AL444,0,1),MONTH(Settings!$D$8),DAY(Settings!$D$8)),MIN(DATE(YEAR(AL444),MONTH(AL444)+AM444,DAY(AL444)),DATE(YEAR(AL444),MONTH(AL444)+AM444+1,0)))))</f>
        <v/>
      </c>
      <c r="AO444" s="31">
        <f>IF(ISNUMBER(AN444),AN444-Settings!$D$4,"")</f>
        <v/>
      </c>
      <c r="AP444" s="31">
        <f>IF(ISNUMBER(AL444),AL444+0+ROW()/100000,"")</f>
        <v/>
      </c>
      <c r="AQ444" s="31">
        <f>IF(OR(AG444="",NOT(ISNUMBER(AP444))),0,IF(SUMPRODUCT(('Responses'!$AG$2:$AG$501=AG444)*('Responses'!$AJ$2:$AJ$501=1)*ISNUMBER('Responses'!$AP$2:$AP$501)*('Responses'!$AP$2:$AP$501&gt;AP444)) + SUMPRODUCT(('Paper sign-ups'!$K$2:$K$101=AG444)*('Paper sign-ups'!$N$2:$N$101=1)*ISNUMBER('Paper sign-ups'!$T$2:$T$101)*('Paper sign-ups'!$T$2:$T$101&gt;AP444))&gt;0,1,0))</f>
        <v/>
      </c>
      <c r="AR444" s="31">
        <f>IF(AE444="","",IF(AQ444=1,"Joined again",IF(AJ444=0,"Unpaid",IF(NOT(ISNUMBER(AL444)),"Add a join date",IF(AN444="","No reminder",IF(AO444&lt;0,"Lapsed",IF(AO444&lt;=Settings!$D$6,"Remind soon","Current")))))))</f>
        <v/>
      </c>
      <c r="AS444" s="33">
        <f>IF(AJ444=1,IFERROR(VALUE(IFERROR(TRIM(INDEX($A444:$Z444,MATCH(Settings!$L$8,$A$1:$Z$1,0))&amp;""),"")),0)-IFERROR(VALUE(IFERROR(TRIM(INDEX($A444:$Z444,MATCH(Settings!$L$9,$A$1:$Z$1,0))&amp;""),"")),0),0)</f>
        <v/>
      </c>
      <c r="AT444" s="31">
        <f>IF(AND(AE444&lt;&gt;"",AQ444=0),1,0)</f>
        <v/>
      </c>
      <c r="AU444" s="31">
        <f>IF(AT444=0,"",IF(ISNUMBER(AN444),AN444,100000)+0+ROW()/1000000)</f>
        <v/>
      </c>
      <c r="AV444" s="31">
        <f>IF(ISNUMBER(AU444),SUMPRODUCT(ISNUMBER('Responses'!$AU$2:$AU$501)*('Responses'!$AU$2:$AU$501&lt;AU444)) + SUMPRODUCT(ISNUMBER('Paper sign-ups'!$Y$2:$Y$101)*('Paper sign-ups'!$Y$2:$Y$101&lt;AU444))+1,"")</f>
        <v/>
      </c>
    </row>
    <row r="445">
      <c r="AA445" s="29" t="n"/>
      <c r="AB445" s="30" t="n"/>
      <c r="AC445" s="30" t="n"/>
      <c r="AD445" s="29" t="n"/>
      <c r="AE445" s="31">
        <f>IFERROR(TRIM(INDEX($A445:$Z445,MATCH(Settings!$L$4,$A$1:$Z$1,0))&amp;""),"")</f>
        <v/>
      </c>
      <c r="AF445" s="31">
        <f>IFERROR(TRIM(INDEX($A445:$Z445,MATCH(Settings!$L$5,$A$1:$Z$1,0))&amp;""),"")</f>
        <v/>
      </c>
      <c r="AG445" s="31">
        <f>IF(AE445="","",LOWER(IF(AF445&lt;&gt;"",AF445,AE445)))</f>
        <v/>
      </c>
      <c r="AH445" s="31">
        <f>IFERROR(TRIM(INDEX($A445:$Z445,MATCH(Settings!$L$6,$A$1:$Z$1,0))&amp;""),"")</f>
        <v/>
      </c>
      <c r="AI445" s="31">
        <f>IF(AE445="","",IF(UPPER(TRIM(AB445&amp;""))="Y","Paid another way",IF(IFERROR(TRIM(INDEX($A445:$Z445,MATCH(Settings!$L$7,$A$1:$Z$1,0))&amp;""),"")="","No payment status",IFERROR(TRIM(INDEX($A445:$Z445,MATCH(Settings!$L$7,$A$1:$Z$1,0))&amp;""),""))))</f>
        <v/>
      </c>
      <c r="AJ445" s="31">
        <f>IF(AE445="",0,IF(IFERROR(INDEX(Settings!$J$4:$J$14,MATCH(AI445,Settings!$I$4:$I$14,0)),"N")="Y",1,0))</f>
        <v/>
      </c>
      <c r="AK445" s="32">
        <f>IFERROR(INT(IFERROR(IF(ISNUMBER(INDEX($A445:$Z445,MATCH(Settings!$L$10,$A$1:$Z$1,0))),INDEX($A445:$Z445,MATCH(Settings!$L$10,$A$1:$Z$1,0)),DATE(VALUE(LEFT(IFERROR(TRIM(INDEX($A445:$Z445,MATCH(Settings!$L$10,$A$1:$Z$1,0))&amp;""),""),4)),VALUE(MID(IFERROR(TRIM(INDEX($A445:$Z445,MATCH(Settings!$L$10,$A$1:$Z$1,0))&amp;""),""),6,2)),VALUE(MID(IFERROR(TRIM(INDEX($A445:$Z445,MATCH(Settings!$L$10,$A$1:$Z$1,0))&amp;""),""),9,2)))+TIME(VALUE(MID(IFERROR(TRIM(INDEX($A445:$Z445,MATCH(Settings!$L$10,$A$1:$Z$1,0))&amp;""),""),12,2)),VALUE(MID(IFERROR(TRIM(INDEX($A445:$Z445,MATCH(Settings!$L$10,$A$1:$Z$1,0))&amp;""),""),15,2)),VALUE(MID(IFERROR(TRIM(INDEX($A445:$Z445,MATCH(Settings!$L$10,$A$1:$Z$1,0))&amp;""),""),18,2)))),"")),"")</f>
        <v/>
      </c>
      <c r="AL445" s="32">
        <f>IF(AE445="","",IF(ISNUMBER(AK445),AK445,IFERROR(INT(IFERROR(IF(ISNUMBER(INDEX($A445:$Z445,MATCH(Settings!$L$11,$A$1:$Z$1,0))),INDEX($A445:$Z445,MATCH(Settings!$L$11,$A$1:$Z$1,0)),DATE(VALUE(LEFT(IFERROR(TRIM(INDEX($A445:$Z445,MATCH(Settings!$L$11,$A$1:$Z$1,0))&amp;""),""),4)),VALUE(MID(IFERROR(TRIM(INDEX($A445:$Z445,MATCH(Settings!$L$11,$A$1:$Z$1,0))&amp;""),""),6,2)),VALUE(MID(IFERROR(TRIM(INDEX($A445:$Z445,MATCH(Settings!$L$11,$A$1:$Z$1,0))&amp;""),""),9,2)))+TIME(VALUE(MID(IFERROR(TRIM(INDEX($A445:$Z445,MATCH(Settings!$L$11,$A$1:$Z$1,0))&amp;""),""),12,2)),VALUE(MID(IFERROR(TRIM(INDEX($A445:$Z445,MATCH(Settings!$L$11,$A$1:$Z$1,0))&amp;""),""),15,2)),VALUE(MID(IFERROR(TRIM(INDEX($A445:$Z445,MATCH(Settings!$L$11,$A$1:$Z$1,0))&amp;""),""),18,2)))),"")),"")))</f>
        <v/>
      </c>
      <c r="AM445" s="31">
        <f>IF(AE445="","",IF(ISNUMBER(IFERROR(INDEX(Settings!$G$4:$G$11,MATCH(AH445,Settings!$F$4:$F$11,0)),"")),INDEX(Settings!$G$4:$G$11,MATCH(AH445,Settings!$F$4:$F$11,0)),Settings!$D$5))</f>
        <v/>
      </c>
      <c r="AN445" s="32">
        <f>IF(OR(AE445="",NOT(ISNUMBER(AL445)),NOT(ISNUMBER(AM445))),"",IF(AM445&lt;=0,"",IF(ISNUMBER(Settings!$D$8),DATE(YEAR(AL445)+IF(DATE(YEAR(AL445),MONTH(Settings!$D$8),DAY(Settings!$D$8))&gt;AL445,0,1),MONTH(Settings!$D$8),DAY(Settings!$D$8)),MIN(DATE(YEAR(AL445),MONTH(AL445)+AM445,DAY(AL445)),DATE(YEAR(AL445),MONTH(AL445)+AM445+1,0)))))</f>
        <v/>
      </c>
      <c r="AO445" s="31">
        <f>IF(ISNUMBER(AN445),AN445-Settings!$D$4,"")</f>
        <v/>
      </c>
      <c r="AP445" s="31">
        <f>IF(ISNUMBER(AL445),AL445+0+ROW()/100000,"")</f>
        <v/>
      </c>
      <c r="AQ445" s="31">
        <f>IF(OR(AG445="",NOT(ISNUMBER(AP445))),0,IF(SUMPRODUCT(('Responses'!$AG$2:$AG$501=AG445)*('Responses'!$AJ$2:$AJ$501=1)*ISNUMBER('Responses'!$AP$2:$AP$501)*('Responses'!$AP$2:$AP$501&gt;AP445)) + SUMPRODUCT(('Paper sign-ups'!$K$2:$K$101=AG445)*('Paper sign-ups'!$N$2:$N$101=1)*ISNUMBER('Paper sign-ups'!$T$2:$T$101)*('Paper sign-ups'!$T$2:$T$101&gt;AP445))&gt;0,1,0))</f>
        <v/>
      </c>
      <c r="AR445" s="31">
        <f>IF(AE445="","",IF(AQ445=1,"Joined again",IF(AJ445=0,"Unpaid",IF(NOT(ISNUMBER(AL445)),"Add a join date",IF(AN445="","No reminder",IF(AO445&lt;0,"Lapsed",IF(AO445&lt;=Settings!$D$6,"Remind soon","Current")))))))</f>
        <v/>
      </c>
      <c r="AS445" s="33">
        <f>IF(AJ445=1,IFERROR(VALUE(IFERROR(TRIM(INDEX($A445:$Z445,MATCH(Settings!$L$8,$A$1:$Z$1,0))&amp;""),"")),0)-IFERROR(VALUE(IFERROR(TRIM(INDEX($A445:$Z445,MATCH(Settings!$L$9,$A$1:$Z$1,0))&amp;""),"")),0),0)</f>
        <v/>
      </c>
      <c r="AT445" s="31">
        <f>IF(AND(AE445&lt;&gt;"",AQ445=0),1,0)</f>
        <v/>
      </c>
      <c r="AU445" s="31">
        <f>IF(AT445=0,"",IF(ISNUMBER(AN445),AN445,100000)+0+ROW()/1000000)</f>
        <v/>
      </c>
      <c r="AV445" s="31">
        <f>IF(ISNUMBER(AU445),SUMPRODUCT(ISNUMBER('Responses'!$AU$2:$AU$501)*('Responses'!$AU$2:$AU$501&lt;AU445)) + SUMPRODUCT(ISNUMBER('Paper sign-ups'!$Y$2:$Y$101)*('Paper sign-ups'!$Y$2:$Y$101&lt;AU445))+1,"")</f>
        <v/>
      </c>
    </row>
    <row r="446">
      <c r="AA446" s="29" t="n"/>
      <c r="AB446" s="30" t="n"/>
      <c r="AC446" s="30" t="n"/>
      <c r="AD446" s="29" t="n"/>
      <c r="AE446" s="31">
        <f>IFERROR(TRIM(INDEX($A446:$Z446,MATCH(Settings!$L$4,$A$1:$Z$1,0))&amp;""),"")</f>
        <v/>
      </c>
      <c r="AF446" s="31">
        <f>IFERROR(TRIM(INDEX($A446:$Z446,MATCH(Settings!$L$5,$A$1:$Z$1,0))&amp;""),"")</f>
        <v/>
      </c>
      <c r="AG446" s="31">
        <f>IF(AE446="","",LOWER(IF(AF446&lt;&gt;"",AF446,AE446)))</f>
        <v/>
      </c>
      <c r="AH446" s="31">
        <f>IFERROR(TRIM(INDEX($A446:$Z446,MATCH(Settings!$L$6,$A$1:$Z$1,0))&amp;""),"")</f>
        <v/>
      </c>
      <c r="AI446" s="31">
        <f>IF(AE446="","",IF(UPPER(TRIM(AB446&amp;""))="Y","Paid another way",IF(IFERROR(TRIM(INDEX($A446:$Z446,MATCH(Settings!$L$7,$A$1:$Z$1,0))&amp;""),"")="","No payment status",IFERROR(TRIM(INDEX($A446:$Z446,MATCH(Settings!$L$7,$A$1:$Z$1,0))&amp;""),""))))</f>
        <v/>
      </c>
      <c r="AJ446" s="31">
        <f>IF(AE446="",0,IF(IFERROR(INDEX(Settings!$J$4:$J$14,MATCH(AI446,Settings!$I$4:$I$14,0)),"N")="Y",1,0))</f>
        <v/>
      </c>
      <c r="AK446" s="32">
        <f>IFERROR(INT(IFERROR(IF(ISNUMBER(INDEX($A446:$Z446,MATCH(Settings!$L$10,$A$1:$Z$1,0))),INDEX($A446:$Z446,MATCH(Settings!$L$10,$A$1:$Z$1,0)),DATE(VALUE(LEFT(IFERROR(TRIM(INDEX($A446:$Z446,MATCH(Settings!$L$10,$A$1:$Z$1,0))&amp;""),""),4)),VALUE(MID(IFERROR(TRIM(INDEX($A446:$Z446,MATCH(Settings!$L$10,$A$1:$Z$1,0))&amp;""),""),6,2)),VALUE(MID(IFERROR(TRIM(INDEX($A446:$Z446,MATCH(Settings!$L$10,$A$1:$Z$1,0))&amp;""),""),9,2)))+TIME(VALUE(MID(IFERROR(TRIM(INDEX($A446:$Z446,MATCH(Settings!$L$10,$A$1:$Z$1,0))&amp;""),""),12,2)),VALUE(MID(IFERROR(TRIM(INDEX($A446:$Z446,MATCH(Settings!$L$10,$A$1:$Z$1,0))&amp;""),""),15,2)),VALUE(MID(IFERROR(TRIM(INDEX($A446:$Z446,MATCH(Settings!$L$10,$A$1:$Z$1,0))&amp;""),""),18,2)))),"")),"")</f>
        <v/>
      </c>
      <c r="AL446" s="32">
        <f>IF(AE446="","",IF(ISNUMBER(AK446),AK446,IFERROR(INT(IFERROR(IF(ISNUMBER(INDEX($A446:$Z446,MATCH(Settings!$L$11,$A$1:$Z$1,0))),INDEX($A446:$Z446,MATCH(Settings!$L$11,$A$1:$Z$1,0)),DATE(VALUE(LEFT(IFERROR(TRIM(INDEX($A446:$Z446,MATCH(Settings!$L$11,$A$1:$Z$1,0))&amp;""),""),4)),VALUE(MID(IFERROR(TRIM(INDEX($A446:$Z446,MATCH(Settings!$L$11,$A$1:$Z$1,0))&amp;""),""),6,2)),VALUE(MID(IFERROR(TRIM(INDEX($A446:$Z446,MATCH(Settings!$L$11,$A$1:$Z$1,0))&amp;""),""),9,2)))+TIME(VALUE(MID(IFERROR(TRIM(INDEX($A446:$Z446,MATCH(Settings!$L$11,$A$1:$Z$1,0))&amp;""),""),12,2)),VALUE(MID(IFERROR(TRIM(INDEX($A446:$Z446,MATCH(Settings!$L$11,$A$1:$Z$1,0))&amp;""),""),15,2)),VALUE(MID(IFERROR(TRIM(INDEX($A446:$Z446,MATCH(Settings!$L$11,$A$1:$Z$1,0))&amp;""),""),18,2)))),"")),"")))</f>
        <v/>
      </c>
      <c r="AM446" s="31">
        <f>IF(AE446="","",IF(ISNUMBER(IFERROR(INDEX(Settings!$G$4:$G$11,MATCH(AH446,Settings!$F$4:$F$11,0)),"")),INDEX(Settings!$G$4:$G$11,MATCH(AH446,Settings!$F$4:$F$11,0)),Settings!$D$5))</f>
        <v/>
      </c>
      <c r="AN446" s="32">
        <f>IF(OR(AE446="",NOT(ISNUMBER(AL446)),NOT(ISNUMBER(AM446))),"",IF(AM446&lt;=0,"",IF(ISNUMBER(Settings!$D$8),DATE(YEAR(AL446)+IF(DATE(YEAR(AL446),MONTH(Settings!$D$8),DAY(Settings!$D$8))&gt;AL446,0,1),MONTH(Settings!$D$8),DAY(Settings!$D$8)),MIN(DATE(YEAR(AL446),MONTH(AL446)+AM446,DAY(AL446)),DATE(YEAR(AL446),MONTH(AL446)+AM446+1,0)))))</f>
        <v/>
      </c>
      <c r="AO446" s="31">
        <f>IF(ISNUMBER(AN446),AN446-Settings!$D$4,"")</f>
        <v/>
      </c>
      <c r="AP446" s="31">
        <f>IF(ISNUMBER(AL446),AL446+0+ROW()/100000,"")</f>
        <v/>
      </c>
      <c r="AQ446" s="31">
        <f>IF(OR(AG446="",NOT(ISNUMBER(AP446))),0,IF(SUMPRODUCT(('Responses'!$AG$2:$AG$501=AG446)*('Responses'!$AJ$2:$AJ$501=1)*ISNUMBER('Responses'!$AP$2:$AP$501)*('Responses'!$AP$2:$AP$501&gt;AP446)) + SUMPRODUCT(('Paper sign-ups'!$K$2:$K$101=AG446)*('Paper sign-ups'!$N$2:$N$101=1)*ISNUMBER('Paper sign-ups'!$T$2:$T$101)*('Paper sign-ups'!$T$2:$T$101&gt;AP446))&gt;0,1,0))</f>
        <v/>
      </c>
      <c r="AR446" s="31">
        <f>IF(AE446="","",IF(AQ446=1,"Joined again",IF(AJ446=0,"Unpaid",IF(NOT(ISNUMBER(AL446)),"Add a join date",IF(AN446="","No reminder",IF(AO446&lt;0,"Lapsed",IF(AO446&lt;=Settings!$D$6,"Remind soon","Current")))))))</f>
        <v/>
      </c>
      <c r="AS446" s="33">
        <f>IF(AJ446=1,IFERROR(VALUE(IFERROR(TRIM(INDEX($A446:$Z446,MATCH(Settings!$L$8,$A$1:$Z$1,0))&amp;""),"")),0)-IFERROR(VALUE(IFERROR(TRIM(INDEX($A446:$Z446,MATCH(Settings!$L$9,$A$1:$Z$1,0))&amp;""),"")),0),0)</f>
        <v/>
      </c>
      <c r="AT446" s="31">
        <f>IF(AND(AE446&lt;&gt;"",AQ446=0),1,0)</f>
        <v/>
      </c>
      <c r="AU446" s="31">
        <f>IF(AT446=0,"",IF(ISNUMBER(AN446),AN446,100000)+0+ROW()/1000000)</f>
        <v/>
      </c>
      <c r="AV446" s="31">
        <f>IF(ISNUMBER(AU446),SUMPRODUCT(ISNUMBER('Responses'!$AU$2:$AU$501)*('Responses'!$AU$2:$AU$501&lt;AU446)) + SUMPRODUCT(ISNUMBER('Paper sign-ups'!$Y$2:$Y$101)*('Paper sign-ups'!$Y$2:$Y$101&lt;AU446))+1,"")</f>
        <v/>
      </c>
    </row>
    <row r="447">
      <c r="AA447" s="29" t="n"/>
      <c r="AB447" s="30" t="n"/>
      <c r="AC447" s="30" t="n"/>
      <c r="AD447" s="29" t="n"/>
      <c r="AE447" s="31">
        <f>IFERROR(TRIM(INDEX($A447:$Z447,MATCH(Settings!$L$4,$A$1:$Z$1,0))&amp;""),"")</f>
        <v/>
      </c>
      <c r="AF447" s="31">
        <f>IFERROR(TRIM(INDEX($A447:$Z447,MATCH(Settings!$L$5,$A$1:$Z$1,0))&amp;""),"")</f>
        <v/>
      </c>
      <c r="AG447" s="31">
        <f>IF(AE447="","",LOWER(IF(AF447&lt;&gt;"",AF447,AE447)))</f>
        <v/>
      </c>
      <c r="AH447" s="31">
        <f>IFERROR(TRIM(INDEX($A447:$Z447,MATCH(Settings!$L$6,$A$1:$Z$1,0))&amp;""),"")</f>
        <v/>
      </c>
      <c r="AI447" s="31">
        <f>IF(AE447="","",IF(UPPER(TRIM(AB447&amp;""))="Y","Paid another way",IF(IFERROR(TRIM(INDEX($A447:$Z447,MATCH(Settings!$L$7,$A$1:$Z$1,0))&amp;""),"")="","No payment status",IFERROR(TRIM(INDEX($A447:$Z447,MATCH(Settings!$L$7,$A$1:$Z$1,0))&amp;""),""))))</f>
        <v/>
      </c>
      <c r="AJ447" s="31">
        <f>IF(AE447="",0,IF(IFERROR(INDEX(Settings!$J$4:$J$14,MATCH(AI447,Settings!$I$4:$I$14,0)),"N")="Y",1,0))</f>
        <v/>
      </c>
      <c r="AK447" s="32">
        <f>IFERROR(INT(IFERROR(IF(ISNUMBER(INDEX($A447:$Z447,MATCH(Settings!$L$10,$A$1:$Z$1,0))),INDEX($A447:$Z447,MATCH(Settings!$L$10,$A$1:$Z$1,0)),DATE(VALUE(LEFT(IFERROR(TRIM(INDEX($A447:$Z447,MATCH(Settings!$L$10,$A$1:$Z$1,0))&amp;""),""),4)),VALUE(MID(IFERROR(TRIM(INDEX($A447:$Z447,MATCH(Settings!$L$10,$A$1:$Z$1,0))&amp;""),""),6,2)),VALUE(MID(IFERROR(TRIM(INDEX($A447:$Z447,MATCH(Settings!$L$10,$A$1:$Z$1,0))&amp;""),""),9,2)))+TIME(VALUE(MID(IFERROR(TRIM(INDEX($A447:$Z447,MATCH(Settings!$L$10,$A$1:$Z$1,0))&amp;""),""),12,2)),VALUE(MID(IFERROR(TRIM(INDEX($A447:$Z447,MATCH(Settings!$L$10,$A$1:$Z$1,0))&amp;""),""),15,2)),VALUE(MID(IFERROR(TRIM(INDEX($A447:$Z447,MATCH(Settings!$L$10,$A$1:$Z$1,0))&amp;""),""),18,2)))),"")),"")</f>
        <v/>
      </c>
      <c r="AL447" s="32">
        <f>IF(AE447="","",IF(ISNUMBER(AK447),AK447,IFERROR(INT(IFERROR(IF(ISNUMBER(INDEX($A447:$Z447,MATCH(Settings!$L$11,$A$1:$Z$1,0))),INDEX($A447:$Z447,MATCH(Settings!$L$11,$A$1:$Z$1,0)),DATE(VALUE(LEFT(IFERROR(TRIM(INDEX($A447:$Z447,MATCH(Settings!$L$11,$A$1:$Z$1,0))&amp;""),""),4)),VALUE(MID(IFERROR(TRIM(INDEX($A447:$Z447,MATCH(Settings!$L$11,$A$1:$Z$1,0))&amp;""),""),6,2)),VALUE(MID(IFERROR(TRIM(INDEX($A447:$Z447,MATCH(Settings!$L$11,$A$1:$Z$1,0))&amp;""),""),9,2)))+TIME(VALUE(MID(IFERROR(TRIM(INDEX($A447:$Z447,MATCH(Settings!$L$11,$A$1:$Z$1,0))&amp;""),""),12,2)),VALUE(MID(IFERROR(TRIM(INDEX($A447:$Z447,MATCH(Settings!$L$11,$A$1:$Z$1,0))&amp;""),""),15,2)),VALUE(MID(IFERROR(TRIM(INDEX($A447:$Z447,MATCH(Settings!$L$11,$A$1:$Z$1,0))&amp;""),""),18,2)))),"")),"")))</f>
        <v/>
      </c>
      <c r="AM447" s="31">
        <f>IF(AE447="","",IF(ISNUMBER(IFERROR(INDEX(Settings!$G$4:$G$11,MATCH(AH447,Settings!$F$4:$F$11,0)),"")),INDEX(Settings!$G$4:$G$11,MATCH(AH447,Settings!$F$4:$F$11,0)),Settings!$D$5))</f>
        <v/>
      </c>
      <c r="AN447" s="32">
        <f>IF(OR(AE447="",NOT(ISNUMBER(AL447)),NOT(ISNUMBER(AM447))),"",IF(AM447&lt;=0,"",IF(ISNUMBER(Settings!$D$8),DATE(YEAR(AL447)+IF(DATE(YEAR(AL447),MONTH(Settings!$D$8),DAY(Settings!$D$8))&gt;AL447,0,1),MONTH(Settings!$D$8),DAY(Settings!$D$8)),MIN(DATE(YEAR(AL447),MONTH(AL447)+AM447,DAY(AL447)),DATE(YEAR(AL447),MONTH(AL447)+AM447+1,0)))))</f>
        <v/>
      </c>
      <c r="AO447" s="31">
        <f>IF(ISNUMBER(AN447),AN447-Settings!$D$4,"")</f>
        <v/>
      </c>
      <c r="AP447" s="31">
        <f>IF(ISNUMBER(AL447),AL447+0+ROW()/100000,"")</f>
        <v/>
      </c>
      <c r="AQ447" s="31">
        <f>IF(OR(AG447="",NOT(ISNUMBER(AP447))),0,IF(SUMPRODUCT(('Responses'!$AG$2:$AG$501=AG447)*('Responses'!$AJ$2:$AJ$501=1)*ISNUMBER('Responses'!$AP$2:$AP$501)*('Responses'!$AP$2:$AP$501&gt;AP447)) + SUMPRODUCT(('Paper sign-ups'!$K$2:$K$101=AG447)*('Paper sign-ups'!$N$2:$N$101=1)*ISNUMBER('Paper sign-ups'!$T$2:$T$101)*('Paper sign-ups'!$T$2:$T$101&gt;AP447))&gt;0,1,0))</f>
        <v/>
      </c>
      <c r="AR447" s="31">
        <f>IF(AE447="","",IF(AQ447=1,"Joined again",IF(AJ447=0,"Unpaid",IF(NOT(ISNUMBER(AL447)),"Add a join date",IF(AN447="","No reminder",IF(AO447&lt;0,"Lapsed",IF(AO447&lt;=Settings!$D$6,"Remind soon","Current")))))))</f>
        <v/>
      </c>
      <c r="AS447" s="33">
        <f>IF(AJ447=1,IFERROR(VALUE(IFERROR(TRIM(INDEX($A447:$Z447,MATCH(Settings!$L$8,$A$1:$Z$1,0))&amp;""),"")),0)-IFERROR(VALUE(IFERROR(TRIM(INDEX($A447:$Z447,MATCH(Settings!$L$9,$A$1:$Z$1,0))&amp;""),"")),0),0)</f>
        <v/>
      </c>
      <c r="AT447" s="31">
        <f>IF(AND(AE447&lt;&gt;"",AQ447=0),1,0)</f>
        <v/>
      </c>
      <c r="AU447" s="31">
        <f>IF(AT447=0,"",IF(ISNUMBER(AN447),AN447,100000)+0+ROW()/1000000)</f>
        <v/>
      </c>
      <c r="AV447" s="31">
        <f>IF(ISNUMBER(AU447),SUMPRODUCT(ISNUMBER('Responses'!$AU$2:$AU$501)*('Responses'!$AU$2:$AU$501&lt;AU447)) + SUMPRODUCT(ISNUMBER('Paper sign-ups'!$Y$2:$Y$101)*('Paper sign-ups'!$Y$2:$Y$101&lt;AU447))+1,"")</f>
        <v/>
      </c>
    </row>
    <row r="448">
      <c r="AA448" s="29" t="n"/>
      <c r="AB448" s="30" t="n"/>
      <c r="AC448" s="30" t="n"/>
      <c r="AD448" s="29" t="n"/>
      <c r="AE448" s="31">
        <f>IFERROR(TRIM(INDEX($A448:$Z448,MATCH(Settings!$L$4,$A$1:$Z$1,0))&amp;""),"")</f>
        <v/>
      </c>
      <c r="AF448" s="31">
        <f>IFERROR(TRIM(INDEX($A448:$Z448,MATCH(Settings!$L$5,$A$1:$Z$1,0))&amp;""),"")</f>
        <v/>
      </c>
      <c r="AG448" s="31">
        <f>IF(AE448="","",LOWER(IF(AF448&lt;&gt;"",AF448,AE448)))</f>
        <v/>
      </c>
      <c r="AH448" s="31">
        <f>IFERROR(TRIM(INDEX($A448:$Z448,MATCH(Settings!$L$6,$A$1:$Z$1,0))&amp;""),"")</f>
        <v/>
      </c>
      <c r="AI448" s="31">
        <f>IF(AE448="","",IF(UPPER(TRIM(AB448&amp;""))="Y","Paid another way",IF(IFERROR(TRIM(INDEX($A448:$Z448,MATCH(Settings!$L$7,$A$1:$Z$1,0))&amp;""),"")="","No payment status",IFERROR(TRIM(INDEX($A448:$Z448,MATCH(Settings!$L$7,$A$1:$Z$1,0))&amp;""),""))))</f>
        <v/>
      </c>
      <c r="AJ448" s="31">
        <f>IF(AE448="",0,IF(IFERROR(INDEX(Settings!$J$4:$J$14,MATCH(AI448,Settings!$I$4:$I$14,0)),"N")="Y",1,0))</f>
        <v/>
      </c>
      <c r="AK448" s="32">
        <f>IFERROR(INT(IFERROR(IF(ISNUMBER(INDEX($A448:$Z448,MATCH(Settings!$L$10,$A$1:$Z$1,0))),INDEX($A448:$Z448,MATCH(Settings!$L$10,$A$1:$Z$1,0)),DATE(VALUE(LEFT(IFERROR(TRIM(INDEX($A448:$Z448,MATCH(Settings!$L$10,$A$1:$Z$1,0))&amp;""),""),4)),VALUE(MID(IFERROR(TRIM(INDEX($A448:$Z448,MATCH(Settings!$L$10,$A$1:$Z$1,0))&amp;""),""),6,2)),VALUE(MID(IFERROR(TRIM(INDEX($A448:$Z448,MATCH(Settings!$L$10,$A$1:$Z$1,0))&amp;""),""),9,2)))+TIME(VALUE(MID(IFERROR(TRIM(INDEX($A448:$Z448,MATCH(Settings!$L$10,$A$1:$Z$1,0))&amp;""),""),12,2)),VALUE(MID(IFERROR(TRIM(INDEX($A448:$Z448,MATCH(Settings!$L$10,$A$1:$Z$1,0))&amp;""),""),15,2)),VALUE(MID(IFERROR(TRIM(INDEX($A448:$Z448,MATCH(Settings!$L$10,$A$1:$Z$1,0))&amp;""),""),18,2)))),"")),"")</f>
        <v/>
      </c>
      <c r="AL448" s="32">
        <f>IF(AE448="","",IF(ISNUMBER(AK448),AK448,IFERROR(INT(IFERROR(IF(ISNUMBER(INDEX($A448:$Z448,MATCH(Settings!$L$11,$A$1:$Z$1,0))),INDEX($A448:$Z448,MATCH(Settings!$L$11,$A$1:$Z$1,0)),DATE(VALUE(LEFT(IFERROR(TRIM(INDEX($A448:$Z448,MATCH(Settings!$L$11,$A$1:$Z$1,0))&amp;""),""),4)),VALUE(MID(IFERROR(TRIM(INDEX($A448:$Z448,MATCH(Settings!$L$11,$A$1:$Z$1,0))&amp;""),""),6,2)),VALUE(MID(IFERROR(TRIM(INDEX($A448:$Z448,MATCH(Settings!$L$11,$A$1:$Z$1,0))&amp;""),""),9,2)))+TIME(VALUE(MID(IFERROR(TRIM(INDEX($A448:$Z448,MATCH(Settings!$L$11,$A$1:$Z$1,0))&amp;""),""),12,2)),VALUE(MID(IFERROR(TRIM(INDEX($A448:$Z448,MATCH(Settings!$L$11,$A$1:$Z$1,0))&amp;""),""),15,2)),VALUE(MID(IFERROR(TRIM(INDEX($A448:$Z448,MATCH(Settings!$L$11,$A$1:$Z$1,0))&amp;""),""),18,2)))),"")),"")))</f>
        <v/>
      </c>
      <c r="AM448" s="31">
        <f>IF(AE448="","",IF(ISNUMBER(IFERROR(INDEX(Settings!$G$4:$G$11,MATCH(AH448,Settings!$F$4:$F$11,0)),"")),INDEX(Settings!$G$4:$G$11,MATCH(AH448,Settings!$F$4:$F$11,0)),Settings!$D$5))</f>
        <v/>
      </c>
      <c r="AN448" s="32">
        <f>IF(OR(AE448="",NOT(ISNUMBER(AL448)),NOT(ISNUMBER(AM448))),"",IF(AM448&lt;=0,"",IF(ISNUMBER(Settings!$D$8),DATE(YEAR(AL448)+IF(DATE(YEAR(AL448),MONTH(Settings!$D$8),DAY(Settings!$D$8))&gt;AL448,0,1),MONTH(Settings!$D$8),DAY(Settings!$D$8)),MIN(DATE(YEAR(AL448),MONTH(AL448)+AM448,DAY(AL448)),DATE(YEAR(AL448),MONTH(AL448)+AM448+1,0)))))</f>
        <v/>
      </c>
      <c r="AO448" s="31">
        <f>IF(ISNUMBER(AN448),AN448-Settings!$D$4,"")</f>
        <v/>
      </c>
      <c r="AP448" s="31">
        <f>IF(ISNUMBER(AL448),AL448+0+ROW()/100000,"")</f>
        <v/>
      </c>
      <c r="AQ448" s="31">
        <f>IF(OR(AG448="",NOT(ISNUMBER(AP448))),0,IF(SUMPRODUCT(('Responses'!$AG$2:$AG$501=AG448)*('Responses'!$AJ$2:$AJ$501=1)*ISNUMBER('Responses'!$AP$2:$AP$501)*('Responses'!$AP$2:$AP$501&gt;AP448)) + SUMPRODUCT(('Paper sign-ups'!$K$2:$K$101=AG448)*('Paper sign-ups'!$N$2:$N$101=1)*ISNUMBER('Paper sign-ups'!$T$2:$T$101)*('Paper sign-ups'!$T$2:$T$101&gt;AP448))&gt;0,1,0))</f>
        <v/>
      </c>
      <c r="AR448" s="31">
        <f>IF(AE448="","",IF(AQ448=1,"Joined again",IF(AJ448=0,"Unpaid",IF(NOT(ISNUMBER(AL448)),"Add a join date",IF(AN448="","No reminder",IF(AO448&lt;0,"Lapsed",IF(AO448&lt;=Settings!$D$6,"Remind soon","Current")))))))</f>
        <v/>
      </c>
      <c r="AS448" s="33">
        <f>IF(AJ448=1,IFERROR(VALUE(IFERROR(TRIM(INDEX($A448:$Z448,MATCH(Settings!$L$8,$A$1:$Z$1,0))&amp;""),"")),0)-IFERROR(VALUE(IFERROR(TRIM(INDEX($A448:$Z448,MATCH(Settings!$L$9,$A$1:$Z$1,0))&amp;""),"")),0),0)</f>
        <v/>
      </c>
      <c r="AT448" s="31">
        <f>IF(AND(AE448&lt;&gt;"",AQ448=0),1,0)</f>
        <v/>
      </c>
      <c r="AU448" s="31">
        <f>IF(AT448=0,"",IF(ISNUMBER(AN448),AN448,100000)+0+ROW()/1000000)</f>
        <v/>
      </c>
      <c r="AV448" s="31">
        <f>IF(ISNUMBER(AU448),SUMPRODUCT(ISNUMBER('Responses'!$AU$2:$AU$501)*('Responses'!$AU$2:$AU$501&lt;AU448)) + SUMPRODUCT(ISNUMBER('Paper sign-ups'!$Y$2:$Y$101)*('Paper sign-ups'!$Y$2:$Y$101&lt;AU448))+1,"")</f>
        <v/>
      </c>
    </row>
    <row r="449">
      <c r="AA449" s="29" t="n"/>
      <c r="AB449" s="30" t="n"/>
      <c r="AC449" s="30" t="n"/>
      <c r="AD449" s="29" t="n"/>
      <c r="AE449" s="31">
        <f>IFERROR(TRIM(INDEX($A449:$Z449,MATCH(Settings!$L$4,$A$1:$Z$1,0))&amp;""),"")</f>
        <v/>
      </c>
      <c r="AF449" s="31">
        <f>IFERROR(TRIM(INDEX($A449:$Z449,MATCH(Settings!$L$5,$A$1:$Z$1,0))&amp;""),"")</f>
        <v/>
      </c>
      <c r="AG449" s="31">
        <f>IF(AE449="","",LOWER(IF(AF449&lt;&gt;"",AF449,AE449)))</f>
        <v/>
      </c>
      <c r="AH449" s="31">
        <f>IFERROR(TRIM(INDEX($A449:$Z449,MATCH(Settings!$L$6,$A$1:$Z$1,0))&amp;""),"")</f>
        <v/>
      </c>
      <c r="AI449" s="31">
        <f>IF(AE449="","",IF(UPPER(TRIM(AB449&amp;""))="Y","Paid another way",IF(IFERROR(TRIM(INDEX($A449:$Z449,MATCH(Settings!$L$7,$A$1:$Z$1,0))&amp;""),"")="","No payment status",IFERROR(TRIM(INDEX($A449:$Z449,MATCH(Settings!$L$7,$A$1:$Z$1,0))&amp;""),""))))</f>
        <v/>
      </c>
      <c r="AJ449" s="31">
        <f>IF(AE449="",0,IF(IFERROR(INDEX(Settings!$J$4:$J$14,MATCH(AI449,Settings!$I$4:$I$14,0)),"N")="Y",1,0))</f>
        <v/>
      </c>
      <c r="AK449" s="32">
        <f>IFERROR(INT(IFERROR(IF(ISNUMBER(INDEX($A449:$Z449,MATCH(Settings!$L$10,$A$1:$Z$1,0))),INDEX($A449:$Z449,MATCH(Settings!$L$10,$A$1:$Z$1,0)),DATE(VALUE(LEFT(IFERROR(TRIM(INDEX($A449:$Z449,MATCH(Settings!$L$10,$A$1:$Z$1,0))&amp;""),""),4)),VALUE(MID(IFERROR(TRIM(INDEX($A449:$Z449,MATCH(Settings!$L$10,$A$1:$Z$1,0))&amp;""),""),6,2)),VALUE(MID(IFERROR(TRIM(INDEX($A449:$Z449,MATCH(Settings!$L$10,$A$1:$Z$1,0))&amp;""),""),9,2)))+TIME(VALUE(MID(IFERROR(TRIM(INDEX($A449:$Z449,MATCH(Settings!$L$10,$A$1:$Z$1,0))&amp;""),""),12,2)),VALUE(MID(IFERROR(TRIM(INDEX($A449:$Z449,MATCH(Settings!$L$10,$A$1:$Z$1,0))&amp;""),""),15,2)),VALUE(MID(IFERROR(TRIM(INDEX($A449:$Z449,MATCH(Settings!$L$10,$A$1:$Z$1,0))&amp;""),""),18,2)))),"")),"")</f>
        <v/>
      </c>
      <c r="AL449" s="32">
        <f>IF(AE449="","",IF(ISNUMBER(AK449),AK449,IFERROR(INT(IFERROR(IF(ISNUMBER(INDEX($A449:$Z449,MATCH(Settings!$L$11,$A$1:$Z$1,0))),INDEX($A449:$Z449,MATCH(Settings!$L$11,$A$1:$Z$1,0)),DATE(VALUE(LEFT(IFERROR(TRIM(INDEX($A449:$Z449,MATCH(Settings!$L$11,$A$1:$Z$1,0))&amp;""),""),4)),VALUE(MID(IFERROR(TRIM(INDEX($A449:$Z449,MATCH(Settings!$L$11,$A$1:$Z$1,0))&amp;""),""),6,2)),VALUE(MID(IFERROR(TRIM(INDEX($A449:$Z449,MATCH(Settings!$L$11,$A$1:$Z$1,0))&amp;""),""),9,2)))+TIME(VALUE(MID(IFERROR(TRIM(INDEX($A449:$Z449,MATCH(Settings!$L$11,$A$1:$Z$1,0))&amp;""),""),12,2)),VALUE(MID(IFERROR(TRIM(INDEX($A449:$Z449,MATCH(Settings!$L$11,$A$1:$Z$1,0))&amp;""),""),15,2)),VALUE(MID(IFERROR(TRIM(INDEX($A449:$Z449,MATCH(Settings!$L$11,$A$1:$Z$1,0))&amp;""),""),18,2)))),"")),"")))</f>
        <v/>
      </c>
      <c r="AM449" s="31">
        <f>IF(AE449="","",IF(ISNUMBER(IFERROR(INDEX(Settings!$G$4:$G$11,MATCH(AH449,Settings!$F$4:$F$11,0)),"")),INDEX(Settings!$G$4:$G$11,MATCH(AH449,Settings!$F$4:$F$11,0)),Settings!$D$5))</f>
        <v/>
      </c>
      <c r="AN449" s="32">
        <f>IF(OR(AE449="",NOT(ISNUMBER(AL449)),NOT(ISNUMBER(AM449))),"",IF(AM449&lt;=0,"",IF(ISNUMBER(Settings!$D$8),DATE(YEAR(AL449)+IF(DATE(YEAR(AL449),MONTH(Settings!$D$8),DAY(Settings!$D$8))&gt;AL449,0,1),MONTH(Settings!$D$8),DAY(Settings!$D$8)),MIN(DATE(YEAR(AL449),MONTH(AL449)+AM449,DAY(AL449)),DATE(YEAR(AL449),MONTH(AL449)+AM449+1,0)))))</f>
        <v/>
      </c>
      <c r="AO449" s="31">
        <f>IF(ISNUMBER(AN449),AN449-Settings!$D$4,"")</f>
        <v/>
      </c>
      <c r="AP449" s="31">
        <f>IF(ISNUMBER(AL449),AL449+0+ROW()/100000,"")</f>
        <v/>
      </c>
      <c r="AQ449" s="31">
        <f>IF(OR(AG449="",NOT(ISNUMBER(AP449))),0,IF(SUMPRODUCT(('Responses'!$AG$2:$AG$501=AG449)*('Responses'!$AJ$2:$AJ$501=1)*ISNUMBER('Responses'!$AP$2:$AP$501)*('Responses'!$AP$2:$AP$501&gt;AP449)) + SUMPRODUCT(('Paper sign-ups'!$K$2:$K$101=AG449)*('Paper sign-ups'!$N$2:$N$101=1)*ISNUMBER('Paper sign-ups'!$T$2:$T$101)*('Paper sign-ups'!$T$2:$T$101&gt;AP449))&gt;0,1,0))</f>
        <v/>
      </c>
      <c r="AR449" s="31">
        <f>IF(AE449="","",IF(AQ449=1,"Joined again",IF(AJ449=0,"Unpaid",IF(NOT(ISNUMBER(AL449)),"Add a join date",IF(AN449="","No reminder",IF(AO449&lt;0,"Lapsed",IF(AO449&lt;=Settings!$D$6,"Remind soon","Current")))))))</f>
        <v/>
      </c>
      <c r="AS449" s="33">
        <f>IF(AJ449=1,IFERROR(VALUE(IFERROR(TRIM(INDEX($A449:$Z449,MATCH(Settings!$L$8,$A$1:$Z$1,0))&amp;""),"")),0)-IFERROR(VALUE(IFERROR(TRIM(INDEX($A449:$Z449,MATCH(Settings!$L$9,$A$1:$Z$1,0))&amp;""),"")),0),0)</f>
        <v/>
      </c>
      <c r="AT449" s="31">
        <f>IF(AND(AE449&lt;&gt;"",AQ449=0),1,0)</f>
        <v/>
      </c>
      <c r="AU449" s="31">
        <f>IF(AT449=0,"",IF(ISNUMBER(AN449),AN449,100000)+0+ROW()/1000000)</f>
        <v/>
      </c>
      <c r="AV449" s="31">
        <f>IF(ISNUMBER(AU449),SUMPRODUCT(ISNUMBER('Responses'!$AU$2:$AU$501)*('Responses'!$AU$2:$AU$501&lt;AU449)) + SUMPRODUCT(ISNUMBER('Paper sign-ups'!$Y$2:$Y$101)*('Paper sign-ups'!$Y$2:$Y$101&lt;AU449))+1,"")</f>
        <v/>
      </c>
    </row>
    <row r="450">
      <c r="AA450" s="29" t="n"/>
      <c r="AB450" s="30" t="n"/>
      <c r="AC450" s="30" t="n"/>
      <c r="AD450" s="29" t="n"/>
      <c r="AE450" s="31">
        <f>IFERROR(TRIM(INDEX($A450:$Z450,MATCH(Settings!$L$4,$A$1:$Z$1,0))&amp;""),"")</f>
        <v/>
      </c>
      <c r="AF450" s="31">
        <f>IFERROR(TRIM(INDEX($A450:$Z450,MATCH(Settings!$L$5,$A$1:$Z$1,0))&amp;""),"")</f>
        <v/>
      </c>
      <c r="AG450" s="31">
        <f>IF(AE450="","",LOWER(IF(AF450&lt;&gt;"",AF450,AE450)))</f>
        <v/>
      </c>
      <c r="AH450" s="31">
        <f>IFERROR(TRIM(INDEX($A450:$Z450,MATCH(Settings!$L$6,$A$1:$Z$1,0))&amp;""),"")</f>
        <v/>
      </c>
      <c r="AI450" s="31">
        <f>IF(AE450="","",IF(UPPER(TRIM(AB450&amp;""))="Y","Paid another way",IF(IFERROR(TRIM(INDEX($A450:$Z450,MATCH(Settings!$L$7,$A$1:$Z$1,0))&amp;""),"")="","No payment status",IFERROR(TRIM(INDEX($A450:$Z450,MATCH(Settings!$L$7,$A$1:$Z$1,0))&amp;""),""))))</f>
        <v/>
      </c>
      <c r="AJ450" s="31">
        <f>IF(AE450="",0,IF(IFERROR(INDEX(Settings!$J$4:$J$14,MATCH(AI450,Settings!$I$4:$I$14,0)),"N")="Y",1,0))</f>
        <v/>
      </c>
      <c r="AK450" s="32">
        <f>IFERROR(INT(IFERROR(IF(ISNUMBER(INDEX($A450:$Z450,MATCH(Settings!$L$10,$A$1:$Z$1,0))),INDEX($A450:$Z450,MATCH(Settings!$L$10,$A$1:$Z$1,0)),DATE(VALUE(LEFT(IFERROR(TRIM(INDEX($A450:$Z450,MATCH(Settings!$L$10,$A$1:$Z$1,0))&amp;""),""),4)),VALUE(MID(IFERROR(TRIM(INDEX($A450:$Z450,MATCH(Settings!$L$10,$A$1:$Z$1,0))&amp;""),""),6,2)),VALUE(MID(IFERROR(TRIM(INDEX($A450:$Z450,MATCH(Settings!$L$10,$A$1:$Z$1,0))&amp;""),""),9,2)))+TIME(VALUE(MID(IFERROR(TRIM(INDEX($A450:$Z450,MATCH(Settings!$L$10,$A$1:$Z$1,0))&amp;""),""),12,2)),VALUE(MID(IFERROR(TRIM(INDEX($A450:$Z450,MATCH(Settings!$L$10,$A$1:$Z$1,0))&amp;""),""),15,2)),VALUE(MID(IFERROR(TRIM(INDEX($A450:$Z450,MATCH(Settings!$L$10,$A$1:$Z$1,0))&amp;""),""),18,2)))),"")),"")</f>
        <v/>
      </c>
      <c r="AL450" s="32">
        <f>IF(AE450="","",IF(ISNUMBER(AK450),AK450,IFERROR(INT(IFERROR(IF(ISNUMBER(INDEX($A450:$Z450,MATCH(Settings!$L$11,$A$1:$Z$1,0))),INDEX($A450:$Z450,MATCH(Settings!$L$11,$A$1:$Z$1,0)),DATE(VALUE(LEFT(IFERROR(TRIM(INDEX($A450:$Z450,MATCH(Settings!$L$11,$A$1:$Z$1,0))&amp;""),""),4)),VALUE(MID(IFERROR(TRIM(INDEX($A450:$Z450,MATCH(Settings!$L$11,$A$1:$Z$1,0))&amp;""),""),6,2)),VALUE(MID(IFERROR(TRIM(INDEX($A450:$Z450,MATCH(Settings!$L$11,$A$1:$Z$1,0))&amp;""),""),9,2)))+TIME(VALUE(MID(IFERROR(TRIM(INDEX($A450:$Z450,MATCH(Settings!$L$11,$A$1:$Z$1,0))&amp;""),""),12,2)),VALUE(MID(IFERROR(TRIM(INDEX($A450:$Z450,MATCH(Settings!$L$11,$A$1:$Z$1,0))&amp;""),""),15,2)),VALUE(MID(IFERROR(TRIM(INDEX($A450:$Z450,MATCH(Settings!$L$11,$A$1:$Z$1,0))&amp;""),""),18,2)))),"")),"")))</f>
        <v/>
      </c>
      <c r="AM450" s="31">
        <f>IF(AE450="","",IF(ISNUMBER(IFERROR(INDEX(Settings!$G$4:$G$11,MATCH(AH450,Settings!$F$4:$F$11,0)),"")),INDEX(Settings!$G$4:$G$11,MATCH(AH450,Settings!$F$4:$F$11,0)),Settings!$D$5))</f>
        <v/>
      </c>
      <c r="AN450" s="32">
        <f>IF(OR(AE450="",NOT(ISNUMBER(AL450)),NOT(ISNUMBER(AM450))),"",IF(AM450&lt;=0,"",IF(ISNUMBER(Settings!$D$8),DATE(YEAR(AL450)+IF(DATE(YEAR(AL450),MONTH(Settings!$D$8),DAY(Settings!$D$8))&gt;AL450,0,1),MONTH(Settings!$D$8),DAY(Settings!$D$8)),MIN(DATE(YEAR(AL450),MONTH(AL450)+AM450,DAY(AL450)),DATE(YEAR(AL450),MONTH(AL450)+AM450+1,0)))))</f>
        <v/>
      </c>
      <c r="AO450" s="31">
        <f>IF(ISNUMBER(AN450),AN450-Settings!$D$4,"")</f>
        <v/>
      </c>
      <c r="AP450" s="31">
        <f>IF(ISNUMBER(AL450),AL450+0+ROW()/100000,"")</f>
        <v/>
      </c>
      <c r="AQ450" s="31">
        <f>IF(OR(AG450="",NOT(ISNUMBER(AP450))),0,IF(SUMPRODUCT(('Responses'!$AG$2:$AG$501=AG450)*('Responses'!$AJ$2:$AJ$501=1)*ISNUMBER('Responses'!$AP$2:$AP$501)*('Responses'!$AP$2:$AP$501&gt;AP450)) + SUMPRODUCT(('Paper sign-ups'!$K$2:$K$101=AG450)*('Paper sign-ups'!$N$2:$N$101=1)*ISNUMBER('Paper sign-ups'!$T$2:$T$101)*('Paper sign-ups'!$T$2:$T$101&gt;AP450))&gt;0,1,0))</f>
        <v/>
      </c>
      <c r="AR450" s="31">
        <f>IF(AE450="","",IF(AQ450=1,"Joined again",IF(AJ450=0,"Unpaid",IF(NOT(ISNUMBER(AL450)),"Add a join date",IF(AN450="","No reminder",IF(AO450&lt;0,"Lapsed",IF(AO450&lt;=Settings!$D$6,"Remind soon","Current")))))))</f>
        <v/>
      </c>
      <c r="AS450" s="33">
        <f>IF(AJ450=1,IFERROR(VALUE(IFERROR(TRIM(INDEX($A450:$Z450,MATCH(Settings!$L$8,$A$1:$Z$1,0))&amp;""),"")),0)-IFERROR(VALUE(IFERROR(TRIM(INDEX($A450:$Z450,MATCH(Settings!$L$9,$A$1:$Z$1,0))&amp;""),"")),0),0)</f>
        <v/>
      </c>
      <c r="AT450" s="31">
        <f>IF(AND(AE450&lt;&gt;"",AQ450=0),1,0)</f>
        <v/>
      </c>
      <c r="AU450" s="31">
        <f>IF(AT450=0,"",IF(ISNUMBER(AN450),AN450,100000)+0+ROW()/1000000)</f>
        <v/>
      </c>
      <c r="AV450" s="31">
        <f>IF(ISNUMBER(AU450),SUMPRODUCT(ISNUMBER('Responses'!$AU$2:$AU$501)*('Responses'!$AU$2:$AU$501&lt;AU450)) + SUMPRODUCT(ISNUMBER('Paper sign-ups'!$Y$2:$Y$101)*('Paper sign-ups'!$Y$2:$Y$101&lt;AU450))+1,"")</f>
        <v/>
      </c>
    </row>
    <row r="451">
      <c r="AA451" s="29" t="n"/>
      <c r="AB451" s="30" t="n"/>
      <c r="AC451" s="30" t="n"/>
      <c r="AD451" s="29" t="n"/>
      <c r="AE451" s="31">
        <f>IFERROR(TRIM(INDEX($A451:$Z451,MATCH(Settings!$L$4,$A$1:$Z$1,0))&amp;""),"")</f>
        <v/>
      </c>
      <c r="AF451" s="31">
        <f>IFERROR(TRIM(INDEX($A451:$Z451,MATCH(Settings!$L$5,$A$1:$Z$1,0))&amp;""),"")</f>
        <v/>
      </c>
      <c r="AG451" s="31">
        <f>IF(AE451="","",LOWER(IF(AF451&lt;&gt;"",AF451,AE451)))</f>
        <v/>
      </c>
      <c r="AH451" s="31">
        <f>IFERROR(TRIM(INDEX($A451:$Z451,MATCH(Settings!$L$6,$A$1:$Z$1,0))&amp;""),"")</f>
        <v/>
      </c>
      <c r="AI451" s="31">
        <f>IF(AE451="","",IF(UPPER(TRIM(AB451&amp;""))="Y","Paid another way",IF(IFERROR(TRIM(INDEX($A451:$Z451,MATCH(Settings!$L$7,$A$1:$Z$1,0))&amp;""),"")="","No payment status",IFERROR(TRIM(INDEX($A451:$Z451,MATCH(Settings!$L$7,$A$1:$Z$1,0))&amp;""),""))))</f>
        <v/>
      </c>
      <c r="AJ451" s="31">
        <f>IF(AE451="",0,IF(IFERROR(INDEX(Settings!$J$4:$J$14,MATCH(AI451,Settings!$I$4:$I$14,0)),"N")="Y",1,0))</f>
        <v/>
      </c>
      <c r="AK451" s="32">
        <f>IFERROR(INT(IFERROR(IF(ISNUMBER(INDEX($A451:$Z451,MATCH(Settings!$L$10,$A$1:$Z$1,0))),INDEX($A451:$Z451,MATCH(Settings!$L$10,$A$1:$Z$1,0)),DATE(VALUE(LEFT(IFERROR(TRIM(INDEX($A451:$Z451,MATCH(Settings!$L$10,$A$1:$Z$1,0))&amp;""),""),4)),VALUE(MID(IFERROR(TRIM(INDEX($A451:$Z451,MATCH(Settings!$L$10,$A$1:$Z$1,0))&amp;""),""),6,2)),VALUE(MID(IFERROR(TRIM(INDEX($A451:$Z451,MATCH(Settings!$L$10,$A$1:$Z$1,0))&amp;""),""),9,2)))+TIME(VALUE(MID(IFERROR(TRIM(INDEX($A451:$Z451,MATCH(Settings!$L$10,$A$1:$Z$1,0))&amp;""),""),12,2)),VALUE(MID(IFERROR(TRIM(INDEX($A451:$Z451,MATCH(Settings!$L$10,$A$1:$Z$1,0))&amp;""),""),15,2)),VALUE(MID(IFERROR(TRIM(INDEX($A451:$Z451,MATCH(Settings!$L$10,$A$1:$Z$1,0))&amp;""),""),18,2)))),"")),"")</f>
        <v/>
      </c>
      <c r="AL451" s="32">
        <f>IF(AE451="","",IF(ISNUMBER(AK451),AK451,IFERROR(INT(IFERROR(IF(ISNUMBER(INDEX($A451:$Z451,MATCH(Settings!$L$11,$A$1:$Z$1,0))),INDEX($A451:$Z451,MATCH(Settings!$L$11,$A$1:$Z$1,0)),DATE(VALUE(LEFT(IFERROR(TRIM(INDEX($A451:$Z451,MATCH(Settings!$L$11,$A$1:$Z$1,0))&amp;""),""),4)),VALUE(MID(IFERROR(TRIM(INDEX($A451:$Z451,MATCH(Settings!$L$11,$A$1:$Z$1,0))&amp;""),""),6,2)),VALUE(MID(IFERROR(TRIM(INDEX($A451:$Z451,MATCH(Settings!$L$11,$A$1:$Z$1,0))&amp;""),""),9,2)))+TIME(VALUE(MID(IFERROR(TRIM(INDEX($A451:$Z451,MATCH(Settings!$L$11,$A$1:$Z$1,0))&amp;""),""),12,2)),VALUE(MID(IFERROR(TRIM(INDEX($A451:$Z451,MATCH(Settings!$L$11,$A$1:$Z$1,0))&amp;""),""),15,2)),VALUE(MID(IFERROR(TRIM(INDEX($A451:$Z451,MATCH(Settings!$L$11,$A$1:$Z$1,0))&amp;""),""),18,2)))),"")),"")))</f>
        <v/>
      </c>
      <c r="AM451" s="31">
        <f>IF(AE451="","",IF(ISNUMBER(IFERROR(INDEX(Settings!$G$4:$G$11,MATCH(AH451,Settings!$F$4:$F$11,0)),"")),INDEX(Settings!$G$4:$G$11,MATCH(AH451,Settings!$F$4:$F$11,0)),Settings!$D$5))</f>
        <v/>
      </c>
      <c r="AN451" s="32">
        <f>IF(OR(AE451="",NOT(ISNUMBER(AL451)),NOT(ISNUMBER(AM451))),"",IF(AM451&lt;=0,"",IF(ISNUMBER(Settings!$D$8),DATE(YEAR(AL451)+IF(DATE(YEAR(AL451),MONTH(Settings!$D$8),DAY(Settings!$D$8))&gt;AL451,0,1),MONTH(Settings!$D$8),DAY(Settings!$D$8)),MIN(DATE(YEAR(AL451),MONTH(AL451)+AM451,DAY(AL451)),DATE(YEAR(AL451),MONTH(AL451)+AM451+1,0)))))</f>
        <v/>
      </c>
      <c r="AO451" s="31">
        <f>IF(ISNUMBER(AN451),AN451-Settings!$D$4,"")</f>
        <v/>
      </c>
      <c r="AP451" s="31">
        <f>IF(ISNUMBER(AL451),AL451+0+ROW()/100000,"")</f>
        <v/>
      </c>
      <c r="AQ451" s="31">
        <f>IF(OR(AG451="",NOT(ISNUMBER(AP451))),0,IF(SUMPRODUCT(('Responses'!$AG$2:$AG$501=AG451)*('Responses'!$AJ$2:$AJ$501=1)*ISNUMBER('Responses'!$AP$2:$AP$501)*('Responses'!$AP$2:$AP$501&gt;AP451)) + SUMPRODUCT(('Paper sign-ups'!$K$2:$K$101=AG451)*('Paper sign-ups'!$N$2:$N$101=1)*ISNUMBER('Paper sign-ups'!$T$2:$T$101)*('Paper sign-ups'!$T$2:$T$101&gt;AP451))&gt;0,1,0))</f>
        <v/>
      </c>
      <c r="AR451" s="31">
        <f>IF(AE451="","",IF(AQ451=1,"Joined again",IF(AJ451=0,"Unpaid",IF(NOT(ISNUMBER(AL451)),"Add a join date",IF(AN451="","No reminder",IF(AO451&lt;0,"Lapsed",IF(AO451&lt;=Settings!$D$6,"Remind soon","Current")))))))</f>
        <v/>
      </c>
      <c r="AS451" s="33">
        <f>IF(AJ451=1,IFERROR(VALUE(IFERROR(TRIM(INDEX($A451:$Z451,MATCH(Settings!$L$8,$A$1:$Z$1,0))&amp;""),"")),0)-IFERROR(VALUE(IFERROR(TRIM(INDEX($A451:$Z451,MATCH(Settings!$L$9,$A$1:$Z$1,0))&amp;""),"")),0),0)</f>
        <v/>
      </c>
      <c r="AT451" s="31">
        <f>IF(AND(AE451&lt;&gt;"",AQ451=0),1,0)</f>
        <v/>
      </c>
      <c r="AU451" s="31">
        <f>IF(AT451=0,"",IF(ISNUMBER(AN451),AN451,100000)+0+ROW()/1000000)</f>
        <v/>
      </c>
      <c r="AV451" s="31">
        <f>IF(ISNUMBER(AU451),SUMPRODUCT(ISNUMBER('Responses'!$AU$2:$AU$501)*('Responses'!$AU$2:$AU$501&lt;AU451)) + SUMPRODUCT(ISNUMBER('Paper sign-ups'!$Y$2:$Y$101)*('Paper sign-ups'!$Y$2:$Y$101&lt;AU451))+1,"")</f>
        <v/>
      </c>
    </row>
    <row r="452">
      <c r="AA452" s="29" t="n"/>
      <c r="AB452" s="30" t="n"/>
      <c r="AC452" s="30" t="n"/>
      <c r="AD452" s="29" t="n"/>
      <c r="AE452" s="31">
        <f>IFERROR(TRIM(INDEX($A452:$Z452,MATCH(Settings!$L$4,$A$1:$Z$1,0))&amp;""),"")</f>
        <v/>
      </c>
      <c r="AF452" s="31">
        <f>IFERROR(TRIM(INDEX($A452:$Z452,MATCH(Settings!$L$5,$A$1:$Z$1,0))&amp;""),"")</f>
        <v/>
      </c>
      <c r="AG452" s="31">
        <f>IF(AE452="","",LOWER(IF(AF452&lt;&gt;"",AF452,AE452)))</f>
        <v/>
      </c>
      <c r="AH452" s="31">
        <f>IFERROR(TRIM(INDEX($A452:$Z452,MATCH(Settings!$L$6,$A$1:$Z$1,0))&amp;""),"")</f>
        <v/>
      </c>
      <c r="AI452" s="31">
        <f>IF(AE452="","",IF(UPPER(TRIM(AB452&amp;""))="Y","Paid another way",IF(IFERROR(TRIM(INDEX($A452:$Z452,MATCH(Settings!$L$7,$A$1:$Z$1,0))&amp;""),"")="","No payment status",IFERROR(TRIM(INDEX($A452:$Z452,MATCH(Settings!$L$7,$A$1:$Z$1,0))&amp;""),""))))</f>
        <v/>
      </c>
      <c r="AJ452" s="31">
        <f>IF(AE452="",0,IF(IFERROR(INDEX(Settings!$J$4:$J$14,MATCH(AI452,Settings!$I$4:$I$14,0)),"N")="Y",1,0))</f>
        <v/>
      </c>
      <c r="AK452" s="32">
        <f>IFERROR(INT(IFERROR(IF(ISNUMBER(INDEX($A452:$Z452,MATCH(Settings!$L$10,$A$1:$Z$1,0))),INDEX($A452:$Z452,MATCH(Settings!$L$10,$A$1:$Z$1,0)),DATE(VALUE(LEFT(IFERROR(TRIM(INDEX($A452:$Z452,MATCH(Settings!$L$10,$A$1:$Z$1,0))&amp;""),""),4)),VALUE(MID(IFERROR(TRIM(INDEX($A452:$Z452,MATCH(Settings!$L$10,$A$1:$Z$1,0))&amp;""),""),6,2)),VALUE(MID(IFERROR(TRIM(INDEX($A452:$Z452,MATCH(Settings!$L$10,$A$1:$Z$1,0))&amp;""),""),9,2)))+TIME(VALUE(MID(IFERROR(TRIM(INDEX($A452:$Z452,MATCH(Settings!$L$10,$A$1:$Z$1,0))&amp;""),""),12,2)),VALUE(MID(IFERROR(TRIM(INDEX($A452:$Z452,MATCH(Settings!$L$10,$A$1:$Z$1,0))&amp;""),""),15,2)),VALUE(MID(IFERROR(TRIM(INDEX($A452:$Z452,MATCH(Settings!$L$10,$A$1:$Z$1,0))&amp;""),""),18,2)))),"")),"")</f>
        <v/>
      </c>
      <c r="AL452" s="32">
        <f>IF(AE452="","",IF(ISNUMBER(AK452),AK452,IFERROR(INT(IFERROR(IF(ISNUMBER(INDEX($A452:$Z452,MATCH(Settings!$L$11,$A$1:$Z$1,0))),INDEX($A452:$Z452,MATCH(Settings!$L$11,$A$1:$Z$1,0)),DATE(VALUE(LEFT(IFERROR(TRIM(INDEX($A452:$Z452,MATCH(Settings!$L$11,$A$1:$Z$1,0))&amp;""),""),4)),VALUE(MID(IFERROR(TRIM(INDEX($A452:$Z452,MATCH(Settings!$L$11,$A$1:$Z$1,0))&amp;""),""),6,2)),VALUE(MID(IFERROR(TRIM(INDEX($A452:$Z452,MATCH(Settings!$L$11,$A$1:$Z$1,0))&amp;""),""),9,2)))+TIME(VALUE(MID(IFERROR(TRIM(INDEX($A452:$Z452,MATCH(Settings!$L$11,$A$1:$Z$1,0))&amp;""),""),12,2)),VALUE(MID(IFERROR(TRIM(INDEX($A452:$Z452,MATCH(Settings!$L$11,$A$1:$Z$1,0))&amp;""),""),15,2)),VALUE(MID(IFERROR(TRIM(INDEX($A452:$Z452,MATCH(Settings!$L$11,$A$1:$Z$1,0))&amp;""),""),18,2)))),"")),"")))</f>
        <v/>
      </c>
      <c r="AM452" s="31">
        <f>IF(AE452="","",IF(ISNUMBER(IFERROR(INDEX(Settings!$G$4:$G$11,MATCH(AH452,Settings!$F$4:$F$11,0)),"")),INDEX(Settings!$G$4:$G$11,MATCH(AH452,Settings!$F$4:$F$11,0)),Settings!$D$5))</f>
        <v/>
      </c>
      <c r="AN452" s="32">
        <f>IF(OR(AE452="",NOT(ISNUMBER(AL452)),NOT(ISNUMBER(AM452))),"",IF(AM452&lt;=0,"",IF(ISNUMBER(Settings!$D$8),DATE(YEAR(AL452)+IF(DATE(YEAR(AL452),MONTH(Settings!$D$8),DAY(Settings!$D$8))&gt;AL452,0,1),MONTH(Settings!$D$8),DAY(Settings!$D$8)),MIN(DATE(YEAR(AL452),MONTH(AL452)+AM452,DAY(AL452)),DATE(YEAR(AL452),MONTH(AL452)+AM452+1,0)))))</f>
        <v/>
      </c>
      <c r="AO452" s="31">
        <f>IF(ISNUMBER(AN452),AN452-Settings!$D$4,"")</f>
        <v/>
      </c>
      <c r="AP452" s="31">
        <f>IF(ISNUMBER(AL452),AL452+0+ROW()/100000,"")</f>
        <v/>
      </c>
      <c r="AQ452" s="31">
        <f>IF(OR(AG452="",NOT(ISNUMBER(AP452))),0,IF(SUMPRODUCT(('Responses'!$AG$2:$AG$501=AG452)*('Responses'!$AJ$2:$AJ$501=1)*ISNUMBER('Responses'!$AP$2:$AP$501)*('Responses'!$AP$2:$AP$501&gt;AP452)) + SUMPRODUCT(('Paper sign-ups'!$K$2:$K$101=AG452)*('Paper sign-ups'!$N$2:$N$101=1)*ISNUMBER('Paper sign-ups'!$T$2:$T$101)*('Paper sign-ups'!$T$2:$T$101&gt;AP452))&gt;0,1,0))</f>
        <v/>
      </c>
      <c r="AR452" s="31">
        <f>IF(AE452="","",IF(AQ452=1,"Joined again",IF(AJ452=0,"Unpaid",IF(NOT(ISNUMBER(AL452)),"Add a join date",IF(AN452="","No reminder",IF(AO452&lt;0,"Lapsed",IF(AO452&lt;=Settings!$D$6,"Remind soon","Current")))))))</f>
        <v/>
      </c>
      <c r="AS452" s="33">
        <f>IF(AJ452=1,IFERROR(VALUE(IFERROR(TRIM(INDEX($A452:$Z452,MATCH(Settings!$L$8,$A$1:$Z$1,0))&amp;""),"")),0)-IFERROR(VALUE(IFERROR(TRIM(INDEX($A452:$Z452,MATCH(Settings!$L$9,$A$1:$Z$1,0))&amp;""),"")),0),0)</f>
        <v/>
      </c>
      <c r="AT452" s="31">
        <f>IF(AND(AE452&lt;&gt;"",AQ452=0),1,0)</f>
        <v/>
      </c>
      <c r="AU452" s="31">
        <f>IF(AT452=0,"",IF(ISNUMBER(AN452),AN452,100000)+0+ROW()/1000000)</f>
        <v/>
      </c>
      <c r="AV452" s="31">
        <f>IF(ISNUMBER(AU452),SUMPRODUCT(ISNUMBER('Responses'!$AU$2:$AU$501)*('Responses'!$AU$2:$AU$501&lt;AU452)) + SUMPRODUCT(ISNUMBER('Paper sign-ups'!$Y$2:$Y$101)*('Paper sign-ups'!$Y$2:$Y$101&lt;AU452))+1,"")</f>
        <v/>
      </c>
    </row>
    <row r="453">
      <c r="AA453" s="29" t="n"/>
      <c r="AB453" s="30" t="n"/>
      <c r="AC453" s="30" t="n"/>
      <c r="AD453" s="29" t="n"/>
      <c r="AE453" s="31">
        <f>IFERROR(TRIM(INDEX($A453:$Z453,MATCH(Settings!$L$4,$A$1:$Z$1,0))&amp;""),"")</f>
        <v/>
      </c>
      <c r="AF453" s="31">
        <f>IFERROR(TRIM(INDEX($A453:$Z453,MATCH(Settings!$L$5,$A$1:$Z$1,0))&amp;""),"")</f>
        <v/>
      </c>
      <c r="AG453" s="31">
        <f>IF(AE453="","",LOWER(IF(AF453&lt;&gt;"",AF453,AE453)))</f>
        <v/>
      </c>
      <c r="AH453" s="31">
        <f>IFERROR(TRIM(INDEX($A453:$Z453,MATCH(Settings!$L$6,$A$1:$Z$1,0))&amp;""),"")</f>
        <v/>
      </c>
      <c r="AI453" s="31">
        <f>IF(AE453="","",IF(UPPER(TRIM(AB453&amp;""))="Y","Paid another way",IF(IFERROR(TRIM(INDEX($A453:$Z453,MATCH(Settings!$L$7,$A$1:$Z$1,0))&amp;""),"")="","No payment status",IFERROR(TRIM(INDEX($A453:$Z453,MATCH(Settings!$L$7,$A$1:$Z$1,0))&amp;""),""))))</f>
        <v/>
      </c>
      <c r="AJ453" s="31">
        <f>IF(AE453="",0,IF(IFERROR(INDEX(Settings!$J$4:$J$14,MATCH(AI453,Settings!$I$4:$I$14,0)),"N")="Y",1,0))</f>
        <v/>
      </c>
      <c r="AK453" s="32">
        <f>IFERROR(INT(IFERROR(IF(ISNUMBER(INDEX($A453:$Z453,MATCH(Settings!$L$10,$A$1:$Z$1,0))),INDEX($A453:$Z453,MATCH(Settings!$L$10,$A$1:$Z$1,0)),DATE(VALUE(LEFT(IFERROR(TRIM(INDEX($A453:$Z453,MATCH(Settings!$L$10,$A$1:$Z$1,0))&amp;""),""),4)),VALUE(MID(IFERROR(TRIM(INDEX($A453:$Z453,MATCH(Settings!$L$10,$A$1:$Z$1,0))&amp;""),""),6,2)),VALUE(MID(IFERROR(TRIM(INDEX($A453:$Z453,MATCH(Settings!$L$10,$A$1:$Z$1,0))&amp;""),""),9,2)))+TIME(VALUE(MID(IFERROR(TRIM(INDEX($A453:$Z453,MATCH(Settings!$L$10,$A$1:$Z$1,0))&amp;""),""),12,2)),VALUE(MID(IFERROR(TRIM(INDEX($A453:$Z453,MATCH(Settings!$L$10,$A$1:$Z$1,0))&amp;""),""),15,2)),VALUE(MID(IFERROR(TRIM(INDEX($A453:$Z453,MATCH(Settings!$L$10,$A$1:$Z$1,0))&amp;""),""),18,2)))),"")),"")</f>
        <v/>
      </c>
      <c r="AL453" s="32">
        <f>IF(AE453="","",IF(ISNUMBER(AK453),AK453,IFERROR(INT(IFERROR(IF(ISNUMBER(INDEX($A453:$Z453,MATCH(Settings!$L$11,$A$1:$Z$1,0))),INDEX($A453:$Z453,MATCH(Settings!$L$11,$A$1:$Z$1,0)),DATE(VALUE(LEFT(IFERROR(TRIM(INDEX($A453:$Z453,MATCH(Settings!$L$11,$A$1:$Z$1,0))&amp;""),""),4)),VALUE(MID(IFERROR(TRIM(INDEX($A453:$Z453,MATCH(Settings!$L$11,$A$1:$Z$1,0))&amp;""),""),6,2)),VALUE(MID(IFERROR(TRIM(INDEX($A453:$Z453,MATCH(Settings!$L$11,$A$1:$Z$1,0))&amp;""),""),9,2)))+TIME(VALUE(MID(IFERROR(TRIM(INDEX($A453:$Z453,MATCH(Settings!$L$11,$A$1:$Z$1,0))&amp;""),""),12,2)),VALUE(MID(IFERROR(TRIM(INDEX($A453:$Z453,MATCH(Settings!$L$11,$A$1:$Z$1,0))&amp;""),""),15,2)),VALUE(MID(IFERROR(TRIM(INDEX($A453:$Z453,MATCH(Settings!$L$11,$A$1:$Z$1,0))&amp;""),""),18,2)))),"")),"")))</f>
        <v/>
      </c>
      <c r="AM453" s="31">
        <f>IF(AE453="","",IF(ISNUMBER(IFERROR(INDEX(Settings!$G$4:$G$11,MATCH(AH453,Settings!$F$4:$F$11,0)),"")),INDEX(Settings!$G$4:$G$11,MATCH(AH453,Settings!$F$4:$F$11,0)),Settings!$D$5))</f>
        <v/>
      </c>
      <c r="AN453" s="32">
        <f>IF(OR(AE453="",NOT(ISNUMBER(AL453)),NOT(ISNUMBER(AM453))),"",IF(AM453&lt;=0,"",IF(ISNUMBER(Settings!$D$8),DATE(YEAR(AL453)+IF(DATE(YEAR(AL453),MONTH(Settings!$D$8),DAY(Settings!$D$8))&gt;AL453,0,1),MONTH(Settings!$D$8),DAY(Settings!$D$8)),MIN(DATE(YEAR(AL453),MONTH(AL453)+AM453,DAY(AL453)),DATE(YEAR(AL453),MONTH(AL453)+AM453+1,0)))))</f>
        <v/>
      </c>
      <c r="AO453" s="31">
        <f>IF(ISNUMBER(AN453),AN453-Settings!$D$4,"")</f>
        <v/>
      </c>
      <c r="AP453" s="31">
        <f>IF(ISNUMBER(AL453),AL453+0+ROW()/100000,"")</f>
        <v/>
      </c>
      <c r="AQ453" s="31">
        <f>IF(OR(AG453="",NOT(ISNUMBER(AP453))),0,IF(SUMPRODUCT(('Responses'!$AG$2:$AG$501=AG453)*('Responses'!$AJ$2:$AJ$501=1)*ISNUMBER('Responses'!$AP$2:$AP$501)*('Responses'!$AP$2:$AP$501&gt;AP453)) + SUMPRODUCT(('Paper sign-ups'!$K$2:$K$101=AG453)*('Paper sign-ups'!$N$2:$N$101=1)*ISNUMBER('Paper sign-ups'!$T$2:$T$101)*('Paper sign-ups'!$T$2:$T$101&gt;AP453))&gt;0,1,0))</f>
        <v/>
      </c>
      <c r="AR453" s="31">
        <f>IF(AE453="","",IF(AQ453=1,"Joined again",IF(AJ453=0,"Unpaid",IF(NOT(ISNUMBER(AL453)),"Add a join date",IF(AN453="","No reminder",IF(AO453&lt;0,"Lapsed",IF(AO453&lt;=Settings!$D$6,"Remind soon","Current")))))))</f>
        <v/>
      </c>
      <c r="AS453" s="33">
        <f>IF(AJ453=1,IFERROR(VALUE(IFERROR(TRIM(INDEX($A453:$Z453,MATCH(Settings!$L$8,$A$1:$Z$1,0))&amp;""),"")),0)-IFERROR(VALUE(IFERROR(TRIM(INDEX($A453:$Z453,MATCH(Settings!$L$9,$A$1:$Z$1,0))&amp;""),"")),0),0)</f>
        <v/>
      </c>
      <c r="AT453" s="31">
        <f>IF(AND(AE453&lt;&gt;"",AQ453=0),1,0)</f>
        <v/>
      </c>
      <c r="AU453" s="31">
        <f>IF(AT453=0,"",IF(ISNUMBER(AN453),AN453,100000)+0+ROW()/1000000)</f>
        <v/>
      </c>
      <c r="AV453" s="31">
        <f>IF(ISNUMBER(AU453),SUMPRODUCT(ISNUMBER('Responses'!$AU$2:$AU$501)*('Responses'!$AU$2:$AU$501&lt;AU453)) + SUMPRODUCT(ISNUMBER('Paper sign-ups'!$Y$2:$Y$101)*('Paper sign-ups'!$Y$2:$Y$101&lt;AU453))+1,"")</f>
        <v/>
      </c>
    </row>
    <row r="454">
      <c r="AA454" s="29" t="n"/>
      <c r="AB454" s="30" t="n"/>
      <c r="AC454" s="30" t="n"/>
      <c r="AD454" s="29" t="n"/>
      <c r="AE454" s="31">
        <f>IFERROR(TRIM(INDEX($A454:$Z454,MATCH(Settings!$L$4,$A$1:$Z$1,0))&amp;""),"")</f>
        <v/>
      </c>
      <c r="AF454" s="31">
        <f>IFERROR(TRIM(INDEX($A454:$Z454,MATCH(Settings!$L$5,$A$1:$Z$1,0))&amp;""),"")</f>
        <v/>
      </c>
      <c r="AG454" s="31">
        <f>IF(AE454="","",LOWER(IF(AF454&lt;&gt;"",AF454,AE454)))</f>
        <v/>
      </c>
      <c r="AH454" s="31">
        <f>IFERROR(TRIM(INDEX($A454:$Z454,MATCH(Settings!$L$6,$A$1:$Z$1,0))&amp;""),"")</f>
        <v/>
      </c>
      <c r="AI454" s="31">
        <f>IF(AE454="","",IF(UPPER(TRIM(AB454&amp;""))="Y","Paid another way",IF(IFERROR(TRIM(INDEX($A454:$Z454,MATCH(Settings!$L$7,$A$1:$Z$1,0))&amp;""),"")="","No payment status",IFERROR(TRIM(INDEX($A454:$Z454,MATCH(Settings!$L$7,$A$1:$Z$1,0))&amp;""),""))))</f>
        <v/>
      </c>
      <c r="AJ454" s="31">
        <f>IF(AE454="",0,IF(IFERROR(INDEX(Settings!$J$4:$J$14,MATCH(AI454,Settings!$I$4:$I$14,0)),"N")="Y",1,0))</f>
        <v/>
      </c>
      <c r="AK454" s="32">
        <f>IFERROR(INT(IFERROR(IF(ISNUMBER(INDEX($A454:$Z454,MATCH(Settings!$L$10,$A$1:$Z$1,0))),INDEX($A454:$Z454,MATCH(Settings!$L$10,$A$1:$Z$1,0)),DATE(VALUE(LEFT(IFERROR(TRIM(INDEX($A454:$Z454,MATCH(Settings!$L$10,$A$1:$Z$1,0))&amp;""),""),4)),VALUE(MID(IFERROR(TRIM(INDEX($A454:$Z454,MATCH(Settings!$L$10,$A$1:$Z$1,0))&amp;""),""),6,2)),VALUE(MID(IFERROR(TRIM(INDEX($A454:$Z454,MATCH(Settings!$L$10,$A$1:$Z$1,0))&amp;""),""),9,2)))+TIME(VALUE(MID(IFERROR(TRIM(INDEX($A454:$Z454,MATCH(Settings!$L$10,$A$1:$Z$1,0))&amp;""),""),12,2)),VALUE(MID(IFERROR(TRIM(INDEX($A454:$Z454,MATCH(Settings!$L$10,$A$1:$Z$1,0))&amp;""),""),15,2)),VALUE(MID(IFERROR(TRIM(INDEX($A454:$Z454,MATCH(Settings!$L$10,$A$1:$Z$1,0))&amp;""),""),18,2)))),"")),"")</f>
        <v/>
      </c>
      <c r="AL454" s="32">
        <f>IF(AE454="","",IF(ISNUMBER(AK454),AK454,IFERROR(INT(IFERROR(IF(ISNUMBER(INDEX($A454:$Z454,MATCH(Settings!$L$11,$A$1:$Z$1,0))),INDEX($A454:$Z454,MATCH(Settings!$L$11,$A$1:$Z$1,0)),DATE(VALUE(LEFT(IFERROR(TRIM(INDEX($A454:$Z454,MATCH(Settings!$L$11,$A$1:$Z$1,0))&amp;""),""),4)),VALUE(MID(IFERROR(TRIM(INDEX($A454:$Z454,MATCH(Settings!$L$11,$A$1:$Z$1,0))&amp;""),""),6,2)),VALUE(MID(IFERROR(TRIM(INDEX($A454:$Z454,MATCH(Settings!$L$11,$A$1:$Z$1,0))&amp;""),""),9,2)))+TIME(VALUE(MID(IFERROR(TRIM(INDEX($A454:$Z454,MATCH(Settings!$L$11,$A$1:$Z$1,0))&amp;""),""),12,2)),VALUE(MID(IFERROR(TRIM(INDEX($A454:$Z454,MATCH(Settings!$L$11,$A$1:$Z$1,0))&amp;""),""),15,2)),VALUE(MID(IFERROR(TRIM(INDEX($A454:$Z454,MATCH(Settings!$L$11,$A$1:$Z$1,0))&amp;""),""),18,2)))),"")),"")))</f>
        <v/>
      </c>
      <c r="AM454" s="31">
        <f>IF(AE454="","",IF(ISNUMBER(IFERROR(INDEX(Settings!$G$4:$G$11,MATCH(AH454,Settings!$F$4:$F$11,0)),"")),INDEX(Settings!$G$4:$G$11,MATCH(AH454,Settings!$F$4:$F$11,0)),Settings!$D$5))</f>
        <v/>
      </c>
      <c r="AN454" s="32">
        <f>IF(OR(AE454="",NOT(ISNUMBER(AL454)),NOT(ISNUMBER(AM454))),"",IF(AM454&lt;=0,"",IF(ISNUMBER(Settings!$D$8),DATE(YEAR(AL454)+IF(DATE(YEAR(AL454),MONTH(Settings!$D$8),DAY(Settings!$D$8))&gt;AL454,0,1),MONTH(Settings!$D$8),DAY(Settings!$D$8)),MIN(DATE(YEAR(AL454),MONTH(AL454)+AM454,DAY(AL454)),DATE(YEAR(AL454),MONTH(AL454)+AM454+1,0)))))</f>
        <v/>
      </c>
      <c r="AO454" s="31">
        <f>IF(ISNUMBER(AN454),AN454-Settings!$D$4,"")</f>
        <v/>
      </c>
      <c r="AP454" s="31">
        <f>IF(ISNUMBER(AL454),AL454+0+ROW()/100000,"")</f>
        <v/>
      </c>
      <c r="AQ454" s="31">
        <f>IF(OR(AG454="",NOT(ISNUMBER(AP454))),0,IF(SUMPRODUCT(('Responses'!$AG$2:$AG$501=AG454)*('Responses'!$AJ$2:$AJ$501=1)*ISNUMBER('Responses'!$AP$2:$AP$501)*('Responses'!$AP$2:$AP$501&gt;AP454)) + SUMPRODUCT(('Paper sign-ups'!$K$2:$K$101=AG454)*('Paper sign-ups'!$N$2:$N$101=1)*ISNUMBER('Paper sign-ups'!$T$2:$T$101)*('Paper sign-ups'!$T$2:$T$101&gt;AP454))&gt;0,1,0))</f>
        <v/>
      </c>
      <c r="AR454" s="31">
        <f>IF(AE454="","",IF(AQ454=1,"Joined again",IF(AJ454=0,"Unpaid",IF(NOT(ISNUMBER(AL454)),"Add a join date",IF(AN454="","No reminder",IF(AO454&lt;0,"Lapsed",IF(AO454&lt;=Settings!$D$6,"Remind soon","Current")))))))</f>
        <v/>
      </c>
      <c r="AS454" s="33">
        <f>IF(AJ454=1,IFERROR(VALUE(IFERROR(TRIM(INDEX($A454:$Z454,MATCH(Settings!$L$8,$A$1:$Z$1,0))&amp;""),"")),0)-IFERROR(VALUE(IFERROR(TRIM(INDEX($A454:$Z454,MATCH(Settings!$L$9,$A$1:$Z$1,0))&amp;""),"")),0),0)</f>
        <v/>
      </c>
      <c r="AT454" s="31">
        <f>IF(AND(AE454&lt;&gt;"",AQ454=0),1,0)</f>
        <v/>
      </c>
      <c r="AU454" s="31">
        <f>IF(AT454=0,"",IF(ISNUMBER(AN454),AN454,100000)+0+ROW()/1000000)</f>
        <v/>
      </c>
      <c r="AV454" s="31">
        <f>IF(ISNUMBER(AU454),SUMPRODUCT(ISNUMBER('Responses'!$AU$2:$AU$501)*('Responses'!$AU$2:$AU$501&lt;AU454)) + SUMPRODUCT(ISNUMBER('Paper sign-ups'!$Y$2:$Y$101)*('Paper sign-ups'!$Y$2:$Y$101&lt;AU454))+1,"")</f>
        <v/>
      </c>
    </row>
    <row r="455">
      <c r="AA455" s="29" t="n"/>
      <c r="AB455" s="30" t="n"/>
      <c r="AC455" s="30" t="n"/>
      <c r="AD455" s="29" t="n"/>
      <c r="AE455" s="31">
        <f>IFERROR(TRIM(INDEX($A455:$Z455,MATCH(Settings!$L$4,$A$1:$Z$1,0))&amp;""),"")</f>
        <v/>
      </c>
      <c r="AF455" s="31">
        <f>IFERROR(TRIM(INDEX($A455:$Z455,MATCH(Settings!$L$5,$A$1:$Z$1,0))&amp;""),"")</f>
        <v/>
      </c>
      <c r="AG455" s="31">
        <f>IF(AE455="","",LOWER(IF(AF455&lt;&gt;"",AF455,AE455)))</f>
        <v/>
      </c>
      <c r="AH455" s="31">
        <f>IFERROR(TRIM(INDEX($A455:$Z455,MATCH(Settings!$L$6,$A$1:$Z$1,0))&amp;""),"")</f>
        <v/>
      </c>
      <c r="AI455" s="31">
        <f>IF(AE455="","",IF(UPPER(TRIM(AB455&amp;""))="Y","Paid another way",IF(IFERROR(TRIM(INDEX($A455:$Z455,MATCH(Settings!$L$7,$A$1:$Z$1,0))&amp;""),"")="","No payment status",IFERROR(TRIM(INDEX($A455:$Z455,MATCH(Settings!$L$7,$A$1:$Z$1,0))&amp;""),""))))</f>
        <v/>
      </c>
      <c r="AJ455" s="31">
        <f>IF(AE455="",0,IF(IFERROR(INDEX(Settings!$J$4:$J$14,MATCH(AI455,Settings!$I$4:$I$14,0)),"N")="Y",1,0))</f>
        <v/>
      </c>
      <c r="AK455" s="32">
        <f>IFERROR(INT(IFERROR(IF(ISNUMBER(INDEX($A455:$Z455,MATCH(Settings!$L$10,$A$1:$Z$1,0))),INDEX($A455:$Z455,MATCH(Settings!$L$10,$A$1:$Z$1,0)),DATE(VALUE(LEFT(IFERROR(TRIM(INDEX($A455:$Z455,MATCH(Settings!$L$10,$A$1:$Z$1,0))&amp;""),""),4)),VALUE(MID(IFERROR(TRIM(INDEX($A455:$Z455,MATCH(Settings!$L$10,$A$1:$Z$1,0))&amp;""),""),6,2)),VALUE(MID(IFERROR(TRIM(INDEX($A455:$Z455,MATCH(Settings!$L$10,$A$1:$Z$1,0))&amp;""),""),9,2)))+TIME(VALUE(MID(IFERROR(TRIM(INDEX($A455:$Z455,MATCH(Settings!$L$10,$A$1:$Z$1,0))&amp;""),""),12,2)),VALUE(MID(IFERROR(TRIM(INDEX($A455:$Z455,MATCH(Settings!$L$10,$A$1:$Z$1,0))&amp;""),""),15,2)),VALUE(MID(IFERROR(TRIM(INDEX($A455:$Z455,MATCH(Settings!$L$10,$A$1:$Z$1,0))&amp;""),""),18,2)))),"")),"")</f>
        <v/>
      </c>
      <c r="AL455" s="32">
        <f>IF(AE455="","",IF(ISNUMBER(AK455),AK455,IFERROR(INT(IFERROR(IF(ISNUMBER(INDEX($A455:$Z455,MATCH(Settings!$L$11,$A$1:$Z$1,0))),INDEX($A455:$Z455,MATCH(Settings!$L$11,$A$1:$Z$1,0)),DATE(VALUE(LEFT(IFERROR(TRIM(INDEX($A455:$Z455,MATCH(Settings!$L$11,$A$1:$Z$1,0))&amp;""),""),4)),VALUE(MID(IFERROR(TRIM(INDEX($A455:$Z455,MATCH(Settings!$L$11,$A$1:$Z$1,0))&amp;""),""),6,2)),VALUE(MID(IFERROR(TRIM(INDEX($A455:$Z455,MATCH(Settings!$L$11,$A$1:$Z$1,0))&amp;""),""),9,2)))+TIME(VALUE(MID(IFERROR(TRIM(INDEX($A455:$Z455,MATCH(Settings!$L$11,$A$1:$Z$1,0))&amp;""),""),12,2)),VALUE(MID(IFERROR(TRIM(INDEX($A455:$Z455,MATCH(Settings!$L$11,$A$1:$Z$1,0))&amp;""),""),15,2)),VALUE(MID(IFERROR(TRIM(INDEX($A455:$Z455,MATCH(Settings!$L$11,$A$1:$Z$1,0))&amp;""),""),18,2)))),"")),"")))</f>
        <v/>
      </c>
      <c r="AM455" s="31">
        <f>IF(AE455="","",IF(ISNUMBER(IFERROR(INDEX(Settings!$G$4:$G$11,MATCH(AH455,Settings!$F$4:$F$11,0)),"")),INDEX(Settings!$G$4:$G$11,MATCH(AH455,Settings!$F$4:$F$11,0)),Settings!$D$5))</f>
        <v/>
      </c>
      <c r="AN455" s="32">
        <f>IF(OR(AE455="",NOT(ISNUMBER(AL455)),NOT(ISNUMBER(AM455))),"",IF(AM455&lt;=0,"",IF(ISNUMBER(Settings!$D$8),DATE(YEAR(AL455)+IF(DATE(YEAR(AL455),MONTH(Settings!$D$8),DAY(Settings!$D$8))&gt;AL455,0,1),MONTH(Settings!$D$8),DAY(Settings!$D$8)),MIN(DATE(YEAR(AL455),MONTH(AL455)+AM455,DAY(AL455)),DATE(YEAR(AL455),MONTH(AL455)+AM455+1,0)))))</f>
        <v/>
      </c>
      <c r="AO455" s="31">
        <f>IF(ISNUMBER(AN455),AN455-Settings!$D$4,"")</f>
        <v/>
      </c>
      <c r="AP455" s="31">
        <f>IF(ISNUMBER(AL455),AL455+0+ROW()/100000,"")</f>
        <v/>
      </c>
      <c r="AQ455" s="31">
        <f>IF(OR(AG455="",NOT(ISNUMBER(AP455))),0,IF(SUMPRODUCT(('Responses'!$AG$2:$AG$501=AG455)*('Responses'!$AJ$2:$AJ$501=1)*ISNUMBER('Responses'!$AP$2:$AP$501)*('Responses'!$AP$2:$AP$501&gt;AP455)) + SUMPRODUCT(('Paper sign-ups'!$K$2:$K$101=AG455)*('Paper sign-ups'!$N$2:$N$101=1)*ISNUMBER('Paper sign-ups'!$T$2:$T$101)*('Paper sign-ups'!$T$2:$T$101&gt;AP455))&gt;0,1,0))</f>
        <v/>
      </c>
      <c r="AR455" s="31">
        <f>IF(AE455="","",IF(AQ455=1,"Joined again",IF(AJ455=0,"Unpaid",IF(NOT(ISNUMBER(AL455)),"Add a join date",IF(AN455="","No reminder",IF(AO455&lt;0,"Lapsed",IF(AO455&lt;=Settings!$D$6,"Remind soon","Current")))))))</f>
        <v/>
      </c>
      <c r="AS455" s="33">
        <f>IF(AJ455=1,IFERROR(VALUE(IFERROR(TRIM(INDEX($A455:$Z455,MATCH(Settings!$L$8,$A$1:$Z$1,0))&amp;""),"")),0)-IFERROR(VALUE(IFERROR(TRIM(INDEX($A455:$Z455,MATCH(Settings!$L$9,$A$1:$Z$1,0))&amp;""),"")),0),0)</f>
        <v/>
      </c>
      <c r="AT455" s="31">
        <f>IF(AND(AE455&lt;&gt;"",AQ455=0),1,0)</f>
        <v/>
      </c>
      <c r="AU455" s="31">
        <f>IF(AT455=0,"",IF(ISNUMBER(AN455),AN455,100000)+0+ROW()/1000000)</f>
        <v/>
      </c>
      <c r="AV455" s="31">
        <f>IF(ISNUMBER(AU455),SUMPRODUCT(ISNUMBER('Responses'!$AU$2:$AU$501)*('Responses'!$AU$2:$AU$501&lt;AU455)) + SUMPRODUCT(ISNUMBER('Paper sign-ups'!$Y$2:$Y$101)*('Paper sign-ups'!$Y$2:$Y$101&lt;AU455))+1,"")</f>
        <v/>
      </c>
    </row>
    <row r="456">
      <c r="AA456" s="29" t="n"/>
      <c r="AB456" s="30" t="n"/>
      <c r="AC456" s="30" t="n"/>
      <c r="AD456" s="29" t="n"/>
      <c r="AE456" s="31">
        <f>IFERROR(TRIM(INDEX($A456:$Z456,MATCH(Settings!$L$4,$A$1:$Z$1,0))&amp;""),"")</f>
        <v/>
      </c>
      <c r="AF456" s="31">
        <f>IFERROR(TRIM(INDEX($A456:$Z456,MATCH(Settings!$L$5,$A$1:$Z$1,0))&amp;""),"")</f>
        <v/>
      </c>
      <c r="AG456" s="31">
        <f>IF(AE456="","",LOWER(IF(AF456&lt;&gt;"",AF456,AE456)))</f>
        <v/>
      </c>
      <c r="AH456" s="31">
        <f>IFERROR(TRIM(INDEX($A456:$Z456,MATCH(Settings!$L$6,$A$1:$Z$1,0))&amp;""),"")</f>
        <v/>
      </c>
      <c r="AI456" s="31">
        <f>IF(AE456="","",IF(UPPER(TRIM(AB456&amp;""))="Y","Paid another way",IF(IFERROR(TRIM(INDEX($A456:$Z456,MATCH(Settings!$L$7,$A$1:$Z$1,0))&amp;""),"")="","No payment status",IFERROR(TRIM(INDEX($A456:$Z456,MATCH(Settings!$L$7,$A$1:$Z$1,0))&amp;""),""))))</f>
        <v/>
      </c>
      <c r="AJ456" s="31">
        <f>IF(AE456="",0,IF(IFERROR(INDEX(Settings!$J$4:$J$14,MATCH(AI456,Settings!$I$4:$I$14,0)),"N")="Y",1,0))</f>
        <v/>
      </c>
      <c r="AK456" s="32">
        <f>IFERROR(INT(IFERROR(IF(ISNUMBER(INDEX($A456:$Z456,MATCH(Settings!$L$10,$A$1:$Z$1,0))),INDEX($A456:$Z456,MATCH(Settings!$L$10,$A$1:$Z$1,0)),DATE(VALUE(LEFT(IFERROR(TRIM(INDEX($A456:$Z456,MATCH(Settings!$L$10,$A$1:$Z$1,0))&amp;""),""),4)),VALUE(MID(IFERROR(TRIM(INDEX($A456:$Z456,MATCH(Settings!$L$10,$A$1:$Z$1,0))&amp;""),""),6,2)),VALUE(MID(IFERROR(TRIM(INDEX($A456:$Z456,MATCH(Settings!$L$10,$A$1:$Z$1,0))&amp;""),""),9,2)))+TIME(VALUE(MID(IFERROR(TRIM(INDEX($A456:$Z456,MATCH(Settings!$L$10,$A$1:$Z$1,0))&amp;""),""),12,2)),VALUE(MID(IFERROR(TRIM(INDEX($A456:$Z456,MATCH(Settings!$L$10,$A$1:$Z$1,0))&amp;""),""),15,2)),VALUE(MID(IFERROR(TRIM(INDEX($A456:$Z456,MATCH(Settings!$L$10,$A$1:$Z$1,0))&amp;""),""),18,2)))),"")),"")</f>
        <v/>
      </c>
      <c r="AL456" s="32">
        <f>IF(AE456="","",IF(ISNUMBER(AK456),AK456,IFERROR(INT(IFERROR(IF(ISNUMBER(INDEX($A456:$Z456,MATCH(Settings!$L$11,$A$1:$Z$1,0))),INDEX($A456:$Z456,MATCH(Settings!$L$11,$A$1:$Z$1,0)),DATE(VALUE(LEFT(IFERROR(TRIM(INDEX($A456:$Z456,MATCH(Settings!$L$11,$A$1:$Z$1,0))&amp;""),""),4)),VALUE(MID(IFERROR(TRIM(INDEX($A456:$Z456,MATCH(Settings!$L$11,$A$1:$Z$1,0))&amp;""),""),6,2)),VALUE(MID(IFERROR(TRIM(INDEX($A456:$Z456,MATCH(Settings!$L$11,$A$1:$Z$1,0))&amp;""),""),9,2)))+TIME(VALUE(MID(IFERROR(TRIM(INDEX($A456:$Z456,MATCH(Settings!$L$11,$A$1:$Z$1,0))&amp;""),""),12,2)),VALUE(MID(IFERROR(TRIM(INDEX($A456:$Z456,MATCH(Settings!$L$11,$A$1:$Z$1,0))&amp;""),""),15,2)),VALUE(MID(IFERROR(TRIM(INDEX($A456:$Z456,MATCH(Settings!$L$11,$A$1:$Z$1,0))&amp;""),""),18,2)))),"")),"")))</f>
        <v/>
      </c>
      <c r="AM456" s="31">
        <f>IF(AE456="","",IF(ISNUMBER(IFERROR(INDEX(Settings!$G$4:$G$11,MATCH(AH456,Settings!$F$4:$F$11,0)),"")),INDEX(Settings!$G$4:$G$11,MATCH(AH456,Settings!$F$4:$F$11,0)),Settings!$D$5))</f>
        <v/>
      </c>
      <c r="AN456" s="32">
        <f>IF(OR(AE456="",NOT(ISNUMBER(AL456)),NOT(ISNUMBER(AM456))),"",IF(AM456&lt;=0,"",IF(ISNUMBER(Settings!$D$8),DATE(YEAR(AL456)+IF(DATE(YEAR(AL456),MONTH(Settings!$D$8),DAY(Settings!$D$8))&gt;AL456,0,1),MONTH(Settings!$D$8),DAY(Settings!$D$8)),MIN(DATE(YEAR(AL456),MONTH(AL456)+AM456,DAY(AL456)),DATE(YEAR(AL456),MONTH(AL456)+AM456+1,0)))))</f>
        <v/>
      </c>
      <c r="AO456" s="31">
        <f>IF(ISNUMBER(AN456),AN456-Settings!$D$4,"")</f>
        <v/>
      </c>
      <c r="AP456" s="31">
        <f>IF(ISNUMBER(AL456),AL456+0+ROW()/100000,"")</f>
        <v/>
      </c>
      <c r="AQ456" s="31">
        <f>IF(OR(AG456="",NOT(ISNUMBER(AP456))),0,IF(SUMPRODUCT(('Responses'!$AG$2:$AG$501=AG456)*('Responses'!$AJ$2:$AJ$501=1)*ISNUMBER('Responses'!$AP$2:$AP$501)*('Responses'!$AP$2:$AP$501&gt;AP456)) + SUMPRODUCT(('Paper sign-ups'!$K$2:$K$101=AG456)*('Paper sign-ups'!$N$2:$N$101=1)*ISNUMBER('Paper sign-ups'!$T$2:$T$101)*('Paper sign-ups'!$T$2:$T$101&gt;AP456))&gt;0,1,0))</f>
        <v/>
      </c>
      <c r="AR456" s="31">
        <f>IF(AE456="","",IF(AQ456=1,"Joined again",IF(AJ456=0,"Unpaid",IF(NOT(ISNUMBER(AL456)),"Add a join date",IF(AN456="","No reminder",IF(AO456&lt;0,"Lapsed",IF(AO456&lt;=Settings!$D$6,"Remind soon","Current")))))))</f>
        <v/>
      </c>
      <c r="AS456" s="33">
        <f>IF(AJ456=1,IFERROR(VALUE(IFERROR(TRIM(INDEX($A456:$Z456,MATCH(Settings!$L$8,$A$1:$Z$1,0))&amp;""),"")),0)-IFERROR(VALUE(IFERROR(TRIM(INDEX($A456:$Z456,MATCH(Settings!$L$9,$A$1:$Z$1,0))&amp;""),"")),0),0)</f>
        <v/>
      </c>
      <c r="AT456" s="31">
        <f>IF(AND(AE456&lt;&gt;"",AQ456=0),1,0)</f>
        <v/>
      </c>
      <c r="AU456" s="31">
        <f>IF(AT456=0,"",IF(ISNUMBER(AN456),AN456,100000)+0+ROW()/1000000)</f>
        <v/>
      </c>
      <c r="AV456" s="31">
        <f>IF(ISNUMBER(AU456),SUMPRODUCT(ISNUMBER('Responses'!$AU$2:$AU$501)*('Responses'!$AU$2:$AU$501&lt;AU456)) + SUMPRODUCT(ISNUMBER('Paper sign-ups'!$Y$2:$Y$101)*('Paper sign-ups'!$Y$2:$Y$101&lt;AU456))+1,"")</f>
        <v/>
      </c>
    </row>
    <row r="457">
      <c r="AA457" s="29" t="n"/>
      <c r="AB457" s="30" t="n"/>
      <c r="AC457" s="30" t="n"/>
      <c r="AD457" s="29" t="n"/>
      <c r="AE457" s="31">
        <f>IFERROR(TRIM(INDEX($A457:$Z457,MATCH(Settings!$L$4,$A$1:$Z$1,0))&amp;""),"")</f>
        <v/>
      </c>
      <c r="AF457" s="31">
        <f>IFERROR(TRIM(INDEX($A457:$Z457,MATCH(Settings!$L$5,$A$1:$Z$1,0))&amp;""),"")</f>
        <v/>
      </c>
      <c r="AG457" s="31">
        <f>IF(AE457="","",LOWER(IF(AF457&lt;&gt;"",AF457,AE457)))</f>
        <v/>
      </c>
      <c r="AH457" s="31">
        <f>IFERROR(TRIM(INDEX($A457:$Z457,MATCH(Settings!$L$6,$A$1:$Z$1,0))&amp;""),"")</f>
        <v/>
      </c>
      <c r="AI457" s="31">
        <f>IF(AE457="","",IF(UPPER(TRIM(AB457&amp;""))="Y","Paid another way",IF(IFERROR(TRIM(INDEX($A457:$Z457,MATCH(Settings!$L$7,$A$1:$Z$1,0))&amp;""),"")="","No payment status",IFERROR(TRIM(INDEX($A457:$Z457,MATCH(Settings!$L$7,$A$1:$Z$1,0))&amp;""),""))))</f>
        <v/>
      </c>
      <c r="AJ457" s="31">
        <f>IF(AE457="",0,IF(IFERROR(INDEX(Settings!$J$4:$J$14,MATCH(AI457,Settings!$I$4:$I$14,0)),"N")="Y",1,0))</f>
        <v/>
      </c>
      <c r="AK457" s="32">
        <f>IFERROR(INT(IFERROR(IF(ISNUMBER(INDEX($A457:$Z457,MATCH(Settings!$L$10,$A$1:$Z$1,0))),INDEX($A457:$Z457,MATCH(Settings!$L$10,$A$1:$Z$1,0)),DATE(VALUE(LEFT(IFERROR(TRIM(INDEX($A457:$Z457,MATCH(Settings!$L$10,$A$1:$Z$1,0))&amp;""),""),4)),VALUE(MID(IFERROR(TRIM(INDEX($A457:$Z457,MATCH(Settings!$L$10,$A$1:$Z$1,0))&amp;""),""),6,2)),VALUE(MID(IFERROR(TRIM(INDEX($A457:$Z457,MATCH(Settings!$L$10,$A$1:$Z$1,0))&amp;""),""),9,2)))+TIME(VALUE(MID(IFERROR(TRIM(INDEX($A457:$Z457,MATCH(Settings!$L$10,$A$1:$Z$1,0))&amp;""),""),12,2)),VALUE(MID(IFERROR(TRIM(INDEX($A457:$Z457,MATCH(Settings!$L$10,$A$1:$Z$1,0))&amp;""),""),15,2)),VALUE(MID(IFERROR(TRIM(INDEX($A457:$Z457,MATCH(Settings!$L$10,$A$1:$Z$1,0))&amp;""),""),18,2)))),"")),"")</f>
        <v/>
      </c>
      <c r="AL457" s="32">
        <f>IF(AE457="","",IF(ISNUMBER(AK457),AK457,IFERROR(INT(IFERROR(IF(ISNUMBER(INDEX($A457:$Z457,MATCH(Settings!$L$11,$A$1:$Z$1,0))),INDEX($A457:$Z457,MATCH(Settings!$L$11,$A$1:$Z$1,0)),DATE(VALUE(LEFT(IFERROR(TRIM(INDEX($A457:$Z457,MATCH(Settings!$L$11,$A$1:$Z$1,0))&amp;""),""),4)),VALUE(MID(IFERROR(TRIM(INDEX($A457:$Z457,MATCH(Settings!$L$11,$A$1:$Z$1,0))&amp;""),""),6,2)),VALUE(MID(IFERROR(TRIM(INDEX($A457:$Z457,MATCH(Settings!$L$11,$A$1:$Z$1,0))&amp;""),""),9,2)))+TIME(VALUE(MID(IFERROR(TRIM(INDEX($A457:$Z457,MATCH(Settings!$L$11,$A$1:$Z$1,0))&amp;""),""),12,2)),VALUE(MID(IFERROR(TRIM(INDEX($A457:$Z457,MATCH(Settings!$L$11,$A$1:$Z$1,0))&amp;""),""),15,2)),VALUE(MID(IFERROR(TRIM(INDEX($A457:$Z457,MATCH(Settings!$L$11,$A$1:$Z$1,0))&amp;""),""),18,2)))),"")),"")))</f>
        <v/>
      </c>
      <c r="AM457" s="31">
        <f>IF(AE457="","",IF(ISNUMBER(IFERROR(INDEX(Settings!$G$4:$G$11,MATCH(AH457,Settings!$F$4:$F$11,0)),"")),INDEX(Settings!$G$4:$G$11,MATCH(AH457,Settings!$F$4:$F$11,0)),Settings!$D$5))</f>
        <v/>
      </c>
      <c r="AN457" s="32">
        <f>IF(OR(AE457="",NOT(ISNUMBER(AL457)),NOT(ISNUMBER(AM457))),"",IF(AM457&lt;=0,"",IF(ISNUMBER(Settings!$D$8),DATE(YEAR(AL457)+IF(DATE(YEAR(AL457),MONTH(Settings!$D$8),DAY(Settings!$D$8))&gt;AL457,0,1),MONTH(Settings!$D$8),DAY(Settings!$D$8)),MIN(DATE(YEAR(AL457),MONTH(AL457)+AM457,DAY(AL457)),DATE(YEAR(AL457),MONTH(AL457)+AM457+1,0)))))</f>
        <v/>
      </c>
      <c r="AO457" s="31">
        <f>IF(ISNUMBER(AN457),AN457-Settings!$D$4,"")</f>
        <v/>
      </c>
      <c r="AP457" s="31">
        <f>IF(ISNUMBER(AL457),AL457+0+ROW()/100000,"")</f>
        <v/>
      </c>
      <c r="AQ457" s="31">
        <f>IF(OR(AG457="",NOT(ISNUMBER(AP457))),0,IF(SUMPRODUCT(('Responses'!$AG$2:$AG$501=AG457)*('Responses'!$AJ$2:$AJ$501=1)*ISNUMBER('Responses'!$AP$2:$AP$501)*('Responses'!$AP$2:$AP$501&gt;AP457)) + SUMPRODUCT(('Paper sign-ups'!$K$2:$K$101=AG457)*('Paper sign-ups'!$N$2:$N$101=1)*ISNUMBER('Paper sign-ups'!$T$2:$T$101)*('Paper sign-ups'!$T$2:$T$101&gt;AP457))&gt;0,1,0))</f>
        <v/>
      </c>
      <c r="AR457" s="31">
        <f>IF(AE457="","",IF(AQ457=1,"Joined again",IF(AJ457=0,"Unpaid",IF(NOT(ISNUMBER(AL457)),"Add a join date",IF(AN457="","No reminder",IF(AO457&lt;0,"Lapsed",IF(AO457&lt;=Settings!$D$6,"Remind soon","Current")))))))</f>
        <v/>
      </c>
      <c r="AS457" s="33">
        <f>IF(AJ457=1,IFERROR(VALUE(IFERROR(TRIM(INDEX($A457:$Z457,MATCH(Settings!$L$8,$A$1:$Z$1,0))&amp;""),"")),0)-IFERROR(VALUE(IFERROR(TRIM(INDEX($A457:$Z457,MATCH(Settings!$L$9,$A$1:$Z$1,0))&amp;""),"")),0),0)</f>
        <v/>
      </c>
      <c r="AT457" s="31">
        <f>IF(AND(AE457&lt;&gt;"",AQ457=0),1,0)</f>
        <v/>
      </c>
      <c r="AU457" s="31">
        <f>IF(AT457=0,"",IF(ISNUMBER(AN457),AN457,100000)+0+ROW()/1000000)</f>
        <v/>
      </c>
      <c r="AV457" s="31">
        <f>IF(ISNUMBER(AU457),SUMPRODUCT(ISNUMBER('Responses'!$AU$2:$AU$501)*('Responses'!$AU$2:$AU$501&lt;AU457)) + SUMPRODUCT(ISNUMBER('Paper sign-ups'!$Y$2:$Y$101)*('Paper sign-ups'!$Y$2:$Y$101&lt;AU457))+1,"")</f>
        <v/>
      </c>
    </row>
    <row r="458">
      <c r="AA458" s="29" t="n"/>
      <c r="AB458" s="30" t="n"/>
      <c r="AC458" s="30" t="n"/>
      <c r="AD458" s="29" t="n"/>
      <c r="AE458" s="31">
        <f>IFERROR(TRIM(INDEX($A458:$Z458,MATCH(Settings!$L$4,$A$1:$Z$1,0))&amp;""),"")</f>
        <v/>
      </c>
      <c r="AF458" s="31">
        <f>IFERROR(TRIM(INDEX($A458:$Z458,MATCH(Settings!$L$5,$A$1:$Z$1,0))&amp;""),"")</f>
        <v/>
      </c>
      <c r="AG458" s="31">
        <f>IF(AE458="","",LOWER(IF(AF458&lt;&gt;"",AF458,AE458)))</f>
        <v/>
      </c>
      <c r="AH458" s="31">
        <f>IFERROR(TRIM(INDEX($A458:$Z458,MATCH(Settings!$L$6,$A$1:$Z$1,0))&amp;""),"")</f>
        <v/>
      </c>
      <c r="AI458" s="31">
        <f>IF(AE458="","",IF(UPPER(TRIM(AB458&amp;""))="Y","Paid another way",IF(IFERROR(TRIM(INDEX($A458:$Z458,MATCH(Settings!$L$7,$A$1:$Z$1,0))&amp;""),"")="","No payment status",IFERROR(TRIM(INDEX($A458:$Z458,MATCH(Settings!$L$7,$A$1:$Z$1,0))&amp;""),""))))</f>
        <v/>
      </c>
      <c r="AJ458" s="31">
        <f>IF(AE458="",0,IF(IFERROR(INDEX(Settings!$J$4:$J$14,MATCH(AI458,Settings!$I$4:$I$14,0)),"N")="Y",1,0))</f>
        <v/>
      </c>
      <c r="AK458" s="32">
        <f>IFERROR(INT(IFERROR(IF(ISNUMBER(INDEX($A458:$Z458,MATCH(Settings!$L$10,$A$1:$Z$1,0))),INDEX($A458:$Z458,MATCH(Settings!$L$10,$A$1:$Z$1,0)),DATE(VALUE(LEFT(IFERROR(TRIM(INDEX($A458:$Z458,MATCH(Settings!$L$10,$A$1:$Z$1,0))&amp;""),""),4)),VALUE(MID(IFERROR(TRIM(INDEX($A458:$Z458,MATCH(Settings!$L$10,$A$1:$Z$1,0))&amp;""),""),6,2)),VALUE(MID(IFERROR(TRIM(INDEX($A458:$Z458,MATCH(Settings!$L$10,$A$1:$Z$1,0))&amp;""),""),9,2)))+TIME(VALUE(MID(IFERROR(TRIM(INDEX($A458:$Z458,MATCH(Settings!$L$10,$A$1:$Z$1,0))&amp;""),""),12,2)),VALUE(MID(IFERROR(TRIM(INDEX($A458:$Z458,MATCH(Settings!$L$10,$A$1:$Z$1,0))&amp;""),""),15,2)),VALUE(MID(IFERROR(TRIM(INDEX($A458:$Z458,MATCH(Settings!$L$10,$A$1:$Z$1,0))&amp;""),""),18,2)))),"")),"")</f>
        <v/>
      </c>
      <c r="AL458" s="32">
        <f>IF(AE458="","",IF(ISNUMBER(AK458),AK458,IFERROR(INT(IFERROR(IF(ISNUMBER(INDEX($A458:$Z458,MATCH(Settings!$L$11,$A$1:$Z$1,0))),INDEX($A458:$Z458,MATCH(Settings!$L$11,$A$1:$Z$1,0)),DATE(VALUE(LEFT(IFERROR(TRIM(INDEX($A458:$Z458,MATCH(Settings!$L$11,$A$1:$Z$1,0))&amp;""),""),4)),VALUE(MID(IFERROR(TRIM(INDEX($A458:$Z458,MATCH(Settings!$L$11,$A$1:$Z$1,0))&amp;""),""),6,2)),VALUE(MID(IFERROR(TRIM(INDEX($A458:$Z458,MATCH(Settings!$L$11,$A$1:$Z$1,0))&amp;""),""),9,2)))+TIME(VALUE(MID(IFERROR(TRIM(INDEX($A458:$Z458,MATCH(Settings!$L$11,$A$1:$Z$1,0))&amp;""),""),12,2)),VALUE(MID(IFERROR(TRIM(INDEX($A458:$Z458,MATCH(Settings!$L$11,$A$1:$Z$1,0))&amp;""),""),15,2)),VALUE(MID(IFERROR(TRIM(INDEX($A458:$Z458,MATCH(Settings!$L$11,$A$1:$Z$1,0))&amp;""),""),18,2)))),"")),"")))</f>
        <v/>
      </c>
      <c r="AM458" s="31">
        <f>IF(AE458="","",IF(ISNUMBER(IFERROR(INDEX(Settings!$G$4:$G$11,MATCH(AH458,Settings!$F$4:$F$11,0)),"")),INDEX(Settings!$G$4:$G$11,MATCH(AH458,Settings!$F$4:$F$11,0)),Settings!$D$5))</f>
        <v/>
      </c>
      <c r="AN458" s="32">
        <f>IF(OR(AE458="",NOT(ISNUMBER(AL458)),NOT(ISNUMBER(AM458))),"",IF(AM458&lt;=0,"",IF(ISNUMBER(Settings!$D$8),DATE(YEAR(AL458)+IF(DATE(YEAR(AL458),MONTH(Settings!$D$8),DAY(Settings!$D$8))&gt;AL458,0,1),MONTH(Settings!$D$8),DAY(Settings!$D$8)),MIN(DATE(YEAR(AL458),MONTH(AL458)+AM458,DAY(AL458)),DATE(YEAR(AL458),MONTH(AL458)+AM458+1,0)))))</f>
        <v/>
      </c>
      <c r="AO458" s="31">
        <f>IF(ISNUMBER(AN458),AN458-Settings!$D$4,"")</f>
        <v/>
      </c>
      <c r="AP458" s="31">
        <f>IF(ISNUMBER(AL458),AL458+0+ROW()/100000,"")</f>
        <v/>
      </c>
      <c r="AQ458" s="31">
        <f>IF(OR(AG458="",NOT(ISNUMBER(AP458))),0,IF(SUMPRODUCT(('Responses'!$AG$2:$AG$501=AG458)*('Responses'!$AJ$2:$AJ$501=1)*ISNUMBER('Responses'!$AP$2:$AP$501)*('Responses'!$AP$2:$AP$501&gt;AP458)) + SUMPRODUCT(('Paper sign-ups'!$K$2:$K$101=AG458)*('Paper sign-ups'!$N$2:$N$101=1)*ISNUMBER('Paper sign-ups'!$T$2:$T$101)*('Paper sign-ups'!$T$2:$T$101&gt;AP458))&gt;0,1,0))</f>
        <v/>
      </c>
      <c r="AR458" s="31">
        <f>IF(AE458="","",IF(AQ458=1,"Joined again",IF(AJ458=0,"Unpaid",IF(NOT(ISNUMBER(AL458)),"Add a join date",IF(AN458="","No reminder",IF(AO458&lt;0,"Lapsed",IF(AO458&lt;=Settings!$D$6,"Remind soon","Current")))))))</f>
        <v/>
      </c>
      <c r="AS458" s="33">
        <f>IF(AJ458=1,IFERROR(VALUE(IFERROR(TRIM(INDEX($A458:$Z458,MATCH(Settings!$L$8,$A$1:$Z$1,0))&amp;""),"")),0)-IFERROR(VALUE(IFERROR(TRIM(INDEX($A458:$Z458,MATCH(Settings!$L$9,$A$1:$Z$1,0))&amp;""),"")),0),0)</f>
        <v/>
      </c>
      <c r="AT458" s="31">
        <f>IF(AND(AE458&lt;&gt;"",AQ458=0),1,0)</f>
        <v/>
      </c>
      <c r="AU458" s="31">
        <f>IF(AT458=0,"",IF(ISNUMBER(AN458),AN458,100000)+0+ROW()/1000000)</f>
        <v/>
      </c>
      <c r="AV458" s="31">
        <f>IF(ISNUMBER(AU458),SUMPRODUCT(ISNUMBER('Responses'!$AU$2:$AU$501)*('Responses'!$AU$2:$AU$501&lt;AU458)) + SUMPRODUCT(ISNUMBER('Paper sign-ups'!$Y$2:$Y$101)*('Paper sign-ups'!$Y$2:$Y$101&lt;AU458))+1,"")</f>
        <v/>
      </c>
    </row>
    <row r="459">
      <c r="AA459" s="29" t="n"/>
      <c r="AB459" s="30" t="n"/>
      <c r="AC459" s="30" t="n"/>
      <c r="AD459" s="29" t="n"/>
      <c r="AE459" s="31">
        <f>IFERROR(TRIM(INDEX($A459:$Z459,MATCH(Settings!$L$4,$A$1:$Z$1,0))&amp;""),"")</f>
        <v/>
      </c>
      <c r="AF459" s="31">
        <f>IFERROR(TRIM(INDEX($A459:$Z459,MATCH(Settings!$L$5,$A$1:$Z$1,0))&amp;""),"")</f>
        <v/>
      </c>
      <c r="AG459" s="31">
        <f>IF(AE459="","",LOWER(IF(AF459&lt;&gt;"",AF459,AE459)))</f>
        <v/>
      </c>
      <c r="AH459" s="31">
        <f>IFERROR(TRIM(INDEX($A459:$Z459,MATCH(Settings!$L$6,$A$1:$Z$1,0))&amp;""),"")</f>
        <v/>
      </c>
      <c r="AI459" s="31">
        <f>IF(AE459="","",IF(UPPER(TRIM(AB459&amp;""))="Y","Paid another way",IF(IFERROR(TRIM(INDEX($A459:$Z459,MATCH(Settings!$L$7,$A$1:$Z$1,0))&amp;""),"")="","No payment status",IFERROR(TRIM(INDEX($A459:$Z459,MATCH(Settings!$L$7,$A$1:$Z$1,0))&amp;""),""))))</f>
        <v/>
      </c>
      <c r="AJ459" s="31">
        <f>IF(AE459="",0,IF(IFERROR(INDEX(Settings!$J$4:$J$14,MATCH(AI459,Settings!$I$4:$I$14,0)),"N")="Y",1,0))</f>
        <v/>
      </c>
      <c r="AK459" s="32">
        <f>IFERROR(INT(IFERROR(IF(ISNUMBER(INDEX($A459:$Z459,MATCH(Settings!$L$10,$A$1:$Z$1,0))),INDEX($A459:$Z459,MATCH(Settings!$L$10,$A$1:$Z$1,0)),DATE(VALUE(LEFT(IFERROR(TRIM(INDEX($A459:$Z459,MATCH(Settings!$L$10,$A$1:$Z$1,0))&amp;""),""),4)),VALUE(MID(IFERROR(TRIM(INDEX($A459:$Z459,MATCH(Settings!$L$10,$A$1:$Z$1,0))&amp;""),""),6,2)),VALUE(MID(IFERROR(TRIM(INDEX($A459:$Z459,MATCH(Settings!$L$10,$A$1:$Z$1,0))&amp;""),""),9,2)))+TIME(VALUE(MID(IFERROR(TRIM(INDEX($A459:$Z459,MATCH(Settings!$L$10,$A$1:$Z$1,0))&amp;""),""),12,2)),VALUE(MID(IFERROR(TRIM(INDEX($A459:$Z459,MATCH(Settings!$L$10,$A$1:$Z$1,0))&amp;""),""),15,2)),VALUE(MID(IFERROR(TRIM(INDEX($A459:$Z459,MATCH(Settings!$L$10,$A$1:$Z$1,0))&amp;""),""),18,2)))),"")),"")</f>
        <v/>
      </c>
      <c r="AL459" s="32">
        <f>IF(AE459="","",IF(ISNUMBER(AK459),AK459,IFERROR(INT(IFERROR(IF(ISNUMBER(INDEX($A459:$Z459,MATCH(Settings!$L$11,$A$1:$Z$1,0))),INDEX($A459:$Z459,MATCH(Settings!$L$11,$A$1:$Z$1,0)),DATE(VALUE(LEFT(IFERROR(TRIM(INDEX($A459:$Z459,MATCH(Settings!$L$11,$A$1:$Z$1,0))&amp;""),""),4)),VALUE(MID(IFERROR(TRIM(INDEX($A459:$Z459,MATCH(Settings!$L$11,$A$1:$Z$1,0))&amp;""),""),6,2)),VALUE(MID(IFERROR(TRIM(INDEX($A459:$Z459,MATCH(Settings!$L$11,$A$1:$Z$1,0))&amp;""),""),9,2)))+TIME(VALUE(MID(IFERROR(TRIM(INDEX($A459:$Z459,MATCH(Settings!$L$11,$A$1:$Z$1,0))&amp;""),""),12,2)),VALUE(MID(IFERROR(TRIM(INDEX($A459:$Z459,MATCH(Settings!$L$11,$A$1:$Z$1,0))&amp;""),""),15,2)),VALUE(MID(IFERROR(TRIM(INDEX($A459:$Z459,MATCH(Settings!$L$11,$A$1:$Z$1,0))&amp;""),""),18,2)))),"")),"")))</f>
        <v/>
      </c>
      <c r="AM459" s="31">
        <f>IF(AE459="","",IF(ISNUMBER(IFERROR(INDEX(Settings!$G$4:$G$11,MATCH(AH459,Settings!$F$4:$F$11,0)),"")),INDEX(Settings!$G$4:$G$11,MATCH(AH459,Settings!$F$4:$F$11,0)),Settings!$D$5))</f>
        <v/>
      </c>
      <c r="AN459" s="32">
        <f>IF(OR(AE459="",NOT(ISNUMBER(AL459)),NOT(ISNUMBER(AM459))),"",IF(AM459&lt;=0,"",IF(ISNUMBER(Settings!$D$8),DATE(YEAR(AL459)+IF(DATE(YEAR(AL459),MONTH(Settings!$D$8),DAY(Settings!$D$8))&gt;AL459,0,1),MONTH(Settings!$D$8),DAY(Settings!$D$8)),MIN(DATE(YEAR(AL459),MONTH(AL459)+AM459,DAY(AL459)),DATE(YEAR(AL459),MONTH(AL459)+AM459+1,0)))))</f>
        <v/>
      </c>
      <c r="AO459" s="31">
        <f>IF(ISNUMBER(AN459),AN459-Settings!$D$4,"")</f>
        <v/>
      </c>
      <c r="AP459" s="31">
        <f>IF(ISNUMBER(AL459),AL459+0+ROW()/100000,"")</f>
        <v/>
      </c>
      <c r="AQ459" s="31">
        <f>IF(OR(AG459="",NOT(ISNUMBER(AP459))),0,IF(SUMPRODUCT(('Responses'!$AG$2:$AG$501=AG459)*('Responses'!$AJ$2:$AJ$501=1)*ISNUMBER('Responses'!$AP$2:$AP$501)*('Responses'!$AP$2:$AP$501&gt;AP459)) + SUMPRODUCT(('Paper sign-ups'!$K$2:$K$101=AG459)*('Paper sign-ups'!$N$2:$N$101=1)*ISNUMBER('Paper sign-ups'!$T$2:$T$101)*('Paper sign-ups'!$T$2:$T$101&gt;AP459))&gt;0,1,0))</f>
        <v/>
      </c>
      <c r="AR459" s="31">
        <f>IF(AE459="","",IF(AQ459=1,"Joined again",IF(AJ459=0,"Unpaid",IF(NOT(ISNUMBER(AL459)),"Add a join date",IF(AN459="","No reminder",IF(AO459&lt;0,"Lapsed",IF(AO459&lt;=Settings!$D$6,"Remind soon","Current")))))))</f>
        <v/>
      </c>
      <c r="AS459" s="33">
        <f>IF(AJ459=1,IFERROR(VALUE(IFERROR(TRIM(INDEX($A459:$Z459,MATCH(Settings!$L$8,$A$1:$Z$1,0))&amp;""),"")),0)-IFERROR(VALUE(IFERROR(TRIM(INDEX($A459:$Z459,MATCH(Settings!$L$9,$A$1:$Z$1,0))&amp;""),"")),0),0)</f>
        <v/>
      </c>
      <c r="AT459" s="31">
        <f>IF(AND(AE459&lt;&gt;"",AQ459=0),1,0)</f>
        <v/>
      </c>
      <c r="AU459" s="31">
        <f>IF(AT459=0,"",IF(ISNUMBER(AN459),AN459,100000)+0+ROW()/1000000)</f>
        <v/>
      </c>
      <c r="AV459" s="31">
        <f>IF(ISNUMBER(AU459),SUMPRODUCT(ISNUMBER('Responses'!$AU$2:$AU$501)*('Responses'!$AU$2:$AU$501&lt;AU459)) + SUMPRODUCT(ISNUMBER('Paper sign-ups'!$Y$2:$Y$101)*('Paper sign-ups'!$Y$2:$Y$101&lt;AU459))+1,"")</f>
        <v/>
      </c>
    </row>
    <row r="460">
      <c r="AA460" s="29" t="n"/>
      <c r="AB460" s="30" t="n"/>
      <c r="AC460" s="30" t="n"/>
      <c r="AD460" s="29" t="n"/>
      <c r="AE460" s="31">
        <f>IFERROR(TRIM(INDEX($A460:$Z460,MATCH(Settings!$L$4,$A$1:$Z$1,0))&amp;""),"")</f>
        <v/>
      </c>
      <c r="AF460" s="31">
        <f>IFERROR(TRIM(INDEX($A460:$Z460,MATCH(Settings!$L$5,$A$1:$Z$1,0))&amp;""),"")</f>
        <v/>
      </c>
      <c r="AG460" s="31">
        <f>IF(AE460="","",LOWER(IF(AF460&lt;&gt;"",AF460,AE460)))</f>
        <v/>
      </c>
      <c r="AH460" s="31">
        <f>IFERROR(TRIM(INDEX($A460:$Z460,MATCH(Settings!$L$6,$A$1:$Z$1,0))&amp;""),"")</f>
        <v/>
      </c>
      <c r="AI460" s="31">
        <f>IF(AE460="","",IF(UPPER(TRIM(AB460&amp;""))="Y","Paid another way",IF(IFERROR(TRIM(INDEX($A460:$Z460,MATCH(Settings!$L$7,$A$1:$Z$1,0))&amp;""),"")="","No payment status",IFERROR(TRIM(INDEX($A460:$Z460,MATCH(Settings!$L$7,$A$1:$Z$1,0))&amp;""),""))))</f>
        <v/>
      </c>
      <c r="AJ460" s="31">
        <f>IF(AE460="",0,IF(IFERROR(INDEX(Settings!$J$4:$J$14,MATCH(AI460,Settings!$I$4:$I$14,0)),"N")="Y",1,0))</f>
        <v/>
      </c>
      <c r="AK460" s="32">
        <f>IFERROR(INT(IFERROR(IF(ISNUMBER(INDEX($A460:$Z460,MATCH(Settings!$L$10,$A$1:$Z$1,0))),INDEX($A460:$Z460,MATCH(Settings!$L$10,$A$1:$Z$1,0)),DATE(VALUE(LEFT(IFERROR(TRIM(INDEX($A460:$Z460,MATCH(Settings!$L$10,$A$1:$Z$1,0))&amp;""),""),4)),VALUE(MID(IFERROR(TRIM(INDEX($A460:$Z460,MATCH(Settings!$L$10,$A$1:$Z$1,0))&amp;""),""),6,2)),VALUE(MID(IFERROR(TRIM(INDEX($A460:$Z460,MATCH(Settings!$L$10,$A$1:$Z$1,0))&amp;""),""),9,2)))+TIME(VALUE(MID(IFERROR(TRIM(INDEX($A460:$Z460,MATCH(Settings!$L$10,$A$1:$Z$1,0))&amp;""),""),12,2)),VALUE(MID(IFERROR(TRIM(INDEX($A460:$Z460,MATCH(Settings!$L$10,$A$1:$Z$1,0))&amp;""),""),15,2)),VALUE(MID(IFERROR(TRIM(INDEX($A460:$Z460,MATCH(Settings!$L$10,$A$1:$Z$1,0))&amp;""),""),18,2)))),"")),"")</f>
        <v/>
      </c>
      <c r="AL460" s="32">
        <f>IF(AE460="","",IF(ISNUMBER(AK460),AK460,IFERROR(INT(IFERROR(IF(ISNUMBER(INDEX($A460:$Z460,MATCH(Settings!$L$11,$A$1:$Z$1,0))),INDEX($A460:$Z460,MATCH(Settings!$L$11,$A$1:$Z$1,0)),DATE(VALUE(LEFT(IFERROR(TRIM(INDEX($A460:$Z460,MATCH(Settings!$L$11,$A$1:$Z$1,0))&amp;""),""),4)),VALUE(MID(IFERROR(TRIM(INDEX($A460:$Z460,MATCH(Settings!$L$11,$A$1:$Z$1,0))&amp;""),""),6,2)),VALUE(MID(IFERROR(TRIM(INDEX($A460:$Z460,MATCH(Settings!$L$11,$A$1:$Z$1,0))&amp;""),""),9,2)))+TIME(VALUE(MID(IFERROR(TRIM(INDEX($A460:$Z460,MATCH(Settings!$L$11,$A$1:$Z$1,0))&amp;""),""),12,2)),VALUE(MID(IFERROR(TRIM(INDEX($A460:$Z460,MATCH(Settings!$L$11,$A$1:$Z$1,0))&amp;""),""),15,2)),VALUE(MID(IFERROR(TRIM(INDEX($A460:$Z460,MATCH(Settings!$L$11,$A$1:$Z$1,0))&amp;""),""),18,2)))),"")),"")))</f>
        <v/>
      </c>
      <c r="AM460" s="31">
        <f>IF(AE460="","",IF(ISNUMBER(IFERROR(INDEX(Settings!$G$4:$G$11,MATCH(AH460,Settings!$F$4:$F$11,0)),"")),INDEX(Settings!$G$4:$G$11,MATCH(AH460,Settings!$F$4:$F$11,0)),Settings!$D$5))</f>
        <v/>
      </c>
      <c r="AN460" s="32">
        <f>IF(OR(AE460="",NOT(ISNUMBER(AL460)),NOT(ISNUMBER(AM460))),"",IF(AM460&lt;=0,"",IF(ISNUMBER(Settings!$D$8),DATE(YEAR(AL460)+IF(DATE(YEAR(AL460),MONTH(Settings!$D$8),DAY(Settings!$D$8))&gt;AL460,0,1),MONTH(Settings!$D$8),DAY(Settings!$D$8)),MIN(DATE(YEAR(AL460),MONTH(AL460)+AM460,DAY(AL460)),DATE(YEAR(AL460),MONTH(AL460)+AM460+1,0)))))</f>
        <v/>
      </c>
      <c r="AO460" s="31">
        <f>IF(ISNUMBER(AN460),AN460-Settings!$D$4,"")</f>
        <v/>
      </c>
      <c r="AP460" s="31">
        <f>IF(ISNUMBER(AL460),AL460+0+ROW()/100000,"")</f>
        <v/>
      </c>
      <c r="AQ460" s="31">
        <f>IF(OR(AG460="",NOT(ISNUMBER(AP460))),0,IF(SUMPRODUCT(('Responses'!$AG$2:$AG$501=AG460)*('Responses'!$AJ$2:$AJ$501=1)*ISNUMBER('Responses'!$AP$2:$AP$501)*('Responses'!$AP$2:$AP$501&gt;AP460)) + SUMPRODUCT(('Paper sign-ups'!$K$2:$K$101=AG460)*('Paper sign-ups'!$N$2:$N$101=1)*ISNUMBER('Paper sign-ups'!$T$2:$T$101)*('Paper sign-ups'!$T$2:$T$101&gt;AP460))&gt;0,1,0))</f>
        <v/>
      </c>
      <c r="AR460" s="31">
        <f>IF(AE460="","",IF(AQ460=1,"Joined again",IF(AJ460=0,"Unpaid",IF(NOT(ISNUMBER(AL460)),"Add a join date",IF(AN460="","No reminder",IF(AO460&lt;0,"Lapsed",IF(AO460&lt;=Settings!$D$6,"Remind soon","Current")))))))</f>
        <v/>
      </c>
      <c r="AS460" s="33">
        <f>IF(AJ460=1,IFERROR(VALUE(IFERROR(TRIM(INDEX($A460:$Z460,MATCH(Settings!$L$8,$A$1:$Z$1,0))&amp;""),"")),0)-IFERROR(VALUE(IFERROR(TRIM(INDEX($A460:$Z460,MATCH(Settings!$L$9,$A$1:$Z$1,0))&amp;""),"")),0),0)</f>
        <v/>
      </c>
      <c r="AT460" s="31">
        <f>IF(AND(AE460&lt;&gt;"",AQ460=0),1,0)</f>
        <v/>
      </c>
      <c r="AU460" s="31">
        <f>IF(AT460=0,"",IF(ISNUMBER(AN460),AN460,100000)+0+ROW()/1000000)</f>
        <v/>
      </c>
      <c r="AV460" s="31">
        <f>IF(ISNUMBER(AU460),SUMPRODUCT(ISNUMBER('Responses'!$AU$2:$AU$501)*('Responses'!$AU$2:$AU$501&lt;AU460)) + SUMPRODUCT(ISNUMBER('Paper sign-ups'!$Y$2:$Y$101)*('Paper sign-ups'!$Y$2:$Y$101&lt;AU460))+1,"")</f>
        <v/>
      </c>
    </row>
    <row r="461">
      <c r="AA461" s="29" t="n"/>
      <c r="AB461" s="30" t="n"/>
      <c r="AC461" s="30" t="n"/>
      <c r="AD461" s="29" t="n"/>
      <c r="AE461" s="31">
        <f>IFERROR(TRIM(INDEX($A461:$Z461,MATCH(Settings!$L$4,$A$1:$Z$1,0))&amp;""),"")</f>
        <v/>
      </c>
      <c r="AF461" s="31">
        <f>IFERROR(TRIM(INDEX($A461:$Z461,MATCH(Settings!$L$5,$A$1:$Z$1,0))&amp;""),"")</f>
        <v/>
      </c>
      <c r="AG461" s="31">
        <f>IF(AE461="","",LOWER(IF(AF461&lt;&gt;"",AF461,AE461)))</f>
        <v/>
      </c>
      <c r="AH461" s="31">
        <f>IFERROR(TRIM(INDEX($A461:$Z461,MATCH(Settings!$L$6,$A$1:$Z$1,0))&amp;""),"")</f>
        <v/>
      </c>
      <c r="AI461" s="31">
        <f>IF(AE461="","",IF(UPPER(TRIM(AB461&amp;""))="Y","Paid another way",IF(IFERROR(TRIM(INDEX($A461:$Z461,MATCH(Settings!$L$7,$A$1:$Z$1,0))&amp;""),"")="","No payment status",IFERROR(TRIM(INDEX($A461:$Z461,MATCH(Settings!$L$7,$A$1:$Z$1,0))&amp;""),""))))</f>
        <v/>
      </c>
      <c r="AJ461" s="31">
        <f>IF(AE461="",0,IF(IFERROR(INDEX(Settings!$J$4:$J$14,MATCH(AI461,Settings!$I$4:$I$14,0)),"N")="Y",1,0))</f>
        <v/>
      </c>
      <c r="AK461" s="32">
        <f>IFERROR(INT(IFERROR(IF(ISNUMBER(INDEX($A461:$Z461,MATCH(Settings!$L$10,$A$1:$Z$1,0))),INDEX($A461:$Z461,MATCH(Settings!$L$10,$A$1:$Z$1,0)),DATE(VALUE(LEFT(IFERROR(TRIM(INDEX($A461:$Z461,MATCH(Settings!$L$10,$A$1:$Z$1,0))&amp;""),""),4)),VALUE(MID(IFERROR(TRIM(INDEX($A461:$Z461,MATCH(Settings!$L$10,$A$1:$Z$1,0))&amp;""),""),6,2)),VALUE(MID(IFERROR(TRIM(INDEX($A461:$Z461,MATCH(Settings!$L$10,$A$1:$Z$1,0))&amp;""),""),9,2)))+TIME(VALUE(MID(IFERROR(TRIM(INDEX($A461:$Z461,MATCH(Settings!$L$10,$A$1:$Z$1,0))&amp;""),""),12,2)),VALUE(MID(IFERROR(TRIM(INDEX($A461:$Z461,MATCH(Settings!$L$10,$A$1:$Z$1,0))&amp;""),""),15,2)),VALUE(MID(IFERROR(TRIM(INDEX($A461:$Z461,MATCH(Settings!$L$10,$A$1:$Z$1,0))&amp;""),""),18,2)))),"")),"")</f>
        <v/>
      </c>
      <c r="AL461" s="32">
        <f>IF(AE461="","",IF(ISNUMBER(AK461),AK461,IFERROR(INT(IFERROR(IF(ISNUMBER(INDEX($A461:$Z461,MATCH(Settings!$L$11,$A$1:$Z$1,0))),INDEX($A461:$Z461,MATCH(Settings!$L$11,$A$1:$Z$1,0)),DATE(VALUE(LEFT(IFERROR(TRIM(INDEX($A461:$Z461,MATCH(Settings!$L$11,$A$1:$Z$1,0))&amp;""),""),4)),VALUE(MID(IFERROR(TRIM(INDEX($A461:$Z461,MATCH(Settings!$L$11,$A$1:$Z$1,0))&amp;""),""),6,2)),VALUE(MID(IFERROR(TRIM(INDEX($A461:$Z461,MATCH(Settings!$L$11,$A$1:$Z$1,0))&amp;""),""),9,2)))+TIME(VALUE(MID(IFERROR(TRIM(INDEX($A461:$Z461,MATCH(Settings!$L$11,$A$1:$Z$1,0))&amp;""),""),12,2)),VALUE(MID(IFERROR(TRIM(INDEX($A461:$Z461,MATCH(Settings!$L$11,$A$1:$Z$1,0))&amp;""),""),15,2)),VALUE(MID(IFERROR(TRIM(INDEX($A461:$Z461,MATCH(Settings!$L$11,$A$1:$Z$1,0))&amp;""),""),18,2)))),"")),"")))</f>
        <v/>
      </c>
      <c r="AM461" s="31">
        <f>IF(AE461="","",IF(ISNUMBER(IFERROR(INDEX(Settings!$G$4:$G$11,MATCH(AH461,Settings!$F$4:$F$11,0)),"")),INDEX(Settings!$G$4:$G$11,MATCH(AH461,Settings!$F$4:$F$11,0)),Settings!$D$5))</f>
        <v/>
      </c>
      <c r="AN461" s="32">
        <f>IF(OR(AE461="",NOT(ISNUMBER(AL461)),NOT(ISNUMBER(AM461))),"",IF(AM461&lt;=0,"",IF(ISNUMBER(Settings!$D$8),DATE(YEAR(AL461)+IF(DATE(YEAR(AL461),MONTH(Settings!$D$8),DAY(Settings!$D$8))&gt;AL461,0,1),MONTH(Settings!$D$8),DAY(Settings!$D$8)),MIN(DATE(YEAR(AL461),MONTH(AL461)+AM461,DAY(AL461)),DATE(YEAR(AL461),MONTH(AL461)+AM461+1,0)))))</f>
        <v/>
      </c>
      <c r="AO461" s="31">
        <f>IF(ISNUMBER(AN461),AN461-Settings!$D$4,"")</f>
        <v/>
      </c>
      <c r="AP461" s="31">
        <f>IF(ISNUMBER(AL461),AL461+0+ROW()/100000,"")</f>
        <v/>
      </c>
      <c r="AQ461" s="31">
        <f>IF(OR(AG461="",NOT(ISNUMBER(AP461))),0,IF(SUMPRODUCT(('Responses'!$AG$2:$AG$501=AG461)*('Responses'!$AJ$2:$AJ$501=1)*ISNUMBER('Responses'!$AP$2:$AP$501)*('Responses'!$AP$2:$AP$501&gt;AP461)) + SUMPRODUCT(('Paper sign-ups'!$K$2:$K$101=AG461)*('Paper sign-ups'!$N$2:$N$101=1)*ISNUMBER('Paper sign-ups'!$T$2:$T$101)*('Paper sign-ups'!$T$2:$T$101&gt;AP461))&gt;0,1,0))</f>
        <v/>
      </c>
      <c r="AR461" s="31">
        <f>IF(AE461="","",IF(AQ461=1,"Joined again",IF(AJ461=0,"Unpaid",IF(NOT(ISNUMBER(AL461)),"Add a join date",IF(AN461="","No reminder",IF(AO461&lt;0,"Lapsed",IF(AO461&lt;=Settings!$D$6,"Remind soon","Current")))))))</f>
        <v/>
      </c>
      <c r="AS461" s="33">
        <f>IF(AJ461=1,IFERROR(VALUE(IFERROR(TRIM(INDEX($A461:$Z461,MATCH(Settings!$L$8,$A$1:$Z$1,0))&amp;""),"")),0)-IFERROR(VALUE(IFERROR(TRIM(INDEX($A461:$Z461,MATCH(Settings!$L$9,$A$1:$Z$1,0))&amp;""),"")),0),0)</f>
        <v/>
      </c>
      <c r="AT461" s="31">
        <f>IF(AND(AE461&lt;&gt;"",AQ461=0),1,0)</f>
        <v/>
      </c>
      <c r="AU461" s="31">
        <f>IF(AT461=0,"",IF(ISNUMBER(AN461),AN461,100000)+0+ROW()/1000000)</f>
        <v/>
      </c>
      <c r="AV461" s="31">
        <f>IF(ISNUMBER(AU461),SUMPRODUCT(ISNUMBER('Responses'!$AU$2:$AU$501)*('Responses'!$AU$2:$AU$501&lt;AU461)) + SUMPRODUCT(ISNUMBER('Paper sign-ups'!$Y$2:$Y$101)*('Paper sign-ups'!$Y$2:$Y$101&lt;AU461))+1,"")</f>
        <v/>
      </c>
    </row>
    <row r="462">
      <c r="AA462" s="29" t="n"/>
      <c r="AB462" s="30" t="n"/>
      <c r="AC462" s="30" t="n"/>
      <c r="AD462" s="29" t="n"/>
      <c r="AE462" s="31">
        <f>IFERROR(TRIM(INDEX($A462:$Z462,MATCH(Settings!$L$4,$A$1:$Z$1,0))&amp;""),"")</f>
        <v/>
      </c>
      <c r="AF462" s="31">
        <f>IFERROR(TRIM(INDEX($A462:$Z462,MATCH(Settings!$L$5,$A$1:$Z$1,0))&amp;""),"")</f>
        <v/>
      </c>
      <c r="AG462" s="31">
        <f>IF(AE462="","",LOWER(IF(AF462&lt;&gt;"",AF462,AE462)))</f>
        <v/>
      </c>
      <c r="AH462" s="31">
        <f>IFERROR(TRIM(INDEX($A462:$Z462,MATCH(Settings!$L$6,$A$1:$Z$1,0))&amp;""),"")</f>
        <v/>
      </c>
      <c r="AI462" s="31">
        <f>IF(AE462="","",IF(UPPER(TRIM(AB462&amp;""))="Y","Paid another way",IF(IFERROR(TRIM(INDEX($A462:$Z462,MATCH(Settings!$L$7,$A$1:$Z$1,0))&amp;""),"")="","No payment status",IFERROR(TRIM(INDEX($A462:$Z462,MATCH(Settings!$L$7,$A$1:$Z$1,0))&amp;""),""))))</f>
        <v/>
      </c>
      <c r="AJ462" s="31">
        <f>IF(AE462="",0,IF(IFERROR(INDEX(Settings!$J$4:$J$14,MATCH(AI462,Settings!$I$4:$I$14,0)),"N")="Y",1,0))</f>
        <v/>
      </c>
      <c r="AK462" s="32">
        <f>IFERROR(INT(IFERROR(IF(ISNUMBER(INDEX($A462:$Z462,MATCH(Settings!$L$10,$A$1:$Z$1,0))),INDEX($A462:$Z462,MATCH(Settings!$L$10,$A$1:$Z$1,0)),DATE(VALUE(LEFT(IFERROR(TRIM(INDEX($A462:$Z462,MATCH(Settings!$L$10,$A$1:$Z$1,0))&amp;""),""),4)),VALUE(MID(IFERROR(TRIM(INDEX($A462:$Z462,MATCH(Settings!$L$10,$A$1:$Z$1,0))&amp;""),""),6,2)),VALUE(MID(IFERROR(TRIM(INDEX($A462:$Z462,MATCH(Settings!$L$10,$A$1:$Z$1,0))&amp;""),""),9,2)))+TIME(VALUE(MID(IFERROR(TRIM(INDEX($A462:$Z462,MATCH(Settings!$L$10,$A$1:$Z$1,0))&amp;""),""),12,2)),VALUE(MID(IFERROR(TRIM(INDEX($A462:$Z462,MATCH(Settings!$L$10,$A$1:$Z$1,0))&amp;""),""),15,2)),VALUE(MID(IFERROR(TRIM(INDEX($A462:$Z462,MATCH(Settings!$L$10,$A$1:$Z$1,0))&amp;""),""),18,2)))),"")),"")</f>
        <v/>
      </c>
      <c r="AL462" s="32">
        <f>IF(AE462="","",IF(ISNUMBER(AK462),AK462,IFERROR(INT(IFERROR(IF(ISNUMBER(INDEX($A462:$Z462,MATCH(Settings!$L$11,$A$1:$Z$1,0))),INDEX($A462:$Z462,MATCH(Settings!$L$11,$A$1:$Z$1,0)),DATE(VALUE(LEFT(IFERROR(TRIM(INDEX($A462:$Z462,MATCH(Settings!$L$11,$A$1:$Z$1,0))&amp;""),""),4)),VALUE(MID(IFERROR(TRIM(INDEX($A462:$Z462,MATCH(Settings!$L$11,$A$1:$Z$1,0))&amp;""),""),6,2)),VALUE(MID(IFERROR(TRIM(INDEX($A462:$Z462,MATCH(Settings!$L$11,$A$1:$Z$1,0))&amp;""),""),9,2)))+TIME(VALUE(MID(IFERROR(TRIM(INDEX($A462:$Z462,MATCH(Settings!$L$11,$A$1:$Z$1,0))&amp;""),""),12,2)),VALUE(MID(IFERROR(TRIM(INDEX($A462:$Z462,MATCH(Settings!$L$11,$A$1:$Z$1,0))&amp;""),""),15,2)),VALUE(MID(IFERROR(TRIM(INDEX($A462:$Z462,MATCH(Settings!$L$11,$A$1:$Z$1,0))&amp;""),""),18,2)))),"")),"")))</f>
        <v/>
      </c>
      <c r="AM462" s="31">
        <f>IF(AE462="","",IF(ISNUMBER(IFERROR(INDEX(Settings!$G$4:$G$11,MATCH(AH462,Settings!$F$4:$F$11,0)),"")),INDEX(Settings!$G$4:$G$11,MATCH(AH462,Settings!$F$4:$F$11,0)),Settings!$D$5))</f>
        <v/>
      </c>
      <c r="AN462" s="32">
        <f>IF(OR(AE462="",NOT(ISNUMBER(AL462)),NOT(ISNUMBER(AM462))),"",IF(AM462&lt;=0,"",IF(ISNUMBER(Settings!$D$8),DATE(YEAR(AL462)+IF(DATE(YEAR(AL462),MONTH(Settings!$D$8),DAY(Settings!$D$8))&gt;AL462,0,1),MONTH(Settings!$D$8),DAY(Settings!$D$8)),MIN(DATE(YEAR(AL462),MONTH(AL462)+AM462,DAY(AL462)),DATE(YEAR(AL462),MONTH(AL462)+AM462+1,0)))))</f>
        <v/>
      </c>
      <c r="AO462" s="31">
        <f>IF(ISNUMBER(AN462),AN462-Settings!$D$4,"")</f>
        <v/>
      </c>
      <c r="AP462" s="31">
        <f>IF(ISNUMBER(AL462),AL462+0+ROW()/100000,"")</f>
        <v/>
      </c>
      <c r="AQ462" s="31">
        <f>IF(OR(AG462="",NOT(ISNUMBER(AP462))),0,IF(SUMPRODUCT(('Responses'!$AG$2:$AG$501=AG462)*('Responses'!$AJ$2:$AJ$501=1)*ISNUMBER('Responses'!$AP$2:$AP$501)*('Responses'!$AP$2:$AP$501&gt;AP462)) + SUMPRODUCT(('Paper sign-ups'!$K$2:$K$101=AG462)*('Paper sign-ups'!$N$2:$N$101=1)*ISNUMBER('Paper sign-ups'!$T$2:$T$101)*('Paper sign-ups'!$T$2:$T$101&gt;AP462))&gt;0,1,0))</f>
        <v/>
      </c>
      <c r="AR462" s="31">
        <f>IF(AE462="","",IF(AQ462=1,"Joined again",IF(AJ462=0,"Unpaid",IF(NOT(ISNUMBER(AL462)),"Add a join date",IF(AN462="","No reminder",IF(AO462&lt;0,"Lapsed",IF(AO462&lt;=Settings!$D$6,"Remind soon","Current")))))))</f>
        <v/>
      </c>
      <c r="AS462" s="33">
        <f>IF(AJ462=1,IFERROR(VALUE(IFERROR(TRIM(INDEX($A462:$Z462,MATCH(Settings!$L$8,$A$1:$Z$1,0))&amp;""),"")),0)-IFERROR(VALUE(IFERROR(TRIM(INDEX($A462:$Z462,MATCH(Settings!$L$9,$A$1:$Z$1,0))&amp;""),"")),0),0)</f>
        <v/>
      </c>
      <c r="AT462" s="31">
        <f>IF(AND(AE462&lt;&gt;"",AQ462=0),1,0)</f>
        <v/>
      </c>
      <c r="AU462" s="31">
        <f>IF(AT462=0,"",IF(ISNUMBER(AN462),AN462,100000)+0+ROW()/1000000)</f>
        <v/>
      </c>
      <c r="AV462" s="31">
        <f>IF(ISNUMBER(AU462),SUMPRODUCT(ISNUMBER('Responses'!$AU$2:$AU$501)*('Responses'!$AU$2:$AU$501&lt;AU462)) + SUMPRODUCT(ISNUMBER('Paper sign-ups'!$Y$2:$Y$101)*('Paper sign-ups'!$Y$2:$Y$101&lt;AU462))+1,"")</f>
        <v/>
      </c>
    </row>
    <row r="463">
      <c r="AA463" s="29" t="n"/>
      <c r="AB463" s="30" t="n"/>
      <c r="AC463" s="30" t="n"/>
      <c r="AD463" s="29" t="n"/>
      <c r="AE463" s="31">
        <f>IFERROR(TRIM(INDEX($A463:$Z463,MATCH(Settings!$L$4,$A$1:$Z$1,0))&amp;""),"")</f>
        <v/>
      </c>
      <c r="AF463" s="31">
        <f>IFERROR(TRIM(INDEX($A463:$Z463,MATCH(Settings!$L$5,$A$1:$Z$1,0))&amp;""),"")</f>
        <v/>
      </c>
      <c r="AG463" s="31">
        <f>IF(AE463="","",LOWER(IF(AF463&lt;&gt;"",AF463,AE463)))</f>
        <v/>
      </c>
      <c r="AH463" s="31">
        <f>IFERROR(TRIM(INDEX($A463:$Z463,MATCH(Settings!$L$6,$A$1:$Z$1,0))&amp;""),"")</f>
        <v/>
      </c>
      <c r="AI463" s="31">
        <f>IF(AE463="","",IF(UPPER(TRIM(AB463&amp;""))="Y","Paid another way",IF(IFERROR(TRIM(INDEX($A463:$Z463,MATCH(Settings!$L$7,$A$1:$Z$1,0))&amp;""),"")="","No payment status",IFERROR(TRIM(INDEX($A463:$Z463,MATCH(Settings!$L$7,$A$1:$Z$1,0))&amp;""),""))))</f>
        <v/>
      </c>
      <c r="AJ463" s="31">
        <f>IF(AE463="",0,IF(IFERROR(INDEX(Settings!$J$4:$J$14,MATCH(AI463,Settings!$I$4:$I$14,0)),"N")="Y",1,0))</f>
        <v/>
      </c>
      <c r="AK463" s="32">
        <f>IFERROR(INT(IFERROR(IF(ISNUMBER(INDEX($A463:$Z463,MATCH(Settings!$L$10,$A$1:$Z$1,0))),INDEX($A463:$Z463,MATCH(Settings!$L$10,$A$1:$Z$1,0)),DATE(VALUE(LEFT(IFERROR(TRIM(INDEX($A463:$Z463,MATCH(Settings!$L$10,$A$1:$Z$1,0))&amp;""),""),4)),VALUE(MID(IFERROR(TRIM(INDEX($A463:$Z463,MATCH(Settings!$L$10,$A$1:$Z$1,0))&amp;""),""),6,2)),VALUE(MID(IFERROR(TRIM(INDEX($A463:$Z463,MATCH(Settings!$L$10,$A$1:$Z$1,0))&amp;""),""),9,2)))+TIME(VALUE(MID(IFERROR(TRIM(INDEX($A463:$Z463,MATCH(Settings!$L$10,$A$1:$Z$1,0))&amp;""),""),12,2)),VALUE(MID(IFERROR(TRIM(INDEX($A463:$Z463,MATCH(Settings!$L$10,$A$1:$Z$1,0))&amp;""),""),15,2)),VALUE(MID(IFERROR(TRIM(INDEX($A463:$Z463,MATCH(Settings!$L$10,$A$1:$Z$1,0))&amp;""),""),18,2)))),"")),"")</f>
        <v/>
      </c>
      <c r="AL463" s="32">
        <f>IF(AE463="","",IF(ISNUMBER(AK463),AK463,IFERROR(INT(IFERROR(IF(ISNUMBER(INDEX($A463:$Z463,MATCH(Settings!$L$11,$A$1:$Z$1,0))),INDEX($A463:$Z463,MATCH(Settings!$L$11,$A$1:$Z$1,0)),DATE(VALUE(LEFT(IFERROR(TRIM(INDEX($A463:$Z463,MATCH(Settings!$L$11,$A$1:$Z$1,0))&amp;""),""),4)),VALUE(MID(IFERROR(TRIM(INDEX($A463:$Z463,MATCH(Settings!$L$11,$A$1:$Z$1,0))&amp;""),""),6,2)),VALUE(MID(IFERROR(TRIM(INDEX($A463:$Z463,MATCH(Settings!$L$11,$A$1:$Z$1,0))&amp;""),""),9,2)))+TIME(VALUE(MID(IFERROR(TRIM(INDEX($A463:$Z463,MATCH(Settings!$L$11,$A$1:$Z$1,0))&amp;""),""),12,2)),VALUE(MID(IFERROR(TRIM(INDEX($A463:$Z463,MATCH(Settings!$L$11,$A$1:$Z$1,0))&amp;""),""),15,2)),VALUE(MID(IFERROR(TRIM(INDEX($A463:$Z463,MATCH(Settings!$L$11,$A$1:$Z$1,0))&amp;""),""),18,2)))),"")),"")))</f>
        <v/>
      </c>
      <c r="AM463" s="31">
        <f>IF(AE463="","",IF(ISNUMBER(IFERROR(INDEX(Settings!$G$4:$G$11,MATCH(AH463,Settings!$F$4:$F$11,0)),"")),INDEX(Settings!$G$4:$G$11,MATCH(AH463,Settings!$F$4:$F$11,0)),Settings!$D$5))</f>
        <v/>
      </c>
      <c r="AN463" s="32">
        <f>IF(OR(AE463="",NOT(ISNUMBER(AL463)),NOT(ISNUMBER(AM463))),"",IF(AM463&lt;=0,"",IF(ISNUMBER(Settings!$D$8),DATE(YEAR(AL463)+IF(DATE(YEAR(AL463),MONTH(Settings!$D$8),DAY(Settings!$D$8))&gt;AL463,0,1),MONTH(Settings!$D$8),DAY(Settings!$D$8)),MIN(DATE(YEAR(AL463),MONTH(AL463)+AM463,DAY(AL463)),DATE(YEAR(AL463),MONTH(AL463)+AM463+1,0)))))</f>
        <v/>
      </c>
      <c r="AO463" s="31">
        <f>IF(ISNUMBER(AN463),AN463-Settings!$D$4,"")</f>
        <v/>
      </c>
      <c r="AP463" s="31">
        <f>IF(ISNUMBER(AL463),AL463+0+ROW()/100000,"")</f>
        <v/>
      </c>
      <c r="AQ463" s="31">
        <f>IF(OR(AG463="",NOT(ISNUMBER(AP463))),0,IF(SUMPRODUCT(('Responses'!$AG$2:$AG$501=AG463)*('Responses'!$AJ$2:$AJ$501=1)*ISNUMBER('Responses'!$AP$2:$AP$501)*('Responses'!$AP$2:$AP$501&gt;AP463)) + SUMPRODUCT(('Paper sign-ups'!$K$2:$K$101=AG463)*('Paper sign-ups'!$N$2:$N$101=1)*ISNUMBER('Paper sign-ups'!$T$2:$T$101)*('Paper sign-ups'!$T$2:$T$101&gt;AP463))&gt;0,1,0))</f>
        <v/>
      </c>
      <c r="AR463" s="31">
        <f>IF(AE463="","",IF(AQ463=1,"Joined again",IF(AJ463=0,"Unpaid",IF(NOT(ISNUMBER(AL463)),"Add a join date",IF(AN463="","No reminder",IF(AO463&lt;0,"Lapsed",IF(AO463&lt;=Settings!$D$6,"Remind soon","Current")))))))</f>
        <v/>
      </c>
      <c r="AS463" s="33">
        <f>IF(AJ463=1,IFERROR(VALUE(IFERROR(TRIM(INDEX($A463:$Z463,MATCH(Settings!$L$8,$A$1:$Z$1,0))&amp;""),"")),0)-IFERROR(VALUE(IFERROR(TRIM(INDEX($A463:$Z463,MATCH(Settings!$L$9,$A$1:$Z$1,0))&amp;""),"")),0),0)</f>
        <v/>
      </c>
      <c r="AT463" s="31">
        <f>IF(AND(AE463&lt;&gt;"",AQ463=0),1,0)</f>
        <v/>
      </c>
      <c r="AU463" s="31">
        <f>IF(AT463=0,"",IF(ISNUMBER(AN463),AN463,100000)+0+ROW()/1000000)</f>
        <v/>
      </c>
      <c r="AV463" s="31">
        <f>IF(ISNUMBER(AU463),SUMPRODUCT(ISNUMBER('Responses'!$AU$2:$AU$501)*('Responses'!$AU$2:$AU$501&lt;AU463)) + SUMPRODUCT(ISNUMBER('Paper sign-ups'!$Y$2:$Y$101)*('Paper sign-ups'!$Y$2:$Y$101&lt;AU463))+1,"")</f>
        <v/>
      </c>
    </row>
    <row r="464">
      <c r="AA464" s="29" t="n"/>
      <c r="AB464" s="30" t="n"/>
      <c r="AC464" s="30" t="n"/>
      <c r="AD464" s="29" t="n"/>
      <c r="AE464" s="31">
        <f>IFERROR(TRIM(INDEX($A464:$Z464,MATCH(Settings!$L$4,$A$1:$Z$1,0))&amp;""),"")</f>
        <v/>
      </c>
      <c r="AF464" s="31">
        <f>IFERROR(TRIM(INDEX($A464:$Z464,MATCH(Settings!$L$5,$A$1:$Z$1,0))&amp;""),"")</f>
        <v/>
      </c>
      <c r="AG464" s="31">
        <f>IF(AE464="","",LOWER(IF(AF464&lt;&gt;"",AF464,AE464)))</f>
        <v/>
      </c>
      <c r="AH464" s="31">
        <f>IFERROR(TRIM(INDEX($A464:$Z464,MATCH(Settings!$L$6,$A$1:$Z$1,0))&amp;""),"")</f>
        <v/>
      </c>
      <c r="AI464" s="31">
        <f>IF(AE464="","",IF(UPPER(TRIM(AB464&amp;""))="Y","Paid another way",IF(IFERROR(TRIM(INDEX($A464:$Z464,MATCH(Settings!$L$7,$A$1:$Z$1,0))&amp;""),"")="","No payment status",IFERROR(TRIM(INDEX($A464:$Z464,MATCH(Settings!$L$7,$A$1:$Z$1,0))&amp;""),""))))</f>
        <v/>
      </c>
      <c r="AJ464" s="31">
        <f>IF(AE464="",0,IF(IFERROR(INDEX(Settings!$J$4:$J$14,MATCH(AI464,Settings!$I$4:$I$14,0)),"N")="Y",1,0))</f>
        <v/>
      </c>
      <c r="AK464" s="32">
        <f>IFERROR(INT(IFERROR(IF(ISNUMBER(INDEX($A464:$Z464,MATCH(Settings!$L$10,$A$1:$Z$1,0))),INDEX($A464:$Z464,MATCH(Settings!$L$10,$A$1:$Z$1,0)),DATE(VALUE(LEFT(IFERROR(TRIM(INDEX($A464:$Z464,MATCH(Settings!$L$10,$A$1:$Z$1,0))&amp;""),""),4)),VALUE(MID(IFERROR(TRIM(INDEX($A464:$Z464,MATCH(Settings!$L$10,$A$1:$Z$1,0))&amp;""),""),6,2)),VALUE(MID(IFERROR(TRIM(INDEX($A464:$Z464,MATCH(Settings!$L$10,$A$1:$Z$1,0))&amp;""),""),9,2)))+TIME(VALUE(MID(IFERROR(TRIM(INDEX($A464:$Z464,MATCH(Settings!$L$10,$A$1:$Z$1,0))&amp;""),""),12,2)),VALUE(MID(IFERROR(TRIM(INDEX($A464:$Z464,MATCH(Settings!$L$10,$A$1:$Z$1,0))&amp;""),""),15,2)),VALUE(MID(IFERROR(TRIM(INDEX($A464:$Z464,MATCH(Settings!$L$10,$A$1:$Z$1,0))&amp;""),""),18,2)))),"")),"")</f>
        <v/>
      </c>
      <c r="AL464" s="32">
        <f>IF(AE464="","",IF(ISNUMBER(AK464),AK464,IFERROR(INT(IFERROR(IF(ISNUMBER(INDEX($A464:$Z464,MATCH(Settings!$L$11,$A$1:$Z$1,0))),INDEX($A464:$Z464,MATCH(Settings!$L$11,$A$1:$Z$1,0)),DATE(VALUE(LEFT(IFERROR(TRIM(INDEX($A464:$Z464,MATCH(Settings!$L$11,$A$1:$Z$1,0))&amp;""),""),4)),VALUE(MID(IFERROR(TRIM(INDEX($A464:$Z464,MATCH(Settings!$L$11,$A$1:$Z$1,0))&amp;""),""),6,2)),VALUE(MID(IFERROR(TRIM(INDEX($A464:$Z464,MATCH(Settings!$L$11,$A$1:$Z$1,0))&amp;""),""),9,2)))+TIME(VALUE(MID(IFERROR(TRIM(INDEX($A464:$Z464,MATCH(Settings!$L$11,$A$1:$Z$1,0))&amp;""),""),12,2)),VALUE(MID(IFERROR(TRIM(INDEX($A464:$Z464,MATCH(Settings!$L$11,$A$1:$Z$1,0))&amp;""),""),15,2)),VALUE(MID(IFERROR(TRIM(INDEX($A464:$Z464,MATCH(Settings!$L$11,$A$1:$Z$1,0))&amp;""),""),18,2)))),"")),"")))</f>
        <v/>
      </c>
      <c r="AM464" s="31">
        <f>IF(AE464="","",IF(ISNUMBER(IFERROR(INDEX(Settings!$G$4:$G$11,MATCH(AH464,Settings!$F$4:$F$11,0)),"")),INDEX(Settings!$G$4:$G$11,MATCH(AH464,Settings!$F$4:$F$11,0)),Settings!$D$5))</f>
        <v/>
      </c>
      <c r="AN464" s="32">
        <f>IF(OR(AE464="",NOT(ISNUMBER(AL464)),NOT(ISNUMBER(AM464))),"",IF(AM464&lt;=0,"",IF(ISNUMBER(Settings!$D$8),DATE(YEAR(AL464)+IF(DATE(YEAR(AL464),MONTH(Settings!$D$8),DAY(Settings!$D$8))&gt;AL464,0,1),MONTH(Settings!$D$8),DAY(Settings!$D$8)),MIN(DATE(YEAR(AL464),MONTH(AL464)+AM464,DAY(AL464)),DATE(YEAR(AL464),MONTH(AL464)+AM464+1,0)))))</f>
        <v/>
      </c>
      <c r="AO464" s="31">
        <f>IF(ISNUMBER(AN464),AN464-Settings!$D$4,"")</f>
        <v/>
      </c>
      <c r="AP464" s="31">
        <f>IF(ISNUMBER(AL464),AL464+0+ROW()/100000,"")</f>
        <v/>
      </c>
      <c r="AQ464" s="31">
        <f>IF(OR(AG464="",NOT(ISNUMBER(AP464))),0,IF(SUMPRODUCT(('Responses'!$AG$2:$AG$501=AG464)*('Responses'!$AJ$2:$AJ$501=1)*ISNUMBER('Responses'!$AP$2:$AP$501)*('Responses'!$AP$2:$AP$501&gt;AP464)) + SUMPRODUCT(('Paper sign-ups'!$K$2:$K$101=AG464)*('Paper sign-ups'!$N$2:$N$101=1)*ISNUMBER('Paper sign-ups'!$T$2:$T$101)*('Paper sign-ups'!$T$2:$T$101&gt;AP464))&gt;0,1,0))</f>
        <v/>
      </c>
      <c r="AR464" s="31">
        <f>IF(AE464="","",IF(AQ464=1,"Joined again",IF(AJ464=0,"Unpaid",IF(NOT(ISNUMBER(AL464)),"Add a join date",IF(AN464="","No reminder",IF(AO464&lt;0,"Lapsed",IF(AO464&lt;=Settings!$D$6,"Remind soon","Current")))))))</f>
        <v/>
      </c>
      <c r="AS464" s="33">
        <f>IF(AJ464=1,IFERROR(VALUE(IFERROR(TRIM(INDEX($A464:$Z464,MATCH(Settings!$L$8,$A$1:$Z$1,0))&amp;""),"")),0)-IFERROR(VALUE(IFERROR(TRIM(INDEX($A464:$Z464,MATCH(Settings!$L$9,$A$1:$Z$1,0))&amp;""),"")),0),0)</f>
        <v/>
      </c>
      <c r="AT464" s="31">
        <f>IF(AND(AE464&lt;&gt;"",AQ464=0),1,0)</f>
        <v/>
      </c>
      <c r="AU464" s="31">
        <f>IF(AT464=0,"",IF(ISNUMBER(AN464),AN464,100000)+0+ROW()/1000000)</f>
        <v/>
      </c>
      <c r="AV464" s="31">
        <f>IF(ISNUMBER(AU464),SUMPRODUCT(ISNUMBER('Responses'!$AU$2:$AU$501)*('Responses'!$AU$2:$AU$501&lt;AU464)) + SUMPRODUCT(ISNUMBER('Paper sign-ups'!$Y$2:$Y$101)*('Paper sign-ups'!$Y$2:$Y$101&lt;AU464))+1,"")</f>
        <v/>
      </c>
    </row>
    <row r="465">
      <c r="AA465" s="29" t="n"/>
      <c r="AB465" s="30" t="n"/>
      <c r="AC465" s="30" t="n"/>
      <c r="AD465" s="29" t="n"/>
      <c r="AE465" s="31">
        <f>IFERROR(TRIM(INDEX($A465:$Z465,MATCH(Settings!$L$4,$A$1:$Z$1,0))&amp;""),"")</f>
        <v/>
      </c>
      <c r="AF465" s="31">
        <f>IFERROR(TRIM(INDEX($A465:$Z465,MATCH(Settings!$L$5,$A$1:$Z$1,0))&amp;""),"")</f>
        <v/>
      </c>
      <c r="AG465" s="31">
        <f>IF(AE465="","",LOWER(IF(AF465&lt;&gt;"",AF465,AE465)))</f>
        <v/>
      </c>
      <c r="AH465" s="31">
        <f>IFERROR(TRIM(INDEX($A465:$Z465,MATCH(Settings!$L$6,$A$1:$Z$1,0))&amp;""),"")</f>
        <v/>
      </c>
      <c r="AI465" s="31">
        <f>IF(AE465="","",IF(UPPER(TRIM(AB465&amp;""))="Y","Paid another way",IF(IFERROR(TRIM(INDEX($A465:$Z465,MATCH(Settings!$L$7,$A$1:$Z$1,0))&amp;""),"")="","No payment status",IFERROR(TRIM(INDEX($A465:$Z465,MATCH(Settings!$L$7,$A$1:$Z$1,0))&amp;""),""))))</f>
        <v/>
      </c>
      <c r="AJ465" s="31">
        <f>IF(AE465="",0,IF(IFERROR(INDEX(Settings!$J$4:$J$14,MATCH(AI465,Settings!$I$4:$I$14,0)),"N")="Y",1,0))</f>
        <v/>
      </c>
      <c r="AK465" s="32">
        <f>IFERROR(INT(IFERROR(IF(ISNUMBER(INDEX($A465:$Z465,MATCH(Settings!$L$10,$A$1:$Z$1,0))),INDEX($A465:$Z465,MATCH(Settings!$L$10,$A$1:$Z$1,0)),DATE(VALUE(LEFT(IFERROR(TRIM(INDEX($A465:$Z465,MATCH(Settings!$L$10,$A$1:$Z$1,0))&amp;""),""),4)),VALUE(MID(IFERROR(TRIM(INDEX($A465:$Z465,MATCH(Settings!$L$10,$A$1:$Z$1,0))&amp;""),""),6,2)),VALUE(MID(IFERROR(TRIM(INDEX($A465:$Z465,MATCH(Settings!$L$10,$A$1:$Z$1,0))&amp;""),""),9,2)))+TIME(VALUE(MID(IFERROR(TRIM(INDEX($A465:$Z465,MATCH(Settings!$L$10,$A$1:$Z$1,0))&amp;""),""),12,2)),VALUE(MID(IFERROR(TRIM(INDEX($A465:$Z465,MATCH(Settings!$L$10,$A$1:$Z$1,0))&amp;""),""),15,2)),VALUE(MID(IFERROR(TRIM(INDEX($A465:$Z465,MATCH(Settings!$L$10,$A$1:$Z$1,0))&amp;""),""),18,2)))),"")),"")</f>
        <v/>
      </c>
      <c r="AL465" s="32">
        <f>IF(AE465="","",IF(ISNUMBER(AK465),AK465,IFERROR(INT(IFERROR(IF(ISNUMBER(INDEX($A465:$Z465,MATCH(Settings!$L$11,$A$1:$Z$1,0))),INDEX($A465:$Z465,MATCH(Settings!$L$11,$A$1:$Z$1,0)),DATE(VALUE(LEFT(IFERROR(TRIM(INDEX($A465:$Z465,MATCH(Settings!$L$11,$A$1:$Z$1,0))&amp;""),""),4)),VALUE(MID(IFERROR(TRIM(INDEX($A465:$Z465,MATCH(Settings!$L$11,$A$1:$Z$1,0))&amp;""),""),6,2)),VALUE(MID(IFERROR(TRIM(INDEX($A465:$Z465,MATCH(Settings!$L$11,$A$1:$Z$1,0))&amp;""),""),9,2)))+TIME(VALUE(MID(IFERROR(TRIM(INDEX($A465:$Z465,MATCH(Settings!$L$11,$A$1:$Z$1,0))&amp;""),""),12,2)),VALUE(MID(IFERROR(TRIM(INDEX($A465:$Z465,MATCH(Settings!$L$11,$A$1:$Z$1,0))&amp;""),""),15,2)),VALUE(MID(IFERROR(TRIM(INDEX($A465:$Z465,MATCH(Settings!$L$11,$A$1:$Z$1,0))&amp;""),""),18,2)))),"")),"")))</f>
        <v/>
      </c>
      <c r="AM465" s="31">
        <f>IF(AE465="","",IF(ISNUMBER(IFERROR(INDEX(Settings!$G$4:$G$11,MATCH(AH465,Settings!$F$4:$F$11,0)),"")),INDEX(Settings!$G$4:$G$11,MATCH(AH465,Settings!$F$4:$F$11,0)),Settings!$D$5))</f>
        <v/>
      </c>
      <c r="AN465" s="32">
        <f>IF(OR(AE465="",NOT(ISNUMBER(AL465)),NOT(ISNUMBER(AM465))),"",IF(AM465&lt;=0,"",IF(ISNUMBER(Settings!$D$8),DATE(YEAR(AL465)+IF(DATE(YEAR(AL465),MONTH(Settings!$D$8),DAY(Settings!$D$8))&gt;AL465,0,1),MONTH(Settings!$D$8),DAY(Settings!$D$8)),MIN(DATE(YEAR(AL465),MONTH(AL465)+AM465,DAY(AL465)),DATE(YEAR(AL465),MONTH(AL465)+AM465+1,0)))))</f>
        <v/>
      </c>
      <c r="AO465" s="31">
        <f>IF(ISNUMBER(AN465),AN465-Settings!$D$4,"")</f>
        <v/>
      </c>
      <c r="AP465" s="31">
        <f>IF(ISNUMBER(AL465),AL465+0+ROW()/100000,"")</f>
        <v/>
      </c>
      <c r="AQ465" s="31">
        <f>IF(OR(AG465="",NOT(ISNUMBER(AP465))),0,IF(SUMPRODUCT(('Responses'!$AG$2:$AG$501=AG465)*('Responses'!$AJ$2:$AJ$501=1)*ISNUMBER('Responses'!$AP$2:$AP$501)*('Responses'!$AP$2:$AP$501&gt;AP465)) + SUMPRODUCT(('Paper sign-ups'!$K$2:$K$101=AG465)*('Paper sign-ups'!$N$2:$N$101=1)*ISNUMBER('Paper sign-ups'!$T$2:$T$101)*('Paper sign-ups'!$T$2:$T$101&gt;AP465))&gt;0,1,0))</f>
        <v/>
      </c>
      <c r="AR465" s="31">
        <f>IF(AE465="","",IF(AQ465=1,"Joined again",IF(AJ465=0,"Unpaid",IF(NOT(ISNUMBER(AL465)),"Add a join date",IF(AN465="","No reminder",IF(AO465&lt;0,"Lapsed",IF(AO465&lt;=Settings!$D$6,"Remind soon","Current")))))))</f>
        <v/>
      </c>
      <c r="AS465" s="33">
        <f>IF(AJ465=1,IFERROR(VALUE(IFERROR(TRIM(INDEX($A465:$Z465,MATCH(Settings!$L$8,$A$1:$Z$1,0))&amp;""),"")),0)-IFERROR(VALUE(IFERROR(TRIM(INDEX($A465:$Z465,MATCH(Settings!$L$9,$A$1:$Z$1,0))&amp;""),"")),0),0)</f>
        <v/>
      </c>
      <c r="AT465" s="31">
        <f>IF(AND(AE465&lt;&gt;"",AQ465=0),1,0)</f>
        <v/>
      </c>
      <c r="AU465" s="31">
        <f>IF(AT465=0,"",IF(ISNUMBER(AN465),AN465,100000)+0+ROW()/1000000)</f>
        <v/>
      </c>
      <c r="AV465" s="31">
        <f>IF(ISNUMBER(AU465),SUMPRODUCT(ISNUMBER('Responses'!$AU$2:$AU$501)*('Responses'!$AU$2:$AU$501&lt;AU465)) + SUMPRODUCT(ISNUMBER('Paper sign-ups'!$Y$2:$Y$101)*('Paper sign-ups'!$Y$2:$Y$101&lt;AU465))+1,"")</f>
        <v/>
      </c>
    </row>
    <row r="466">
      <c r="AA466" s="29" t="n"/>
      <c r="AB466" s="30" t="n"/>
      <c r="AC466" s="30" t="n"/>
      <c r="AD466" s="29" t="n"/>
      <c r="AE466" s="31">
        <f>IFERROR(TRIM(INDEX($A466:$Z466,MATCH(Settings!$L$4,$A$1:$Z$1,0))&amp;""),"")</f>
        <v/>
      </c>
      <c r="AF466" s="31">
        <f>IFERROR(TRIM(INDEX($A466:$Z466,MATCH(Settings!$L$5,$A$1:$Z$1,0))&amp;""),"")</f>
        <v/>
      </c>
      <c r="AG466" s="31">
        <f>IF(AE466="","",LOWER(IF(AF466&lt;&gt;"",AF466,AE466)))</f>
        <v/>
      </c>
      <c r="AH466" s="31">
        <f>IFERROR(TRIM(INDEX($A466:$Z466,MATCH(Settings!$L$6,$A$1:$Z$1,0))&amp;""),"")</f>
        <v/>
      </c>
      <c r="AI466" s="31">
        <f>IF(AE466="","",IF(UPPER(TRIM(AB466&amp;""))="Y","Paid another way",IF(IFERROR(TRIM(INDEX($A466:$Z466,MATCH(Settings!$L$7,$A$1:$Z$1,0))&amp;""),"")="","No payment status",IFERROR(TRIM(INDEX($A466:$Z466,MATCH(Settings!$L$7,$A$1:$Z$1,0))&amp;""),""))))</f>
        <v/>
      </c>
      <c r="AJ466" s="31">
        <f>IF(AE466="",0,IF(IFERROR(INDEX(Settings!$J$4:$J$14,MATCH(AI466,Settings!$I$4:$I$14,0)),"N")="Y",1,0))</f>
        <v/>
      </c>
      <c r="AK466" s="32">
        <f>IFERROR(INT(IFERROR(IF(ISNUMBER(INDEX($A466:$Z466,MATCH(Settings!$L$10,$A$1:$Z$1,0))),INDEX($A466:$Z466,MATCH(Settings!$L$10,$A$1:$Z$1,0)),DATE(VALUE(LEFT(IFERROR(TRIM(INDEX($A466:$Z466,MATCH(Settings!$L$10,$A$1:$Z$1,0))&amp;""),""),4)),VALUE(MID(IFERROR(TRIM(INDEX($A466:$Z466,MATCH(Settings!$L$10,$A$1:$Z$1,0))&amp;""),""),6,2)),VALUE(MID(IFERROR(TRIM(INDEX($A466:$Z466,MATCH(Settings!$L$10,$A$1:$Z$1,0))&amp;""),""),9,2)))+TIME(VALUE(MID(IFERROR(TRIM(INDEX($A466:$Z466,MATCH(Settings!$L$10,$A$1:$Z$1,0))&amp;""),""),12,2)),VALUE(MID(IFERROR(TRIM(INDEX($A466:$Z466,MATCH(Settings!$L$10,$A$1:$Z$1,0))&amp;""),""),15,2)),VALUE(MID(IFERROR(TRIM(INDEX($A466:$Z466,MATCH(Settings!$L$10,$A$1:$Z$1,0))&amp;""),""),18,2)))),"")),"")</f>
        <v/>
      </c>
      <c r="AL466" s="32">
        <f>IF(AE466="","",IF(ISNUMBER(AK466),AK466,IFERROR(INT(IFERROR(IF(ISNUMBER(INDEX($A466:$Z466,MATCH(Settings!$L$11,$A$1:$Z$1,0))),INDEX($A466:$Z466,MATCH(Settings!$L$11,$A$1:$Z$1,0)),DATE(VALUE(LEFT(IFERROR(TRIM(INDEX($A466:$Z466,MATCH(Settings!$L$11,$A$1:$Z$1,0))&amp;""),""),4)),VALUE(MID(IFERROR(TRIM(INDEX($A466:$Z466,MATCH(Settings!$L$11,$A$1:$Z$1,0))&amp;""),""),6,2)),VALUE(MID(IFERROR(TRIM(INDEX($A466:$Z466,MATCH(Settings!$L$11,$A$1:$Z$1,0))&amp;""),""),9,2)))+TIME(VALUE(MID(IFERROR(TRIM(INDEX($A466:$Z466,MATCH(Settings!$L$11,$A$1:$Z$1,0))&amp;""),""),12,2)),VALUE(MID(IFERROR(TRIM(INDEX($A466:$Z466,MATCH(Settings!$L$11,$A$1:$Z$1,0))&amp;""),""),15,2)),VALUE(MID(IFERROR(TRIM(INDEX($A466:$Z466,MATCH(Settings!$L$11,$A$1:$Z$1,0))&amp;""),""),18,2)))),"")),"")))</f>
        <v/>
      </c>
      <c r="AM466" s="31">
        <f>IF(AE466="","",IF(ISNUMBER(IFERROR(INDEX(Settings!$G$4:$G$11,MATCH(AH466,Settings!$F$4:$F$11,0)),"")),INDEX(Settings!$G$4:$G$11,MATCH(AH466,Settings!$F$4:$F$11,0)),Settings!$D$5))</f>
        <v/>
      </c>
      <c r="AN466" s="32">
        <f>IF(OR(AE466="",NOT(ISNUMBER(AL466)),NOT(ISNUMBER(AM466))),"",IF(AM466&lt;=0,"",IF(ISNUMBER(Settings!$D$8),DATE(YEAR(AL466)+IF(DATE(YEAR(AL466),MONTH(Settings!$D$8),DAY(Settings!$D$8))&gt;AL466,0,1),MONTH(Settings!$D$8),DAY(Settings!$D$8)),MIN(DATE(YEAR(AL466),MONTH(AL466)+AM466,DAY(AL466)),DATE(YEAR(AL466),MONTH(AL466)+AM466+1,0)))))</f>
        <v/>
      </c>
      <c r="AO466" s="31">
        <f>IF(ISNUMBER(AN466),AN466-Settings!$D$4,"")</f>
        <v/>
      </c>
      <c r="AP466" s="31">
        <f>IF(ISNUMBER(AL466),AL466+0+ROW()/100000,"")</f>
        <v/>
      </c>
      <c r="AQ466" s="31">
        <f>IF(OR(AG466="",NOT(ISNUMBER(AP466))),0,IF(SUMPRODUCT(('Responses'!$AG$2:$AG$501=AG466)*('Responses'!$AJ$2:$AJ$501=1)*ISNUMBER('Responses'!$AP$2:$AP$501)*('Responses'!$AP$2:$AP$501&gt;AP466)) + SUMPRODUCT(('Paper sign-ups'!$K$2:$K$101=AG466)*('Paper sign-ups'!$N$2:$N$101=1)*ISNUMBER('Paper sign-ups'!$T$2:$T$101)*('Paper sign-ups'!$T$2:$T$101&gt;AP466))&gt;0,1,0))</f>
        <v/>
      </c>
      <c r="AR466" s="31">
        <f>IF(AE466="","",IF(AQ466=1,"Joined again",IF(AJ466=0,"Unpaid",IF(NOT(ISNUMBER(AL466)),"Add a join date",IF(AN466="","No reminder",IF(AO466&lt;0,"Lapsed",IF(AO466&lt;=Settings!$D$6,"Remind soon","Current")))))))</f>
        <v/>
      </c>
      <c r="AS466" s="33">
        <f>IF(AJ466=1,IFERROR(VALUE(IFERROR(TRIM(INDEX($A466:$Z466,MATCH(Settings!$L$8,$A$1:$Z$1,0))&amp;""),"")),0)-IFERROR(VALUE(IFERROR(TRIM(INDEX($A466:$Z466,MATCH(Settings!$L$9,$A$1:$Z$1,0))&amp;""),"")),0),0)</f>
        <v/>
      </c>
      <c r="AT466" s="31">
        <f>IF(AND(AE466&lt;&gt;"",AQ466=0),1,0)</f>
        <v/>
      </c>
      <c r="AU466" s="31">
        <f>IF(AT466=0,"",IF(ISNUMBER(AN466),AN466,100000)+0+ROW()/1000000)</f>
        <v/>
      </c>
      <c r="AV466" s="31">
        <f>IF(ISNUMBER(AU466),SUMPRODUCT(ISNUMBER('Responses'!$AU$2:$AU$501)*('Responses'!$AU$2:$AU$501&lt;AU466)) + SUMPRODUCT(ISNUMBER('Paper sign-ups'!$Y$2:$Y$101)*('Paper sign-ups'!$Y$2:$Y$101&lt;AU466))+1,"")</f>
        <v/>
      </c>
    </row>
    <row r="467">
      <c r="AA467" s="29" t="n"/>
      <c r="AB467" s="30" t="n"/>
      <c r="AC467" s="30" t="n"/>
      <c r="AD467" s="29" t="n"/>
      <c r="AE467" s="31">
        <f>IFERROR(TRIM(INDEX($A467:$Z467,MATCH(Settings!$L$4,$A$1:$Z$1,0))&amp;""),"")</f>
        <v/>
      </c>
      <c r="AF467" s="31">
        <f>IFERROR(TRIM(INDEX($A467:$Z467,MATCH(Settings!$L$5,$A$1:$Z$1,0))&amp;""),"")</f>
        <v/>
      </c>
      <c r="AG467" s="31">
        <f>IF(AE467="","",LOWER(IF(AF467&lt;&gt;"",AF467,AE467)))</f>
        <v/>
      </c>
      <c r="AH467" s="31">
        <f>IFERROR(TRIM(INDEX($A467:$Z467,MATCH(Settings!$L$6,$A$1:$Z$1,0))&amp;""),"")</f>
        <v/>
      </c>
      <c r="AI467" s="31">
        <f>IF(AE467="","",IF(UPPER(TRIM(AB467&amp;""))="Y","Paid another way",IF(IFERROR(TRIM(INDEX($A467:$Z467,MATCH(Settings!$L$7,$A$1:$Z$1,0))&amp;""),"")="","No payment status",IFERROR(TRIM(INDEX($A467:$Z467,MATCH(Settings!$L$7,$A$1:$Z$1,0))&amp;""),""))))</f>
        <v/>
      </c>
      <c r="AJ467" s="31">
        <f>IF(AE467="",0,IF(IFERROR(INDEX(Settings!$J$4:$J$14,MATCH(AI467,Settings!$I$4:$I$14,0)),"N")="Y",1,0))</f>
        <v/>
      </c>
      <c r="AK467" s="32">
        <f>IFERROR(INT(IFERROR(IF(ISNUMBER(INDEX($A467:$Z467,MATCH(Settings!$L$10,$A$1:$Z$1,0))),INDEX($A467:$Z467,MATCH(Settings!$L$10,$A$1:$Z$1,0)),DATE(VALUE(LEFT(IFERROR(TRIM(INDEX($A467:$Z467,MATCH(Settings!$L$10,$A$1:$Z$1,0))&amp;""),""),4)),VALUE(MID(IFERROR(TRIM(INDEX($A467:$Z467,MATCH(Settings!$L$10,$A$1:$Z$1,0))&amp;""),""),6,2)),VALUE(MID(IFERROR(TRIM(INDEX($A467:$Z467,MATCH(Settings!$L$10,$A$1:$Z$1,0))&amp;""),""),9,2)))+TIME(VALUE(MID(IFERROR(TRIM(INDEX($A467:$Z467,MATCH(Settings!$L$10,$A$1:$Z$1,0))&amp;""),""),12,2)),VALUE(MID(IFERROR(TRIM(INDEX($A467:$Z467,MATCH(Settings!$L$10,$A$1:$Z$1,0))&amp;""),""),15,2)),VALUE(MID(IFERROR(TRIM(INDEX($A467:$Z467,MATCH(Settings!$L$10,$A$1:$Z$1,0))&amp;""),""),18,2)))),"")),"")</f>
        <v/>
      </c>
      <c r="AL467" s="32">
        <f>IF(AE467="","",IF(ISNUMBER(AK467),AK467,IFERROR(INT(IFERROR(IF(ISNUMBER(INDEX($A467:$Z467,MATCH(Settings!$L$11,$A$1:$Z$1,0))),INDEX($A467:$Z467,MATCH(Settings!$L$11,$A$1:$Z$1,0)),DATE(VALUE(LEFT(IFERROR(TRIM(INDEX($A467:$Z467,MATCH(Settings!$L$11,$A$1:$Z$1,0))&amp;""),""),4)),VALUE(MID(IFERROR(TRIM(INDEX($A467:$Z467,MATCH(Settings!$L$11,$A$1:$Z$1,0))&amp;""),""),6,2)),VALUE(MID(IFERROR(TRIM(INDEX($A467:$Z467,MATCH(Settings!$L$11,$A$1:$Z$1,0))&amp;""),""),9,2)))+TIME(VALUE(MID(IFERROR(TRIM(INDEX($A467:$Z467,MATCH(Settings!$L$11,$A$1:$Z$1,0))&amp;""),""),12,2)),VALUE(MID(IFERROR(TRIM(INDEX($A467:$Z467,MATCH(Settings!$L$11,$A$1:$Z$1,0))&amp;""),""),15,2)),VALUE(MID(IFERROR(TRIM(INDEX($A467:$Z467,MATCH(Settings!$L$11,$A$1:$Z$1,0))&amp;""),""),18,2)))),"")),"")))</f>
        <v/>
      </c>
      <c r="AM467" s="31">
        <f>IF(AE467="","",IF(ISNUMBER(IFERROR(INDEX(Settings!$G$4:$G$11,MATCH(AH467,Settings!$F$4:$F$11,0)),"")),INDEX(Settings!$G$4:$G$11,MATCH(AH467,Settings!$F$4:$F$11,0)),Settings!$D$5))</f>
        <v/>
      </c>
      <c r="AN467" s="32">
        <f>IF(OR(AE467="",NOT(ISNUMBER(AL467)),NOT(ISNUMBER(AM467))),"",IF(AM467&lt;=0,"",IF(ISNUMBER(Settings!$D$8),DATE(YEAR(AL467)+IF(DATE(YEAR(AL467),MONTH(Settings!$D$8),DAY(Settings!$D$8))&gt;AL467,0,1),MONTH(Settings!$D$8),DAY(Settings!$D$8)),MIN(DATE(YEAR(AL467),MONTH(AL467)+AM467,DAY(AL467)),DATE(YEAR(AL467),MONTH(AL467)+AM467+1,0)))))</f>
        <v/>
      </c>
      <c r="AO467" s="31">
        <f>IF(ISNUMBER(AN467),AN467-Settings!$D$4,"")</f>
        <v/>
      </c>
      <c r="AP467" s="31">
        <f>IF(ISNUMBER(AL467),AL467+0+ROW()/100000,"")</f>
        <v/>
      </c>
      <c r="AQ467" s="31">
        <f>IF(OR(AG467="",NOT(ISNUMBER(AP467))),0,IF(SUMPRODUCT(('Responses'!$AG$2:$AG$501=AG467)*('Responses'!$AJ$2:$AJ$501=1)*ISNUMBER('Responses'!$AP$2:$AP$501)*('Responses'!$AP$2:$AP$501&gt;AP467)) + SUMPRODUCT(('Paper sign-ups'!$K$2:$K$101=AG467)*('Paper sign-ups'!$N$2:$N$101=1)*ISNUMBER('Paper sign-ups'!$T$2:$T$101)*('Paper sign-ups'!$T$2:$T$101&gt;AP467))&gt;0,1,0))</f>
        <v/>
      </c>
      <c r="AR467" s="31">
        <f>IF(AE467="","",IF(AQ467=1,"Joined again",IF(AJ467=0,"Unpaid",IF(NOT(ISNUMBER(AL467)),"Add a join date",IF(AN467="","No reminder",IF(AO467&lt;0,"Lapsed",IF(AO467&lt;=Settings!$D$6,"Remind soon","Current")))))))</f>
        <v/>
      </c>
      <c r="AS467" s="33">
        <f>IF(AJ467=1,IFERROR(VALUE(IFERROR(TRIM(INDEX($A467:$Z467,MATCH(Settings!$L$8,$A$1:$Z$1,0))&amp;""),"")),0)-IFERROR(VALUE(IFERROR(TRIM(INDEX($A467:$Z467,MATCH(Settings!$L$9,$A$1:$Z$1,0))&amp;""),"")),0),0)</f>
        <v/>
      </c>
      <c r="AT467" s="31">
        <f>IF(AND(AE467&lt;&gt;"",AQ467=0),1,0)</f>
        <v/>
      </c>
      <c r="AU467" s="31">
        <f>IF(AT467=0,"",IF(ISNUMBER(AN467),AN467,100000)+0+ROW()/1000000)</f>
        <v/>
      </c>
      <c r="AV467" s="31">
        <f>IF(ISNUMBER(AU467),SUMPRODUCT(ISNUMBER('Responses'!$AU$2:$AU$501)*('Responses'!$AU$2:$AU$501&lt;AU467)) + SUMPRODUCT(ISNUMBER('Paper sign-ups'!$Y$2:$Y$101)*('Paper sign-ups'!$Y$2:$Y$101&lt;AU467))+1,"")</f>
        <v/>
      </c>
    </row>
    <row r="468">
      <c r="AA468" s="29" t="n"/>
      <c r="AB468" s="30" t="n"/>
      <c r="AC468" s="30" t="n"/>
      <c r="AD468" s="29" t="n"/>
      <c r="AE468" s="31">
        <f>IFERROR(TRIM(INDEX($A468:$Z468,MATCH(Settings!$L$4,$A$1:$Z$1,0))&amp;""),"")</f>
        <v/>
      </c>
      <c r="AF468" s="31">
        <f>IFERROR(TRIM(INDEX($A468:$Z468,MATCH(Settings!$L$5,$A$1:$Z$1,0))&amp;""),"")</f>
        <v/>
      </c>
      <c r="AG468" s="31">
        <f>IF(AE468="","",LOWER(IF(AF468&lt;&gt;"",AF468,AE468)))</f>
        <v/>
      </c>
      <c r="AH468" s="31">
        <f>IFERROR(TRIM(INDEX($A468:$Z468,MATCH(Settings!$L$6,$A$1:$Z$1,0))&amp;""),"")</f>
        <v/>
      </c>
      <c r="AI468" s="31">
        <f>IF(AE468="","",IF(UPPER(TRIM(AB468&amp;""))="Y","Paid another way",IF(IFERROR(TRIM(INDEX($A468:$Z468,MATCH(Settings!$L$7,$A$1:$Z$1,0))&amp;""),"")="","No payment status",IFERROR(TRIM(INDEX($A468:$Z468,MATCH(Settings!$L$7,$A$1:$Z$1,0))&amp;""),""))))</f>
        <v/>
      </c>
      <c r="AJ468" s="31">
        <f>IF(AE468="",0,IF(IFERROR(INDEX(Settings!$J$4:$J$14,MATCH(AI468,Settings!$I$4:$I$14,0)),"N")="Y",1,0))</f>
        <v/>
      </c>
      <c r="AK468" s="32">
        <f>IFERROR(INT(IFERROR(IF(ISNUMBER(INDEX($A468:$Z468,MATCH(Settings!$L$10,$A$1:$Z$1,0))),INDEX($A468:$Z468,MATCH(Settings!$L$10,$A$1:$Z$1,0)),DATE(VALUE(LEFT(IFERROR(TRIM(INDEX($A468:$Z468,MATCH(Settings!$L$10,$A$1:$Z$1,0))&amp;""),""),4)),VALUE(MID(IFERROR(TRIM(INDEX($A468:$Z468,MATCH(Settings!$L$10,$A$1:$Z$1,0))&amp;""),""),6,2)),VALUE(MID(IFERROR(TRIM(INDEX($A468:$Z468,MATCH(Settings!$L$10,$A$1:$Z$1,0))&amp;""),""),9,2)))+TIME(VALUE(MID(IFERROR(TRIM(INDEX($A468:$Z468,MATCH(Settings!$L$10,$A$1:$Z$1,0))&amp;""),""),12,2)),VALUE(MID(IFERROR(TRIM(INDEX($A468:$Z468,MATCH(Settings!$L$10,$A$1:$Z$1,0))&amp;""),""),15,2)),VALUE(MID(IFERROR(TRIM(INDEX($A468:$Z468,MATCH(Settings!$L$10,$A$1:$Z$1,0))&amp;""),""),18,2)))),"")),"")</f>
        <v/>
      </c>
      <c r="AL468" s="32">
        <f>IF(AE468="","",IF(ISNUMBER(AK468),AK468,IFERROR(INT(IFERROR(IF(ISNUMBER(INDEX($A468:$Z468,MATCH(Settings!$L$11,$A$1:$Z$1,0))),INDEX($A468:$Z468,MATCH(Settings!$L$11,$A$1:$Z$1,0)),DATE(VALUE(LEFT(IFERROR(TRIM(INDEX($A468:$Z468,MATCH(Settings!$L$11,$A$1:$Z$1,0))&amp;""),""),4)),VALUE(MID(IFERROR(TRIM(INDEX($A468:$Z468,MATCH(Settings!$L$11,$A$1:$Z$1,0))&amp;""),""),6,2)),VALUE(MID(IFERROR(TRIM(INDEX($A468:$Z468,MATCH(Settings!$L$11,$A$1:$Z$1,0))&amp;""),""),9,2)))+TIME(VALUE(MID(IFERROR(TRIM(INDEX($A468:$Z468,MATCH(Settings!$L$11,$A$1:$Z$1,0))&amp;""),""),12,2)),VALUE(MID(IFERROR(TRIM(INDEX($A468:$Z468,MATCH(Settings!$L$11,$A$1:$Z$1,0))&amp;""),""),15,2)),VALUE(MID(IFERROR(TRIM(INDEX($A468:$Z468,MATCH(Settings!$L$11,$A$1:$Z$1,0))&amp;""),""),18,2)))),"")),"")))</f>
        <v/>
      </c>
      <c r="AM468" s="31">
        <f>IF(AE468="","",IF(ISNUMBER(IFERROR(INDEX(Settings!$G$4:$G$11,MATCH(AH468,Settings!$F$4:$F$11,0)),"")),INDEX(Settings!$G$4:$G$11,MATCH(AH468,Settings!$F$4:$F$11,0)),Settings!$D$5))</f>
        <v/>
      </c>
      <c r="AN468" s="32">
        <f>IF(OR(AE468="",NOT(ISNUMBER(AL468)),NOT(ISNUMBER(AM468))),"",IF(AM468&lt;=0,"",IF(ISNUMBER(Settings!$D$8),DATE(YEAR(AL468)+IF(DATE(YEAR(AL468),MONTH(Settings!$D$8),DAY(Settings!$D$8))&gt;AL468,0,1),MONTH(Settings!$D$8),DAY(Settings!$D$8)),MIN(DATE(YEAR(AL468),MONTH(AL468)+AM468,DAY(AL468)),DATE(YEAR(AL468),MONTH(AL468)+AM468+1,0)))))</f>
        <v/>
      </c>
      <c r="AO468" s="31">
        <f>IF(ISNUMBER(AN468),AN468-Settings!$D$4,"")</f>
        <v/>
      </c>
      <c r="AP468" s="31">
        <f>IF(ISNUMBER(AL468),AL468+0+ROW()/100000,"")</f>
        <v/>
      </c>
      <c r="AQ468" s="31">
        <f>IF(OR(AG468="",NOT(ISNUMBER(AP468))),0,IF(SUMPRODUCT(('Responses'!$AG$2:$AG$501=AG468)*('Responses'!$AJ$2:$AJ$501=1)*ISNUMBER('Responses'!$AP$2:$AP$501)*('Responses'!$AP$2:$AP$501&gt;AP468)) + SUMPRODUCT(('Paper sign-ups'!$K$2:$K$101=AG468)*('Paper sign-ups'!$N$2:$N$101=1)*ISNUMBER('Paper sign-ups'!$T$2:$T$101)*('Paper sign-ups'!$T$2:$T$101&gt;AP468))&gt;0,1,0))</f>
        <v/>
      </c>
      <c r="AR468" s="31">
        <f>IF(AE468="","",IF(AQ468=1,"Joined again",IF(AJ468=0,"Unpaid",IF(NOT(ISNUMBER(AL468)),"Add a join date",IF(AN468="","No reminder",IF(AO468&lt;0,"Lapsed",IF(AO468&lt;=Settings!$D$6,"Remind soon","Current")))))))</f>
        <v/>
      </c>
      <c r="AS468" s="33">
        <f>IF(AJ468=1,IFERROR(VALUE(IFERROR(TRIM(INDEX($A468:$Z468,MATCH(Settings!$L$8,$A$1:$Z$1,0))&amp;""),"")),0)-IFERROR(VALUE(IFERROR(TRIM(INDEX($A468:$Z468,MATCH(Settings!$L$9,$A$1:$Z$1,0))&amp;""),"")),0),0)</f>
        <v/>
      </c>
      <c r="AT468" s="31">
        <f>IF(AND(AE468&lt;&gt;"",AQ468=0),1,0)</f>
        <v/>
      </c>
      <c r="AU468" s="31">
        <f>IF(AT468=0,"",IF(ISNUMBER(AN468),AN468,100000)+0+ROW()/1000000)</f>
        <v/>
      </c>
      <c r="AV468" s="31">
        <f>IF(ISNUMBER(AU468),SUMPRODUCT(ISNUMBER('Responses'!$AU$2:$AU$501)*('Responses'!$AU$2:$AU$501&lt;AU468)) + SUMPRODUCT(ISNUMBER('Paper sign-ups'!$Y$2:$Y$101)*('Paper sign-ups'!$Y$2:$Y$101&lt;AU468))+1,"")</f>
        <v/>
      </c>
    </row>
    <row r="469">
      <c r="AA469" s="29" t="n"/>
      <c r="AB469" s="30" t="n"/>
      <c r="AC469" s="30" t="n"/>
      <c r="AD469" s="29" t="n"/>
      <c r="AE469" s="31">
        <f>IFERROR(TRIM(INDEX($A469:$Z469,MATCH(Settings!$L$4,$A$1:$Z$1,0))&amp;""),"")</f>
        <v/>
      </c>
      <c r="AF469" s="31">
        <f>IFERROR(TRIM(INDEX($A469:$Z469,MATCH(Settings!$L$5,$A$1:$Z$1,0))&amp;""),"")</f>
        <v/>
      </c>
      <c r="AG469" s="31">
        <f>IF(AE469="","",LOWER(IF(AF469&lt;&gt;"",AF469,AE469)))</f>
        <v/>
      </c>
      <c r="AH469" s="31">
        <f>IFERROR(TRIM(INDEX($A469:$Z469,MATCH(Settings!$L$6,$A$1:$Z$1,0))&amp;""),"")</f>
        <v/>
      </c>
      <c r="AI469" s="31">
        <f>IF(AE469="","",IF(UPPER(TRIM(AB469&amp;""))="Y","Paid another way",IF(IFERROR(TRIM(INDEX($A469:$Z469,MATCH(Settings!$L$7,$A$1:$Z$1,0))&amp;""),"")="","No payment status",IFERROR(TRIM(INDEX($A469:$Z469,MATCH(Settings!$L$7,$A$1:$Z$1,0))&amp;""),""))))</f>
        <v/>
      </c>
      <c r="AJ469" s="31">
        <f>IF(AE469="",0,IF(IFERROR(INDEX(Settings!$J$4:$J$14,MATCH(AI469,Settings!$I$4:$I$14,0)),"N")="Y",1,0))</f>
        <v/>
      </c>
      <c r="AK469" s="32">
        <f>IFERROR(INT(IFERROR(IF(ISNUMBER(INDEX($A469:$Z469,MATCH(Settings!$L$10,$A$1:$Z$1,0))),INDEX($A469:$Z469,MATCH(Settings!$L$10,$A$1:$Z$1,0)),DATE(VALUE(LEFT(IFERROR(TRIM(INDEX($A469:$Z469,MATCH(Settings!$L$10,$A$1:$Z$1,0))&amp;""),""),4)),VALUE(MID(IFERROR(TRIM(INDEX($A469:$Z469,MATCH(Settings!$L$10,$A$1:$Z$1,0))&amp;""),""),6,2)),VALUE(MID(IFERROR(TRIM(INDEX($A469:$Z469,MATCH(Settings!$L$10,$A$1:$Z$1,0))&amp;""),""),9,2)))+TIME(VALUE(MID(IFERROR(TRIM(INDEX($A469:$Z469,MATCH(Settings!$L$10,$A$1:$Z$1,0))&amp;""),""),12,2)),VALUE(MID(IFERROR(TRIM(INDEX($A469:$Z469,MATCH(Settings!$L$10,$A$1:$Z$1,0))&amp;""),""),15,2)),VALUE(MID(IFERROR(TRIM(INDEX($A469:$Z469,MATCH(Settings!$L$10,$A$1:$Z$1,0))&amp;""),""),18,2)))),"")),"")</f>
        <v/>
      </c>
      <c r="AL469" s="32">
        <f>IF(AE469="","",IF(ISNUMBER(AK469),AK469,IFERROR(INT(IFERROR(IF(ISNUMBER(INDEX($A469:$Z469,MATCH(Settings!$L$11,$A$1:$Z$1,0))),INDEX($A469:$Z469,MATCH(Settings!$L$11,$A$1:$Z$1,0)),DATE(VALUE(LEFT(IFERROR(TRIM(INDEX($A469:$Z469,MATCH(Settings!$L$11,$A$1:$Z$1,0))&amp;""),""),4)),VALUE(MID(IFERROR(TRIM(INDEX($A469:$Z469,MATCH(Settings!$L$11,$A$1:$Z$1,0))&amp;""),""),6,2)),VALUE(MID(IFERROR(TRIM(INDEX($A469:$Z469,MATCH(Settings!$L$11,$A$1:$Z$1,0))&amp;""),""),9,2)))+TIME(VALUE(MID(IFERROR(TRIM(INDEX($A469:$Z469,MATCH(Settings!$L$11,$A$1:$Z$1,0))&amp;""),""),12,2)),VALUE(MID(IFERROR(TRIM(INDEX($A469:$Z469,MATCH(Settings!$L$11,$A$1:$Z$1,0))&amp;""),""),15,2)),VALUE(MID(IFERROR(TRIM(INDEX($A469:$Z469,MATCH(Settings!$L$11,$A$1:$Z$1,0))&amp;""),""),18,2)))),"")),"")))</f>
        <v/>
      </c>
      <c r="AM469" s="31">
        <f>IF(AE469="","",IF(ISNUMBER(IFERROR(INDEX(Settings!$G$4:$G$11,MATCH(AH469,Settings!$F$4:$F$11,0)),"")),INDEX(Settings!$G$4:$G$11,MATCH(AH469,Settings!$F$4:$F$11,0)),Settings!$D$5))</f>
        <v/>
      </c>
      <c r="AN469" s="32">
        <f>IF(OR(AE469="",NOT(ISNUMBER(AL469)),NOT(ISNUMBER(AM469))),"",IF(AM469&lt;=0,"",IF(ISNUMBER(Settings!$D$8),DATE(YEAR(AL469)+IF(DATE(YEAR(AL469),MONTH(Settings!$D$8),DAY(Settings!$D$8))&gt;AL469,0,1),MONTH(Settings!$D$8),DAY(Settings!$D$8)),MIN(DATE(YEAR(AL469),MONTH(AL469)+AM469,DAY(AL469)),DATE(YEAR(AL469),MONTH(AL469)+AM469+1,0)))))</f>
        <v/>
      </c>
      <c r="AO469" s="31">
        <f>IF(ISNUMBER(AN469),AN469-Settings!$D$4,"")</f>
        <v/>
      </c>
      <c r="AP469" s="31">
        <f>IF(ISNUMBER(AL469),AL469+0+ROW()/100000,"")</f>
        <v/>
      </c>
      <c r="AQ469" s="31">
        <f>IF(OR(AG469="",NOT(ISNUMBER(AP469))),0,IF(SUMPRODUCT(('Responses'!$AG$2:$AG$501=AG469)*('Responses'!$AJ$2:$AJ$501=1)*ISNUMBER('Responses'!$AP$2:$AP$501)*('Responses'!$AP$2:$AP$501&gt;AP469)) + SUMPRODUCT(('Paper sign-ups'!$K$2:$K$101=AG469)*('Paper sign-ups'!$N$2:$N$101=1)*ISNUMBER('Paper sign-ups'!$T$2:$T$101)*('Paper sign-ups'!$T$2:$T$101&gt;AP469))&gt;0,1,0))</f>
        <v/>
      </c>
      <c r="AR469" s="31">
        <f>IF(AE469="","",IF(AQ469=1,"Joined again",IF(AJ469=0,"Unpaid",IF(NOT(ISNUMBER(AL469)),"Add a join date",IF(AN469="","No reminder",IF(AO469&lt;0,"Lapsed",IF(AO469&lt;=Settings!$D$6,"Remind soon","Current")))))))</f>
        <v/>
      </c>
      <c r="AS469" s="33">
        <f>IF(AJ469=1,IFERROR(VALUE(IFERROR(TRIM(INDEX($A469:$Z469,MATCH(Settings!$L$8,$A$1:$Z$1,0))&amp;""),"")),0)-IFERROR(VALUE(IFERROR(TRIM(INDEX($A469:$Z469,MATCH(Settings!$L$9,$A$1:$Z$1,0))&amp;""),"")),0),0)</f>
        <v/>
      </c>
      <c r="AT469" s="31">
        <f>IF(AND(AE469&lt;&gt;"",AQ469=0),1,0)</f>
        <v/>
      </c>
      <c r="AU469" s="31">
        <f>IF(AT469=0,"",IF(ISNUMBER(AN469),AN469,100000)+0+ROW()/1000000)</f>
        <v/>
      </c>
      <c r="AV469" s="31">
        <f>IF(ISNUMBER(AU469),SUMPRODUCT(ISNUMBER('Responses'!$AU$2:$AU$501)*('Responses'!$AU$2:$AU$501&lt;AU469)) + SUMPRODUCT(ISNUMBER('Paper sign-ups'!$Y$2:$Y$101)*('Paper sign-ups'!$Y$2:$Y$101&lt;AU469))+1,"")</f>
        <v/>
      </c>
    </row>
    <row r="470">
      <c r="AA470" s="29" t="n"/>
      <c r="AB470" s="30" t="n"/>
      <c r="AC470" s="30" t="n"/>
      <c r="AD470" s="29" t="n"/>
      <c r="AE470" s="31">
        <f>IFERROR(TRIM(INDEX($A470:$Z470,MATCH(Settings!$L$4,$A$1:$Z$1,0))&amp;""),"")</f>
        <v/>
      </c>
      <c r="AF470" s="31">
        <f>IFERROR(TRIM(INDEX($A470:$Z470,MATCH(Settings!$L$5,$A$1:$Z$1,0))&amp;""),"")</f>
        <v/>
      </c>
      <c r="AG470" s="31">
        <f>IF(AE470="","",LOWER(IF(AF470&lt;&gt;"",AF470,AE470)))</f>
        <v/>
      </c>
      <c r="AH470" s="31">
        <f>IFERROR(TRIM(INDEX($A470:$Z470,MATCH(Settings!$L$6,$A$1:$Z$1,0))&amp;""),"")</f>
        <v/>
      </c>
      <c r="AI470" s="31">
        <f>IF(AE470="","",IF(UPPER(TRIM(AB470&amp;""))="Y","Paid another way",IF(IFERROR(TRIM(INDEX($A470:$Z470,MATCH(Settings!$L$7,$A$1:$Z$1,0))&amp;""),"")="","No payment status",IFERROR(TRIM(INDEX($A470:$Z470,MATCH(Settings!$L$7,$A$1:$Z$1,0))&amp;""),""))))</f>
        <v/>
      </c>
      <c r="AJ470" s="31">
        <f>IF(AE470="",0,IF(IFERROR(INDEX(Settings!$J$4:$J$14,MATCH(AI470,Settings!$I$4:$I$14,0)),"N")="Y",1,0))</f>
        <v/>
      </c>
      <c r="AK470" s="32">
        <f>IFERROR(INT(IFERROR(IF(ISNUMBER(INDEX($A470:$Z470,MATCH(Settings!$L$10,$A$1:$Z$1,0))),INDEX($A470:$Z470,MATCH(Settings!$L$10,$A$1:$Z$1,0)),DATE(VALUE(LEFT(IFERROR(TRIM(INDEX($A470:$Z470,MATCH(Settings!$L$10,$A$1:$Z$1,0))&amp;""),""),4)),VALUE(MID(IFERROR(TRIM(INDEX($A470:$Z470,MATCH(Settings!$L$10,$A$1:$Z$1,0))&amp;""),""),6,2)),VALUE(MID(IFERROR(TRIM(INDEX($A470:$Z470,MATCH(Settings!$L$10,$A$1:$Z$1,0))&amp;""),""),9,2)))+TIME(VALUE(MID(IFERROR(TRIM(INDEX($A470:$Z470,MATCH(Settings!$L$10,$A$1:$Z$1,0))&amp;""),""),12,2)),VALUE(MID(IFERROR(TRIM(INDEX($A470:$Z470,MATCH(Settings!$L$10,$A$1:$Z$1,0))&amp;""),""),15,2)),VALUE(MID(IFERROR(TRIM(INDEX($A470:$Z470,MATCH(Settings!$L$10,$A$1:$Z$1,0))&amp;""),""),18,2)))),"")),"")</f>
        <v/>
      </c>
      <c r="AL470" s="32">
        <f>IF(AE470="","",IF(ISNUMBER(AK470),AK470,IFERROR(INT(IFERROR(IF(ISNUMBER(INDEX($A470:$Z470,MATCH(Settings!$L$11,$A$1:$Z$1,0))),INDEX($A470:$Z470,MATCH(Settings!$L$11,$A$1:$Z$1,0)),DATE(VALUE(LEFT(IFERROR(TRIM(INDEX($A470:$Z470,MATCH(Settings!$L$11,$A$1:$Z$1,0))&amp;""),""),4)),VALUE(MID(IFERROR(TRIM(INDEX($A470:$Z470,MATCH(Settings!$L$11,$A$1:$Z$1,0))&amp;""),""),6,2)),VALUE(MID(IFERROR(TRIM(INDEX($A470:$Z470,MATCH(Settings!$L$11,$A$1:$Z$1,0))&amp;""),""),9,2)))+TIME(VALUE(MID(IFERROR(TRIM(INDEX($A470:$Z470,MATCH(Settings!$L$11,$A$1:$Z$1,0))&amp;""),""),12,2)),VALUE(MID(IFERROR(TRIM(INDEX($A470:$Z470,MATCH(Settings!$L$11,$A$1:$Z$1,0))&amp;""),""),15,2)),VALUE(MID(IFERROR(TRIM(INDEX($A470:$Z470,MATCH(Settings!$L$11,$A$1:$Z$1,0))&amp;""),""),18,2)))),"")),"")))</f>
        <v/>
      </c>
      <c r="AM470" s="31">
        <f>IF(AE470="","",IF(ISNUMBER(IFERROR(INDEX(Settings!$G$4:$G$11,MATCH(AH470,Settings!$F$4:$F$11,0)),"")),INDEX(Settings!$G$4:$G$11,MATCH(AH470,Settings!$F$4:$F$11,0)),Settings!$D$5))</f>
        <v/>
      </c>
      <c r="AN470" s="32">
        <f>IF(OR(AE470="",NOT(ISNUMBER(AL470)),NOT(ISNUMBER(AM470))),"",IF(AM470&lt;=0,"",IF(ISNUMBER(Settings!$D$8),DATE(YEAR(AL470)+IF(DATE(YEAR(AL470),MONTH(Settings!$D$8),DAY(Settings!$D$8))&gt;AL470,0,1),MONTH(Settings!$D$8),DAY(Settings!$D$8)),MIN(DATE(YEAR(AL470),MONTH(AL470)+AM470,DAY(AL470)),DATE(YEAR(AL470),MONTH(AL470)+AM470+1,0)))))</f>
        <v/>
      </c>
      <c r="AO470" s="31">
        <f>IF(ISNUMBER(AN470),AN470-Settings!$D$4,"")</f>
        <v/>
      </c>
      <c r="AP470" s="31">
        <f>IF(ISNUMBER(AL470),AL470+0+ROW()/100000,"")</f>
        <v/>
      </c>
      <c r="AQ470" s="31">
        <f>IF(OR(AG470="",NOT(ISNUMBER(AP470))),0,IF(SUMPRODUCT(('Responses'!$AG$2:$AG$501=AG470)*('Responses'!$AJ$2:$AJ$501=1)*ISNUMBER('Responses'!$AP$2:$AP$501)*('Responses'!$AP$2:$AP$501&gt;AP470)) + SUMPRODUCT(('Paper sign-ups'!$K$2:$K$101=AG470)*('Paper sign-ups'!$N$2:$N$101=1)*ISNUMBER('Paper sign-ups'!$T$2:$T$101)*('Paper sign-ups'!$T$2:$T$101&gt;AP470))&gt;0,1,0))</f>
        <v/>
      </c>
      <c r="AR470" s="31">
        <f>IF(AE470="","",IF(AQ470=1,"Joined again",IF(AJ470=0,"Unpaid",IF(NOT(ISNUMBER(AL470)),"Add a join date",IF(AN470="","No reminder",IF(AO470&lt;0,"Lapsed",IF(AO470&lt;=Settings!$D$6,"Remind soon","Current")))))))</f>
        <v/>
      </c>
      <c r="AS470" s="33">
        <f>IF(AJ470=1,IFERROR(VALUE(IFERROR(TRIM(INDEX($A470:$Z470,MATCH(Settings!$L$8,$A$1:$Z$1,0))&amp;""),"")),0)-IFERROR(VALUE(IFERROR(TRIM(INDEX($A470:$Z470,MATCH(Settings!$L$9,$A$1:$Z$1,0))&amp;""),"")),0),0)</f>
        <v/>
      </c>
      <c r="AT470" s="31">
        <f>IF(AND(AE470&lt;&gt;"",AQ470=0),1,0)</f>
        <v/>
      </c>
      <c r="AU470" s="31">
        <f>IF(AT470=0,"",IF(ISNUMBER(AN470),AN470,100000)+0+ROW()/1000000)</f>
        <v/>
      </c>
      <c r="AV470" s="31">
        <f>IF(ISNUMBER(AU470),SUMPRODUCT(ISNUMBER('Responses'!$AU$2:$AU$501)*('Responses'!$AU$2:$AU$501&lt;AU470)) + SUMPRODUCT(ISNUMBER('Paper sign-ups'!$Y$2:$Y$101)*('Paper sign-ups'!$Y$2:$Y$101&lt;AU470))+1,"")</f>
        <v/>
      </c>
    </row>
    <row r="471">
      <c r="AA471" s="29" t="n"/>
      <c r="AB471" s="30" t="n"/>
      <c r="AC471" s="30" t="n"/>
      <c r="AD471" s="29" t="n"/>
      <c r="AE471" s="31">
        <f>IFERROR(TRIM(INDEX($A471:$Z471,MATCH(Settings!$L$4,$A$1:$Z$1,0))&amp;""),"")</f>
        <v/>
      </c>
      <c r="AF471" s="31">
        <f>IFERROR(TRIM(INDEX($A471:$Z471,MATCH(Settings!$L$5,$A$1:$Z$1,0))&amp;""),"")</f>
        <v/>
      </c>
      <c r="AG471" s="31">
        <f>IF(AE471="","",LOWER(IF(AF471&lt;&gt;"",AF471,AE471)))</f>
        <v/>
      </c>
      <c r="AH471" s="31">
        <f>IFERROR(TRIM(INDEX($A471:$Z471,MATCH(Settings!$L$6,$A$1:$Z$1,0))&amp;""),"")</f>
        <v/>
      </c>
      <c r="AI471" s="31">
        <f>IF(AE471="","",IF(UPPER(TRIM(AB471&amp;""))="Y","Paid another way",IF(IFERROR(TRIM(INDEX($A471:$Z471,MATCH(Settings!$L$7,$A$1:$Z$1,0))&amp;""),"")="","No payment status",IFERROR(TRIM(INDEX($A471:$Z471,MATCH(Settings!$L$7,$A$1:$Z$1,0))&amp;""),""))))</f>
        <v/>
      </c>
      <c r="AJ471" s="31">
        <f>IF(AE471="",0,IF(IFERROR(INDEX(Settings!$J$4:$J$14,MATCH(AI471,Settings!$I$4:$I$14,0)),"N")="Y",1,0))</f>
        <v/>
      </c>
      <c r="AK471" s="32">
        <f>IFERROR(INT(IFERROR(IF(ISNUMBER(INDEX($A471:$Z471,MATCH(Settings!$L$10,$A$1:$Z$1,0))),INDEX($A471:$Z471,MATCH(Settings!$L$10,$A$1:$Z$1,0)),DATE(VALUE(LEFT(IFERROR(TRIM(INDEX($A471:$Z471,MATCH(Settings!$L$10,$A$1:$Z$1,0))&amp;""),""),4)),VALUE(MID(IFERROR(TRIM(INDEX($A471:$Z471,MATCH(Settings!$L$10,$A$1:$Z$1,0))&amp;""),""),6,2)),VALUE(MID(IFERROR(TRIM(INDEX($A471:$Z471,MATCH(Settings!$L$10,$A$1:$Z$1,0))&amp;""),""),9,2)))+TIME(VALUE(MID(IFERROR(TRIM(INDEX($A471:$Z471,MATCH(Settings!$L$10,$A$1:$Z$1,0))&amp;""),""),12,2)),VALUE(MID(IFERROR(TRIM(INDEX($A471:$Z471,MATCH(Settings!$L$10,$A$1:$Z$1,0))&amp;""),""),15,2)),VALUE(MID(IFERROR(TRIM(INDEX($A471:$Z471,MATCH(Settings!$L$10,$A$1:$Z$1,0))&amp;""),""),18,2)))),"")),"")</f>
        <v/>
      </c>
      <c r="AL471" s="32">
        <f>IF(AE471="","",IF(ISNUMBER(AK471),AK471,IFERROR(INT(IFERROR(IF(ISNUMBER(INDEX($A471:$Z471,MATCH(Settings!$L$11,$A$1:$Z$1,0))),INDEX($A471:$Z471,MATCH(Settings!$L$11,$A$1:$Z$1,0)),DATE(VALUE(LEFT(IFERROR(TRIM(INDEX($A471:$Z471,MATCH(Settings!$L$11,$A$1:$Z$1,0))&amp;""),""),4)),VALUE(MID(IFERROR(TRIM(INDEX($A471:$Z471,MATCH(Settings!$L$11,$A$1:$Z$1,0))&amp;""),""),6,2)),VALUE(MID(IFERROR(TRIM(INDEX($A471:$Z471,MATCH(Settings!$L$11,$A$1:$Z$1,0))&amp;""),""),9,2)))+TIME(VALUE(MID(IFERROR(TRIM(INDEX($A471:$Z471,MATCH(Settings!$L$11,$A$1:$Z$1,0))&amp;""),""),12,2)),VALUE(MID(IFERROR(TRIM(INDEX($A471:$Z471,MATCH(Settings!$L$11,$A$1:$Z$1,0))&amp;""),""),15,2)),VALUE(MID(IFERROR(TRIM(INDEX($A471:$Z471,MATCH(Settings!$L$11,$A$1:$Z$1,0))&amp;""),""),18,2)))),"")),"")))</f>
        <v/>
      </c>
      <c r="AM471" s="31">
        <f>IF(AE471="","",IF(ISNUMBER(IFERROR(INDEX(Settings!$G$4:$G$11,MATCH(AH471,Settings!$F$4:$F$11,0)),"")),INDEX(Settings!$G$4:$G$11,MATCH(AH471,Settings!$F$4:$F$11,0)),Settings!$D$5))</f>
        <v/>
      </c>
      <c r="AN471" s="32">
        <f>IF(OR(AE471="",NOT(ISNUMBER(AL471)),NOT(ISNUMBER(AM471))),"",IF(AM471&lt;=0,"",IF(ISNUMBER(Settings!$D$8),DATE(YEAR(AL471)+IF(DATE(YEAR(AL471),MONTH(Settings!$D$8),DAY(Settings!$D$8))&gt;AL471,0,1),MONTH(Settings!$D$8),DAY(Settings!$D$8)),MIN(DATE(YEAR(AL471),MONTH(AL471)+AM471,DAY(AL471)),DATE(YEAR(AL471),MONTH(AL471)+AM471+1,0)))))</f>
        <v/>
      </c>
      <c r="AO471" s="31">
        <f>IF(ISNUMBER(AN471),AN471-Settings!$D$4,"")</f>
        <v/>
      </c>
      <c r="AP471" s="31">
        <f>IF(ISNUMBER(AL471),AL471+0+ROW()/100000,"")</f>
        <v/>
      </c>
      <c r="AQ471" s="31">
        <f>IF(OR(AG471="",NOT(ISNUMBER(AP471))),0,IF(SUMPRODUCT(('Responses'!$AG$2:$AG$501=AG471)*('Responses'!$AJ$2:$AJ$501=1)*ISNUMBER('Responses'!$AP$2:$AP$501)*('Responses'!$AP$2:$AP$501&gt;AP471)) + SUMPRODUCT(('Paper sign-ups'!$K$2:$K$101=AG471)*('Paper sign-ups'!$N$2:$N$101=1)*ISNUMBER('Paper sign-ups'!$T$2:$T$101)*('Paper sign-ups'!$T$2:$T$101&gt;AP471))&gt;0,1,0))</f>
        <v/>
      </c>
      <c r="AR471" s="31">
        <f>IF(AE471="","",IF(AQ471=1,"Joined again",IF(AJ471=0,"Unpaid",IF(NOT(ISNUMBER(AL471)),"Add a join date",IF(AN471="","No reminder",IF(AO471&lt;0,"Lapsed",IF(AO471&lt;=Settings!$D$6,"Remind soon","Current")))))))</f>
        <v/>
      </c>
      <c r="AS471" s="33">
        <f>IF(AJ471=1,IFERROR(VALUE(IFERROR(TRIM(INDEX($A471:$Z471,MATCH(Settings!$L$8,$A$1:$Z$1,0))&amp;""),"")),0)-IFERROR(VALUE(IFERROR(TRIM(INDEX($A471:$Z471,MATCH(Settings!$L$9,$A$1:$Z$1,0))&amp;""),"")),0),0)</f>
        <v/>
      </c>
      <c r="AT471" s="31">
        <f>IF(AND(AE471&lt;&gt;"",AQ471=0),1,0)</f>
        <v/>
      </c>
      <c r="AU471" s="31">
        <f>IF(AT471=0,"",IF(ISNUMBER(AN471),AN471,100000)+0+ROW()/1000000)</f>
        <v/>
      </c>
      <c r="AV471" s="31">
        <f>IF(ISNUMBER(AU471),SUMPRODUCT(ISNUMBER('Responses'!$AU$2:$AU$501)*('Responses'!$AU$2:$AU$501&lt;AU471)) + SUMPRODUCT(ISNUMBER('Paper sign-ups'!$Y$2:$Y$101)*('Paper sign-ups'!$Y$2:$Y$101&lt;AU471))+1,"")</f>
        <v/>
      </c>
    </row>
    <row r="472">
      <c r="AA472" s="29" t="n"/>
      <c r="AB472" s="30" t="n"/>
      <c r="AC472" s="30" t="n"/>
      <c r="AD472" s="29" t="n"/>
      <c r="AE472" s="31">
        <f>IFERROR(TRIM(INDEX($A472:$Z472,MATCH(Settings!$L$4,$A$1:$Z$1,0))&amp;""),"")</f>
        <v/>
      </c>
      <c r="AF472" s="31">
        <f>IFERROR(TRIM(INDEX($A472:$Z472,MATCH(Settings!$L$5,$A$1:$Z$1,0))&amp;""),"")</f>
        <v/>
      </c>
      <c r="AG472" s="31">
        <f>IF(AE472="","",LOWER(IF(AF472&lt;&gt;"",AF472,AE472)))</f>
        <v/>
      </c>
      <c r="AH472" s="31">
        <f>IFERROR(TRIM(INDEX($A472:$Z472,MATCH(Settings!$L$6,$A$1:$Z$1,0))&amp;""),"")</f>
        <v/>
      </c>
      <c r="AI472" s="31">
        <f>IF(AE472="","",IF(UPPER(TRIM(AB472&amp;""))="Y","Paid another way",IF(IFERROR(TRIM(INDEX($A472:$Z472,MATCH(Settings!$L$7,$A$1:$Z$1,0))&amp;""),"")="","No payment status",IFERROR(TRIM(INDEX($A472:$Z472,MATCH(Settings!$L$7,$A$1:$Z$1,0))&amp;""),""))))</f>
        <v/>
      </c>
      <c r="AJ472" s="31">
        <f>IF(AE472="",0,IF(IFERROR(INDEX(Settings!$J$4:$J$14,MATCH(AI472,Settings!$I$4:$I$14,0)),"N")="Y",1,0))</f>
        <v/>
      </c>
      <c r="AK472" s="32">
        <f>IFERROR(INT(IFERROR(IF(ISNUMBER(INDEX($A472:$Z472,MATCH(Settings!$L$10,$A$1:$Z$1,0))),INDEX($A472:$Z472,MATCH(Settings!$L$10,$A$1:$Z$1,0)),DATE(VALUE(LEFT(IFERROR(TRIM(INDEX($A472:$Z472,MATCH(Settings!$L$10,$A$1:$Z$1,0))&amp;""),""),4)),VALUE(MID(IFERROR(TRIM(INDEX($A472:$Z472,MATCH(Settings!$L$10,$A$1:$Z$1,0))&amp;""),""),6,2)),VALUE(MID(IFERROR(TRIM(INDEX($A472:$Z472,MATCH(Settings!$L$10,$A$1:$Z$1,0))&amp;""),""),9,2)))+TIME(VALUE(MID(IFERROR(TRIM(INDEX($A472:$Z472,MATCH(Settings!$L$10,$A$1:$Z$1,0))&amp;""),""),12,2)),VALUE(MID(IFERROR(TRIM(INDEX($A472:$Z472,MATCH(Settings!$L$10,$A$1:$Z$1,0))&amp;""),""),15,2)),VALUE(MID(IFERROR(TRIM(INDEX($A472:$Z472,MATCH(Settings!$L$10,$A$1:$Z$1,0))&amp;""),""),18,2)))),"")),"")</f>
        <v/>
      </c>
      <c r="AL472" s="32">
        <f>IF(AE472="","",IF(ISNUMBER(AK472),AK472,IFERROR(INT(IFERROR(IF(ISNUMBER(INDEX($A472:$Z472,MATCH(Settings!$L$11,$A$1:$Z$1,0))),INDEX($A472:$Z472,MATCH(Settings!$L$11,$A$1:$Z$1,0)),DATE(VALUE(LEFT(IFERROR(TRIM(INDEX($A472:$Z472,MATCH(Settings!$L$11,$A$1:$Z$1,0))&amp;""),""),4)),VALUE(MID(IFERROR(TRIM(INDEX($A472:$Z472,MATCH(Settings!$L$11,$A$1:$Z$1,0))&amp;""),""),6,2)),VALUE(MID(IFERROR(TRIM(INDEX($A472:$Z472,MATCH(Settings!$L$11,$A$1:$Z$1,0))&amp;""),""),9,2)))+TIME(VALUE(MID(IFERROR(TRIM(INDEX($A472:$Z472,MATCH(Settings!$L$11,$A$1:$Z$1,0))&amp;""),""),12,2)),VALUE(MID(IFERROR(TRIM(INDEX($A472:$Z472,MATCH(Settings!$L$11,$A$1:$Z$1,0))&amp;""),""),15,2)),VALUE(MID(IFERROR(TRIM(INDEX($A472:$Z472,MATCH(Settings!$L$11,$A$1:$Z$1,0))&amp;""),""),18,2)))),"")),"")))</f>
        <v/>
      </c>
      <c r="AM472" s="31">
        <f>IF(AE472="","",IF(ISNUMBER(IFERROR(INDEX(Settings!$G$4:$G$11,MATCH(AH472,Settings!$F$4:$F$11,0)),"")),INDEX(Settings!$G$4:$G$11,MATCH(AH472,Settings!$F$4:$F$11,0)),Settings!$D$5))</f>
        <v/>
      </c>
      <c r="AN472" s="32">
        <f>IF(OR(AE472="",NOT(ISNUMBER(AL472)),NOT(ISNUMBER(AM472))),"",IF(AM472&lt;=0,"",IF(ISNUMBER(Settings!$D$8),DATE(YEAR(AL472)+IF(DATE(YEAR(AL472),MONTH(Settings!$D$8),DAY(Settings!$D$8))&gt;AL472,0,1),MONTH(Settings!$D$8),DAY(Settings!$D$8)),MIN(DATE(YEAR(AL472),MONTH(AL472)+AM472,DAY(AL472)),DATE(YEAR(AL472),MONTH(AL472)+AM472+1,0)))))</f>
        <v/>
      </c>
      <c r="AO472" s="31">
        <f>IF(ISNUMBER(AN472),AN472-Settings!$D$4,"")</f>
        <v/>
      </c>
      <c r="AP472" s="31">
        <f>IF(ISNUMBER(AL472),AL472+0+ROW()/100000,"")</f>
        <v/>
      </c>
      <c r="AQ472" s="31">
        <f>IF(OR(AG472="",NOT(ISNUMBER(AP472))),0,IF(SUMPRODUCT(('Responses'!$AG$2:$AG$501=AG472)*('Responses'!$AJ$2:$AJ$501=1)*ISNUMBER('Responses'!$AP$2:$AP$501)*('Responses'!$AP$2:$AP$501&gt;AP472)) + SUMPRODUCT(('Paper sign-ups'!$K$2:$K$101=AG472)*('Paper sign-ups'!$N$2:$N$101=1)*ISNUMBER('Paper sign-ups'!$T$2:$T$101)*('Paper sign-ups'!$T$2:$T$101&gt;AP472))&gt;0,1,0))</f>
        <v/>
      </c>
      <c r="AR472" s="31">
        <f>IF(AE472="","",IF(AQ472=1,"Joined again",IF(AJ472=0,"Unpaid",IF(NOT(ISNUMBER(AL472)),"Add a join date",IF(AN472="","No reminder",IF(AO472&lt;0,"Lapsed",IF(AO472&lt;=Settings!$D$6,"Remind soon","Current")))))))</f>
        <v/>
      </c>
      <c r="AS472" s="33">
        <f>IF(AJ472=1,IFERROR(VALUE(IFERROR(TRIM(INDEX($A472:$Z472,MATCH(Settings!$L$8,$A$1:$Z$1,0))&amp;""),"")),0)-IFERROR(VALUE(IFERROR(TRIM(INDEX($A472:$Z472,MATCH(Settings!$L$9,$A$1:$Z$1,0))&amp;""),"")),0),0)</f>
        <v/>
      </c>
      <c r="AT472" s="31">
        <f>IF(AND(AE472&lt;&gt;"",AQ472=0),1,0)</f>
        <v/>
      </c>
      <c r="AU472" s="31">
        <f>IF(AT472=0,"",IF(ISNUMBER(AN472),AN472,100000)+0+ROW()/1000000)</f>
        <v/>
      </c>
      <c r="AV472" s="31">
        <f>IF(ISNUMBER(AU472),SUMPRODUCT(ISNUMBER('Responses'!$AU$2:$AU$501)*('Responses'!$AU$2:$AU$501&lt;AU472)) + SUMPRODUCT(ISNUMBER('Paper sign-ups'!$Y$2:$Y$101)*('Paper sign-ups'!$Y$2:$Y$101&lt;AU472))+1,"")</f>
        <v/>
      </c>
    </row>
    <row r="473">
      <c r="AA473" s="29" t="n"/>
      <c r="AB473" s="30" t="n"/>
      <c r="AC473" s="30" t="n"/>
      <c r="AD473" s="29" t="n"/>
      <c r="AE473" s="31">
        <f>IFERROR(TRIM(INDEX($A473:$Z473,MATCH(Settings!$L$4,$A$1:$Z$1,0))&amp;""),"")</f>
        <v/>
      </c>
      <c r="AF473" s="31">
        <f>IFERROR(TRIM(INDEX($A473:$Z473,MATCH(Settings!$L$5,$A$1:$Z$1,0))&amp;""),"")</f>
        <v/>
      </c>
      <c r="AG473" s="31">
        <f>IF(AE473="","",LOWER(IF(AF473&lt;&gt;"",AF473,AE473)))</f>
        <v/>
      </c>
      <c r="AH473" s="31">
        <f>IFERROR(TRIM(INDEX($A473:$Z473,MATCH(Settings!$L$6,$A$1:$Z$1,0))&amp;""),"")</f>
        <v/>
      </c>
      <c r="AI473" s="31">
        <f>IF(AE473="","",IF(UPPER(TRIM(AB473&amp;""))="Y","Paid another way",IF(IFERROR(TRIM(INDEX($A473:$Z473,MATCH(Settings!$L$7,$A$1:$Z$1,0))&amp;""),"")="","No payment status",IFERROR(TRIM(INDEX($A473:$Z473,MATCH(Settings!$L$7,$A$1:$Z$1,0))&amp;""),""))))</f>
        <v/>
      </c>
      <c r="AJ473" s="31">
        <f>IF(AE473="",0,IF(IFERROR(INDEX(Settings!$J$4:$J$14,MATCH(AI473,Settings!$I$4:$I$14,0)),"N")="Y",1,0))</f>
        <v/>
      </c>
      <c r="AK473" s="32">
        <f>IFERROR(INT(IFERROR(IF(ISNUMBER(INDEX($A473:$Z473,MATCH(Settings!$L$10,$A$1:$Z$1,0))),INDEX($A473:$Z473,MATCH(Settings!$L$10,$A$1:$Z$1,0)),DATE(VALUE(LEFT(IFERROR(TRIM(INDEX($A473:$Z473,MATCH(Settings!$L$10,$A$1:$Z$1,0))&amp;""),""),4)),VALUE(MID(IFERROR(TRIM(INDEX($A473:$Z473,MATCH(Settings!$L$10,$A$1:$Z$1,0))&amp;""),""),6,2)),VALUE(MID(IFERROR(TRIM(INDEX($A473:$Z473,MATCH(Settings!$L$10,$A$1:$Z$1,0))&amp;""),""),9,2)))+TIME(VALUE(MID(IFERROR(TRIM(INDEX($A473:$Z473,MATCH(Settings!$L$10,$A$1:$Z$1,0))&amp;""),""),12,2)),VALUE(MID(IFERROR(TRIM(INDEX($A473:$Z473,MATCH(Settings!$L$10,$A$1:$Z$1,0))&amp;""),""),15,2)),VALUE(MID(IFERROR(TRIM(INDEX($A473:$Z473,MATCH(Settings!$L$10,$A$1:$Z$1,0))&amp;""),""),18,2)))),"")),"")</f>
        <v/>
      </c>
      <c r="AL473" s="32">
        <f>IF(AE473="","",IF(ISNUMBER(AK473),AK473,IFERROR(INT(IFERROR(IF(ISNUMBER(INDEX($A473:$Z473,MATCH(Settings!$L$11,$A$1:$Z$1,0))),INDEX($A473:$Z473,MATCH(Settings!$L$11,$A$1:$Z$1,0)),DATE(VALUE(LEFT(IFERROR(TRIM(INDEX($A473:$Z473,MATCH(Settings!$L$11,$A$1:$Z$1,0))&amp;""),""),4)),VALUE(MID(IFERROR(TRIM(INDEX($A473:$Z473,MATCH(Settings!$L$11,$A$1:$Z$1,0))&amp;""),""),6,2)),VALUE(MID(IFERROR(TRIM(INDEX($A473:$Z473,MATCH(Settings!$L$11,$A$1:$Z$1,0))&amp;""),""),9,2)))+TIME(VALUE(MID(IFERROR(TRIM(INDEX($A473:$Z473,MATCH(Settings!$L$11,$A$1:$Z$1,0))&amp;""),""),12,2)),VALUE(MID(IFERROR(TRIM(INDEX($A473:$Z473,MATCH(Settings!$L$11,$A$1:$Z$1,0))&amp;""),""),15,2)),VALUE(MID(IFERROR(TRIM(INDEX($A473:$Z473,MATCH(Settings!$L$11,$A$1:$Z$1,0))&amp;""),""),18,2)))),"")),"")))</f>
        <v/>
      </c>
      <c r="AM473" s="31">
        <f>IF(AE473="","",IF(ISNUMBER(IFERROR(INDEX(Settings!$G$4:$G$11,MATCH(AH473,Settings!$F$4:$F$11,0)),"")),INDEX(Settings!$G$4:$G$11,MATCH(AH473,Settings!$F$4:$F$11,0)),Settings!$D$5))</f>
        <v/>
      </c>
      <c r="AN473" s="32">
        <f>IF(OR(AE473="",NOT(ISNUMBER(AL473)),NOT(ISNUMBER(AM473))),"",IF(AM473&lt;=0,"",IF(ISNUMBER(Settings!$D$8),DATE(YEAR(AL473)+IF(DATE(YEAR(AL473),MONTH(Settings!$D$8),DAY(Settings!$D$8))&gt;AL473,0,1),MONTH(Settings!$D$8),DAY(Settings!$D$8)),MIN(DATE(YEAR(AL473),MONTH(AL473)+AM473,DAY(AL473)),DATE(YEAR(AL473),MONTH(AL473)+AM473+1,0)))))</f>
        <v/>
      </c>
      <c r="AO473" s="31">
        <f>IF(ISNUMBER(AN473),AN473-Settings!$D$4,"")</f>
        <v/>
      </c>
      <c r="AP473" s="31">
        <f>IF(ISNUMBER(AL473),AL473+0+ROW()/100000,"")</f>
        <v/>
      </c>
      <c r="AQ473" s="31">
        <f>IF(OR(AG473="",NOT(ISNUMBER(AP473))),0,IF(SUMPRODUCT(('Responses'!$AG$2:$AG$501=AG473)*('Responses'!$AJ$2:$AJ$501=1)*ISNUMBER('Responses'!$AP$2:$AP$501)*('Responses'!$AP$2:$AP$501&gt;AP473)) + SUMPRODUCT(('Paper sign-ups'!$K$2:$K$101=AG473)*('Paper sign-ups'!$N$2:$N$101=1)*ISNUMBER('Paper sign-ups'!$T$2:$T$101)*('Paper sign-ups'!$T$2:$T$101&gt;AP473))&gt;0,1,0))</f>
        <v/>
      </c>
      <c r="AR473" s="31">
        <f>IF(AE473="","",IF(AQ473=1,"Joined again",IF(AJ473=0,"Unpaid",IF(NOT(ISNUMBER(AL473)),"Add a join date",IF(AN473="","No reminder",IF(AO473&lt;0,"Lapsed",IF(AO473&lt;=Settings!$D$6,"Remind soon","Current")))))))</f>
        <v/>
      </c>
      <c r="AS473" s="33">
        <f>IF(AJ473=1,IFERROR(VALUE(IFERROR(TRIM(INDEX($A473:$Z473,MATCH(Settings!$L$8,$A$1:$Z$1,0))&amp;""),"")),0)-IFERROR(VALUE(IFERROR(TRIM(INDEX($A473:$Z473,MATCH(Settings!$L$9,$A$1:$Z$1,0))&amp;""),"")),0),0)</f>
        <v/>
      </c>
      <c r="AT473" s="31">
        <f>IF(AND(AE473&lt;&gt;"",AQ473=0),1,0)</f>
        <v/>
      </c>
      <c r="AU473" s="31">
        <f>IF(AT473=0,"",IF(ISNUMBER(AN473),AN473,100000)+0+ROW()/1000000)</f>
        <v/>
      </c>
      <c r="AV473" s="31">
        <f>IF(ISNUMBER(AU473),SUMPRODUCT(ISNUMBER('Responses'!$AU$2:$AU$501)*('Responses'!$AU$2:$AU$501&lt;AU473)) + SUMPRODUCT(ISNUMBER('Paper sign-ups'!$Y$2:$Y$101)*('Paper sign-ups'!$Y$2:$Y$101&lt;AU473))+1,"")</f>
        <v/>
      </c>
    </row>
    <row r="474">
      <c r="AA474" s="29" t="n"/>
      <c r="AB474" s="30" t="n"/>
      <c r="AC474" s="30" t="n"/>
      <c r="AD474" s="29" t="n"/>
      <c r="AE474" s="31">
        <f>IFERROR(TRIM(INDEX($A474:$Z474,MATCH(Settings!$L$4,$A$1:$Z$1,0))&amp;""),"")</f>
        <v/>
      </c>
      <c r="AF474" s="31">
        <f>IFERROR(TRIM(INDEX($A474:$Z474,MATCH(Settings!$L$5,$A$1:$Z$1,0))&amp;""),"")</f>
        <v/>
      </c>
      <c r="AG474" s="31">
        <f>IF(AE474="","",LOWER(IF(AF474&lt;&gt;"",AF474,AE474)))</f>
        <v/>
      </c>
      <c r="AH474" s="31">
        <f>IFERROR(TRIM(INDEX($A474:$Z474,MATCH(Settings!$L$6,$A$1:$Z$1,0))&amp;""),"")</f>
        <v/>
      </c>
      <c r="AI474" s="31">
        <f>IF(AE474="","",IF(UPPER(TRIM(AB474&amp;""))="Y","Paid another way",IF(IFERROR(TRIM(INDEX($A474:$Z474,MATCH(Settings!$L$7,$A$1:$Z$1,0))&amp;""),"")="","No payment status",IFERROR(TRIM(INDEX($A474:$Z474,MATCH(Settings!$L$7,$A$1:$Z$1,0))&amp;""),""))))</f>
        <v/>
      </c>
      <c r="AJ474" s="31">
        <f>IF(AE474="",0,IF(IFERROR(INDEX(Settings!$J$4:$J$14,MATCH(AI474,Settings!$I$4:$I$14,0)),"N")="Y",1,0))</f>
        <v/>
      </c>
      <c r="AK474" s="32">
        <f>IFERROR(INT(IFERROR(IF(ISNUMBER(INDEX($A474:$Z474,MATCH(Settings!$L$10,$A$1:$Z$1,0))),INDEX($A474:$Z474,MATCH(Settings!$L$10,$A$1:$Z$1,0)),DATE(VALUE(LEFT(IFERROR(TRIM(INDEX($A474:$Z474,MATCH(Settings!$L$10,$A$1:$Z$1,0))&amp;""),""),4)),VALUE(MID(IFERROR(TRIM(INDEX($A474:$Z474,MATCH(Settings!$L$10,$A$1:$Z$1,0))&amp;""),""),6,2)),VALUE(MID(IFERROR(TRIM(INDEX($A474:$Z474,MATCH(Settings!$L$10,$A$1:$Z$1,0))&amp;""),""),9,2)))+TIME(VALUE(MID(IFERROR(TRIM(INDEX($A474:$Z474,MATCH(Settings!$L$10,$A$1:$Z$1,0))&amp;""),""),12,2)),VALUE(MID(IFERROR(TRIM(INDEX($A474:$Z474,MATCH(Settings!$L$10,$A$1:$Z$1,0))&amp;""),""),15,2)),VALUE(MID(IFERROR(TRIM(INDEX($A474:$Z474,MATCH(Settings!$L$10,$A$1:$Z$1,0))&amp;""),""),18,2)))),"")),"")</f>
        <v/>
      </c>
      <c r="AL474" s="32">
        <f>IF(AE474="","",IF(ISNUMBER(AK474),AK474,IFERROR(INT(IFERROR(IF(ISNUMBER(INDEX($A474:$Z474,MATCH(Settings!$L$11,$A$1:$Z$1,0))),INDEX($A474:$Z474,MATCH(Settings!$L$11,$A$1:$Z$1,0)),DATE(VALUE(LEFT(IFERROR(TRIM(INDEX($A474:$Z474,MATCH(Settings!$L$11,$A$1:$Z$1,0))&amp;""),""),4)),VALUE(MID(IFERROR(TRIM(INDEX($A474:$Z474,MATCH(Settings!$L$11,$A$1:$Z$1,0))&amp;""),""),6,2)),VALUE(MID(IFERROR(TRIM(INDEX($A474:$Z474,MATCH(Settings!$L$11,$A$1:$Z$1,0))&amp;""),""),9,2)))+TIME(VALUE(MID(IFERROR(TRIM(INDEX($A474:$Z474,MATCH(Settings!$L$11,$A$1:$Z$1,0))&amp;""),""),12,2)),VALUE(MID(IFERROR(TRIM(INDEX($A474:$Z474,MATCH(Settings!$L$11,$A$1:$Z$1,0))&amp;""),""),15,2)),VALUE(MID(IFERROR(TRIM(INDEX($A474:$Z474,MATCH(Settings!$L$11,$A$1:$Z$1,0))&amp;""),""),18,2)))),"")),"")))</f>
        <v/>
      </c>
      <c r="AM474" s="31">
        <f>IF(AE474="","",IF(ISNUMBER(IFERROR(INDEX(Settings!$G$4:$G$11,MATCH(AH474,Settings!$F$4:$F$11,0)),"")),INDEX(Settings!$G$4:$G$11,MATCH(AH474,Settings!$F$4:$F$11,0)),Settings!$D$5))</f>
        <v/>
      </c>
      <c r="AN474" s="32">
        <f>IF(OR(AE474="",NOT(ISNUMBER(AL474)),NOT(ISNUMBER(AM474))),"",IF(AM474&lt;=0,"",IF(ISNUMBER(Settings!$D$8),DATE(YEAR(AL474)+IF(DATE(YEAR(AL474),MONTH(Settings!$D$8),DAY(Settings!$D$8))&gt;AL474,0,1),MONTH(Settings!$D$8),DAY(Settings!$D$8)),MIN(DATE(YEAR(AL474),MONTH(AL474)+AM474,DAY(AL474)),DATE(YEAR(AL474),MONTH(AL474)+AM474+1,0)))))</f>
        <v/>
      </c>
      <c r="AO474" s="31">
        <f>IF(ISNUMBER(AN474),AN474-Settings!$D$4,"")</f>
        <v/>
      </c>
      <c r="AP474" s="31">
        <f>IF(ISNUMBER(AL474),AL474+0+ROW()/100000,"")</f>
        <v/>
      </c>
      <c r="AQ474" s="31">
        <f>IF(OR(AG474="",NOT(ISNUMBER(AP474))),0,IF(SUMPRODUCT(('Responses'!$AG$2:$AG$501=AG474)*('Responses'!$AJ$2:$AJ$501=1)*ISNUMBER('Responses'!$AP$2:$AP$501)*('Responses'!$AP$2:$AP$501&gt;AP474)) + SUMPRODUCT(('Paper sign-ups'!$K$2:$K$101=AG474)*('Paper sign-ups'!$N$2:$N$101=1)*ISNUMBER('Paper sign-ups'!$T$2:$T$101)*('Paper sign-ups'!$T$2:$T$101&gt;AP474))&gt;0,1,0))</f>
        <v/>
      </c>
      <c r="AR474" s="31">
        <f>IF(AE474="","",IF(AQ474=1,"Joined again",IF(AJ474=0,"Unpaid",IF(NOT(ISNUMBER(AL474)),"Add a join date",IF(AN474="","No reminder",IF(AO474&lt;0,"Lapsed",IF(AO474&lt;=Settings!$D$6,"Remind soon","Current")))))))</f>
        <v/>
      </c>
      <c r="AS474" s="33">
        <f>IF(AJ474=1,IFERROR(VALUE(IFERROR(TRIM(INDEX($A474:$Z474,MATCH(Settings!$L$8,$A$1:$Z$1,0))&amp;""),"")),0)-IFERROR(VALUE(IFERROR(TRIM(INDEX($A474:$Z474,MATCH(Settings!$L$9,$A$1:$Z$1,0))&amp;""),"")),0),0)</f>
        <v/>
      </c>
      <c r="AT474" s="31">
        <f>IF(AND(AE474&lt;&gt;"",AQ474=0),1,0)</f>
        <v/>
      </c>
      <c r="AU474" s="31">
        <f>IF(AT474=0,"",IF(ISNUMBER(AN474),AN474,100000)+0+ROW()/1000000)</f>
        <v/>
      </c>
      <c r="AV474" s="31">
        <f>IF(ISNUMBER(AU474),SUMPRODUCT(ISNUMBER('Responses'!$AU$2:$AU$501)*('Responses'!$AU$2:$AU$501&lt;AU474)) + SUMPRODUCT(ISNUMBER('Paper sign-ups'!$Y$2:$Y$101)*('Paper sign-ups'!$Y$2:$Y$101&lt;AU474))+1,"")</f>
        <v/>
      </c>
    </row>
    <row r="475">
      <c r="AA475" s="29" t="n"/>
      <c r="AB475" s="30" t="n"/>
      <c r="AC475" s="30" t="n"/>
      <c r="AD475" s="29" t="n"/>
      <c r="AE475" s="31">
        <f>IFERROR(TRIM(INDEX($A475:$Z475,MATCH(Settings!$L$4,$A$1:$Z$1,0))&amp;""),"")</f>
        <v/>
      </c>
      <c r="AF475" s="31">
        <f>IFERROR(TRIM(INDEX($A475:$Z475,MATCH(Settings!$L$5,$A$1:$Z$1,0))&amp;""),"")</f>
        <v/>
      </c>
      <c r="AG475" s="31">
        <f>IF(AE475="","",LOWER(IF(AF475&lt;&gt;"",AF475,AE475)))</f>
        <v/>
      </c>
      <c r="AH475" s="31">
        <f>IFERROR(TRIM(INDEX($A475:$Z475,MATCH(Settings!$L$6,$A$1:$Z$1,0))&amp;""),"")</f>
        <v/>
      </c>
      <c r="AI475" s="31">
        <f>IF(AE475="","",IF(UPPER(TRIM(AB475&amp;""))="Y","Paid another way",IF(IFERROR(TRIM(INDEX($A475:$Z475,MATCH(Settings!$L$7,$A$1:$Z$1,0))&amp;""),"")="","No payment status",IFERROR(TRIM(INDEX($A475:$Z475,MATCH(Settings!$L$7,$A$1:$Z$1,0))&amp;""),""))))</f>
        <v/>
      </c>
      <c r="AJ475" s="31">
        <f>IF(AE475="",0,IF(IFERROR(INDEX(Settings!$J$4:$J$14,MATCH(AI475,Settings!$I$4:$I$14,0)),"N")="Y",1,0))</f>
        <v/>
      </c>
      <c r="AK475" s="32">
        <f>IFERROR(INT(IFERROR(IF(ISNUMBER(INDEX($A475:$Z475,MATCH(Settings!$L$10,$A$1:$Z$1,0))),INDEX($A475:$Z475,MATCH(Settings!$L$10,$A$1:$Z$1,0)),DATE(VALUE(LEFT(IFERROR(TRIM(INDEX($A475:$Z475,MATCH(Settings!$L$10,$A$1:$Z$1,0))&amp;""),""),4)),VALUE(MID(IFERROR(TRIM(INDEX($A475:$Z475,MATCH(Settings!$L$10,$A$1:$Z$1,0))&amp;""),""),6,2)),VALUE(MID(IFERROR(TRIM(INDEX($A475:$Z475,MATCH(Settings!$L$10,$A$1:$Z$1,0))&amp;""),""),9,2)))+TIME(VALUE(MID(IFERROR(TRIM(INDEX($A475:$Z475,MATCH(Settings!$L$10,$A$1:$Z$1,0))&amp;""),""),12,2)),VALUE(MID(IFERROR(TRIM(INDEX($A475:$Z475,MATCH(Settings!$L$10,$A$1:$Z$1,0))&amp;""),""),15,2)),VALUE(MID(IFERROR(TRIM(INDEX($A475:$Z475,MATCH(Settings!$L$10,$A$1:$Z$1,0))&amp;""),""),18,2)))),"")),"")</f>
        <v/>
      </c>
      <c r="AL475" s="32">
        <f>IF(AE475="","",IF(ISNUMBER(AK475),AK475,IFERROR(INT(IFERROR(IF(ISNUMBER(INDEX($A475:$Z475,MATCH(Settings!$L$11,$A$1:$Z$1,0))),INDEX($A475:$Z475,MATCH(Settings!$L$11,$A$1:$Z$1,0)),DATE(VALUE(LEFT(IFERROR(TRIM(INDEX($A475:$Z475,MATCH(Settings!$L$11,$A$1:$Z$1,0))&amp;""),""),4)),VALUE(MID(IFERROR(TRIM(INDEX($A475:$Z475,MATCH(Settings!$L$11,$A$1:$Z$1,0))&amp;""),""),6,2)),VALUE(MID(IFERROR(TRIM(INDEX($A475:$Z475,MATCH(Settings!$L$11,$A$1:$Z$1,0))&amp;""),""),9,2)))+TIME(VALUE(MID(IFERROR(TRIM(INDEX($A475:$Z475,MATCH(Settings!$L$11,$A$1:$Z$1,0))&amp;""),""),12,2)),VALUE(MID(IFERROR(TRIM(INDEX($A475:$Z475,MATCH(Settings!$L$11,$A$1:$Z$1,0))&amp;""),""),15,2)),VALUE(MID(IFERROR(TRIM(INDEX($A475:$Z475,MATCH(Settings!$L$11,$A$1:$Z$1,0))&amp;""),""),18,2)))),"")),"")))</f>
        <v/>
      </c>
      <c r="AM475" s="31">
        <f>IF(AE475="","",IF(ISNUMBER(IFERROR(INDEX(Settings!$G$4:$G$11,MATCH(AH475,Settings!$F$4:$F$11,0)),"")),INDEX(Settings!$G$4:$G$11,MATCH(AH475,Settings!$F$4:$F$11,0)),Settings!$D$5))</f>
        <v/>
      </c>
      <c r="AN475" s="32">
        <f>IF(OR(AE475="",NOT(ISNUMBER(AL475)),NOT(ISNUMBER(AM475))),"",IF(AM475&lt;=0,"",IF(ISNUMBER(Settings!$D$8),DATE(YEAR(AL475)+IF(DATE(YEAR(AL475),MONTH(Settings!$D$8),DAY(Settings!$D$8))&gt;AL475,0,1),MONTH(Settings!$D$8),DAY(Settings!$D$8)),MIN(DATE(YEAR(AL475),MONTH(AL475)+AM475,DAY(AL475)),DATE(YEAR(AL475),MONTH(AL475)+AM475+1,0)))))</f>
        <v/>
      </c>
      <c r="AO475" s="31">
        <f>IF(ISNUMBER(AN475),AN475-Settings!$D$4,"")</f>
        <v/>
      </c>
      <c r="AP475" s="31">
        <f>IF(ISNUMBER(AL475),AL475+0+ROW()/100000,"")</f>
        <v/>
      </c>
      <c r="AQ475" s="31">
        <f>IF(OR(AG475="",NOT(ISNUMBER(AP475))),0,IF(SUMPRODUCT(('Responses'!$AG$2:$AG$501=AG475)*('Responses'!$AJ$2:$AJ$501=1)*ISNUMBER('Responses'!$AP$2:$AP$501)*('Responses'!$AP$2:$AP$501&gt;AP475)) + SUMPRODUCT(('Paper sign-ups'!$K$2:$K$101=AG475)*('Paper sign-ups'!$N$2:$N$101=1)*ISNUMBER('Paper sign-ups'!$T$2:$T$101)*('Paper sign-ups'!$T$2:$T$101&gt;AP475))&gt;0,1,0))</f>
        <v/>
      </c>
      <c r="AR475" s="31">
        <f>IF(AE475="","",IF(AQ475=1,"Joined again",IF(AJ475=0,"Unpaid",IF(NOT(ISNUMBER(AL475)),"Add a join date",IF(AN475="","No reminder",IF(AO475&lt;0,"Lapsed",IF(AO475&lt;=Settings!$D$6,"Remind soon","Current")))))))</f>
        <v/>
      </c>
      <c r="AS475" s="33">
        <f>IF(AJ475=1,IFERROR(VALUE(IFERROR(TRIM(INDEX($A475:$Z475,MATCH(Settings!$L$8,$A$1:$Z$1,0))&amp;""),"")),0)-IFERROR(VALUE(IFERROR(TRIM(INDEX($A475:$Z475,MATCH(Settings!$L$9,$A$1:$Z$1,0))&amp;""),"")),0),0)</f>
        <v/>
      </c>
      <c r="AT475" s="31">
        <f>IF(AND(AE475&lt;&gt;"",AQ475=0),1,0)</f>
        <v/>
      </c>
      <c r="AU475" s="31">
        <f>IF(AT475=0,"",IF(ISNUMBER(AN475),AN475,100000)+0+ROW()/1000000)</f>
        <v/>
      </c>
      <c r="AV475" s="31">
        <f>IF(ISNUMBER(AU475),SUMPRODUCT(ISNUMBER('Responses'!$AU$2:$AU$501)*('Responses'!$AU$2:$AU$501&lt;AU475)) + SUMPRODUCT(ISNUMBER('Paper sign-ups'!$Y$2:$Y$101)*('Paper sign-ups'!$Y$2:$Y$101&lt;AU475))+1,"")</f>
        <v/>
      </c>
    </row>
    <row r="476">
      <c r="AA476" s="29" t="n"/>
      <c r="AB476" s="30" t="n"/>
      <c r="AC476" s="30" t="n"/>
      <c r="AD476" s="29" t="n"/>
      <c r="AE476" s="31">
        <f>IFERROR(TRIM(INDEX($A476:$Z476,MATCH(Settings!$L$4,$A$1:$Z$1,0))&amp;""),"")</f>
        <v/>
      </c>
      <c r="AF476" s="31">
        <f>IFERROR(TRIM(INDEX($A476:$Z476,MATCH(Settings!$L$5,$A$1:$Z$1,0))&amp;""),"")</f>
        <v/>
      </c>
      <c r="AG476" s="31">
        <f>IF(AE476="","",LOWER(IF(AF476&lt;&gt;"",AF476,AE476)))</f>
        <v/>
      </c>
      <c r="AH476" s="31">
        <f>IFERROR(TRIM(INDEX($A476:$Z476,MATCH(Settings!$L$6,$A$1:$Z$1,0))&amp;""),"")</f>
        <v/>
      </c>
      <c r="AI476" s="31">
        <f>IF(AE476="","",IF(UPPER(TRIM(AB476&amp;""))="Y","Paid another way",IF(IFERROR(TRIM(INDEX($A476:$Z476,MATCH(Settings!$L$7,$A$1:$Z$1,0))&amp;""),"")="","No payment status",IFERROR(TRIM(INDEX($A476:$Z476,MATCH(Settings!$L$7,$A$1:$Z$1,0))&amp;""),""))))</f>
        <v/>
      </c>
      <c r="AJ476" s="31">
        <f>IF(AE476="",0,IF(IFERROR(INDEX(Settings!$J$4:$J$14,MATCH(AI476,Settings!$I$4:$I$14,0)),"N")="Y",1,0))</f>
        <v/>
      </c>
      <c r="AK476" s="32">
        <f>IFERROR(INT(IFERROR(IF(ISNUMBER(INDEX($A476:$Z476,MATCH(Settings!$L$10,$A$1:$Z$1,0))),INDEX($A476:$Z476,MATCH(Settings!$L$10,$A$1:$Z$1,0)),DATE(VALUE(LEFT(IFERROR(TRIM(INDEX($A476:$Z476,MATCH(Settings!$L$10,$A$1:$Z$1,0))&amp;""),""),4)),VALUE(MID(IFERROR(TRIM(INDEX($A476:$Z476,MATCH(Settings!$L$10,$A$1:$Z$1,0))&amp;""),""),6,2)),VALUE(MID(IFERROR(TRIM(INDEX($A476:$Z476,MATCH(Settings!$L$10,$A$1:$Z$1,0))&amp;""),""),9,2)))+TIME(VALUE(MID(IFERROR(TRIM(INDEX($A476:$Z476,MATCH(Settings!$L$10,$A$1:$Z$1,0))&amp;""),""),12,2)),VALUE(MID(IFERROR(TRIM(INDEX($A476:$Z476,MATCH(Settings!$L$10,$A$1:$Z$1,0))&amp;""),""),15,2)),VALUE(MID(IFERROR(TRIM(INDEX($A476:$Z476,MATCH(Settings!$L$10,$A$1:$Z$1,0))&amp;""),""),18,2)))),"")),"")</f>
        <v/>
      </c>
      <c r="AL476" s="32">
        <f>IF(AE476="","",IF(ISNUMBER(AK476),AK476,IFERROR(INT(IFERROR(IF(ISNUMBER(INDEX($A476:$Z476,MATCH(Settings!$L$11,$A$1:$Z$1,0))),INDEX($A476:$Z476,MATCH(Settings!$L$11,$A$1:$Z$1,0)),DATE(VALUE(LEFT(IFERROR(TRIM(INDEX($A476:$Z476,MATCH(Settings!$L$11,$A$1:$Z$1,0))&amp;""),""),4)),VALUE(MID(IFERROR(TRIM(INDEX($A476:$Z476,MATCH(Settings!$L$11,$A$1:$Z$1,0))&amp;""),""),6,2)),VALUE(MID(IFERROR(TRIM(INDEX($A476:$Z476,MATCH(Settings!$L$11,$A$1:$Z$1,0))&amp;""),""),9,2)))+TIME(VALUE(MID(IFERROR(TRIM(INDEX($A476:$Z476,MATCH(Settings!$L$11,$A$1:$Z$1,0))&amp;""),""),12,2)),VALUE(MID(IFERROR(TRIM(INDEX($A476:$Z476,MATCH(Settings!$L$11,$A$1:$Z$1,0))&amp;""),""),15,2)),VALUE(MID(IFERROR(TRIM(INDEX($A476:$Z476,MATCH(Settings!$L$11,$A$1:$Z$1,0))&amp;""),""),18,2)))),"")),"")))</f>
        <v/>
      </c>
      <c r="AM476" s="31">
        <f>IF(AE476="","",IF(ISNUMBER(IFERROR(INDEX(Settings!$G$4:$G$11,MATCH(AH476,Settings!$F$4:$F$11,0)),"")),INDEX(Settings!$G$4:$G$11,MATCH(AH476,Settings!$F$4:$F$11,0)),Settings!$D$5))</f>
        <v/>
      </c>
      <c r="AN476" s="32">
        <f>IF(OR(AE476="",NOT(ISNUMBER(AL476)),NOT(ISNUMBER(AM476))),"",IF(AM476&lt;=0,"",IF(ISNUMBER(Settings!$D$8),DATE(YEAR(AL476)+IF(DATE(YEAR(AL476),MONTH(Settings!$D$8),DAY(Settings!$D$8))&gt;AL476,0,1),MONTH(Settings!$D$8),DAY(Settings!$D$8)),MIN(DATE(YEAR(AL476),MONTH(AL476)+AM476,DAY(AL476)),DATE(YEAR(AL476),MONTH(AL476)+AM476+1,0)))))</f>
        <v/>
      </c>
      <c r="AO476" s="31">
        <f>IF(ISNUMBER(AN476),AN476-Settings!$D$4,"")</f>
        <v/>
      </c>
      <c r="AP476" s="31">
        <f>IF(ISNUMBER(AL476),AL476+0+ROW()/100000,"")</f>
        <v/>
      </c>
      <c r="AQ476" s="31">
        <f>IF(OR(AG476="",NOT(ISNUMBER(AP476))),0,IF(SUMPRODUCT(('Responses'!$AG$2:$AG$501=AG476)*('Responses'!$AJ$2:$AJ$501=1)*ISNUMBER('Responses'!$AP$2:$AP$501)*('Responses'!$AP$2:$AP$501&gt;AP476)) + SUMPRODUCT(('Paper sign-ups'!$K$2:$K$101=AG476)*('Paper sign-ups'!$N$2:$N$101=1)*ISNUMBER('Paper sign-ups'!$T$2:$T$101)*('Paper sign-ups'!$T$2:$T$101&gt;AP476))&gt;0,1,0))</f>
        <v/>
      </c>
      <c r="AR476" s="31">
        <f>IF(AE476="","",IF(AQ476=1,"Joined again",IF(AJ476=0,"Unpaid",IF(NOT(ISNUMBER(AL476)),"Add a join date",IF(AN476="","No reminder",IF(AO476&lt;0,"Lapsed",IF(AO476&lt;=Settings!$D$6,"Remind soon","Current")))))))</f>
        <v/>
      </c>
      <c r="AS476" s="33">
        <f>IF(AJ476=1,IFERROR(VALUE(IFERROR(TRIM(INDEX($A476:$Z476,MATCH(Settings!$L$8,$A$1:$Z$1,0))&amp;""),"")),0)-IFERROR(VALUE(IFERROR(TRIM(INDEX($A476:$Z476,MATCH(Settings!$L$9,$A$1:$Z$1,0))&amp;""),"")),0),0)</f>
        <v/>
      </c>
      <c r="AT476" s="31">
        <f>IF(AND(AE476&lt;&gt;"",AQ476=0),1,0)</f>
        <v/>
      </c>
      <c r="AU476" s="31">
        <f>IF(AT476=0,"",IF(ISNUMBER(AN476),AN476,100000)+0+ROW()/1000000)</f>
        <v/>
      </c>
      <c r="AV476" s="31">
        <f>IF(ISNUMBER(AU476),SUMPRODUCT(ISNUMBER('Responses'!$AU$2:$AU$501)*('Responses'!$AU$2:$AU$501&lt;AU476)) + SUMPRODUCT(ISNUMBER('Paper sign-ups'!$Y$2:$Y$101)*('Paper sign-ups'!$Y$2:$Y$101&lt;AU476))+1,"")</f>
        <v/>
      </c>
    </row>
    <row r="477">
      <c r="AA477" s="29" t="n"/>
      <c r="AB477" s="30" t="n"/>
      <c r="AC477" s="30" t="n"/>
      <c r="AD477" s="29" t="n"/>
      <c r="AE477" s="31">
        <f>IFERROR(TRIM(INDEX($A477:$Z477,MATCH(Settings!$L$4,$A$1:$Z$1,0))&amp;""),"")</f>
        <v/>
      </c>
      <c r="AF477" s="31">
        <f>IFERROR(TRIM(INDEX($A477:$Z477,MATCH(Settings!$L$5,$A$1:$Z$1,0))&amp;""),"")</f>
        <v/>
      </c>
      <c r="AG477" s="31">
        <f>IF(AE477="","",LOWER(IF(AF477&lt;&gt;"",AF477,AE477)))</f>
        <v/>
      </c>
      <c r="AH477" s="31">
        <f>IFERROR(TRIM(INDEX($A477:$Z477,MATCH(Settings!$L$6,$A$1:$Z$1,0))&amp;""),"")</f>
        <v/>
      </c>
      <c r="AI477" s="31">
        <f>IF(AE477="","",IF(UPPER(TRIM(AB477&amp;""))="Y","Paid another way",IF(IFERROR(TRIM(INDEX($A477:$Z477,MATCH(Settings!$L$7,$A$1:$Z$1,0))&amp;""),"")="","No payment status",IFERROR(TRIM(INDEX($A477:$Z477,MATCH(Settings!$L$7,$A$1:$Z$1,0))&amp;""),""))))</f>
        <v/>
      </c>
      <c r="AJ477" s="31">
        <f>IF(AE477="",0,IF(IFERROR(INDEX(Settings!$J$4:$J$14,MATCH(AI477,Settings!$I$4:$I$14,0)),"N")="Y",1,0))</f>
        <v/>
      </c>
      <c r="AK477" s="32">
        <f>IFERROR(INT(IFERROR(IF(ISNUMBER(INDEX($A477:$Z477,MATCH(Settings!$L$10,$A$1:$Z$1,0))),INDEX($A477:$Z477,MATCH(Settings!$L$10,$A$1:$Z$1,0)),DATE(VALUE(LEFT(IFERROR(TRIM(INDEX($A477:$Z477,MATCH(Settings!$L$10,$A$1:$Z$1,0))&amp;""),""),4)),VALUE(MID(IFERROR(TRIM(INDEX($A477:$Z477,MATCH(Settings!$L$10,$A$1:$Z$1,0))&amp;""),""),6,2)),VALUE(MID(IFERROR(TRIM(INDEX($A477:$Z477,MATCH(Settings!$L$10,$A$1:$Z$1,0))&amp;""),""),9,2)))+TIME(VALUE(MID(IFERROR(TRIM(INDEX($A477:$Z477,MATCH(Settings!$L$10,$A$1:$Z$1,0))&amp;""),""),12,2)),VALUE(MID(IFERROR(TRIM(INDEX($A477:$Z477,MATCH(Settings!$L$10,$A$1:$Z$1,0))&amp;""),""),15,2)),VALUE(MID(IFERROR(TRIM(INDEX($A477:$Z477,MATCH(Settings!$L$10,$A$1:$Z$1,0))&amp;""),""),18,2)))),"")),"")</f>
        <v/>
      </c>
      <c r="AL477" s="32">
        <f>IF(AE477="","",IF(ISNUMBER(AK477),AK477,IFERROR(INT(IFERROR(IF(ISNUMBER(INDEX($A477:$Z477,MATCH(Settings!$L$11,$A$1:$Z$1,0))),INDEX($A477:$Z477,MATCH(Settings!$L$11,$A$1:$Z$1,0)),DATE(VALUE(LEFT(IFERROR(TRIM(INDEX($A477:$Z477,MATCH(Settings!$L$11,$A$1:$Z$1,0))&amp;""),""),4)),VALUE(MID(IFERROR(TRIM(INDEX($A477:$Z477,MATCH(Settings!$L$11,$A$1:$Z$1,0))&amp;""),""),6,2)),VALUE(MID(IFERROR(TRIM(INDEX($A477:$Z477,MATCH(Settings!$L$11,$A$1:$Z$1,0))&amp;""),""),9,2)))+TIME(VALUE(MID(IFERROR(TRIM(INDEX($A477:$Z477,MATCH(Settings!$L$11,$A$1:$Z$1,0))&amp;""),""),12,2)),VALUE(MID(IFERROR(TRIM(INDEX($A477:$Z477,MATCH(Settings!$L$11,$A$1:$Z$1,0))&amp;""),""),15,2)),VALUE(MID(IFERROR(TRIM(INDEX($A477:$Z477,MATCH(Settings!$L$11,$A$1:$Z$1,0))&amp;""),""),18,2)))),"")),"")))</f>
        <v/>
      </c>
      <c r="AM477" s="31">
        <f>IF(AE477="","",IF(ISNUMBER(IFERROR(INDEX(Settings!$G$4:$G$11,MATCH(AH477,Settings!$F$4:$F$11,0)),"")),INDEX(Settings!$G$4:$G$11,MATCH(AH477,Settings!$F$4:$F$11,0)),Settings!$D$5))</f>
        <v/>
      </c>
      <c r="AN477" s="32">
        <f>IF(OR(AE477="",NOT(ISNUMBER(AL477)),NOT(ISNUMBER(AM477))),"",IF(AM477&lt;=0,"",IF(ISNUMBER(Settings!$D$8),DATE(YEAR(AL477)+IF(DATE(YEAR(AL477),MONTH(Settings!$D$8),DAY(Settings!$D$8))&gt;AL477,0,1),MONTH(Settings!$D$8),DAY(Settings!$D$8)),MIN(DATE(YEAR(AL477),MONTH(AL477)+AM477,DAY(AL477)),DATE(YEAR(AL477),MONTH(AL477)+AM477+1,0)))))</f>
        <v/>
      </c>
      <c r="AO477" s="31">
        <f>IF(ISNUMBER(AN477),AN477-Settings!$D$4,"")</f>
        <v/>
      </c>
      <c r="AP477" s="31">
        <f>IF(ISNUMBER(AL477),AL477+0+ROW()/100000,"")</f>
        <v/>
      </c>
      <c r="AQ477" s="31">
        <f>IF(OR(AG477="",NOT(ISNUMBER(AP477))),0,IF(SUMPRODUCT(('Responses'!$AG$2:$AG$501=AG477)*('Responses'!$AJ$2:$AJ$501=1)*ISNUMBER('Responses'!$AP$2:$AP$501)*('Responses'!$AP$2:$AP$501&gt;AP477)) + SUMPRODUCT(('Paper sign-ups'!$K$2:$K$101=AG477)*('Paper sign-ups'!$N$2:$N$101=1)*ISNUMBER('Paper sign-ups'!$T$2:$T$101)*('Paper sign-ups'!$T$2:$T$101&gt;AP477))&gt;0,1,0))</f>
        <v/>
      </c>
      <c r="AR477" s="31">
        <f>IF(AE477="","",IF(AQ477=1,"Joined again",IF(AJ477=0,"Unpaid",IF(NOT(ISNUMBER(AL477)),"Add a join date",IF(AN477="","No reminder",IF(AO477&lt;0,"Lapsed",IF(AO477&lt;=Settings!$D$6,"Remind soon","Current")))))))</f>
        <v/>
      </c>
      <c r="AS477" s="33">
        <f>IF(AJ477=1,IFERROR(VALUE(IFERROR(TRIM(INDEX($A477:$Z477,MATCH(Settings!$L$8,$A$1:$Z$1,0))&amp;""),"")),0)-IFERROR(VALUE(IFERROR(TRIM(INDEX($A477:$Z477,MATCH(Settings!$L$9,$A$1:$Z$1,0))&amp;""),"")),0),0)</f>
        <v/>
      </c>
      <c r="AT477" s="31">
        <f>IF(AND(AE477&lt;&gt;"",AQ477=0),1,0)</f>
        <v/>
      </c>
      <c r="AU477" s="31">
        <f>IF(AT477=0,"",IF(ISNUMBER(AN477),AN477,100000)+0+ROW()/1000000)</f>
        <v/>
      </c>
      <c r="AV477" s="31">
        <f>IF(ISNUMBER(AU477),SUMPRODUCT(ISNUMBER('Responses'!$AU$2:$AU$501)*('Responses'!$AU$2:$AU$501&lt;AU477)) + SUMPRODUCT(ISNUMBER('Paper sign-ups'!$Y$2:$Y$101)*('Paper sign-ups'!$Y$2:$Y$101&lt;AU477))+1,"")</f>
        <v/>
      </c>
    </row>
    <row r="478">
      <c r="AA478" s="29" t="n"/>
      <c r="AB478" s="30" t="n"/>
      <c r="AC478" s="30" t="n"/>
      <c r="AD478" s="29" t="n"/>
      <c r="AE478" s="31">
        <f>IFERROR(TRIM(INDEX($A478:$Z478,MATCH(Settings!$L$4,$A$1:$Z$1,0))&amp;""),"")</f>
        <v/>
      </c>
      <c r="AF478" s="31">
        <f>IFERROR(TRIM(INDEX($A478:$Z478,MATCH(Settings!$L$5,$A$1:$Z$1,0))&amp;""),"")</f>
        <v/>
      </c>
      <c r="AG478" s="31">
        <f>IF(AE478="","",LOWER(IF(AF478&lt;&gt;"",AF478,AE478)))</f>
        <v/>
      </c>
      <c r="AH478" s="31">
        <f>IFERROR(TRIM(INDEX($A478:$Z478,MATCH(Settings!$L$6,$A$1:$Z$1,0))&amp;""),"")</f>
        <v/>
      </c>
      <c r="AI478" s="31">
        <f>IF(AE478="","",IF(UPPER(TRIM(AB478&amp;""))="Y","Paid another way",IF(IFERROR(TRIM(INDEX($A478:$Z478,MATCH(Settings!$L$7,$A$1:$Z$1,0))&amp;""),"")="","No payment status",IFERROR(TRIM(INDEX($A478:$Z478,MATCH(Settings!$L$7,$A$1:$Z$1,0))&amp;""),""))))</f>
        <v/>
      </c>
      <c r="AJ478" s="31">
        <f>IF(AE478="",0,IF(IFERROR(INDEX(Settings!$J$4:$J$14,MATCH(AI478,Settings!$I$4:$I$14,0)),"N")="Y",1,0))</f>
        <v/>
      </c>
      <c r="AK478" s="32">
        <f>IFERROR(INT(IFERROR(IF(ISNUMBER(INDEX($A478:$Z478,MATCH(Settings!$L$10,$A$1:$Z$1,0))),INDEX($A478:$Z478,MATCH(Settings!$L$10,$A$1:$Z$1,0)),DATE(VALUE(LEFT(IFERROR(TRIM(INDEX($A478:$Z478,MATCH(Settings!$L$10,$A$1:$Z$1,0))&amp;""),""),4)),VALUE(MID(IFERROR(TRIM(INDEX($A478:$Z478,MATCH(Settings!$L$10,$A$1:$Z$1,0))&amp;""),""),6,2)),VALUE(MID(IFERROR(TRIM(INDEX($A478:$Z478,MATCH(Settings!$L$10,$A$1:$Z$1,0))&amp;""),""),9,2)))+TIME(VALUE(MID(IFERROR(TRIM(INDEX($A478:$Z478,MATCH(Settings!$L$10,$A$1:$Z$1,0))&amp;""),""),12,2)),VALUE(MID(IFERROR(TRIM(INDEX($A478:$Z478,MATCH(Settings!$L$10,$A$1:$Z$1,0))&amp;""),""),15,2)),VALUE(MID(IFERROR(TRIM(INDEX($A478:$Z478,MATCH(Settings!$L$10,$A$1:$Z$1,0))&amp;""),""),18,2)))),"")),"")</f>
        <v/>
      </c>
      <c r="AL478" s="32">
        <f>IF(AE478="","",IF(ISNUMBER(AK478),AK478,IFERROR(INT(IFERROR(IF(ISNUMBER(INDEX($A478:$Z478,MATCH(Settings!$L$11,$A$1:$Z$1,0))),INDEX($A478:$Z478,MATCH(Settings!$L$11,$A$1:$Z$1,0)),DATE(VALUE(LEFT(IFERROR(TRIM(INDEX($A478:$Z478,MATCH(Settings!$L$11,$A$1:$Z$1,0))&amp;""),""),4)),VALUE(MID(IFERROR(TRIM(INDEX($A478:$Z478,MATCH(Settings!$L$11,$A$1:$Z$1,0))&amp;""),""),6,2)),VALUE(MID(IFERROR(TRIM(INDEX($A478:$Z478,MATCH(Settings!$L$11,$A$1:$Z$1,0))&amp;""),""),9,2)))+TIME(VALUE(MID(IFERROR(TRIM(INDEX($A478:$Z478,MATCH(Settings!$L$11,$A$1:$Z$1,0))&amp;""),""),12,2)),VALUE(MID(IFERROR(TRIM(INDEX($A478:$Z478,MATCH(Settings!$L$11,$A$1:$Z$1,0))&amp;""),""),15,2)),VALUE(MID(IFERROR(TRIM(INDEX($A478:$Z478,MATCH(Settings!$L$11,$A$1:$Z$1,0))&amp;""),""),18,2)))),"")),"")))</f>
        <v/>
      </c>
      <c r="AM478" s="31">
        <f>IF(AE478="","",IF(ISNUMBER(IFERROR(INDEX(Settings!$G$4:$G$11,MATCH(AH478,Settings!$F$4:$F$11,0)),"")),INDEX(Settings!$G$4:$G$11,MATCH(AH478,Settings!$F$4:$F$11,0)),Settings!$D$5))</f>
        <v/>
      </c>
      <c r="AN478" s="32">
        <f>IF(OR(AE478="",NOT(ISNUMBER(AL478)),NOT(ISNUMBER(AM478))),"",IF(AM478&lt;=0,"",IF(ISNUMBER(Settings!$D$8),DATE(YEAR(AL478)+IF(DATE(YEAR(AL478),MONTH(Settings!$D$8),DAY(Settings!$D$8))&gt;AL478,0,1),MONTH(Settings!$D$8),DAY(Settings!$D$8)),MIN(DATE(YEAR(AL478),MONTH(AL478)+AM478,DAY(AL478)),DATE(YEAR(AL478),MONTH(AL478)+AM478+1,0)))))</f>
        <v/>
      </c>
      <c r="AO478" s="31">
        <f>IF(ISNUMBER(AN478),AN478-Settings!$D$4,"")</f>
        <v/>
      </c>
      <c r="AP478" s="31">
        <f>IF(ISNUMBER(AL478),AL478+0+ROW()/100000,"")</f>
        <v/>
      </c>
      <c r="AQ478" s="31">
        <f>IF(OR(AG478="",NOT(ISNUMBER(AP478))),0,IF(SUMPRODUCT(('Responses'!$AG$2:$AG$501=AG478)*('Responses'!$AJ$2:$AJ$501=1)*ISNUMBER('Responses'!$AP$2:$AP$501)*('Responses'!$AP$2:$AP$501&gt;AP478)) + SUMPRODUCT(('Paper sign-ups'!$K$2:$K$101=AG478)*('Paper sign-ups'!$N$2:$N$101=1)*ISNUMBER('Paper sign-ups'!$T$2:$T$101)*('Paper sign-ups'!$T$2:$T$101&gt;AP478))&gt;0,1,0))</f>
        <v/>
      </c>
      <c r="AR478" s="31">
        <f>IF(AE478="","",IF(AQ478=1,"Joined again",IF(AJ478=0,"Unpaid",IF(NOT(ISNUMBER(AL478)),"Add a join date",IF(AN478="","No reminder",IF(AO478&lt;0,"Lapsed",IF(AO478&lt;=Settings!$D$6,"Remind soon","Current")))))))</f>
        <v/>
      </c>
      <c r="AS478" s="33">
        <f>IF(AJ478=1,IFERROR(VALUE(IFERROR(TRIM(INDEX($A478:$Z478,MATCH(Settings!$L$8,$A$1:$Z$1,0))&amp;""),"")),0)-IFERROR(VALUE(IFERROR(TRIM(INDEX($A478:$Z478,MATCH(Settings!$L$9,$A$1:$Z$1,0))&amp;""),"")),0),0)</f>
        <v/>
      </c>
      <c r="AT478" s="31">
        <f>IF(AND(AE478&lt;&gt;"",AQ478=0),1,0)</f>
        <v/>
      </c>
      <c r="AU478" s="31">
        <f>IF(AT478=0,"",IF(ISNUMBER(AN478),AN478,100000)+0+ROW()/1000000)</f>
        <v/>
      </c>
      <c r="AV478" s="31">
        <f>IF(ISNUMBER(AU478),SUMPRODUCT(ISNUMBER('Responses'!$AU$2:$AU$501)*('Responses'!$AU$2:$AU$501&lt;AU478)) + SUMPRODUCT(ISNUMBER('Paper sign-ups'!$Y$2:$Y$101)*('Paper sign-ups'!$Y$2:$Y$101&lt;AU478))+1,"")</f>
        <v/>
      </c>
    </row>
    <row r="479">
      <c r="AA479" s="29" t="n"/>
      <c r="AB479" s="30" t="n"/>
      <c r="AC479" s="30" t="n"/>
      <c r="AD479" s="29" t="n"/>
      <c r="AE479" s="31">
        <f>IFERROR(TRIM(INDEX($A479:$Z479,MATCH(Settings!$L$4,$A$1:$Z$1,0))&amp;""),"")</f>
        <v/>
      </c>
      <c r="AF479" s="31">
        <f>IFERROR(TRIM(INDEX($A479:$Z479,MATCH(Settings!$L$5,$A$1:$Z$1,0))&amp;""),"")</f>
        <v/>
      </c>
      <c r="AG479" s="31">
        <f>IF(AE479="","",LOWER(IF(AF479&lt;&gt;"",AF479,AE479)))</f>
        <v/>
      </c>
      <c r="AH479" s="31">
        <f>IFERROR(TRIM(INDEX($A479:$Z479,MATCH(Settings!$L$6,$A$1:$Z$1,0))&amp;""),"")</f>
        <v/>
      </c>
      <c r="AI479" s="31">
        <f>IF(AE479="","",IF(UPPER(TRIM(AB479&amp;""))="Y","Paid another way",IF(IFERROR(TRIM(INDEX($A479:$Z479,MATCH(Settings!$L$7,$A$1:$Z$1,0))&amp;""),"")="","No payment status",IFERROR(TRIM(INDEX($A479:$Z479,MATCH(Settings!$L$7,$A$1:$Z$1,0))&amp;""),""))))</f>
        <v/>
      </c>
      <c r="AJ479" s="31">
        <f>IF(AE479="",0,IF(IFERROR(INDEX(Settings!$J$4:$J$14,MATCH(AI479,Settings!$I$4:$I$14,0)),"N")="Y",1,0))</f>
        <v/>
      </c>
      <c r="AK479" s="32">
        <f>IFERROR(INT(IFERROR(IF(ISNUMBER(INDEX($A479:$Z479,MATCH(Settings!$L$10,$A$1:$Z$1,0))),INDEX($A479:$Z479,MATCH(Settings!$L$10,$A$1:$Z$1,0)),DATE(VALUE(LEFT(IFERROR(TRIM(INDEX($A479:$Z479,MATCH(Settings!$L$10,$A$1:$Z$1,0))&amp;""),""),4)),VALUE(MID(IFERROR(TRIM(INDEX($A479:$Z479,MATCH(Settings!$L$10,$A$1:$Z$1,0))&amp;""),""),6,2)),VALUE(MID(IFERROR(TRIM(INDEX($A479:$Z479,MATCH(Settings!$L$10,$A$1:$Z$1,0))&amp;""),""),9,2)))+TIME(VALUE(MID(IFERROR(TRIM(INDEX($A479:$Z479,MATCH(Settings!$L$10,$A$1:$Z$1,0))&amp;""),""),12,2)),VALUE(MID(IFERROR(TRIM(INDEX($A479:$Z479,MATCH(Settings!$L$10,$A$1:$Z$1,0))&amp;""),""),15,2)),VALUE(MID(IFERROR(TRIM(INDEX($A479:$Z479,MATCH(Settings!$L$10,$A$1:$Z$1,0))&amp;""),""),18,2)))),"")),"")</f>
        <v/>
      </c>
      <c r="AL479" s="32">
        <f>IF(AE479="","",IF(ISNUMBER(AK479),AK479,IFERROR(INT(IFERROR(IF(ISNUMBER(INDEX($A479:$Z479,MATCH(Settings!$L$11,$A$1:$Z$1,0))),INDEX($A479:$Z479,MATCH(Settings!$L$11,$A$1:$Z$1,0)),DATE(VALUE(LEFT(IFERROR(TRIM(INDEX($A479:$Z479,MATCH(Settings!$L$11,$A$1:$Z$1,0))&amp;""),""),4)),VALUE(MID(IFERROR(TRIM(INDEX($A479:$Z479,MATCH(Settings!$L$11,$A$1:$Z$1,0))&amp;""),""),6,2)),VALUE(MID(IFERROR(TRIM(INDEX($A479:$Z479,MATCH(Settings!$L$11,$A$1:$Z$1,0))&amp;""),""),9,2)))+TIME(VALUE(MID(IFERROR(TRIM(INDEX($A479:$Z479,MATCH(Settings!$L$11,$A$1:$Z$1,0))&amp;""),""),12,2)),VALUE(MID(IFERROR(TRIM(INDEX($A479:$Z479,MATCH(Settings!$L$11,$A$1:$Z$1,0))&amp;""),""),15,2)),VALUE(MID(IFERROR(TRIM(INDEX($A479:$Z479,MATCH(Settings!$L$11,$A$1:$Z$1,0))&amp;""),""),18,2)))),"")),"")))</f>
        <v/>
      </c>
      <c r="AM479" s="31">
        <f>IF(AE479="","",IF(ISNUMBER(IFERROR(INDEX(Settings!$G$4:$G$11,MATCH(AH479,Settings!$F$4:$F$11,0)),"")),INDEX(Settings!$G$4:$G$11,MATCH(AH479,Settings!$F$4:$F$11,0)),Settings!$D$5))</f>
        <v/>
      </c>
      <c r="AN479" s="32">
        <f>IF(OR(AE479="",NOT(ISNUMBER(AL479)),NOT(ISNUMBER(AM479))),"",IF(AM479&lt;=0,"",IF(ISNUMBER(Settings!$D$8),DATE(YEAR(AL479)+IF(DATE(YEAR(AL479),MONTH(Settings!$D$8),DAY(Settings!$D$8))&gt;AL479,0,1),MONTH(Settings!$D$8),DAY(Settings!$D$8)),MIN(DATE(YEAR(AL479),MONTH(AL479)+AM479,DAY(AL479)),DATE(YEAR(AL479),MONTH(AL479)+AM479+1,0)))))</f>
        <v/>
      </c>
      <c r="AO479" s="31">
        <f>IF(ISNUMBER(AN479),AN479-Settings!$D$4,"")</f>
        <v/>
      </c>
      <c r="AP479" s="31">
        <f>IF(ISNUMBER(AL479),AL479+0+ROW()/100000,"")</f>
        <v/>
      </c>
      <c r="AQ479" s="31">
        <f>IF(OR(AG479="",NOT(ISNUMBER(AP479))),0,IF(SUMPRODUCT(('Responses'!$AG$2:$AG$501=AG479)*('Responses'!$AJ$2:$AJ$501=1)*ISNUMBER('Responses'!$AP$2:$AP$501)*('Responses'!$AP$2:$AP$501&gt;AP479)) + SUMPRODUCT(('Paper sign-ups'!$K$2:$K$101=AG479)*('Paper sign-ups'!$N$2:$N$101=1)*ISNUMBER('Paper sign-ups'!$T$2:$T$101)*('Paper sign-ups'!$T$2:$T$101&gt;AP479))&gt;0,1,0))</f>
        <v/>
      </c>
      <c r="AR479" s="31">
        <f>IF(AE479="","",IF(AQ479=1,"Joined again",IF(AJ479=0,"Unpaid",IF(NOT(ISNUMBER(AL479)),"Add a join date",IF(AN479="","No reminder",IF(AO479&lt;0,"Lapsed",IF(AO479&lt;=Settings!$D$6,"Remind soon","Current")))))))</f>
        <v/>
      </c>
      <c r="AS479" s="33">
        <f>IF(AJ479=1,IFERROR(VALUE(IFERROR(TRIM(INDEX($A479:$Z479,MATCH(Settings!$L$8,$A$1:$Z$1,0))&amp;""),"")),0)-IFERROR(VALUE(IFERROR(TRIM(INDEX($A479:$Z479,MATCH(Settings!$L$9,$A$1:$Z$1,0))&amp;""),"")),0),0)</f>
        <v/>
      </c>
      <c r="AT479" s="31">
        <f>IF(AND(AE479&lt;&gt;"",AQ479=0),1,0)</f>
        <v/>
      </c>
      <c r="AU479" s="31">
        <f>IF(AT479=0,"",IF(ISNUMBER(AN479),AN479,100000)+0+ROW()/1000000)</f>
        <v/>
      </c>
      <c r="AV479" s="31">
        <f>IF(ISNUMBER(AU479),SUMPRODUCT(ISNUMBER('Responses'!$AU$2:$AU$501)*('Responses'!$AU$2:$AU$501&lt;AU479)) + SUMPRODUCT(ISNUMBER('Paper sign-ups'!$Y$2:$Y$101)*('Paper sign-ups'!$Y$2:$Y$101&lt;AU479))+1,"")</f>
        <v/>
      </c>
    </row>
    <row r="480">
      <c r="AA480" s="29" t="n"/>
      <c r="AB480" s="30" t="n"/>
      <c r="AC480" s="30" t="n"/>
      <c r="AD480" s="29" t="n"/>
      <c r="AE480" s="31">
        <f>IFERROR(TRIM(INDEX($A480:$Z480,MATCH(Settings!$L$4,$A$1:$Z$1,0))&amp;""),"")</f>
        <v/>
      </c>
      <c r="AF480" s="31">
        <f>IFERROR(TRIM(INDEX($A480:$Z480,MATCH(Settings!$L$5,$A$1:$Z$1,0))&amp;""),"")</f>
        <v/>
      </c>
      <c r="AG480" s="31">
        <f>IF(AE480="","",LOWER(IF(AF480&lt;&gt;"",AF480,AE480)))</f>
        <v/>
      </c>
      <c r="AH480" s="31">
        <f>IFERROR(TRIM(INDEX($A480:$Z480,MATCH(Settings!$L$6,$A$1:$Z$1,0))&amp;""),"")</f>
        <v/>
      </c>
      <c r="AI480" s="31">
        <f>IF(AE480="","",IF(UPPER(TRIM(AB480&amp;""))="Y","Paid another way",IF(IFERROR(TRIM(INDEX($A480:$Z480,MATCH(Settings!$L$7,$A$1:$Z$1,0))&amp;""),"")="","No payment status",IFERROR(TRIM(INDEX($A480:$Z480,MATCH(Settings!$L$7,$A$1:$Z$1,0))&amp;""),""))))</f>
        <v/>
      </c>
      <c r="AJ480" s="31">
        <f>IF(AE480="",0,IF(IFERROR(INDEX(Settings!$J$4:$J$14,MATCH(AI480,Settings!$I$4:$I$14,0)),"N")="Y",1,0))</f>
        <v/>
      </c>
      <c r="AK480" s="32">
        <f>IFERROR(INT(IFERROR(IF(ISNUMBER(INDEX($A480:$Z480,MATCH(Settings!$L$10,$A$1:$Z$1,0))),INDEX($A480:$Z480,MATCH(Settings!$L$10,$A$1:$Z$1,0)),DATE(VALUE(LEFT(IFERROR(TRIM(INDEX($A480:$Z480,MATCH(Settings!$L$10,$A$1:$Z$1,0))&amp;""),""),4)),VALUE(MID(IFERROR(TRIM(INDEX($A480:$Z480,MATCH(Settings!$L$10,$A$1:$Z$1,0))&amp;""),""),6,2)),VALUE(MID(IFERROR(TRIM(INDEX($A480:$Z480,MATCH(Settings!$L$10,$A$1:$Z$1,0))&amp;""),""),9,2)))+TIME(VALUE(MID(IFERROR(TRIM(INDEX($A480:$Z480,MATCH(Settings!$L$10,$A$1:$Z$1,0))&amp;""),""),12,2)),VALUE(MID(IFERROR(TRIM(INDEX($A480:$Z480,MATCH(Settings!$L$10,$A$1:$Z$1,0))&amp;""),""),15,2)),VALUE(MID(IFERROR(TRIM(INDEX($A480:$Z480,MATCH(Settings!$L$10,$A$1:$Z$1,0))&amp;""),""),18,2)))),"")),"")</f>
        <v/>
      </c>
      <c r="AL480" s="32">
        <f>IF(AE480="","",IF(ISNUMBER(AK480),AK480,IFERROR(INT(IFERROR(IF(ISNUMBER(INDEX($A480:$Z480,MATCH(Settings!$L$11,$A$1:$Z$1,0))),INDEX($A480:$Z480,MATCH(Settings!$L$11,$A$1:$Z$1,0)),DATE(VALUE(LEFT(IFERROR(TRIM(INDEX($A480:$Z480,MATCH(Settings!$L$11,$A$1:$Z$1,0))&amp;""),""),4)),VALUE(MID(IFERROR(TRIM(INDEX($A480:$Z480,MATCH(Settings!$L$11,$A$1:$Z$1,0))&amp;""),""),6,2)),VALUE(MID(IFERROR(TRIM(INDEX($A480:$Z480,MATCH(Settings!$L$11,$A$1:$Z$1,0))&amp;""),""),9,2)))+TIME(VALUE(MID(IFERROR(TRIM(INDEX($A480:$Z480,MATCH(Settings!$L$11,$A$1:$Z$1,0))&amp;""),""),12,2)),VALUE(MID(IFERROR(TRIM(INDEX($A480:$Z480,MATCH(Settings!$L$11,$A$1:$Z$1,0))&amp;""),""),15,2)),VALUE(MID(IFERROR(TRIM(INDEX($A480:$Z480,MATCH(Settings!$L$11,$A$1:$Z$1,0))&amp;""),""),18,2)))),"")),"")))</f>
        <v/>
      </c>
      <c r="AM480" s="31">
        <f>IF(AE480="","",IF(ISNUMBER(IFERROR(INDEX(Settings!$G$4:$G$11,MATCH(AH480,Settings!$F$4:$F$11,0)),"")),INDEX(Settings!$G$4:$G$11,MATCH(AH480,Settings!$F$4:$F$11,0)),Settings!$D$5))</f>
        <v/>
      </c>
      <c r="AN480" s="32">
        <f>IF(OR(AE480="",NOT(ISNUMBER(AL480)),NOT(ISNUMBER(AM480))),"",IF(AM480&lt;=0,"",IF(ISNUMBER(Settings!$D$8),DATE(YEAR(AL480)+IF(DATE(YEAR(AL480),MONTH(Settings!$D$8),DAY(Settings!$D$8))&gt;AL480,0,1),MONTH(Settings!$D$8),DAY(Settings!$D$8)),MIN(DATE(YEAR(AL480),MONTH(AL480)+AM480,DAY(AL480)),DATE(YEAR(AL480),MONTH(AL480)+AM480+1,0)))))</f>
        <v/>
      </c>
      <c r="AO480" s="31">
        <f>IF(ISNUMBER(AN480),AN480-Settings!$D$4,"")</f>
        <v/>
      </c>
      <c r="AP480" s="31">
        <f>IF(ISNUMBER(AL480),AL480+0+ROW()/100000,"")</f>
        <v/>
      </c>
      <c r="AQ480" s="31">
        <f>IF(OR(AG480="",NOT(ISNUMBER(AP480))),0,IF(SUMPRODUCT(('Responses'!$AG$2:$AG$501=AG480)*('Responses'!$AJ$2:$AJ$501=1)*ISNUMBER('Responses'!$AP$2:$AP$501)*('Responses'!$AP$2:$AP$501&gt;AP480)) + SUMPRODUCT(('Paper sign-ups'!$K$2:$K$101=AG480)*('Paper sign-ups'!$N$2:$N$101=1)*ISNUMBER('Paper sign-ups'!$T$2:$T$101)*('Paper sign-ups'!$T$2:$T$101&gt;AP480))&gt;0,1,0))</f>
        <v/>
      </c>
      <c r="AR480" s="31">
        <f>IF(AE480="","",IF(AQ480=1,"Joined again",IF(AJ480=0,"Unpaid",IF(NOT(ISNUMBER(AL480)),"Add a join date",IF(AN480="","No reminder",IF(AO480&lt;0,"Lapsed",IF(AO480&lt;=Settings!$D$6,"Remind soon","Current")))))))</f>
        <v/>
      </c>
      <c r="AS480" s="33">
        <f>IF(AJ480=1,IFERROR(VALUE(IFERROR(TRIM(INDEX($A480:$Z480,MATCH(Settings!$L$8,$A$1:$Z$1,0))&amp;""),"")),0)-IFERROR(VALUE(IFERROR(TRIM(INDEX($A480:$Z480,MATCH(Settings!$L$9,$A$1:$Z$1,0))&amp;""),"")),0),0)</f>
        <v/>
      </c>
      <c r="AT480" s="31">
        <f>IF(AND(AE480&lt;&gt;"",AQ480=0),1,0)</f>
        <v/>
      </c>
      <c r="AU480" s="31">
        <f>IF(AT480=0,"",IF(ISNUMBER(AN480),AN480,100000)+0+ROW()/1000000)</f>
        <v/>
      </c>
      <c r="AV480" s="31">
        <f>IF(ISNUMBER(AU480),SUMPRODUCT(ISNUMBER('Responses'!$AU$2:$AU$501)*('Responses'!$AU$2:$AU$501&lt;AU480)) + SUMPRODUCT(ISNUMBER('Paper sign-ups'!$Y$2:$Y$101)*('Paper sign-ups'!$Y$2:$Y$101&lt;AU480))+1,"")</f>
        <v/>
      </c>
    </row>
    <row r="481">
      <c r="AA481" s="29" t="n"/>
      <c r="AB481" s="30" t="n"/>
      <c r="AC481" s="30" t="n"/>
      <c r="AD481" s="29" t="n"/>
      <c r="AE481" s="31">
        <f>IFERROR(TRIM(INDEX($A481:$Z481,MATCH(Settings!$L$4,$A$1:$Z$1,0))&amp;""),"")</f>
        <v/>
      </c>
      <c r="AF481" s="31">
        <f>IFERROR(TRIM(INDEX($A481:$Z481,MATCH(Settings!$L$5,$A$1:$Z$1,0))&amp;""),"")</f>
        <v/>
      </c>
      <c r="AG481" s="31">
        <f>IF(AE481="","",LOWER(IF(AF481&lt;&gt;"",AF481,AE481)))</f>
        <v/>
      </c>
      <c r="AH481" s="31">
        <f>IFERROR(TRIM(INDEX($A481:$Z481,MATCH(Settings!$L$6,$A$1:$Z$1,0))&amp;""),"")</f>
        <v/>
      </c>
      <c r="AI481" s="31">
        <f>IF(AE481="","",IF(UPPER(TRIM(AB481&amp;""))="Y","Paid another way",IF(IFERROR(TRIM(INDEX($A481:$Z481,MATCH(Settings!$L$7,$A$1:$Z$1,0))&amp;""),"")="","No payment status",IFERROR(TRIM(INDEX($A481:$Z481,MATCH(Settings!$L$7,$A$1:$Z$1,0))&amp;""),""))))</f>
        <v/>
      </c>
      <c r="AJ481" s="31">
        <f>IF(AE481="",0,IF(IFERROR(INDEX(Settings!$J$4:$J$14,MATCH(AI481,Settings!$I$4:$I$14,0)),"N")="Y",1,0))</f>
        <v/>
      </c>
      <c r="AK481" s="32">
        <f>IFERROR(INT(IFERROR(IF(ISNUMBER(INDEX($A481:$Z481,MATCH(Settings!$L$10,$A$1:$Z$1,0))),INDEX($A481:$Z481,MATCH(Settings!$L$10,$A$1:$Z$1,0)),DATE(VALUE(LEFT(IFERROR(TRIM(INDEX($A481:$Z481,MATCH(Settings!$L$10,$A$1:$Z$1,0))&amp;""),""),4)),VALUE(MID(IFERROR(TRIM(INDEX($A481:$Z481,MATCH(Settings!$L$10,$A$1:$Z$1,0))&amp;""),""),6,2)),VALUE(MID(IFERROR(TRIM(INDEX($A481:$Z481,MATCH(Settings!$L$10,$A$1:$Z$1,0))&amp;""),""),9,2)))+TIME(VALUE(MID(IFERROR(TRIM(INDEX($A481:$Z481,MATCH(Settings!$L$10,$A$1:$Z$1,0))&amp;""),""),12,2)),VALUE(MID(IFERROR(TRIM(INDEX($A481:$Z481,MATCH(Settings!$L$10,$A$1:$Z$1,0))&amp;""),""),15,2)),VALUE(MID(IFERROR(TRIM(INDEX($A481:$Z481,MATCH(Settings!$L$10,$A$1:$Z$1,0))&amp;""),""),18,2)))),"")),"")</f>
        <v/>
      </c>
      <c r="AL481" s="32">
        <f>IF(AE481="","",IF(ISNUMBER(AK481),AK481,IFERROR(INT(IFERROR(IF(ISNUMBER(INDEX($A481:$Z481,MATCH(Settings!$L$11,$A$1:$Z$1,0))),INDEX($A481:$Z481,MATCH(Settings!$L$11,$A$1:$Z$1,0)),DATE(VALUE(LEFT(IFERROR(TRIM(INDEX($A481:$Z481,MATCH(Settings!$L$11,$A$1:$Z$1,0))&amp;""),""),4)),VALUE(MID(IFERROR(TRIM(INDEX($A481:$Z481,MATCH(Settings!$L$11,$A$1:$Z$1,0))&amp;""),""),6,2)),VALUE(MID(IFERROR(TRIM(INDEX($A481:$Z481,MATCH(Settings!$L$11,$A$1:$Z$1,0))&amp;""),""),9,2)))+TIME(VALUE(MID(IFERROR(TRIM(INDEX($A481:$Z481,MATCH(Settings!$L$11,$A$1:$Z$1,0))&amp;""),""),12,2)),VALUE(MID(IFERROR(TRIM(INDEX($A481:$Z481,MATCH(Settings!$L$11,$A$1:$Z$1,0))&amp;""),""),15,2)),VALUE(MID(IFERROR(TRIM(INDEX($A481:$Z481,MATCH(Settings!$L$11,$A$1:$Z$1,0))&amp;""),""),18,2)))),"")),"")))</f>
        <v/>
      </c>
      <c r="AM481" s="31">
        <f>IF(AE481="","",IF(ISNUMBER(IFERROR(INDEX(Settings!$G$4:$G$11,MATCH(AH481,Settings!$F$4:$F$11,0)),"")),INDEX(Settings!$G$4:$G$11,MATCH(AH481,Settings!$F$4:$F$11,0)),Settings!$D$5))</f>
        <v/>
      </c>
      <c r="AN481" s="32">
        <f>IF(OR(AE481="",NOT(ISNUMBER(AL481)),NOT(ISNUMBER(AM481))),"",IF(AM481&lt;=0,"",IF(ISNUMBER(Settings!$D$8),DATE(YEAR(AL481)+IF(DATE(YEAR(AL481),MONTH(Settings!$D$8),DAY(Settings!$D$8))&gt;AL481,0,1),MONTH(Settings!$D$8),DAY(Settings!$D$8)),MIN(DATE(YEAR(AL481),MONTH(AL481)+AM481,DAY(AL481)),DATE(YEAR(AL481),MONTH(AL481)+AM481+1,0)))))</f>
        <v/>
      </c>
      <c r="AO481" s="31">
        <f>IF(ISNUMBER(AN481),AN481-Settings!$D$4,"")</f>
        <v/>
      </c>
      <c r="AP481" s="31">
        <f>IF(ISNUMBER(AL481),AL481+0+ROW()/100000,"")</f>
        <v/>
      </c>
      <c r="AQ481" s="31">
        <f>IF(OR(AG481="",NOT(ISNUMBER(AP481))),0,IF(SUMPRODUCT(('Responses'!$AG$2:$AG$501=AG481)*('Responses'!$AJ$2:$AJ$501=1)*ISNUMBER('Responses'!$AP$2:$AP$501)*('Responses'!$AP$2:$AP$501&gt;AP481)) + SUMPRODUCT(('Paper sign-ups'!$K$2:$K$101=AG481)*('Paper sign-ups'!$N$2:$N$101=1)*ISNUMBER('Paper sign-ups'!$T$2:$T$101)*('Paper sign-ups'!$T$2:$T$101&gt;AP481))&gt;0,1,0))</f>
        <v/>
      </c>
      <c r="AR481" s="31">
        <f>IF(AE481="","",IF(AQ481=1,"Joined again",IF(AJ481=0,"Unpaid",IF(NOT(ISNUMBER(AL481)),"Add a join date",IF(AN481="","No reminder",IF(AO481&lt;0,"Lapsed",IF(AO481&lt;=Settings!$D$6,"Remind soon","Current")))))))</f>
        <v/>
      </c>
      <c r="AS481" s="33">
        <f>IF(AJ481=1,IFERROR(VALUE(IFERROR(TRIM(INDEX($A481:$Z481,MATCH(Settings!$L$8,$A$1:$Z$1,0))&amp;""),"")),0)-IFERROR(VALUE(IFERROR(TRIM(INDEX($A481:$Z481,MATCH(Settings!$L$9,$A$1:$Z$1,0))&amp;""),"")),0),0)</f>
        <v/>
      </c>
      <c r="AT481" s="31">
        <f>IF(AND(AE481&lt;&gt;"",AQ481=0),1,0)</f>
        <v/>
      </c>
      <c r="AU481" s="31">
        <f>IF(AT481=0,"",IF(ISNUMBER(AN481),AN481,100000)+0+ROW()/1000000)</f>
        <v/>
      </c>
      <c r="AV481" s="31">
        <f>IF(ISNUMBER(AU481),SUMPRODUCT(ISNUMBER('Responses'!$AU$2:$AU$501)*('Responses'!$AU$2:$AU$501&lt;AU481)) + SUMPRODUCT(ISNUMBER('Paper sign-ups'!$Y$2:$Y$101)*('Paper sign-ups'!$Y$2:$Y$101&lt;AU481))+1,"")</f>
        <v/>
      </c>
    </row>
    <row r="482">
      <c r="AA482" s="29" t="n"/>
      <c r="AB482" s="30" t="n"/>
      <c r="AC482" s="30" t="n"/>
      <c r="AD482" s="29" t="n"/>
      <c r="AE482" s="31">
        <f>IFERROR(TRIM(INDEX($A482:$Z482,MATCH(Settings!$L$4,$A$1:$Z$1,0))&amp;""),"")</f>
        <v/>
      </c>
      <c r="AF482" s="31">
        <f>IFERROR(TRIM(INDEX($A482:$Z482,MATCH(Settings!$L$5,$A$1:$Z$1,0))&amp;""),"")</f>
        <v/>
      </c>
      <c r="AG482" s="31">
        <f>IF(AE482="","",LOWER(IF(AF482&lt;&gt;"",AF482,AE482)))</f>
        <v/>
      </c>
      <c r="AH482" s="31">
        <f>IFERROR(TRIM(INDEX($A482:$Z482,MATCH(Settings!$L$6,$A$1:$Z$1,0))&amp;""),"")</f>
        <v/>
      </c>
      <c r="AI482" s="31">
        <f>IF(AE482="","",IF(UPPER(TRIM(AB482&amp;""))="Y","Paid another way",IF(IFERROR(TRIM(INDEX($A482:$Z482,MATCH(Settings!$L$7,$A$1:$Z$1,0))&amp;""),"")="","No payment status",IFERROR(TRIM(INDEX($A482:$Z482,MATCH(Settings!$L$7,$A$1:$Z$1,0))&amp;""),""))))</f>
        <v/>
      </c>
      <c r="AJ482" s="31">
        <f>IF(AE482="",0,IF(IFERROR(INDEX(Settings!$J$4:$J$14,MATCH(AI482,Settings!$I$4:$I$14,0)),"N")="Y",1,0))</f>
        <v/>
      </c>
      <c r="AK482" s="32">
        <f>IFERROR(INT(IFERROR(IF(ISNUMBER(INDEX($A482:$Z482,MATCH(Settings!$L$10,$A$1:$Z$1,0))),INDEX($A482:$Z482,MATCH(Settings!$L$10,$A$1:$Z$1,0)),DATE(VALUE(LEFT(IFERROR(TRIM(INDEX($A482:$Z482,MATCH(Settings!$L$10,$A$1:$Z$1,0))&amp;""),""),4)),VALUE(MID(IFERROR(TRIM(INDEX($A482:$Z482,MATCH(Settings!$L$10,$A$1:$Z$1,0))&amp;""),""),6,2)),VALUE(MID(IFERROR(TRIM(INDEX($A482:$Z482,MATCH(Settings!$L$10,$A$1:$Z$1,0))&amp;""),""),9,2)))+TIME(VALUE(MID(IFERROR(TRIM(INDEX($A482:$Z482,MATCH(Settings!$L$10,$A$1:$Z$1,0))&amp;""),""),12,2)),VALUE(MID(IFERROR(TRIM(INDEX($A482:$Z482,MATCH(Settings!$L$10,$A$1:$Z$1,0))&amp;""),""),15,2)),VALUE(MID(IFERROR(TRIM(INDEX($A482:$Z482,MATCH(Settings!$L$10,$A$1:$Z$1,0))&amp;""),""),18,2)))),"")),"")</f>
        <v/>
      </c>
      <c r="AL482" s="32">
        <f>IF(AE482="","",IF(ISNUMBER(AK482),AK482,IFERROR(INT(IFERROR(IF(ISNUMBER(INDEX($A482:$Z482,MATCH(Settings!$L$11,$A$1:$Z$1,0))),INDEX($A482:$Z482,MATCH(Settings!$L$11,$A$1:$Z$1,0)),DATE(VALUE(LEFT(IFERROR(TRIM(INDEX($A482:$Z482,MATCH(Settings!$L$11,$A$1:$Z$1,0))&amp;""),""),4)),VALUE(MID(IFERROR(TRIM(INDEX($A482:$Z482,MATCH(Settings!$L$11,$A$1:$Z$1,0))&amp;""),""),6,2)),VALUE(MID(IFERROR(TRIM(INDEX($A482:$Z482,MATCH(Settings!$L$11,$A$1:$Z$1,0))&amp;""),""),9,2)))+TIME(VALUE(MID(IFERROR(TRIM(INDEX($A482:$Z482,MATCH(Settings!$L$11,$A$1:$Z$1,0))&amp;""),""),12,2)),VALUE(MID(IFERROR(TRIM(INDEX($A482:$Z482,MATCH(Settings!$L$11,$A$1:$Z$1,0))&amp;""),""),15,2)),VALUE(MID(IFERROR(TRIM(INDEX($A482:$Z482,MATCH(Settings!$L$11,$A$1:$Z$1,0))&amp;""),""),18,2)))),"")),"")))</f>
        <v/>
      </c>
      <c r="AM482" s="31">
        <f>IF(AE482="","",IF(ISNUMBER(IFERROR(INDEX(Settings!$G$4:$G$11,MATCH(AH482,Settings!$F$4:$F$11,0)),"")),INDEX(Settings!$G$4:$G$11,MATCH(AH482,Settings!$F$4:$F$11,0)),Settings!$D$5))</f>
        <v/>
      </c>
      <c r="AN482" s="32">
        <f>IF(OR(AE482="",NOT(ISNUMBER(AL482)),NOT(ISNUMBER(AM482))),"",IF(AM482&lt;=0,"",IF(ISNUMBER(Settings!$D$8),DATE(YEAR(AL482)+IF(DATE(YEAR(AL482),MONTH(Settings!$D$8),DAY(Settings!$D$8))&gt;AL482,0,1),MONTH(Settings!$D$8),DAY(Settings!$D$8)),MIN(DATE(YEAR(AL482),MONTH(AL482)+AM482,DAY(AL482)),DATE(YEAR(AL482),MONTH(AL482)+AM482+1,0)))))</f>
        <v/>
      </c>
      <c r="AO482" s="31">
        <f>IF(ISNUMBER(AN482),AN482-Settings!$D$4,"")</f>
        <v/>
      </c>
      <c r="AP482" s="31">
        <f>IF(ISNUMBER(AL482),AL482+0+ROW()/100000,"")</f>
        <v/>
      </c>
      <c r="AQ482" s="31">
        <f>IF(OR(AG482="",NOT(ISNUMBER(AP482))),0,IF(SUMPRODUCT(('Responses'!$AG$2:$AG$501=AG482)*('Responses'!$AJ$2:$AJ$501=1)*ISNUMBER('Responses'!$AP$2:$AP$501)*('Responses'!$AP$2:$AP$501&gt;AP482)) + SUMPRODUCT(('Paper sign-ups'!$K$2:$K$101=AG482)*('Paper sign-ups'!$N$2:$N$101=1)*ISNUMBER('Paper sign-ups'!$T$2:$T$101)*('Paper sign-ups'!$T$2:$T$101&gt;AP482))&gt;0,1,0))</f>
        <v/>
      </c>
      <c r="AR482" s="31">
        <f>IF(AE482="","",IF(AQ482=1,"Joined again",IF(AJ482=0,"Unpaid",IF(NOT(ISNUMBER(AL482)),"Add a join date",IF(AN482="","No reminder",IF(AO482&lt;0,"Lapsed",IF(AO482&lt;=Settings!$D$6,"Remind soon","Current")))))))</f>
        <v/>
      </c>
      <c r="AS482" s="33">
        <f>IF(AJ482=1,IFERROR(VALUE(IFERROR(TRIM(INDEX($A482:$Z482,MATCH(Settings!$L$8,$A$1:$Z$1,0))&amp;""),"")),0)-IFERROR(VALUE(IFERROR(TRIM(INDEX($A482:$Z482,MATCH(Settings!$L$9,$A$1:$Z$1,0))&amp;""),"")),0),0)</f>
        <v/>
      </c>
      <c r="AT482" s="31">
        <f>IF(AND(AE482&lt;&gt;"",AQ482=0),1,0)</f>
        <v/>
      </c>
      <c r="AU482" s="31">
        <f>IF(AT482=0,"",IF(ISNUMBER(AN482),AN482,100000)+0+ROW()/1000000)</f>
        <v/>
      </c>
      <c r="AV482" s="31">
        <f>IF(ISNUMBER(AU482),SUMPRODUCT(ISNUMBER('Responses'!$AU$2:$AU$501)*('Responses'!$AU$2:$AU$501&lt;AU482)) + SUMPRODUCT(ISNUMBER('Paper sign-ups'!$Y$2:$Y$101)*('Paper sign-ups'!$Y$2:$Y$101&lt;AU482))+1,"")</f>
        <v/>
      </c>
    </row>
    <row r="483">
      <c r="AA483" s="29" t="n"/>
      <c r="AB483" s="30" t="n"/>
      <c r="AC483" s="30" t="n"/>
      <c r="AD483" s="29" t="n"/>
      <c r="AE483" s="31">
        <f>IFERROR(TRIM(INDEX($A483:$Z483,MATCH(Settings!$L$4,$A$1:$Z$1,0))&amp;""),"")</f>
        <v/>
      </c>
      <c r="AF483" s="31">
        <f>IFERROR(TRIM(INDEX($A483:$Z483,MATCH(Settings!$L$5,$A$1:$Z$1,0))&amp;""),"")</f>
        <v/>
      </c>
      <c r="AG483" s="31">
        <f>IF(AE483="","",LOWER(IF(AF483&lt;&gt;"",AF483,AE483)))</f>
        <v/>
      </c>
      <c r="AH483" s="31">
        <f>IFERROR(TRIM(INDEX($A483:$Z483,MATCH(Settings!$L$6,$A$1:$Z$1,0))&amp;""),"")</f>
        <v/>
      </c>
      <c r="AI483" s="31">
        <f>IF(AE483="","",IF(UPPER(TRIM(AB483&amp;""))="Y","Paid another way",IF(IFERROR(TRIM(INDEX($A483:$Z483,MATCH(Settings!$L$7,$A$1:$Z$1,0))&amp;""),"")="","No payment status",IFERROR(TRIM(INDEX($A483:$Z483,MATCH(Settings!$L$7,$A$1:$Z$1,0))&amp;""),""))))</f>
        <v/>
      </c>
      <c r="AJ483" s="31">
        <f>IF(AE483="",0,IF(IFERROR(INDEX(Settings!$J$4:$J$14,MATCH(AI483,Settings!$I$4:$I$14,0)),"N")="Y",1,0))</f>
        <v/>
      </c>
      <c r="AK483" s="32">
        <f>IFERROR(INT(IFERROR(IF(ISNUMBER(INDEX($A483:$Z483,MATCH(Settings!$L$10,$A$1:$Z$1,0))),INDEX($A483:$Z483,MATCH(Settings!$L$10,$A$1:$Z$1,0)),DATE(VALUE(LEFT(IFERROR(TRIM(INDEX($A483:$Z483,MATCH(Settings!$L$10,$A$1:$Z$1,0))&amp;""),""),4)),VALUE(MID(IFERROR(TRIM(INDEX($A483:$Z483,MATCH(Settings!$L$10,$A$1:$Z$1,0))&amp;""),""),6,2)),VALUE(MID(IFERROR(TRIM(INDEX($A483:$Z483,MATCH(Settings!$L$10,$A$1:$Z$1,0))&amp;""),""),9,2)))+TIME(VALUE(MID(IFERROR(TRIM(INDEX($A483:$Z483,MATCH(Settings!$L$10,$A$1:$Z$1,0))&amp;""),""),12,2)),VALUE(MID(IFERROR(TRIM(INDEX($A483:$Z483,MATCH(Settings!$L$10,$A$1:$Z$1,0))&amp;""),""),15,2)),VALUE(MID(IFERROR(TRIM(INDEX($A483:$Z483,MATCH(Settings!$L$10,$A$1:$Z$1,0))&amp;""),""),18,2)))),"")),"")</f>
        <v/>
      </c>
      <c r="AL483" s="32">
        <f>IF(AE483="","",IF(ISNUMBER(AK483),AK483,IFERROR(INT(IFERROR(IF(ISNUMBER(INDEX($A483:$Z483,MATCH(Settings!$L$11,$A$1:$Z$1,0))),INDEX($A483:$Z483,MATCH(Settings!$L$11,$A$1:$Z$1,0)),DATE(VALUE(LEFT(IFERROR(TRIM(INDEX($A483:$Z483,MATCH(Settings!$L$11,$A$1:$Z$1,0))&amp;""),""),4)),VALUE(MID(IFERROR(TRIM(INDEX($A483:$Z483,MATCH(Settings!$L$11,$A$1:$Z$1,0))&amp;""),""),6,2)),VALUE(MID(IFERROR(TRIM(INDEX($A483:$Z483,MATCH(Settings!$L$11,$A$1:$Z$1,0))&amp;""),""),9,2)))+TIME(VALUE(MID(IFERROR(TRIM(INDEX($A483:$Z483,MATCH(Settings!$L$11,$A$1:$Z$1,0))&amp;""),""),12,2)),VALUE(MID(IFERROR(TRIM(INDEX($A483:$Z483,MATCH(Settings!$L$11,$A$1:$Z$1,0))&amp;""),""),15,2)),VALUE(MID(IFERROR(TRIM(INDEX($A483:$Z483,MATCH(Settings!$L$11,$A$1:$Z$1,0))&amp;""),""),18,2)))),"")),"")))</f>
        <v/>
      </c>
      <c r="AM483" s="31">
        <f>IF(AE483="","",IF(ISNUMBER(IFERROR(INDEX(Settings!$G$4:$G$11,MATCH(AH483,Settings!$F$4:$F$11,0)),"")),INDEX(Settings!$G$4:$G$11,MATCH(AH483,Settings!$F$4:$F$11,0)),Settings!$D$5))</f>
        <v/>
      </c>
      <c r="AN483" s="32">
        <f>IF(OR(AE483="",NOT(ISNUMBER(AL483)),NOT(ISNUMBER(AM483))),"",IF(AM483&lt;=0,"",IF(ISNUMBER(Settings!$D$8),DATE(YEAR(AL483)+IF(DATE(YEAR(AL483),MONTH(Settings!$D$8),DAY(Settings!$D$8))&gt;AL483,0,1),MONTH(Settings!$D$8),DAY(Settings!$D$8)),MIN(DATE(YEAR(AL483),MONTH(AL483)+AM483,DAY(AL483)),DATE(YEAR(AL483),MONTH(AL483)+AM483+1,0)))))</f>
        <v/>
      </c>
      <c r="AO483" s="31">
        <f>IF(ISNUMBER(AN483),AN483-Settings!$D$4,"")</f>
        <v/>
      </c>
      <c r="AP483" s="31">
        <f>IF(ISNUMBER(AL483),AL483+0+ROW()/100000,"")</f>
        <v/>
      </c>
      <c r="AQ483" s="31">
        <f>IF(OR(AG483="",NOT(ISNUMBER(AP483))),0,IF(SUMPRODUCT(('Responses'!$AG$2:$AG$501=AG483)*('Responses'!$AJ$2:$AJ$501=1)*ISNUMBER('Responses'!$AP$2:$AP$501)*('Responses'!$AP$2:$AP$501&gt;AP483)) + SUMPRODUCT(('Paper sign-ups'!$K$2:$K$101=AG483)*('Paper sign-ups'!$N$2:$N$101=1)*ISNUMBER('Paper sign-ups'!$T$2:$T$101)*('Paper sign-ups'!$T$2:$T$101&gt;AP483))&gt;0,1,0))</f>
        <v/>
      </c>
      <c r="AR483" s="31">
        <f>IF(AE483="","",IF(AQ483=1,"Joined again",IF(AJ483=0,"Unpaid",IF(NOT(ISNUMBER(AL483)),"Add a join date",IF(AN483="","No reminder",IF(AO483&lt;0,"Lapsed",IF(AO483&lt;=Settings!$D$6,"Remind soon","Current")))))))</f>
        <v/>
      </c>
      <c r="AS483" s="33">
        <f>IF(AJ483=1,IFERROR(VALUE(IFERROR(TRIM(INDEX($A483:$Z483,MATCH(Settings!$L$8,$A$1:$Z$1,0))&amp;""),"")),0)-IFERROR(VALUE(IFERROR(TRIM(INDEX($A483:$Z483,MATCH(Settings!$L$9,$A$1:$Z$1,0))&amp;""),"")),0),0)</f>
        <v/>
      </c>
      <c r="AT483" s="31">
        <f>IF(AND(AE483&lt;&gt;"",AQ483=0),1,0)</f>
        <v/>
      </c>
      <c r="AU483" s="31">
        <f>IF(AT483=0,"",IF(ISNUMBER(AN483),AN483,100000)+0+ROW()/1000000)</f>
        <v/>
      </c>
      <c r="AV483" s="31">
        <f>IF(ISNUMBER(AU483),SUMPRODUCT(ISNUMBER('Responses'!$AU$2:$AU$501)*('Responses'!$AU$2:$AU$501&lt;AU483)) + SUMPRODUCT(ISNUMBER('Paper sign-ups'!$Y$2:$Y$101)*('Paper sign-ups'!$Y$2:$Y$101&lt;AU483))+1,"")</f>
        <v/>
      </c>
    </row>
    <row r="484">
      <c r="AA484" s="29" t="n"/>
      <c r="AB484" s="30" t="n"/>
      <c r="AC484" s="30" t="n"/>
      <c r="AD484" s="29" t="n"/>
      <c r="AE484" s="31">
        <f>IFERROR(TRIM(INDEX($A484:$Z484,MATCH(Settings!$L$4,$A$1:$Z$1,0))&amp;""),"")</f>
        <v/>
      </c>
      <c r="AF484" s="31">
        <f>IFERROR(TRIM(INDEX($A484:$Z484,MATCH(Settings!$L$5,$A$1:$Z$1,0))&amp;""),"")</f>
        <v/>
      </c>
      <c r="AG484" s="31">
        <f>IF(AE484="","",LOWER(IF(AF484&lt;&gt;"",AF484,AE484)))</f>
        <v/>
      </c>
      <c r="AH484" s="31">
        <f>IFERROR(TRIM(INDEX($A484:$Z484,MATCH(Settings!$L$6,$A$1:$Z$1,0))&amp;""),"")</f>
        <v/>
      </c>
      <c r="AI484" s="31">
        <f>IF(AE484="","",IF(UPPER(TRIM(AB484&amp;""))="Y","Paid another way",IF(IFERROR(TRIM(INDEX($A484:$Z484,MATCH(Settings!$L$7,$A$1:$Z$1,0))&amp;""),"")="","No payment status",IFERROR(TRIM(INDEX($A484:$Z484,MATCH(Settings!$L$7,$A$1:$Z$1,0))&amp;""),""))))</f>
        <v/>
      </c>
      <c r="AJ484" s="31">
        <f>IF(AE484="",0,IF(IFERROR(INDEX(Settings!$J$4:$J$14,MATCH(AI484,Settings!$I$4:$I$14,0)),"N")="Y",1,0))</f>
        <v/>
      </c>
      <c r="AK484" s="32">
        <f>IFERROR(INT(IFERROR(IF(ISNUMBER(INDEX($A484:$Z484,MATCH(Settings!$L$10,$A$1:$Z$1,0))),INDEX($A484:$Z484,MATCH(Settings!$L$10,$A$1:$Z$1,0)),DATE(VALUE(LEFT(IFERROR(TRIM(INDEX($A484:$Z484,MATCH(Settings!$L$10,$A$1:$Z$1,0))&amp;""),""),4)),VALUE(MID(IFERROR(TRIM(INDEX($A484:$Z484,MATCH(Settings!$L$10,$A$1:$Z$1,0))&amp;""),""),6,2)),VALUE(MID(IFERROR(TRIM(INDEX($A484:$Z484,MATCH(Settings!$L$10,$A$1:$Z$1,0))&amp;""),""),9,2)))+TIME(VALUE(MID(IFERROR(TRIM(INDEX($A484:$Z484,MATCH(Settings!$L$10,$A$1:$Z$1,0))&amp;""),""),12,2)),VALUE(MID(IFERROR(TRIM(INDEX($A484:$Z484,MATCH(Settings!$L$10,$A$1:$Z$1,0))&amp;""),""),15,2)),VALUE(MID(IFERROR(TRIM(INDEX($A484:$Z484,MATCH(Settings!$L$10,$A$1:$Z$1,0))&amp;""),""),18,2)))),"")),"")</f>
        <v/>
      </c>
      <c r="AL484" s="32">
        <f>IF(AE484="","",IF(ISNUMBER(AK484),AK484,IFERROR(INT(IFERROR(IF(ISNUMBER(INDEX($A484:$Z484,MATCH(Settings!$L$11,$A$1:$Z$1,0))),INDEX($A484:$Z484,MATCH(Settings!$L$11,$A$1:$Z$1,0)),DATE(VALUE(LEFT(IFERROR(TRIM(INDEX($A484:$Z484,MATCH(Settings!$L$11,$A$1:$Z$1,0))&amp;""),""),4)),VALUE(MID(IFERROR(TRIM(INDEX($A484:$Z484,MATCH(Settings!$L$11,$A$1:$Z$1,0))&amp;""),""),6,2)),VALUE(MID(IFERROR(TRIM(INDEX($A484:$Z484,MATCH(Settings!$L$11,$A$1:$Z$1,0))&amp;""),""),9,2)))+TIME(VALUE(MID(IFERROR(TRIM(INDEX($A484:$Z484,MATCH(Settings!$L$11,$A$1:$Z$1,0))&amp;""),""),12,2)),VALUE(MID(IFERROR(TRIM(INDEX($A484:$Z484,MATCH(Settings!$L$11,$A$1:$Z$1,0))&amp;""),""),15,2)),VALUE(MID(IFERROR(TRIM(INDEX($A484:$Z484,MATCH(Settings!$L$11,$A$1:$Z$1,0))&amp;""),""),18,2)))),"")),"")))</f>
        <v/>
      </c>
      <c r="AM484" s="31">
        <f>IF(AE484="","",IF(ISNUMBER(IFERROR(INDEX(Settings!$G$4:$G$11,MATCH(AH484,Settings!$F$4:$F$11,0)),"")),INDEX(Settings!$G$4:$G$11,MATCH(AH484,Settings!$F$4:$F$11,0)),Settings!$D$5))</f>
        <v/>
      </c>
      <c r="AN484" s="32">
        <f>IF(OR(AE484="",NOT(ISNUMBER(AL484)),NOT(ISNUMBER(AM484))),"",IF(AM484&lt;=0,"",IF(ISNUMBER(Settings!$D$8),DATE(YEAR(AL484)+IF(DATE(YEAR(AL484),MONTH(Settings!$D$8),DAY(Settings!$D$8))&gt;AL484,0,1),MONTH(Settings!$D$8),DAY(Settings!$D$8)),MIN(DATE(YEAR(AL484),MONTH(AL484)+AM484,DAY(AL484)),DATE(YEAR(AL484),MONTH(AL484)+AM484+1,0)))))</f>
        <v/>
      </c>
      <c r="AO484" s="31">
        <f>IF(ISNUMBER(AN484),AN484-Settings!$D$4,"")</f>
        <v/>
      </c>
      <c r="AP484" s="31">
        <f>IF(ISNUMBER(AL484),AL484+0+ROW()/100000,"")</f>
        <v/>
      </c>
      <c r="AQ484" s="31">
        <f>IF(OR(AG484="",NOT(ISNUMBER(AP484))),0,IF(SUMPRODUCT(('Responses'!$AG$2:$AG$501=AG484)*('Responses'!$AJ$2:$AJ$501=1)*ISNUMBER('Responses'!$AP$2:$AP$501)*('Responses'!$AP$2:$AP$501&gt;AP484)) + SUMPRODUCT(('Paper sign-ups'!$K$2:$K$101=AG484)*('Paper sign-ups'!$N$2:$N$101=1)*ISNUMBER('Paper sign-ups'!$T$2:$T$101)*('Paper sign-ups'!$T$2:$T$101&gt;AP484))&gt;0,1,0))</f>
        <v/>
      </c>
      <c r="AR484" s="31">
        <f>IF(AE484="","",IF(AQ484=1,"Joined again",IF(AJ484=0,"Unpaid",IF(NOT(ISNUMBER(AL484)),"Add a join date",IF(AN484="","No reminder",IF(AO484&lt;0,"Lapsed",IF(AO484&lt;=Settings!$D$6,"Remind soon","Current")))))))</f>
        <v/>
      </c>
      <c r="AS484" s="33">
        <f>IF(AJ484=1,IFERROR(VALUE(IFERROR(TRIM(INDEX($A484:$Z484,MATCH(Settings!$L$8,$A$1:$Z$1,0))&amp;""),"")),0)-IFERROR(VALUE(IFERROR(TRIM(INDEX($A484:$Z484,MATCH(Settings!$L$9,$A$1:$Z$1,0))&amp;""),"")),0),0)</f>
        <v/>
      </c>
      <c r="AT484" s="31">
        <f>IF(AND(AE484&lt;&gt;"",AQ484=0),1,0)</f>
        <v/>
      </c>
      <c r="AU484" s="31">
        <f>IF(AT484=0,"",IF(ISNUMBER(AN484),AN484,100000)+0+ROW()/1000000)</f>
        <v/>
      </c>
      <c r="AV484" s="31">
        <f>IF(ISNUMBER(AU484),SUMPRODUCT(ISNUMBER('Responses'!$AU$2:$AU$501)*('Responses'!$AU$2:$AU$501&lt;AU484)) + SUMPRODUCT(ISNUMBER('Paper sign-ups'!$Y$2:$Y$101)*('Paper sign-ups'!$Y$2:$Y$101&lt;AU484))+1,"")</f>
        <v/>
      </c>
    </row>
    <row r="485">
      <c r="AA485" s="29" t="n"/>
      <c r="AB485" s="30" t="n"/>
      <c r="AC485" s="30" t="n"/>
      <c r="AD485" s="29" t="n"/>
      <c r="AE485" s="31">
        <f>IFERROR(TRIM(INDEX($A485:$Z485,MATCH(Settings!$L$4,$A$1:$Z$1,0))&amp;""),"")</f>
        <v/>
      </c>
      <c r="AF485" s="31">
        <f>IFERROR(TRIM(INDEX($A485:$Z485,MATCH(Settings!$L$5,$A$1:$Z$1,0))&amp;""),"")</f>
        <v/>
      </c>
      <c r="AG485" s="31">
        <f>IF(AE485="","",LOWER(IF(AF485&lt;&gt;"",AF485,AE485)))</f>
        <v/>
      </c>
      <c r="AH485" s="31">
        <f>IFERROR(TRIM(INDEX($A485:$Z485,MATCH(Settings!$L$6,$A$1:$Z$1,0))&amp;""),"")</f>
        <v/>
      </c>
      <c r="AI485" s="31">
        <f>IF(AE485="","",IF(UPPER(TRIM(AB485&amp;""))="Y","Paid another way",IF(IFERROR(TRIM(INDEX($A485:$Z485,MATCH(Settings!$L$7,$A$1:$Z$1,0))&amp;""),"")="","No payment status",IFERROR(TRIM(INDEX($A485:$Z485,MATCH(Settings!$L$7,$A$1:$Z$1,0))&amp;""),""))))</f>
        <v/>
      </c>
      <c r="AJ485" s="31">
        <f>IF(AE485="",0,IF(IFERROR(INDEX(Settings!$J$4:$J$14,MATCH(AI485,Settings!$I$4:$I$14,0)),"N")="Y",1,0))</f>
        <v/>
      </c>
      <c r="AK485" s="32">
        <f>IFERROR(INT(IFERROR(IF(ISNUMBER(INDEX($A485:$Z485,MATCH(Settings!$L$10,$A$1:$Z$1,0))),INDEX($A485:$Z485,MATCH(Settings!$L$10,$A$1:$Z$1,0)),DATE(VALUE(LEFT(IFERROR(TRIM(INDEX($A485:$Z485,MATCH(Settings!$L$10,$A$1:$Z$1,0))&amp;""),""),4)),VALUE(MID(IFERROR(TRIM(INDEX($A485:$Z485,MATCH(Settings!$L$10,$A$1:$Z$1,0))&amp;""),""),6,2)),VALUE(MID(IFERROR(TRIM(INDEX($A485:$Z485,MATCH(Settings!$L$10,$A$1:$Z$1,0))&amp;""),""),9,2)))+TIME(VALUE(MID(IFERROR(TRIM(INDEX($A485:$Z485,MATCH(Settings!$L$10,$A$1:$Z$1,0))&amp;""),""),12,2)),VALUE(MID(IFERROR(TRIM(INDEX($A485:$Z485,MATCH(Settings!$L$10,$A$1:$Z$1,0))&amp;""),""),15,2)),VALUE(MID(IFERROR(TRIM(INDEX($A485:$Z485,MATCH(Settings!$L$10,$A$1:$Z$1,0))&amp;""),""),18,2)))),"")),"")</f>
        <v/>
      </c>
      <c r="AL485" s="32">
        <f>IF(AE485="","",IF(ISNUMBER(AK485),AK485,IFERROR(INT(IFERROR(IF(ISNUMBER(INDEX($A485:$Z485,MATCH(Settings!$L$11,$A$1:$Z$1,0))),INDEX($A485:$Z485,MATCH(Settings!$L$11,$A$1:$Z$1,0)),DATE(VALUE(LEFT(IFERROR(TRIM(INDEX($A485:$Z485,MATCH(Settings!$L$11,$A$1:$Z$1,0))&amp;""),""),4)),VALUE(MID(IFERROR(TRIM(INDEX($A485:$Z485,MATCH(Settings!$L$11,$A$1:$Z$1,0))&amp;""),""),6,2)),VALUE(MID(IFERROR(TRIM(INDEX($A485:$Z485,MATCH(Settings!$L$11,$A$1:$Z$1,0))&amp;""),""),9,2)))+TIME(VALUE(MID(IFERROR(TRIM(INDEX($A485:$Z485,MATCH(Settings!$L$11,$A$1:$Z$1,0))&amp;""),""),12,2)),VALUE(MID(IFERROR(TRIM(INDEX($A485:$Z485,MATCH(Settings!$L$11,$A$1:$Z$1,0))&amp;""),""),15,2)),VALUE(MID(IFERROR(TRIM(INDEX($A485:$Z485,MATCH(Settings!$L$11,$A$1:$Z$1,0))&amp;""),""),18,2)))),"")),"")))</f>
        <v/>
      </c>
      <c r="AM485" s="31">
        <f>IF(AE485="","",IF(ISNUMBER(IFERROR(INDEX(Settings!$G$4:$G$11,MATCH(AH485,Settings!$F$4:$F$11,0)),"")),INDEX(Settings!$G$4:$G$11,MATCH(AH485,Settings!$F$4:$F$11,0)),Settings!$D$5))</f>
        <v/>
      </c>
      <c r="AN485" s="32">
        <f>IF(OR(AE485="",NOT(ISNUMBER(AL485)),NOT(ISNUMBER(AM485))),"",IF(AM485&lt;=0,"",IF(ISNUMBER(Settings!$D$8),DATE(YEAR(AL485)+IF(DATE(YEAR(AL485),MONTH(Settings!$D$8),DAY(Settings!$D$8))&gt;AL485,0,1),MONTH(Settings!$D$8),DAY(Settings!$D$8)),MIN(DATE(YEAR(AL485),MONTH(AL485)+AM485,DAY(AL485)),DATE(YEAR(AL485),MONTH(AL485)+AM485+1,0)))))</f>
        <v/>
      </c>
      <c r="AO485" s="31">
        <f>IF(ISNUMBER(AN485),AN485-Settings!$D$4,"")</f>
        <v/>
      </c>
      <c r="AP485" s="31">
        <f>IF(ISNUMBER(AL485),AL485+0+ROW()/100000,"")</f>
        <v/>
      </c>
      <c r="AQ485" s="31">
        <f>IF(OR(AG485="",NOT(ISNUMBER(AP485))),0,IF(SUMPRODUCT(('Responses'!$AG$2:$AG$501=AG485)*('Responses'!$AJ$2:$AJ$501=1)*ISNUMBER('Responses'!$AP$2:$AP$501)*('Responses'!$AP$2:$AP$501&gt;AP485)) + SUMPRODUCT(('Paper sign-ups'!$K$2:$K$101=AG485)*('Paper sign-ups'!$N$2:$N$101=1)*ISNUMBER('Paper sign-ups'!$T$2:$T$101)*('Paper sign-ups'!$T$2:$T$101&gt;AP485))&gt;0,1,0))</f>
        <v/>
      </c>
      <c r="AR485" s="31">
        <f>IF(AE485="","",IF(AQ485=1,"Joined again",IF(AJ485=0,"Unpaid",IF(NOT(ISNUMBER(AL485)),"Add a join date",IF(AN485="","No reminder",IF(AO485&lt;0,"Lapsed",IF(AO485&lt;=Settings!$D$6,"Remind soon","Current")))))))</f>
        <v/>
      </c>
      <c r="AS485" s="33">
        <f>IF(AJ485=1,IFERROR(VALUE(IFERROR(TRIM(INDEX($A485:$Z485,MATCH(Settings!$L$8,$A$1:$Z$1,0))&amp;""),"")),0)-IFERROR(VALUE(IFERROR(TRIM(INDEX($A485:$Z485,MATCH(Settings!$L$9,$A$1:$Z$1,0))&amp;""),"")),0),0)</f>
        <v/>
      </c>
      <c r="AT485" s="31">
        <f>IF(AND(AE485&lt;&gt;"",AQ485=0),1,0)</f>
        <v/>
      </c>
      <c r="AU485" s="31">
        <f>IF(AT485=0,"",IF(ISNUMBER(AN485),AN485,100000)+0+ROW()/1000000)</f>
        <v/>
      </c>
      <c r="AV485" s="31">
        <f>IF(ISNUMBER(AU485),SUMPRODUCT(ISNUMBER('Responses'!$AU$2:$AU$501)*('Responses'!$AU$2:$AU$501&lt;AU485)) + SUMPRODUCT(ISNUMBER('Paper sign-ups'!$Y$2:$Y$101)*('Paper sign-ups'!$Y$2:$Y$101&lt;AU485))+1,"")</f>
        <v/>
      </c>
    </row>
    <row r="486">
      <c r="AA486" s="29" t="n"/>
      <c r="AB486" s="30" t="n"/>
      <c r="AC486" s="30" t="n"/>
      <c r="AD486" s="29" t="n"/>
      <c r="AE486" s="31">
        <f>IFERROR(TRIM(INDEX($A486:$Z486,MATCH(Settings!$L$4,$A$1:$Z$1,0))&amp;""),"")</f>
        <v/>
      </c>
      <c r="AF486" s="31">
        <f>IFERROR(TRIM(INDEX($A486:$Z486,MATCH(Settings!$L$5,$A$1:$Z$1,0))&amp;""),"")</f>
        <v/>
      </c>
      <c r="AG486" s="31">
        <f>IF(AE486="","",LOWER(IF(AF486&lt;&gt;"",AF486,AE486)))</f>
        <v/>
      </c>
      <c r="AH486" s="31">
        <f>IFERROR(TRIM(INDEX($A486:$Z486,MATCH(Settings!$L$6,$A$1:$Z$1,0))&amp;""),"")</f>
        <v/>
      </c>
      <c r="AI486" s="31">
        <f>IF(AE486="","",IF(UPPER(TRIM(AB486&amp;""))="Y","Paid another way",IF(IFERROR(TRIM(INDEX($A486:$Z486,MATCH(Settings!$L$7,$A$1:$Z$1,0))&amp;""),"")="","No payment status",IFERROR(TRIM(INDEX($A486:$Z486,MATCH(Settings!$L$7,$A$1:$Z$1,0))&amp;""),""))))</f>
        <v/>
      </c>
      <c r="AJ486" s="31">
        <f>IF(AE486="",0,IF(IFERROR(INDEX(Settings!$J$4:$J$14,MATCH(AI486,Settings!$I$4:$I$14,0)),"N")="Y",1,0))</f>
        <v/>
      </c>
      <c r="AK486" s="32">
        <f>IFERROR(INT(IFERROR(IF(ISNUMBER(INDEX($A486:$Z486,MATCH(Settings!$L$10,$A$1:$Z$1,0))),INDEX($A486:$Z486,MATCH(Settings!$L$10,$A$1:$Z$1,0)),DATE(VALUE(LEFT(IFERROR(TRIM(INDEX($A486:$Z486,MATCH(Settings!$L$10,$A$1:$Z$1,0))&amp;""),""),4)),VALUE(MID(IFERROR(TRIM(INDEX($A486:$Z486,MATCH(Settings!$L$10,$A$1:$Z$1,0))&amp;""),""),6,2)),VALUE(MID(IFERROR(TRIM(INDEX($A486:$Z486,MATCH(Settings!$L$10,$A$1:$Z$1,0))&amp;""),""),9,2)))+TIME(VALUE(MID(IFERROR(TRIM(INDEX($A486:$Z486,MATCH(Settings!$L$10,$A$1:$Z$1,0))&amp;""),""),12,2)),VALUE(MID(IFERROR(TRIM(INDEX($A486:$Z486,MATCH(Settings!$L$10,$A$1:$Z$1,0))&amp;""),""),15,2)),VALUE(MID(IFERROR(TRIM(INDEX($A486:$Z486,MATCH(Settings!$L$10,$A$1:$Z$1,0))&amp;""),""),18,2)))),"")),"")</f>
        <v/>
      </c>
      <c r="AL486" s="32">
        <f>IF(AE486="","",IF(ISNUMBER(AK486),AK486,IFERROR(INT(IFERROR(IF(ISNUMBER(INDEX($A486:$Z486,MATCH(Settings!$L$11,$A$1:$Z$1,0))),INDEX($A486:$Z486,MATCH(Settings!$L$11,$A$1:$Z$1,0)),DATE(VALUE(LEFT(IFERROR(TRIM(INDEX($A486:$Z486,MATCH(Settings!$L$11,$A$1:$Z$1,0))&amp;""),""),4)),VALUE(MID(IFERROR(TRIM(INDEX($A486:$Z486,MATCH(Settings!$L$11,$A$1:$Z$1,0))&amp;""),""),6,2)),VALUE(MID(IFERROR(TRIM(INDEX($A486:$Z486,MATCH(Settings!$L$11,$A$1:$Z$1,0))&amp;""),""),9,2)))+TIME(VALUE(MID(IFERROR(TRIM(INDEX($A486:$Z486,MATCH(Settings!$L$11,$A$1:$Z$1,0))&amp;""),""),12,2)),VALUE(MID(IFERROR(TRIM(INDEX($A486:$Z486,MATCH(Settings!$L$11,$A$1:$Z$1,0))&amp;""),""),15,2)),VALUE(MID(IFERROR(TRIM(INDEX($A486:$Z486,MATCH(Settings!$L$11,$A$1:$Z$1,0))&amp;""),""),18,2)))),"")),"")))</f>
        <v/>
      </c>
      <c r="AM486" s="31">
        <f>IF(AE486="","",IF(ISNUMBER(IFERROR(INDEX(Settings!$G$4:$G$11,MATCH(AH486,Settings!$F$4:$F$11,0)),"")),INDEX(Settings!$G$4:$G$11,MATCH(AH486,Settings!$F$4:$F$11,0)),Settings!$D$5))</f>
        <v/>
      </c>
      <c r="AN486" s="32">
        <f>IF(OR(AE486="",NOT(ISNUMBER(AL486)),NOT(ISNUMBER(AM486))),"",IF(AM486&lt;=0,"",IF(ISNUMBER(Settings!$D$8),DATE(YEAR(AL486)+IF(DATE(YEAR(AL486),MONTH(Settings!$D$8),DAY(Settings!$D$8))&gt;AL486,0,1),MONTH(Settings!$D$8),DAY(Settings!$D$8)),MIN(DATE(YEAR(AL486),MONTH(AL486)+AM486,DAY(AL486)),DATE(YEAR(AL486),MONTH(AL486)+AM486+1,0)))))</f>
        <v/>
      </c>
      <c r="AO486" s="31">
        <f>IF(ISNUMBER(AN486),AN486-Settings!$D$4,"")</f>
        <v/>
      </c>
      <c r="AP486" s="31">
        <f>IF(ISNUMBER(AL486),AL486+0+ROW()/100000,"")</f>
        <v/>
      </c>
      <c r="AQ486" s="31">
        <f>IF(OR(AG486="",NOT(ISNUMBER(AP486))),0,IF(SUMPRODUCT(('Responses'!$AG$2:$AG$501=AG486)*('Responses'!$AJ$2:$AJ$501=1)*ISNUMBER('Responses'!$AP$2:$AP$501)*('Responses'!$AP$2:$AP$501&gt;AP486)) + SUMPRODUCT(('Paper sign-ups'!$K$2:$K$101=AG486)*('Paper sign-ups'!$N$2:$N$101=1)*ISNUMBER('Paper sign-ups'!$T$2:$T$101)*('Paper sign-ups'!$T$2:$T$101&gt;AP486))&gt;0,1,0))</f>
        <v/>
      </c>
      <c r="AR486" s="31">
        <f>IF(AE486="","",IF(AQ486=1,"Joined again",IF(AJ486=0,"Unpaid",IF(NOT(ISNUMBER(AL486)),"Add a join date",IF(AN486="","No reminder",IF(AO486&lt;0,"Lapsed",IF(AO486&lt;=Settings!$D$6,"Remind soon","Current")))))))</f>
        <v/>
      </c>
      <c r="AS486" s="33">
        <f>IF(AJ486=1,IFERROR(VALUE(IFERROR(TRIM(INDEX($A486:$Z486,MATCH(Settings!$L$8,$A$1:$Z$1,0))&amp;""),"")),0)-IFERROR(VALUE(IFERROR(TRIM(INDEX($A486:$Z486,MATCH(Settings!$L$9,$A$1:$Z$1,0))&amp;""),"")),0),0)</f>
        <v/>
      </c>
      <c r="AT486" s="31">
        <f>IF(AND(AE486&lt;&gt;"",AQ486=0),1,0)</f>
        <v/>
      </c>
      <c r="AU486" s="31">
        <f>IF(AT486=0,"",IF(ISNUMBER(AN486),AN486,100000)+0+ROW()/1000000)</f>
        <v/>
      </c>
      <c r="AV486" s="31">
        <f>IF(ISNUMBER(AU486),SUMPRODUCT(ISNUMBER('Responses'!$AU$2:$AU$501)*('Responses'!$AU$2:$AU$501&lt;AU486)) + SUMPRODUCT(ISNUMBER('Paper sign-ups'!$Y$2:$Y$101)*('Paper sign-ups'!$Y$2:$Y$101&lt;AU486))+1,"")</f>
        <v/>
      </c>
    </row>
    <row r="487">
      <c r="AA487" s="29" t="n"/>
      <c r="AB487" s="30" t="n"/>
      <c r="AC487" s="30" t="n"/>
      <c r="AD487" s="29" t="n"/>
      <c r="AE487" s="31">
        <f>IFERROR(TRIM(INDEX($A487:$Z487,MATCH(Settings!$L$4,$A$1:$Z$1,0))&amp;""),"")</f>
        <v/>
      </c>
      <c r="AF487" s="31">
        <f>IFERROR(TRIM(INDEX($A487:$Z487,MATCH(Settings!$L$5,$A$1:$Z$1,0))&amp;""),"")</f>
        <v/>
      </c>
      <c r="AG487" s="31">
        <f>IF(AE487="","",LOWER(IF(AF487&lt;&gt;"",AF487,AE487)))</f>
        <v/>
      </c>
      <c r="AH487" s="31">
        <f>IFERROR(TRIM(INDEX($A487:$Z487,MATCH(Settings!$L$6,$A$1:$Z$1,0))&amp;""),"")</f>
        <v/>
      </c>
      <c r="AI487" s="31">
        <f>IF(AE487="","",IF(UPPER(TRIM(AB487&amp;""))="Y","Paid another way",IF(IFERROR(TRIM(INDEX($A487:$Z487,MATCH(Settings!$L$7,$A$1:$Z$1,0))&amp;""),"")="","No payment status",IFERROR(TRIM(INDEX($A487:$Z487,MATCH(Settings!$L$7,$A$1:$Z$1,0))&amp;""),""))))</f>
        <v/>
      </c>
      <c r="AJ487" s="31">
        <f>IF(AE487="",0,IF(IFERROR(INDEX(Settings!$J$4:$J$14,MATCH(AI487,Settings!$I$4:$I$14,0)),"N")="Y",1,0))</f>
        <v/>
      </c>
      <c r="AK487" s="32">
        <f>IFERROR(INT(IFERROR(IF(ISNUMBER(INDEX($A487:$Z487,MATCH(Settings!$L$10,$A$1:$Z$1,0))),INDEX($A487:$Z487,MATCH(Settings!$L$10,$A$1:$Z$1,0)),DATE(VALUE(LEFT(IFERROR(TRIM(INDEX($A487:$Z487,MATCH(Settings!$L$10,$A$1:$Z$1,0))&amp;""),""),4)),VALUE(MID(IFERROR(TRIM(INDEX($A487:$Z487,MATCH(Settings!$L$10,$A$1:$Z$1,0))&amp;""),""),6,2)),VALUE(MID(IFERROR(TRIM(INDEX($A487:$Z487,MATCH(Settings!$L$10,$A$1:$Z$1,0))&amp;""),""),9,2)))+TIME(VALUE(MID(IFERROR(TRIM(INDEX($A487:$Z487,MATCH(Settings!$L$10,$A$1:$Z$1,0))&amp;""),""),12,2)),VALUE(MID(IFERROR(TRIM(INDEX($A487:$Z487,MATCH(Settings!$L$10,$A$1:$Z$1,0))&amp;""),""),15,2)),VALUE(MID(IFERROR(TRIM(INDEX($A487:$Z487,MATCH(Settings!$L$10,$A$1:$Z$1,0))&amp;""),""),18,2)))),"")),"")</f>
        <v/>
      </c>
      <c r="AL487" s="32">
        <f>IF(AE487="","",IF(ISNUMBER(AK487),AK487,IFERROR(INT(IFERROR(IF(ISNUMBER(INDEX($A487:$Z487,MATCH(Settings!$L$11,$A$1:$Z$1,0))),INDEX($A487:$Z487,MATCH(Settings!$L$11,$A$1:$Z$1,0)),DATE(VALUE(LEFT(IFERROR(TRIM(INDEX($A487:$Z487,MATCH(Settings!$L$11,$A$1:$Z$1,0))&amp;""),""),4)),VALUE(MID(IFERROR(TRIM(INDEX($A487:$Z487,MATCH(Settings!$L$11,$A$1:$Z$1,0))&amp;""),""),6,2)),VALUE(MID(IFERROR(TRIM(INDEX($A487:$Z487,MATCH(Settings!$L$11,$A$1:$Z$1,0))&amp;""),""),9,2)))+TIME(VALUE(MID(IFERROR(TRIM(INDEX($A487:$Z487,MATCH(Settings!$L$11,$A$1:$Z$1,0))&amp;""),""),12,2)),VALUE(MID(IFERROR(TRIM(INDEX($A487:$Z487,MATCH(Settings!$L$11,$A$1:$Z$1,0))&amp;""),""),15,2)),VALUE(MID(IFERROR(TRIM(INDEX($A487:$Z487,MATCH(Settings!$L$11,$A$1:$Z$1,0))&amp;""),""),18,2)))),"")),"")))</f>
        <v/>
      </c>
      <c r="AM487" s="31">
        <f>IF(AE487="","",IF(ISNUMBER(IFERROR(INDEX(Settings!$G$4:$G$11,MATCH(AH487,Settings!$F$4:$F$11,0)),"")),INDEX(Settings!$G$4:$G$11,MATCH(AH487,Settings!$F$4:$F$11,0)),Settings!$D$5))</f>
        <v/>
      </c>
      <c r="AN487" s="32">
        <f>IF(OR(AE487="",NOT(ISNUMBER(AL487)),NOT(ISNUMBER(AM487))),"",IF(AM487&lt;=0,"",IF(ISNUMBER(Settings!$D$8),DATE(YEAR(AL487)+IF(DATE(YEAR(AL487),MONTH(Settings!$D$8),DAY(Settings!$D$8))&gt;AL487,0,1),MONTH(Settings!$D$8),DAY(Settings!$D$8)),MIN(DATE(YEAR(AL487),MONTH(AL487)+AM487,DAY(AL487)),DATE(YEAR(AL487),MONTH(AL487)+AM487+1,0)))))</f>
        <v/>
      </c>
      <c r="AO487" s="31">
        <f>IF(ISNUMBER(AN487),AN487-Settings!$D$4,"")</f>
        <v/>
      </c>
      <c r="AP487" s="31">
        <f>IF(ISNUMBER(AL487),AL487+0+ROW()/100000,"")</f>
        <v/>
      </c>
      <c r="AQ487" s="31">
        <f>IF(OR(AG487="",NOT(ISNUMBER(AP487))),0,IF(SUMPRODUCT(('Responses'!$AG$2:$AG$501=AG487)*('Responses'!$AJ$2:$AJ$501=1)*ISNUMBER('Responses'!$AP$2:$AP$501)*('Responses'!$AP$2:$AP$501&gt;AP487)) + SUMPRODUCT(('Paper sign-ups'!$K$2:$K$101=AG487)*('Paper sign-ups'!$N$2:$N$101=1)*ISNUMBER('Paper sign-ups'!$T$2:$T$101)*('Paper sign-ups'!$T$2:$T$101&gt;AP487))&gt;0,1,0))</f>
        <v/>
      </c>
      <c r="AR487" s="31">
        <f>IF(AE487="","",IF(AQ487=1,"Joined again",IF(AJ487=0,"Unpaid",IF(NOT(ISNUMBER(AL487)),"Add a join date",IF(AN487="","No reminder",IF(AO487&lt;0,"Lapsed",IF(AO487&lt;=Settings!$D$6,"Remind soon","Current")))))))</f>
        <v/>
      </c>
      <c r="AS487" s="33">
        <f>IF(AJ487=1,IFERROR(VALUE(IFERROR(TRIM(INDEX($A487:$Z487,MATCH(Settings!$L$8,$A$1:$Z$1,0))&amp;""),"")),0)-IFERROR(VALUE(IFERROR(TRIM(INDEX($A487:$Z487,MATCH(Settings!$L$9,$A$1:$Z$1,0))&amp;""),"")),0),0)</f>
        <v/>
      </c>
      <c r="AT487" s="31">
        <f>IF(AND(AE487&lt;&gt;"",AQ487=0),1,0)</f>
        <v/>
      </c>
      <c r="AU487" s="31">
        <f>IF(AT487=0,"",IF(ISNUMBER(AN487),AN487,100000)+0+ROW()/1000000)</f>
        <v/>
      </c>
      <c r="AV487" s="31">
        <f>IF(ISNUMBER(AU487),SUMPRODUCT(ISNUMBER('Responses'!$AU$2:$AU$501)*('Responses'!$AU$2:$AU$501&lt;AU487)) + SUMPRODUCT(ISNUMBER('Paper sign-ups'!$Y$2:$Y$101)*('Paper sign-ups'!$Y$2:$Y$101&lt;AU487))+1,"")</f>
        <v/>
      </c>
    </row>
    <row r="488">
      <c r="AA488" s="29" t="n"/>
      <c r="AB488" s="30" t="n"/>
      <c r="AC488" s="30" t="n"/>
      <c r="AD488" s="29" t="n"/>
      <c r="AE488" s="31">
        <f>IFERROR(TRIM(INDEX($A488:$Z488,MATCH(Settings!$L$4,$A$1:$Z$1,0))&amp;""),"")</f>
        <v/>
      </c>
      <c r="AF488" s="31">
        <f>IFERROR(TRIM(INDEX($A488:$Z488,MATCH(Settings!$L$5,$A$1:$Z$1,0))&amp;""),"")</f>
        <v/>
      </c>
      <c r="AG488" s="31">
        <f>IF(AE488="","",LOWER(IF(AF488&lt;&gt;"",AF488,AE488)))</f>
        <v/>
      </c>
      <c r="AH488" s="31">
        <f>IFERROR(TRIM(INDEX($A488:$Z488,MATCH(Settings!$L$6,$A$1:$Z$1,0))&amp;""),"")</f>
        <v/>
      </c>
      <c r="AI488" s="31">
        <f>IF(AE488="","",IF(UPPER(TRIM(AB488&amp;""))="Y","Paid another way",IF(IFERROR(TRIM(INDEX($A488:$Z488,MATCH(Settings!$L$7,$A$1:$Z$1,0))&amp;""),"")="","No payment status",IFERROR(TRIM(INDEX($A488:$Z488,MATCH(Settings!$L$7,$A$1:$Z$1,0))&amp;""),""))))</f>
        <v/>
      </c>
      <c r="AJ488" s="31">
        <f>IF(AE488="",0,IF(IFERROR(INDEX(Settings!$J$4:$J$14,MATCH(AI488,Settings!$I$4:$I$14,0)),"N")="Y",1,0))</f>
        <v/>
      </c>
      <c r="AK488" s="32">
        <f>IFERROR(INT(IFERROR(IF(ISNUMBER(INDEX($A488:$Z488,MATCH(Settings!$L$10,$A$1:$Z$1,0))),INDEX($A488:$Z488,MATCH(Settings!$L$10,$A$1:$Z$1,0)),DATE(VALUE(LEFT(IFERROR(TRIM(INDEX($A488:$Z488,MATCH(Settings!$L$10,$A$1:$Z$1,0))&amp;""),""),4)),VALUE(MID(IFERROR(TRIM(INDEX($A488:$Z488,MATCH(Settings!$L$10,$A$1:$Z$1,0))&amp;""),""),6,2)),VALUE(MID(IFERROR(TRIM(INDEX($A488:$Z488,MATCH(Settings!$L$10,$A$1:$Z$1,0))&amp;""),""),9,2)))+TIME(VALUE(MID(IFERROR(TRIM(INDEX($A488:$Z488,MATCH(Settings!$L$10,$A$1:$Z$1,0))&amp;""),""),12,2)),VALUE(MID(IFERROR(TRIM(INDEX($A488:$Z488,MATCH(Settings!$L$10,$A$1:$Z$1,0))&amp;""),""),15,2)),VALUE(MID(IFERROR(TRIM(INDEX($A488:$Z488,MATCH(Settings!$L$10,$A$1:$Z$1,0))&amp;""),""),18,2)))),"")),"")</f>
        <v/>
      </c>
      <c r="AL488" s="32">
        <f>IF(AE488="","",IF(ISNUMBER(AK488),AK488,IFERROR(INT(IFERROR(IF(ISNUMBER(INDEX($A488:$Z488,MATCH(Settings!$L$11,$A$1:$Z$1,0))),INDEX($A488:$Z488,MATCH(Settings!$L$11,$A$1:$Z$1,0)),DATE(VALUE(LEFT(IFERROR(TRIM(INDEX($A488:$Z488,MATCH(Settings!$L$11,$A$1:$Z$1,0))&amp;""),""),4)),VALUE(MID(IFERROR(TRIM(INDEX($A488:$Z488,MATCH(Settings!$L$11,$A$1:$Z$1,0))&amp;""),""),6,2)),VALUE(MID(IFERROR(TRIM(INDEX($A488:$Z488,MATCH(Settings!$L$11,$A$1:$Z$1,0))&amp;""),""),9,2)))+TIME(VALUE(MID(IFERROR(TRIM(INDEX($A488:$Z488,MATCH(Settings!$L$11,$A$1:$Z$1,0))&amp;""),""),12,2)),VALUE(MID(IFERROR(TRIM(INDEX($A488:$Z488,MATCH(Settings!$L$11,$A$1:$Z$1,0))&amp;""),""),15,2)),VALUE(MID(IFERROR(TRIM(INDEX($A488:$Z488,MATCH(Settings!$L$11,$A$1:$Z$1,0))&amp;""),""),18,2)))),"")),"")))</f>
        <v/>
      </c>
      <c r="AM488" s="31">
        <f>IF(AE488="","",IF(ISNUMBER(IFERROR(INDEX(Settings!$G$4:$G$11,MATCH(AH488,Settings!$F$4:$F$11,0)),"")),INDEX(Settings!$G$4:$G$11,MATCH(AH488,Settings!$F$4:$F$11,0)),Settings!$D$5))</f>
        <v/>
      </c>
      <c r="AN488" s="32">
        <f>IF(OR(AE488="",NOT(ISNUMBER(AL488)),NOT(ISNUMBER(AM488))),"",IF(AM488&lt;=0,"",IF(ISNUMBER(Settings!$D$8),DATE(YEAR(AL488)+IF(DATE(YEAR(AL488),MONTH(Settings!$D$8),DAY(Settings!$D$8))&gt;AL488,0,1),MONTH(Settings!$D$8),DAY(Settings!$D$8)),MIN(DATE(YEAR(AL488),MONTH(AL488)+AM488,DAY(AL488)),DATE(YEAR(AL488),MONTH(AL488)+AM488+1,0)))))</f>
        <v/>
      </c>
      <c r="AO488" s="31">
        <f>IF(ISNUMBER(AN488),AN488-Settings!$D$4,"")</f>
        <v/>
      </c>
      <c r="AP488" s="31">
        <f>IF(ISNUMBER(AL488),AL488+0+ROW()/100000,"")</f>
        <v/>
      </c>
      <c r="AQ488" s="31">
        <f>IF(OR(AG488="",NOT(ISNUMBER(AP488))),0,IF(SUMPRODUCT(('Responses'!$AG$2:$AG$501=AG488)*('Responses'!$AJ$2:$AJ$501=1)*ISNUMBER('Responses'!$AP$2:$AP$501)*('Responses'!$AP$2:$AP$501&gt;AP488)) + SUMPRODUCT(('Paper sign-ups'!$K$2:$K$101=AG488)*('Paper sign-ups'!$N$2:$N$101=1)*ISNUMBER('Paper sign-ups'!$T$2:$T$101)*('Paper sign-ups'!$T$2:$T$101&gt;AP488))&gt;0,1,0))</f>
        <v/>
      </c>
      <c r="AR488" s="31">
        <f>IF(AE488="","",IF(AQ488=1,"Joined again",IF(AJ488=0,"Unpaid",IF(NOT(ISNUMBER(AL488)),"Add a join date",IF(AN488="","No reminder",IF(AO488&lt;0,"Lapsed",IF(AO488&lt;=Settings!$D$6,"Remind soon","Current")))))))</f>
        <v/>
      </c>
      <c r="AS488" s="33">
        <f>IF(AJ488=1,IFERROR(VALUE(IFERROR(TRIM(INDEX($A488:$Z488,MATCH(Settings!$L$8,$A$1:$Z$1,0))&amp;""),"")),0)-IFERROR(VALUE(IFERROR(TRIM(INDEX($A488:$Z488,MATCH(Settings!$L$9,$A$1:$Z$1,0))&amp;""),"")),0),0)</f>
        <v/>
      </c>
      <c r="AT488" s="31">
        <f>IF(AND(AE488&lt;&gt;"",AQ488=0),1,0)</f>
        <v/>
      </c>
      <c r="AU488" s="31">
        <f>IF(AT488=0,"",IF(ISNUMBER(AN488),AN488,100000)+0+ROW()/1000000)</f>
        <v/>
      </c>
      <c r="AV488" s="31">
        <f>IF(ISNUMBER(AU488),SUMPRODUCT(ISNUMBER('Responses'!$AU$2:$AU$501)*('Responses'!$AU$2:$AU$501&lt;AU488)) + SUMPRODUCT(ISNUMBER('Paper sign-ups'!$Y$2:$Y$101)*('Paper sign-ups'!$Y$2:$Y$101&lt;AU488))+1,"")</f>
        <v/>
      </c>
    </row>
    <row r="489">
      <c r="AA489" s="29" t="n"/>
      <c r="AB489" s="30" t="n"/>
      <c r="AC489" s="30" t="n"/>
      <c r="AD489" s="29" t="n"/>
      <c r="AE489" s="31">
        <f>IFERROR(TRIM(INDEX($A489:$Z489,MATCH(Settings!$L$4,$A$1:$Z$1,0))&amp;""),"")</f>
        <v/>
      </c>
      <c r="AF489" s="31">
        <f>IFERROR(TRIM(INDEX($A489:$Z489,MATCH(Settings!$L$5,$A$1:$Z$1,0))&amp;""),"")</f>
        <v/>
      </c>
      <c r="AG489" s="31">
        <f>IF(AE489="","",LOWER(IF(AF489&lt;&gt;"",AF489,AE489)))</f>
        <v/>
      </c>
      <c r="AH489" s="31">
        <f>IFERROR(TRIM(INDEX($A489:$Z489,MATCH(Settings!$L$6,$A$1:$Z$1,0))&amp;""),"")</f>
        <v/>
      </c>
      <c r="AI489" s="31">
        <f>IF(AE489="","",IF(UPPER(TRIM(AB489&amp;""))="Y","Paid another way",IF(IFERROR(TRIM(INDEX($A489:$Z489,MATCH(Settings!$L$7,$A$1:$Z$1,0))&amp;""),"")="","No payment status",IFERROR(TRIM(INDEX($A489:$Z489,MATCH(Settings!$L$7,$A$1:$Z$1,0))&amp;""),""))))</f>
        <v/>
      </c>
      <c r="AJ489" s="31">
        <f>IF(AE489="",0,IF(IFERROR(INDEX(Settings!$J$4:$J$14,MATCH(AI489,Settings!$I$4:$I$14,0)),"N")="Y",1,0))</f>
        <v/>
      </c>
      <c r="AK489" s="32">
        <f>IFERROR(INT(IFERROR(IF(ISNUMBER(INDEX($A489:$Z489,MATCH(Settings!$L$10,$A$1:$Z$1,0))),INDEX($A489:$Z489,MATCH(Settings!$L$10,$A$1:$Z$1,0)),DATE(VALUE(LEFT(IFERROR(TRIM(INDEX($A489:$Z489,MATCH(Settings!$L$10,$A$1:$Z$1,0))&amp;""),""),4)),VALUE(MID(IFERROR(TRIM(INDEX($A489:$Z489,MATCH(Settings!$L$10,$A$1:$Z$1,0))&amp;""),""),6,2)),VALUE(MID(IFERROR(TRIM(INDEX($A489:$Z489,MATCH(Settings!$L$10,$A$1:$Z$1,0))&amp;""),""),9,2)))+TIME(VALUE(MID(IFERROR(TRIM(INDEX($A489:$Z489,MATCH(Settings!$L$10,$A$1:$Z$1,0))&amp;""),""),12,2)),VALUE(MID(IFERROR(TRIM(INDEX($A489:$Z489,MATCH(Settings!$L$10,$A$1:$Z$1,0))&amp;""),""),15,2)),VALUE(MID(IFERROR(TRIM(INDEX($A489:$Z489,MATCH(Settings!$L$10,$A$1:$Z$1,0))&amp;""),""),18,2)))),"")),"")</f>
        <v/>
      </c>
      <c r="AL489" s="32">
        <f>IF(AE489="","",IF(ISNUMBER(AK489),AK489,IFERROR(INT(IFERROR(IF(ISNUMBER(INDEX($A489:$Z489,MATCH(Settings!$L$11,$A$1:$Z$1,0))),INDEX($A489:$Z489,MATCH(Settings!$L$11,$A$1:$Z$1,0)),DATE(VALUE(LEFT(IFERROR(TRIM(INDEX($A489:$Z489,MATCH(Settings!$L$11,$A$1:$Z$1,0))&amp;""),""),4)),VALUE(MID(IFERROR(TRIM(INDEX($A489:$Z489,MATCH(Settings!$L$11,$A$1:$Z$1,0))&amp;""),""),6,2)),VALUE(MID(IFERROR(TRIM(INDEX($A489:$Z489,MATCH(Settings!$L$11,$A$1:$Z$1,0))&amp;""),""),9,2)))+TIME(VALUE(MID(IFERROR(TRIM(INDEX($A489:$Z489,MATCH(Settings!$L$11,$A$1:$Z$1,0))&amp;""),""),12,2)),VALUE(MID(IFERROR(TRIM(INDEX($A489:$Z489,MATCH(Settings!$L$11,$A$1:$Z$1,0))&amp;""),""),15,2)),VALUE(MID(IFERROR(TRIM(INDEX($A489:$Z489,MATCH(Settings!$L$11,$A$1:$Z$1,0))&amp;""),""),18,2)))),"")),"")))</f>
        <v/>
      </c>
      <c r="AM489" s="31">
        <f>IF(AE489="","",IF(ISNUMBER(IFERROR(INDEX(Settings!$G$4:$G$11,MATCH(AH489,Settings!$F$4:$F$11,0)),"")),INDEX(Settings!$G$4:$G$11,MATCH(AH489,Settings!$F$4:$F$11,0)),Settings!$D$5))</f>
        <v/>
      </c>
      <c r="AN489" s="32">
        <f>IF(OR(AE489="",NOT(ISNUMBER(AL489)),NOT(ISNUMBER(AM489))),"",IF(AM489&lt;=0,"",IF(ISNUMBER(Settings!$D$8),DATE(YEAR(AL489)+IF(DATE(YEAR(AL489),MONTH(Settings!$D$8),DAY(Settings!$D$8))&gt;AL489,0,1),MONTH(Settings!$D$8),DAY(Settings!$D$8)),MIN(DATE(YEAR(AL489),MONTH(AL489)+AM489,DAY(AL489)),DATE(YEAR(AL489),MONTH(AL489)+AM489+1,0)))))</f>
        <v/>
      </c>
      <c r="AO489" s="31">
        <f>IF(ISNUMBER(AN489),AN489-Settings!$D$4,"")</f>
        <v/>
      </c>
      <c r="AP489" s="31">
        <f>IF(ISNUMBER(AL489),AL489+0+ROW()/100000,"")</f>
        <v/>
      </c>
      <c r="AQ489" s="31">
        <f>IF(OR(AG489="",NOT(ISNUMBER(AP489))),0,IF(SUMPRODUCT(('Responses'!$AG$2:$AG$501=AG489)*('Responses'!$AJ$2:$AJ$501=1)*ISNUMBER('Responses'!$AP$2:$AP$501)*('Responses'!$AP$2:$AP$501&gt;AP489)) + SUMPRODUCT(('Paper sign-ups'!$K$2:$K$101=AG489)*('Paper sign-ups'!$N$2:$N$101=1)*ISNUMBER('Paper sign-ups'!$T$2:$T$101)*('Paper sign-ups'!$T$2:$T$101&gt;AP489))&gt;0,1,0))</f>
        <v/>
      </c>
      <c r="AR489" s="31">
        <f>IF(AE489="","",IF(AQ489=1,"Joined again",IF(AJ489=0,"Unpaid",IF(NOT(ISNUMBER(AL489)),"Add a join date",IF(AN489="","No reminder",IF(AO489&lt;0,"Lapsed",IF(AO489&lt;=Settings!$D$6,"Remind soon","Current")))))))</f>
        <v/>
      </c>
      <c r="AS489" s="33">
        <f>IF(AJ489=1,IFERROR(VALUE(IFERROR(TRIM(INDEX($A489:$Z489,MATCH(Settings!$L$8,$A$1:$Z$1,0))&amp;""),"")),0)-IFERROR(VALUE(IFERROR(TRIM(INDEX($A489:$Z489,MATCH(Settings!$L$9,$A$1:$Z$1,0))&amp;""),"")),0),0)</f>
        <v/>
      </c>
      <c r="AT489" s="31">
        <f>IF(AND(AE489&lt;&gt;"",AQ489=0),1,0)</f>
        <v/>
      </c>
      <c r="AU489" s="31">
        <f>IF(AT489=0,"",IF(ISNUMBER(AN489),AN489,100000)+0+ROW()/1000000)</f>
        <v/>
      </c>
      <c r="AV489" s="31">
        <f>IF(ISNUMBER(AU489),SUMPRODUCT(ISNUMBER('Responses'!$AU$2:$AU$501)*('Responses'!$AU$2:$AU$501&lt;AU489)) + SUMPRODUCT(ISNUMBER('Paper sign-ups'!$Y$2:$Y$101)*('Paper sign-ups'!$Y$2:$Y$101&lt;AU489))+1,"")</f>
        <v/>
      </c>
    </row>
    <row r="490">
      <c r="AA490" s="29" t="n"/>
      <c r="AB490" s="30" t="n"/>
      <c r="AC490" s="30" t="n"/>
      <c r="AD490" s="29" t="n"/>
      <c r="AE490" s="31">
        <f>IFERROR(TRIM(INDEX($A490:$Z490,MATCH(Settings!$L$4,$A$1:$Z$1,0))&amp;""),"")</f>
        <v/>
      </c>
      <c r="AF490" s="31">
        <f>IFERROR(TRIM(INDEX($A490:$Z490,MATCH(Settings!$L$5,$A$1:$Z$1,0))&amp;""),"")</f>
        <v/>
      </c>
      <c r="AG490" s="31">
        <f>IF(AE490="","",LOWER(IF(AF490&lt;&gt;"",AF490,AE490)))</f>
        <v/>
      </c>
      <c r="AH490" s="31">
        <f>IFERROR(TRIM(INDEX($A490:$Z490,MATCH(Settings!$L$6,$A$1:$Z$1,0))&amp;""),"")</f>
        <v/>
      </c>
      <c r="AI490" s="31">
        <f>IF(AE490="","",IF(UPPER(TRIM(AB490&amp;""))="Y","Paid another way",IF(IFERROR(TRIM(INDEX($A490:$Z490,MATCH(Settings!$L$7,$A$1:$Z$1,0))&amp;""),"")="","No payment status",IFERROR(TRIM(INDEX($A490:$Z490,MATCH(Settings!$L$7,$A$1:$Z$1,0))&amp;""),""))))</f>
        <v/>
      </c>
      <c r="AJ490" s="31">
        <f>IF(AE490="",0,IF(IFERROR(INDEX(Settings!$J$4:$J$14,MATCH(AI490,Settings!$I$4:$I$14,0)),"N")="Y",1,0))</f>
        <v/>
      </c>
      <c r="AK490" s="32">
        <f>IFERROR(INT(IFERROR(IF(ISNUMBER(INDEX($A490:$Z490,MATCH(Settings!$L$10,$A$1:$Z$1,0))),INDEX($A490:$Z490,MATCH(Settings!$L$10,$A$1:$Z$1,0)),DATE(VALUE(LEFT(IFERROR(TRIM(INDEX($A490:$Z490,MATCH(Settings!$L$10,$A$1:$Z$1,0))&amp;""),""),4)),VALUE(MID(IFERROR(TRIM(INDEX($A490:$Z490,MATCH(Settings!$L$10,$A$1:$Z$1,0))&amp;""),""),6,2)),VALUE(MID(IFERROR(TRIM(INDEX($A490:$Z490,MATCH(Settings!$L$10,$A$1:$Z$1,0))&amp;""),""),9,2)))+TIME(VALUE(MID(IFERROR(TRIM(INDEX($A490:$Z490,MATCH(Settings!$L$10,$A$1:$Z$1,0))&amp;""),""),12,2)),VALUE(MID(IFERROR(TRIM(INDEX($A490:$Z490,MATCH(Settings!$L$10,$A$1:$Z$1,0))&amp;""),""),15,2)),VALUE(MID(IFERROR(TRIM(INDEX($A490:$Z490,MATCH(Settings!$L$10,$A$1:$Z$1,0))&amp;""),""),18,2)))),"")),"")</f>
        <v/>
      </c>
      <c r="AL490" s="32">
        <f>IF(AE490="","",IF(ISNUMBER(AK490),AK490,IFERROR(INT(IFERROR(IF(ISNUMBER(INDEX($A490:$Z490,MATCH(Settings!$L$11,$A$1:$Z$1,0))),INDEX($A490:$Z490,MATCH(Settings!$L$11,$A$1:$Z$1,0)),DATE(VALUE(LEFT(IFERROR(TRIM(INDEX($A490:$Z490,MATCH(Settings!$L$11,$A$1:$Z$1,0))&amp;""),""),4)),VALUE(MID(IFERROR(TRIM(INDEX($A490:$Z490,MATCH(Settings!$L$11,$A$1:$Z$1,0))&amp;""),""),6,2)),VALUE(MID(IFERROR(TRIM(INDEX($A490:$Z490,MATCH(Settings!$L$11,$A$1:$Z$1,0))&amp;""),""),9,2)))+TIME(VALUE(MID(IFERROR(TRIM(INDEX($A490:$Z490,MATCH(Settings!$L$11,$A$1:$Z$1,0))&amp;""),""),12,2)),VALUE(MID(IFERROR(TRIM(INDEX($A490:$Z490,MATCH(Settings!$L$11,$A$1:$Z$1,0))&amp;""),""),15,2)),VALUE(MID(IFERROR(TRIM(INDEX($A490:$Z490,MATCH(Settings!$L$11,$A$1:$Z$1,0))&amp;""),""),18,2)))),"")),"")))</f>
        <v/>
      </c>
      <c r="AM490" s="31">
        <f>IF(AE490="","",IF(ISNUMBER(IFERROR(INDEX(Settings!$G$4:$G$11,MATCH(AH490,Settings!$F$4:$F$11,0)),"")),INDEX(Settings!$G$4:$G$11,MATCH(AH490,Settings!$F$4:$F$11,0)),Settings!$D$5))</f>
        <v/>
      </c>
      <c r="AN490" s="32">
        <f>IF(OR(AE490="",NOT(ISNUMBER(AL490)),NOT(ISNUMBER(AM490))),"",IF(AM490&lt;=0,"",IF(ISNUMBER(Settings!$D$8),DATE(YEAR(AL490)+IF(DATE(YEAR(AL490),MONTH(Settings!$D$8),DAY(Settings!$D$8))&gt;AL490,0,1),MONTH(Settings!$D$8),DAY(Settings!$D$8)),MIN(DATE(YEAR(AL490),MONTH(AL490)+AM490,DAY(AL490)),DATE(YEAR(AL490),MONTH(AL490)+AM490+1,0)))))</f>
        <v/>
      </c>
      <c r="AO490" s="31">
        <f>IF(ISNUMBER(AN490),AN490-Settings!$D$4,"")</f>
        <v/>
      </c>
      <c r="AP490" s="31">
        <f>IF(ISNUMBER(AL490),AL490+0+ROW()/100000,"")</f>
        <v/>
      </c>
      <c r="AQ490" s="31">
        <f>IF(OR(AG490="",NOT(ISNUMBER(AP490))),0,IF(SUMPRODUCT(('Responses'!$AG$2:$AG$501=AG490)*('Responses'!$AJ$2:$AJ$501=1)*ISNUMBER('Responses'!$AP$2:$AP$501)*('Responses'!$AP$2:$AP$501&gt;AP490)) + SUMPRODUCT(('Paper sign-ups'!$K$2:$K$101=AG490)*('Paper sign-ups'!$N$2:$N$101=1)*ISNUMBER('Paper sign-ups'!$T$2:$T$101)*('Paper sign-ups'!$T$2:$T$101&gt;AP490))&gt;0,1,0))</f>
        <v/>
      </c>
      <c r="AR490" s="31">
        <f>IF(AE490="","",IF(AQ490=1,"Joined again",IF(AJ490=0,"Unpaid",IF(NOT(ISNUMBER(AL490)),"Add a join date",IF(AN490="","No reminder",IF(AO490&lt;0,"Lapsed",IF(AO490&lt;=Settings!$D$6,"Remind soon","Current")))))))</f>
        <v/>
      </c>
      <c r="AS490" s="33">
        <f>IF(AJ490=1,IFERROR(VALUE(IFERROR(TRIM(INDEX($A490:$Z490,MATCH(Settings!$L$8,$A$1:$Z$1,0))&amp;""),"")),0)-IFERROR(VALUE(IFERROR(TRIM(INDEX($A490:$Z490,MATCH(Settings!$L$9,$A$1:$Z$1,0))&amp;""),"")),0),0)</f>
        <v/>
      </c>
      <c r="AT490" s="31">
        <f>IF(AND(AE490&lt;&gt;"",AQ490=0),1,0)</f>
        <v/>
      </c>
      <c r="AU490" s="31">
        <f>IF(AT490=0,"",IF(ISNUMBER(AN490),AN490,100000)+0+ROW()/1000000)</f>
        <v/>
      </c>
      <c r="AV490" s="31">
        <f>IF(ISNUMBER(AU490),SUMPRODUCT(ISNUMBER('Responses'!$AU$2:$AU$501)*('Responses'!$AU$2:$AU$501&lt;AU490)) + SUMPRODUCT(ISNUMBER('Paper sign-ups'!$Y$2:$Y$101)*('Paper sign-ups'!$Y$2:$Y$101&lt;AU490))+1,"")</f>
        <v/>
      </c>
    </row>
    <row r="491">
      <c r="AA491" s="29" t="n"/>
      <c r="AB491" s="30" t="n"/>
      <c r="AC491" s="30" t="n"/>
      <c r="AD491" s="29" t="n"/>
      <c r="AE491" s="31">
        <f>IFERROR(TRIM(INDEX($A491:$Z491,MATCH(Settings!$L$4,$A$1:$Z$1,0))&amp;""),"")</f>
        <v/>
      </c>
      <c r="AF491" s="31">
        <f>IFERROR(TRIM(INDEX($A491:$Z491,MATCH(Settings!$L$5,$A$1:$Z$1,0))&amp;""),"")</f>
        <v/>
      </c>
      <c r="AG491" s="31">
        <f>IF(AE491="","",LOWER(IF(AF491&lt;&gt;"",AF491,AE491)))</f>
        <v/>
      </c>
      <c r="AH491" s="31">
        <f>IFERROR(TRIM(INDEX($A491:$Z491,MATCH(Settings!$L$6,$A$1:$Z$1,0))&amp;""),"")</f>
        <v/>
      </c>
      <c r="AI491" s="31">
        <f>IF(AE491="","",IF(UPPER(TRIM(AB491&amp;""))="Y","Paid another way",IF(IFERROR(TRIM(INDEX($A491:$Z491,MATCH(Settings!$L$7,$A$1:$Z$1,0))&amp;""),"")="","No payment status",IFERROR(TRIM(INDEX($A491:$Z491,MATCH(Settings!$L$7,$A$1:$Z$1,0))&amp;""),""))))</f>
        <v/>
      </c>
      <c r="AJ491" s="31">
        <f>IF(AE491="",0,IF(IFERROR(INDEX(Settings!$J$4:$J$14,MATCH(AI491,Settings!$I$4:$I$14,0)),"N")="Y",1,0))</f>
        <v/>
      </c>
      <c r="AK491" s="32">
        <f>IFERROR(INT(IFERROR(IF(ISNUMBER(INDEX($A491:$Z491,MATCH(Settings!$L$10,$A$1:$Z$1,0))),INDEX($A491:$Z491,MATCH(Settings!$L$10,$A$1:$Z$1,0)),DATE(VALUE(LEFT(IFERROR(TRIM(INDEX($A491:$Z491,MATCH(Settings!$L$10,$A$1:$Z$1,0))&amp;""),""),4)),VALUE(MID(IFERROR(TRIM(INDEX($A491:$Z491,MATCH(Settings!$L$10,$A$1:$Z$1,0))&amp;""),""),6,2)),VALUE(MID(IFERROR(TRIM(INDEX($A491:$Z491,MATCH(Settings!$L$10,$A$1:$Z$1,0))&amp;""),""),9,2)))+TIME(VALUE(MID(IFERROR(TRIM(INDEX($A491:$Z491,MATCH(Settings!$L$10,$A$1:$Z$1,0))&amp;""),""),12,2)),VALUE(MID(IFERROR(TRIM(INDEX($A491:$Z491,MATCH(Settings!$L$10,$A$1:$Z$1,0))&amp;""),""),15,2)),VALUE(MID(IFERROR(TRIM(INDEX($A491:$Z491,MATCH(Settings!$L$10,$A$1:$Z$1,0))&amp;""),""),18,2)))),"")),"")</f>
        <v/>
      </c>
      <c r="AL491" s="32">
        <f>IF(AE491="","",IF(ISNUMBER(AK491),AK491,IFERROR(INT(IFERROR(IF(ISNUMBER(INDEX($A491:$Z491,MATCH(Settings!$L$11,$A$1:$Z$1,0))),INDEX($A491:$Z491,MATCH(Settings!$L$11,$A$1:$Z$1,0)),DATE(VALUE(LEFT(IFERROR(TRIM(INDEX($A491:$Z491,MATCH(Settings!$L$11,$A$1:$Z$1,0))&amp;""),""),4)),VALUE(MID(IFERROR(TRIM(INDEX($A491:$Z491,MATCH(Settings!$L$11,$A$1:$Z$1,0))&amp;""),""),6,2)),VALUE(MID(IFERROR(TRIM(INDEX($A491:$Z491,MATCH(Settings!$L$11,$A$1:$Z$1,0))&amp;""),""),9,2)))+TIME(VALUE(MID(IFERROR(TRIM(INDEX($A491:$Z491,MATCH(Settings!$L$11,$A$1:$Z$1,0))&amp;""),""),12,2)),VALUE(MID(IFERROR(TRIM(INDEX($A491:$Z491,MATCH(Settings!$L$11,$A$1:$Z$1,0))&amp;""),""),15,2)),VALUE(MID(IFERROR(TRIM(INDEX($A491:$Z491,MATCH(Settings!$L$11,$A$1:$Z$1,0))&amp;""),""),18,2)))),"")),"")))</f>
        <v/>
      </c>
      <c r="AM491" s="31">
        <f>IF(AE491="","",IF(ISNUMBER(IFERROR(INDEX(Settings!$G$4:$G$11,MATCH(AH491,Settings!$F$4:$F$11,0)),"")),INDEX(Settings!$G$4:$G$11,MATCH(AH491,Settings!$F$4:$F$11,0)),Settings!$D$5))</f>
        <v/>
      </c>
      <c r="AN491" s="32">
        <f>IF(OR(AE491="",NOT(ISNUMBER(AL491)),NOT(ISNUMBER(AM491))),"",IF(AM491&lt;=0,"",IF(ISNUMBER(Settings!$D$8),DATE(YEAR(AL491)+IF(DATE(YEAR(AL491),MONTH(Settings!$D$8),DAY(Settings!$D$8))&gt;AL491,0,1),MONTH(Settings!$D$8),DAY(Settings!$D$8)),MIN(DATE(YEAR(AL491),MONTH(AL491)+AM491,DAY(AL491)),DATE(YEAR(AL491),MONTH(AL491)+AM491+1,0)))))</f>
        <v/>
      </c>
      <c r="AO491" s="31">
        <f>IF(ISNUMBER(AN491),AN491-Settings!$D$4,"")</f>
        <v/>
      </c>
      <c r="AP491" s="31">
        <f>IF(ISNUMBER(AL491),AL491+0+ROW()/100000,"")</f>
        <v/>
      </c>
      <c r="AQ491" s="31">
        <f>IF(OR(AG491="",NOT(ISNUMBER(AP491))),0,IF(SUMPRODUCT(('Responses'!$AG$2:$AG$501=AG491)*('Responses'!$AJ$2:$AJ$501=1)*ISNUMBER('Responses'!$AP$2:$AP$501)*('Responses'!$AP$2:$AP$501&gt;AP491)) + SUMPRODUCT(('Paper sign-ups'!$K$2:$K$101=AG491)*('Paper sign-ups'!$N$2:$N$101=1)*ISNUMBER('Paper sign-ups'!$T$2:$T$101)*('Paper sign-ups'!$T$2:$T$101&gt;AP491))&gt;0,1,0))</f>
        <v/>
      </c>
      <c r="AR491" s="31">
        <f>IF(AE491="","",IF(AQ491=1,"Joined again",IF(AJ491=0,"Unpaid",IF(NOT(ISNUMBER(AL491)),"Add a join date",IF(AN491="","No reminder",IF(AO491&lt;0,"Lapsed",IF(AO491&lt;=Settings!$D$6,"Remind soon","Current")))))))</f>
        <v/>
      </c>
      <c r="AS491" s="33">
        <f>IF(AJ491=1,IFERROR(VALUE(IFERROR(TRIM(INDEX($A491:$Z491,MATCH(Settings!$L$8,$A$1:$Z$1,0))&amp;""),"")),0)-IFERROR(VALUE(IFERROR(TRIM(INDEX($A491:$Z491,MATCH(Settings!$L$9,$A$1:$Z$1,0))&amp;""),"")),0),0)</f>
        <v/>
      </c>
      <c r="AT491" s="31">
        <f>IF(AND(AE491&lt;&gt;"",AQ491=0),1,0)</f>
        <v/>
      </c>
      <c r="AU491" s="31">
        <f>IF(AT491=0,"",IF(ISNUMBER(AN491),AN491,100000)+0+ROW()/1000000)</f>
        <v/>
      </c>
      <c r="AV491" s="31">
        <f>IF(ISNUMBER(AU491),SUMPRODUCT(ISNUMBER('Responses'!$AU$2:$AU$501)*('Responses'!$AU$2:$AU$501&lt;AU491)) + SUMPRODUCT(ISNUMBER('Paper sign-ups'!$Y$2:$Y$101)*('Paper sign-ups'!$Y$2:$Y$101&lt;AU491))+1,"")</f>
        <v/>
      </c>
    </row>
    <row r="492">
      <c r="AA492" s="29" t="n"/>
      <c r="AB492" s="30" t="n"/>
      <c r="AC492" s="30" t="n"/>
      <c r="AD492" s="29" t="n"/>
      <c r="AE492" s="31">
        <f>IFERROR(TRIM(INDEX($A492:$Z492,MATCH(Settings!$L$4,$A$1:$Z$1,0))&amp;""),"")</f>
        <v/>
      </c>
      <c r="AF492" s="31">
        <f>IFERROR(TRIM(INDEX($A492:$Z492,MATCH(Settings!$L$5,$A$1:$Z$1,0))&amp;""),"")</f>
        <v/>
      </c>
      <c r="AG492" s="31">
        <f>IF(AE492="","",LOWER(IF(AF492&lt;&gt;"",AF492,AE492)))</f>
        <v/>
      </c>
      <c r="AH492" s="31">
        <f>IFERROR(TRIM(INDEX($A492:$Z492,MATCH(Settings!$L$6,$A$1:$Z$1,0))&amp;""),"")</f>
        <v/>
      </c>
      <c r="AI492" s="31">
        <f>IF(AE492="","",IF(UPPER(TRIM(AB492&amp;""))="Y","Paid another way",IF(IFERROR(TRIM(INDEX($A492:$Z492,MATCH(Settings!$L$7,$A$1:$Z$1,0))&amp;""),"")="","No payment status",IFERROR(TRIM(INDEX($A492:$Z492,MATCH(Settings!$L$7,$A$1:$Z$1,0))&amp;""),""))))</f>
        <v/>
      </c>
      <c r="AJ492" s="31">
        <f>IF(AE492="",0,IF(IFERROR(INDEX(Settings!$J$4:$J$14,MATCH(AI492,Settings!$I$4:$I$14,0)),"N")="Y",1,0))</f>
        <v/>
      </c>
      <c r="AK492" s="32">
        <f>IFERROR(INT(IFERROR(IF(ISNUMBER(INDEX($A492:$Z492,MATCH(Settings!$L$10,$A$1:$Z$1,0))),INDEX($A492:$Z492,MATCH(Settings!$L$10,$A$1:$Z$1,0)),DATE(VALUE(LEFT(IFERROR(TRIM(INDEX($A492:$Z492,MATCH(Settings!$L$10,$A$1:$Z$1,0))&amp;""),""),4)),VALUE(MID(IFERROR(TRIM(INDEX($A492:$Z492,MATCH(Settings!$L$10,$A$1:$Z$1,0))&amp;""),""),6,2)),VALUE(MID(IFERROR(TRIM(INDEX($A492:$Z492,MATCH(Settings!$L$10,$A$1:$Z$1,0))&amp;""),""),9,2)))+TIME(VALUE(MID(IFERROR(TRIM(INDEX($A492:$Z492,MATCH(Settings!$L$10,$A$1:$Z$1,0))&amp;""),""),12,2)),VALUE(MID(IFERROR(TRIM(INDEX($A492:$Z492,MATCH(Settings!$L$10,$A$1:$Z$1,0))&amp;""),""),15,2)),VALUE(MID(IFERROR(TRIM(INDEX($A492:$Z492,MATCH(Settings!$L$10,$A$1:$Z$1,0))&amp;""),""),18,2)))),"")),"")</f>
        <v/>
      </c>
      <c r="AL492" s="32">
        <f>IF(AE492="","",IF(ISNUMBER(AK492),AK492,IFERROR(INT(IFERROR(IF(ISNUMBER(INDEX($A492:$Z492,MATCH(Settings!$L$11,$A$1:$Z$1,0))),INDEX($A492:$Z492,MATCH(Settings!$L$11,$A$1:$Z$1,0)),DATE(VALUE(LEFT(IFERROR(TRIM(INDEX($A492:$Z492,MATCH(Settings!$L$11,$A$1:$Z$1,0))&amp;""),""),4)),VALUE(MID(IFERROR(TRIM(INDEX($A492:$Z492,MATCH(Settings!$L$11,$A$1:$Z$1,0))&amp;""),""),6,2)),VALUE(MID(IFERROR(TRIM(INDEX($A492:$Z492,MATCH(Settings!$L$11,$A$1:$Z$1,0))&amp;""),""),9,2)))+TIME(VALUE(MID(IFERROR(TRIM(INDEX($A492:$Z492,MATCH(Settings!$L$11,$A$1:$Z$1,0))&amp;""),""),12,2)),VALUE(MID(IFERROR(TRIM(INDEX($A492:$Z492,MATCH(Settings!$L$11,$A$1:$Z$1,0))&amp;""),""),15,2)),VALUE(MID(IFERROR(TRIM(INDEX($A492:$Z492,MATCH(Settings!$L$11,$A$1:$Z$1,0))&amp;""),""),18,2)))),"")),"")))</f>
        <v/>
      </c>
      <c r="AM492" s="31">
        <f>IF(AE492="","",IF(ISNUMBER(IFERROR(INDEX(Settings!$G$4:$G$11,MATCH(AH492,Settings!$F$4:$F$11,0)),"")),INDEX(Settings!$G$4:$G$11,MATCH(AH492,Settings!$F$4:$F$11,0)),Settings!$D$5))</f>
        <v/>
      </c>
      <c r="AN492" s="32">
        <f>IF(OR(AE492="",NOT(ISNUMBER(AL492)),NOT(ISNUMBER(AM492))),"",IF(AM492&lt;=0,"",IF(ISNUMBER(Settings!$D$8),DATE(YEAR(AL492)+IF(DATE(YEAR(AL492),MONTH(Settings!$D$8),DAY(Settings!$D$8))&gt;AL492,0,1),MONTH(Settings!$D$8),DAY(Settings!$D$8)),MIN(DATE(YEAR(AL492),MONTH(AL492)+AM492,DAY(AL492)),DATE(YEAR(AL492),MONTH(AL492)+AM492+1,0)))))</f>
        <v/>
      </c>
      <c r="AO492" s="31">
        <f>IF(ISNUMBER(AN492),AN492-Settings!$D$4,"")</f>
        <v/>
      </c>
      <c r="AP492" s="31">
        <f>IF(ISNUMBER(AL492),AL492+0+ROW()/100000,"")</f>
        <v/>
      </c>
      <c r="AQ492" s="31">
        <f>IF(OR(AG492="",NOT(ISNUMBER(AP492))),0,IF(SUMPRODUCT(('Responses'!$AG$2:$AG$501=AG492)*('Responses'!$AJ$2:$AJ$501=1)*ISNUMBER('Responses'!$AP$2:$AP$501)*('Responses'!$AP$2:$AP$501&gt;AP492)) + SUMPRODUCT(('Paper sign-ups'!$K$2:$K$101=AG492)*('Paper sign-ups'!$N$2:$N$101=1)*ISNUMBER('Paper sign-ups'!$T$2:$T$101)*('Paper sign-ups'!$T$2:$T$101&gt;AP492))&gt;0,1,0))</f>
        <v/>
      </c>
      <c r="AR492" s="31">
        <f>IF(AE492="","",IF(AQ492=1,"Joined again",IF(AJ492=0,"Unpaid",IF(NOT(ISNUMBER(AL492)),"Add a join date",IF(AN492="","No reminder",IF(AO492&lt;0,"Lapsed",IF(AO492&lt;=Settings!$D$6,"Remind soon","Current")))))))</f>
        <v/>
      </c>
      <c r="AS492" s="33">
        <f>IF(AJ492=1,IFERROR(VALUE(IFERROR(TRIM(INDEX($A492:$Z492,MATCH(Settings!$L$8,$A$1:$Z$1,0))&amp;""),"")),0)-IFERROR(VALUE(IFERROR(TRIM(INDEX($A492:$Z492,MATCH(Settings!$L$9,$A$1:$Z$1,0))&amp;""),"")),0),0)</f>
        <v/>
      </c>
      <c r="AT492" s="31">
        <f>IF(AND(AE492&lt;&gt;"",AQ492=0),1,0)</f>
        <v/>
      </c>
      <c r="AU492" s="31">
        <f>IF(AT492=0,"",IF(ISNUMBER(AN492),AN492,100000)+0+ROW()/1000000)</f>
        <v/>
      </c>
      <c r="AV492" s="31">
        <f>IF(ISNUMBER(AU492),SUMPRODUCT(ISNUMBER('Responses'!$AU$2:$AU$501)*('Responses'!$AU$2:$AU$501&lt;AU492)) + SUMPRODUCT(ISNUMBER('Paper sign-ups'!$Y$2:$Y$101)*('Paper sign-ups'!$Y$2:$Y$101&lt;AU492))+1,"")</f>
        <v/>
      </c>
    </row>
    <row r="493">
      <c r="AA493" s="29" t="n"/>
      <c r="AB493" s="30" t="n"/>
      <c r="AC493" s="30" t="n"/>
      <c r="AD493" s="29" t="n"/>
      <c r="AE493" s="31">
        <f>IFERROR(TRIM(INDEX($A493:$Z493,MATCH(Settings!$L$4,$A$1:$Z$1,0))&amp;""),"")</f>
        <v/>
      </c>
      <c r="AF493" s="31">
        <f>IFERROR(TRIM(INDEX($A493:$Z493,MATCH(Settings!$L$5,$A$1:$Z$1,0))&amp;""),"")</f>
        <v/>
      </c>
      <c r="AG493" s="31">
        <f>IF(AE493="","",LOWER(IF(AF493&lt;&gt;"",AF493,AE493)))</f>
        <v/>
      </c>
      <c r="AH493" s="31">
        <f>IFERROR(TRIM(INDEX($A493:$Z493,MATCH(Settings!$L$6,$A$1:$Z$1,0))&amp;""),"")</f>
        <v/>
      </c>
      <c r="AI493" s="31">
        <f>IF(AE493="","",IF(UPPER(TRIM(AB493&amp;""))="Y","Paid another way",IF(IFERROR(TRIM(INDEX($A493:$Z493,MATCH(Settings!$L$7,$A$1:$Z$1,0))&amp;""),"")="","No payment status",IFERROR(TRIM(INDEX($A493:$Z493,MATCH(Settings!$L$7,$A$1:$Z$1,0))&amp;""),""))))</f>
        <v/>
      </c>
      <c r="AJ493" s="31">
        <f>IF(AE493="",0,IF(IFERROR(INDEX(Settings!$J$4:$J$14,MATCH(AI493,Settings!$I$4:$I$14,0)),"N")="Y",1,0))</f>
        <v/>
      </c>
      <c r="AK493" s="32">
        <f>IFERROR(INT(IFERROR(IF(ISNUMBER(INDEX($A493:$Z493,MATCH(Settings!$L$10,$A$1:$Z$1,0))),INDEX($A493:$Z493,MATCH(Settings!$L$10,$A$1:$Z$1,0)),DATE(VALUE(LEFT(IFERROR(TRIM(INDEX($A493:$Z493,MATCH(Settings!$L$10,$A$1:$Z$1,0))&amp;""),""),4)),VALUE(MID(IFERROR(TRIM(INDEX($A493:$Z493,MATCH(Settings!$L$10,$A$1:$Z$1,0))&amp;""),""),6,2)),VALUE(MID(IFERROR(TRIM(INDEX($A493:$Z493,MATCH(Settings!$L$10,$A$1:$Z$1,0))&amp;""),""),9,2)))+TIME(VALUE(MID(IFERROR(TRIM(INDEX($A493:$Z493,MATCH(Settings!$L$10,$A$1:$Z$1,0))&amp;""),""),12,2)),VALUE(MID(IFERROR(TRIM(INDEX($A493:$Z493,MATCH(Settings!$L$10,$A$1:$Z$1,0))&amp;""),""),15,2)),VALUE(MID(IFERROR(TRIM(INDEX($A493:$Z493,MATCH(Settings!$L$10,$A$1:$Z$1,0))&amp;""),""),18,2)))),"")),"")</f>
        <v/>
      </c>
      <c r="AL493" s="32">
        <f>IF(AE493="","",IF(ISNUMBER(AK493),AK493,IFERROR(INT(IFERROR(IF(ISNUMBER(INDEX($A493:$Z493,MATCH(Settings!$L$11,$A$1:$Z$1,0))),INDEX($A493:$Z493,MATCH(Settings!$L$11,$A$1:$Z$1,0)),DATE(VALUE(LEFT(IFERROR(TRIM(INDEX($A493:$Z493,MATCH(Settings!$L$11,$A$1:$Z$1,0))&amp;""),""),4)),VALUE(MID(IFERROR(TRIM(INDEX($A493:$Z493,MATCH(Settings!$L$11,$A$1:$Z$1,0))&amp;""),""),6,2)),VALUE(MID(IFERROR(TRIM(INDEX($A493:$Z493,MATCH(Settings!$L$11,$A$1:$Z$1,0))&amp;""),""),9,2)))+TIME(VALUE(MID(IFERROR(TRIM(INDEX($A493:$Z493,MATCH(Settings!$L$11,$A$1:$Z$1,0))&amp;""),""),12,2)),VALUE(MID(IFERROR(TRIM(INDEX($A493:$Z493,MATCH(Settings!$L$11,$A$1:$Z$1,0))&amp;""),""),15,2)),VALUE(MID(IFERROR(TRIM(INDEX($A493:$Z493,MATCH(Settings!$L$11,$A$1:$Z$1,0))&amp;""),""),18,2)))),"")),"")))</f>
        <v/>
      </c>
      <c r="AM493" s="31">
        <f>IF(AE493="","",IF(ISNUMBER(IFERROR(INDEX(Settings!$G$4:$G$11,MATCH(AH493,Settings!$F$4:$F$11,0)),"")),INDEX(Settings!$G$4:$G$11,MATCH(AH493,Settings!$F$4:$F$11,0)),Settings!$D$5))</f>
        <v/>
      </c>
      <c r="AN493" s="32">
        <f>IF(OR(AE493="",NOT(ISNUMBER(AL493)),NOT(ISNUMBER(AM493))),"",IF(AM493&lt;=0,"",IF(ISNUMBER(Settings!$D$8),DATE(YEAR(AL493)+IF(DATE(YEAR(AL493),MONTH(Settings!$D$8),DAY(Settings!$D$8))&gt;AL493,0,1),MONTH(Settings!$D$8),DAY(Settings!$D$8)),MIN(DATE(YEAR(AL493),MONTH(AL493)+AM493,DAY(AL493)),DATE(YEAR(AL493),MONTH(AL493)+AM493+1,0)))))</f>
        <v/>
      </c>
      <c r="AO493" s="31">
        <f>IF(ISNUMBER(AN493),AN493-Settings!$D$4,"")</f>
        <v/>
      </c>
      <c r="AP493" s="31">
        <f>IF(ISNUMBER(AL493),AL493+0+ROW()/100000,"")</f>
        <v/>
      </c>
      <c r="AQ493" s="31">
        <f>IF(OR(AG493="",NOT(ISNUMBER(AP493))),0,IF(SUMPRODUCT(('Responses'!$AG$2:$AG$501=AG493)*('Responses'!$AJ$2:$AJ$501=1)*ISNUMBER('Responses'!$AP$2:$AP$501)*('Responses'!$AP$2:$AP$501&gt;AP493)) + SUMPRODUCT(('Paper sign-ups'!$K$2:$K$101=AG493)*('Paper sign-ups'!$N$2:$N$101=1)*ISNUMBER('Paper sign-ups'!$T$2:$T$101)*('Paper sign-ups'!$T$2:$T$101&gt;AP493))&gt;0,1,0))</f>
        <v/>
      </c>
      <c r="AR493" s="31">
        <f>IF(AE493="","",IF(AQ493=1,"Joined again",IF(AJ493=0,"Unpaid",IF(NOT(ISNUMBER(AL493)),"Add a join date",IF(AN493="","No reminder",IF(AO493&lt;0,"Lapsed",IF(AO493&lt;=Settings!$D$6,"Remind soon","Current")))))))</f>
        <v/>
      </c>
      <c r="AS493" s="33">
        <f>IF(AJ493=1,IFERROR(VALUE(IFERROR(TRIM(INDEX($A493:$Z493,MATCH(Settings!$L$8,$A$1:$Z$1,0))&amp;""),"")),0)-IFERROR(VALUE(IFERROR(TRIM(INDEX($A493:$Z493,MATCH(Settings!$L$9,$A$1:$Z$1,0))&amp;""),"")),0),0)</f>
        <v/>
      </c>
      <c r="AT493" s="31">
        <f>IF(AND(AE493&lt;&gt;"",AQ493=0),1,0)</f>
        <v/>
      </c>
      <c r="AU493" s="31">
        <f>IF(AT493=0,"",IF(ISNUMBER(AN493),AN493,100000)+0+ROW()/1000000)</f>
        <v/>
      </c>
      <c r="AV493" s="31">
        <f>IF(ISNUMBER(AU493),SUMPRODUCT(ISNUMBER('Responses'!$AU$2:$AU$501)*('Responses'!$AU$2:$AU$501&lt;AU493)) + SUMPRODUCT(ISNUMBER('Paper sign-ups'!$Y$2:$Y$101)*('Paper sign-ups'!$Y$2:$Y$101&lt;AU493))+1,"")</f>
        <v/>
      </c>
    </row>
    <row r="494">
      <c r="AA494" s="29" t="n"/>
      <c r="AB494" s="30" t="n"/>
      <c r="AC494" s="30" t="n"/>
      <c r="AD494" s="29" t="n"/>
      <c r="AE494" s="31">
        <f>IFERROR(TRIM(INDEX($A494:$Z494,MATCH(Settings!$L$4,$A$1:$Z$1,0))&amp;""),"")</f>
        <v/>
      </c>
      <c r="AF494" s="31">
        <f>IFERROR(TRIM(INDEX($A494:$Z494,MATCH(Settings!$L$5,$A$1:$Z$1,0))&amp;""),"")</f>
        <v/>
      </c>
      <c r="AG494" s="31">
        <f>IF(AE494="","",LOWER(IF(AF494&lt;&gt;"",AF494,AE494)))</f>
        <v/>
      </c>
      <c r="AH494" s="31">
        <f>IFERROR(TRIM(INDEX($A494:$Z494,MATCH(Settings!$L$6,$A$1:$Z$1,0))&amp;""),"")</f>
        <v/>
      </c>
      <c r="AI494" s="31">
        <f>IF(AE494="","",IF(UPPER(TRIM(AB494&amp;""))="Y","Paid another way",IF(IFERROR(TRIM(INDEX($A494:$Z494,MATCH(Settings!$L$7,$A$1:$Z$1,0))&amp;""),"")="","No payment status",IFERROR(TRIM(INDEX($A494:$Z494,MATCH(Settings!$L$7,$A$1:$Z$1,0))&amp;""),""))))</f>
        <v/>
      </c>
      <c r="AJ494" s="31">
        <f>IF(AE494="",0,IF(IFERROR(INDEX(Settings!$J$4:$J$14,MATCH(AI494,Settings!$I$4:$I$14,0)),"N")="Y",1,0))</f>
        <v/>
      </c>
      <c r="AK494" s="32">
        <f>IFERROR(INT(IFERROR(IF(ISNUMBER(INDEX($A494:$Z494,MATCH(Settings!$L$10,$A$1:$Z$1,0))),INDEX($A494:$Z494,MATCH(Settings!$L$10,$A$1:$Z$1,0)),DATE(VALUE(LEFT(IFERROR(TRIM(INDEX($A494:$Z494,MATCH(Settings!$L$10,$A$1:$Z$1,0))&amp;""),""),4)),VALUE(MID(IFERROR(TRIM(INDEX($A494:$Z494,MATCH(Settings!$L$10,$A$1:$Z$1,0))&amp;""),""),6,2)),VALUE(MID(IFERROR(TRIM(INDEX($A494:$Z494,MATCH(Settings!$L$10,$A$1:$Z$1,0))&amp;""),""),9,2)))+TIME(VALUE(MID(IFERROR(TRIM(INDEX($A494:$Z494,MATCH(Settings!$L$10,$A$1:$Z$1,0))&amp;""),""),12,2)),VALUE(MID(IFERROR(TRIM(INDEX($A494:$Z494,MATCH(Settings!$L$10,$A$1:$Z$1,0))&amp;""),""),15,2)),VALUE(MID(IFERROR(TRIM(INDEX($A494:$Z494,MATCH(Settings!$L$10,$A$1:$Z$1,0))&amp;""),""),18,2)))),"")),"")</f>
        <v/>
      </c>
      <c r="AL494" s="32">
        <f>IF(AE494="","",IF(ISNUMBER(AK494),AK494,IFERROR(INT(IFERROR(IF(ISNUMBER(INDEX($A494:$Z494,MATCH(Settings!$L$11,$A$1:$Z$1,0))),INDEX($A494:$Z494,MATCH(Settings!$L$11,$A$1:$Z$1,0)),DATE(VALUE(LEFT(IFERROR(TRIM(INDEX($A494:$Z494,MATCH(Settings!$L$11,$A$1:$Z$1,0))&amp;""),""),4)),VALUE(MID(IFERROR(TRIM(INDEX($A494:$Z494,MATCH(Settings!$L$11,$A$1:$Z$1,0))&amp;""),""),6,2)),VALUE(MID(IFERROR(TRIM(INDEX($A494:$Z494,MATCH(Settings!$L$11,$A$1:$Z$1,0))&amp;""),""),9,2)))+TIME(VALUE(MID(IFERROR(TRIM(INDEX($A494:$Z494,MATCH(Settings!$L$11,$A$1:$Z$1,0))&amp;""),""),12,2)),VALUE(MID(IFERROR(TRIM(INDEX($A494:$Z494,MATCH(Settings!$L$11,$A$1:$Z$1,0))&amp;""),""),15,2)),VALUE(MID(IFERROR(TRIM(INDEX($A494:$Z494,MATCH(Settings!$L$11,$A$1:$Z$1,0))&amp;""),""),18,2)))),"")),"")))</f>
        <v/>
      </c>
      <c r="AM494" s="31">
        <f>IF(AE494="","",IF(ISNUMBER(IFERROR(INDEX(Settings!$G$4:$G$11,MATCH(AH494,Settings!$F$4:$F$11,0)),"")),INDEX(Settings!$G$4:$G$11,MATCH(AH494,Settings!$F$4:$F$11,0)),Settings!$D$5))</f>
        <v/>
      </c>
      <c r="AN494" s="32">
        <f>IF(OR(AE494="",NOT(ISNUMBER(AL494)),NOT(ISNUMBER(AM494))),"",IF(AM494&lt;=0,"",IF(ISNUMBER(Settings!$D$8),DATE(YEAR(AL494)+IF(DATE(YEAR(AL494),MONTH(Settings!$D$8),DAY(Settings!$D$8))&gt;AL494,0,1),MONTH(Settings!$D$8),DAY(Settings!$D$8)),MIN(DATE(YEAR(AL494),MONTH(AL494)+AM494,DAY(AL494)),DATE(YEAR(AL494),MONTH(AL494)+AM494+1,0)))))</f>
        <v/>
      </c>
      <c r="AO494" s="31">
        <f>IF(ISNUMBER(AN494),AN494-Settings!$D$4,"")</f>
        <v/>
      </c>
      <c r="AP494" s="31">
        <f>IF(ISNUMBER(AL494),AL494+0+ROW()/100000,"")</f>
        <v/>
      </c>
      <c r="AQ494" s="31">
        <f>IF(OR(AG494="",NOT(ISNUMBER(AP494))),0,IF(SUMPRODUCT(('Responses'!$AG$2:$AG$501=AG494)*('Responses'!$AJ$2:$AJ$501=1)*ISNUMBER('Responses'!$AP$2:$AP$501)*('Responses'!$AP$2:$AP$501&gt;AP494)) + SUMPRODUCT(('Paper sign-ups'!$K$2:$K$101=AG494)*('Paper sign-ups'!$N$2:$N$101=1)*ISNUMBER('Paper sign-ups'!$T$2:$T$101)*('Paper sign-ups'!$T$2:$T$101&gt;AP494))&gt;0,1,0))</f>
        <v/>
      </c>
      <c r="AR494" s="31">
        <f>IF(AE494="","",IF(AQ494=1,"Joined again",IF(AJ494=0,"Unpaid",IF(NOT(ISNUMBER(AL494)),"Add a join date",IF(AN494="","No reminder",IF(AO494&lt;0,"Lapsed",IF(AO494&lt;=Settings!$D$6,"Remind soon","Current")))))))</f>
        <v/>
      </c>
      <c r="AS494" s="33">
        <f>IF(AJ494=1,IFERROR(VALUE(IFERROR(TRIM(INDEX($A494:$Z494,MATCH(Settings!$L$8,$A$1:$Z$1,0))&amp;""),"")),0)-IFERROR(VALUE(IFERROR(TRIM(INDEX($A494:$Z494,MATCH(Settings!$L$9,$A$1:$Z$1,0))&amp;""),"")),0),0)</f>
        <v/>
      </c>
      <c r="AT494" s="31">
        <f>IF(AND(AE494&lt;&gt;"",AQ494=0),1,0)</f>
        <v/>
      </c>
      <c r="AU494" s="31">
        <f>IF(AT494=0,"",IF(ISNUMBER(AN494),AN494,100000)+0+ROW()/1000000)</f>
        <v/>
      </c>
      <c r="AV494" s="31">
        <f>IF(ISNUMBER(AU494),SUMPRODUCT(ISNUMBER('Responses'!$AU$2:$AU$501)*('Responses'!$AU$2:$AU$501&lt;AU494)) + SUMPRODUCT(ISNUMBER('Paper sign-ups'!$Y$2:$Y$101)*('Paper sign-ups'!$Y$2:$Y$101&lt;AU494))+1,"")</f>
        <v/>
      </c>
    </row>
    <row r="495">
      <c r="AA495" s="29" t="n"/>
      <c r="AB495" s="30" t="n"/>
      <c r="AC495" s="30" t="n"/>
      <c r="AD495" s="29" t="n"/>
      <c r="AE495" s="31">
        <f>IFERROR(TRIM(INDEX($A495:$Z495,MATCH(Settings!$L$4,$A$1:$Z$1,0))&amp;""),"")</f>
        <v/>
      </c>
      <c r="AF495" s="31">
        <f>IFERROR(TRIM(INDEX($A495:$Z495,MATCH(Settings!$L$5,$A$1:$Z$1,0))&amp;""),"")</f>
        <v/>
      </c>
      <c r="AG495" s="31">
        <f>IF(AE495="","",LOWER(IF(AF495&lt;&gt;"",AF495,AE495)))</f>
        <v/>
      </c>
      <c r="AH495" s="31">
        <f>IFERROR(TRIM(INDEX($A495:$Z495,MATCH(Settings!$L$6,$A$1:$Z$1,0))&amp;""),"")</f>
        <v/>
      </c>
      <c r="AI495" s="31">
        <f>IF(AE495="","",IF(UPPER(TRIM(AB495&amp;""))="Y","Paid another way",IF(IFERROR(TRIM(INDEX($A495:$Z495,MATCH(Settings!$L$7,$A$1:$Z$1,0))&amp;""),"")="","No payment status",IFERROR(TRIM(INDEX($A495:$Z495,MATCH(Settings!$L$7,$A$1:$Z$1,0))&amp;""),""))))</f>
        <v/>
      </c>
      <c r="AJ495" s="31">
        <f>IF(AE495="",0,IF(IFERROR(INDEX(Settings!$J$4:$J$14,MATCH(AI495,Settings!$I$4:$I$14,0)),"N")="Y",1,0))</f>
        <v/>
      </c>
      <c r="AK495" s="32">
        <f>IFERROR(INT(IFERROR(IF(ISNUMBER(INDEX($A495:$Z495,MATCH(Settings!$L$10,$A$1:$Z$1,0))),INDEX($A495:$Z495,MATCH(Settings!$L$10,$A$1:$Z$1,0)),DATE(VALUE(LEFT(IFERROR(TRIM(INDEX($A495:$Z495,MATCH(Settings!$L$10,$A$1:$Z$1,0))&amp;""),""),4)),VALUE(MID(IFERROR(TRIM(INDEX($A495:$Z495,MATCH(Settings!$L$10,$A$1:$Z$1,0))&amp;""),""),6,2)),VALUE(MID(IFERROR(TRIM(INDEX($A495:$Z495,MATCH(Settings!$L$10,$A$1:$Z$1,0))&amp;""),""),9,2)))+TIME(VALUE(MID(IFERROR(TRIM(INDEX($A495:$Z495,MATCH(Settings!$L$10,$A$1:$Z$1,0))&amp;""),""),12,2)),VALUE(MID(IFERROR(TRIM(INDEX($A495:$Z495,MATCH(Settings!$L$10,$A$1:$Z$1,0))&amp;""),""),15,2)),VALUE(MID(IFERROR(TRIM(INDEX($A495:$Z495,MATCH(Settings!$L$10,$A$1:$Z$1,0))&amp;""),""),18,2)))),"")),"")</f>
        <v/>
      </c>
      <c r="AL495" s="32">
        <f>IF(AE495="","",IF(ISNUMBER(AK495),AK495,IFERROR(INT(IFERROR(IF(ISNUMBER(INDEX($A495:$Z495,MATCH(Settings!$L$11,$A$1:$Z$1,0))),INDEX($A495:$Z495,MATCH(Settings!$L$11,$A$1:$Z$1,0)),DATE(VALUE(LEFT(IFERROR(TRIM(INDEX($A495:$Z495,MATCH(Settings!$L$11,$A$1:$Z$1,0))&amp;""),""),4)),VALUE(MID(IFERROR(TRIM(INDEX($A495:$Z495,MATCH(Settings!$L$11,$A$1:$Z$1,0))&amp;""),""),6,2)),VALUE(MID(IFERROR(TRIM(INDEX($A495:$Z495,MATCH(Settings!$L$11,$A$1:$Z$1,0))&amp;""),""),9,2)))+TIME(VALUE(MID(IFERROR(TRIM(INDEX($A495:$Z495,MATCH(Settings!$L$11,$A$1:$Z$1,0))&amp;""),""),12,2)),VALUE(MID(IFERROR(TRIM(INDEX($A495:$Z495,MATCH(Settings!$L$11,$A$1:$Z$1,0))&amp;""),""),15,2)),VALUE(MID(IFERROR(TRIM(INDEX($A495:$Z495,MATCH(Settings!$L$11,$A$1:$Z$1,0))&amp;""),""),18,2)))),"")),"")))</f>
        <v/>
      </c>
      <c r="AM495" s="31">
        <f>IF(AE495="","",IF(ISNUMBER(IFERROR(INDEX(Settings!$G$4:$G$11,MATCH(AH495,Settings!$F$4:$F$11,0)),"")),INDEX(Settings!$G$4:$G$11,MATCH(AH495,Settings!$F$4:$F$11,0)),Settings!$D$5))</f>
        <v/>
      </c>
      <c r="AN495" s="32">
        <f>IF(OR(AE495="",NOT(ISNUMBER(AL495)),NOT(ISNUMBER(AM495))),"",IF(AM495&lt;=0,"",IF(ISNUMBER(Settings!$D$8),DATE(YEAR(AL495)+IF(DATE(YEAR(AL495),MONTH(Settings!$D$8),DAY(Settings!$D$8))&gt;AL495,0,1),MONTH(Settings!$D$8),DAY(Settings!$D$8)),MIN(DATE(YEAR(AL495),MONTH(AL495)+AM495,DAY(AL495)),DATE(YEAR(AL495),MONTH(AL495)+AM495+1,0)))))</f>
        <v/>
      </c>
      <c r="AO495" s="31">
        <f>IF(ISNUMBER(AN495),AN495-Settings!$D$4,"")</f>
        <v/>
      </c>
      <c r="AP495" s="31">
        <f>IF(ISNUMBER(AL495),AL495+0+ROW()/100000,"")</f>
        <v/>
      </c>
      <c r="AQ495" s="31">
        <f>IF(OR(AG495="",NOT(ISNUMBER(AP495))),0,IF(SUMPRODUCT(('Responses'!$AG$2:$AG$501=AG495)*('Responses'!$AJ$2:$AJ$501=1)*ISNUMBER('Responses'!$AP$2:$AP$501)*('Responses'!$AP$2:$AP$501&gt;AP495)) + SUMPRODUCT(('Paper sign-ups'!$K$2:$K$101=AG495)*('Paper sign-ups'!$N$2:$N$101=1)*ISNUMBER('Paper sign-ups'!$T$2:$T$101)*('Paper sign-ups'!$T$2:$T$101&gt;AP495))&gt;0,1,0))</f>
        <v/>
      </c>
      <c r="AR495" s="31">
        <f>IF(AE495="","",IF(AQ495=1,"Joined again",IF(AJ495=0,"Unpaid",IF(NOT(ISNUMBER(AL495)),"Add a join date",IF(AN495="","No reminder",IF(AO495&lt;0,"Lapsed",IF(AO495&lt;=Settings!$D$6,"Remind soon","Current")))))))</f>
        <v/>
      </c>
      <c r="AS495" s="33">
        <f>IF(AJ495=1,IFERROR(VALUE(IFERROR(TRIM(INDEX($A495:$Z495,MATCH(Settings!$L$8,$A$1:$Z$1,0))&amp;""),"")),0)-IFERROR(VALUE(IFERROR(TRIM(INDEX($A495:$Z495,MATCH(Settings!$L$9,$A$1:$Z$1,0))&amp;""),"")),0),0)</f>
        <v/>
      </c>
      <c r="AT495" s="31">
        <f>IF(AND(AE495&lt;&gt;"",AQ495=0),1,0)</f>
        <v/>
      </c>
      <c r="AU495" s="31">
        <f>IF(AT495=0,"",IF(ISNUMBER(AN495),AN495,100000)+0+ROW()/1000000)</f>
        <v/>
      </c>
      <c r="AV495" s="31">
        <f>IF(ISNUMBER(AU495),SUMPRODUCT(ISNUMBER('Responses'!$AU$2:$AU$501)*('Responses'!$AU$2:$AU$501&lt;AU495)) + SUMPRODUCT(ISNUMBER('Paper sign-ups'!$Y$2:$Y$101)*('Paper sign-ups'!$Y$2:$Y$101&lt;AU495))+1,"")</f>
        <v/>
      </c>
    </row>
    <row r="496">
      <c r="AA496" s="29" t="n"/>
      <c r="AB496" s="30" t="n"/>
      <c r="AC496" s="30" t="n"/>
      <c r="AD496" s="29" t="n"/>
      <c r="AE496" s="31">
        <f>IFERROR(TRIM(INDEX($A496:$Z496,MATCH(Settings!$L$4,$A$1:$Z$1,0))&amp;""),"")</f>
        <v/>
      </c>
      <c r="AF496" s="31">
        <f>IFERROR(TRIM(INDEX($A496:$Z496,MATCH(Settings!$L$5,$A$1:$Z$1,0))&amp;""),"")</f>
        <v/>
      </c>
      <c r="AG496" s="31">
        <f>IF(AE496="","",LOWER(IF(AF496&lt;&gt;"",AF496,AE496)))</f>
        <v/>
      </c>
      <c r="AH496" s="31">
        <f>IFERROR(TRIM(INDEX($A496:$Z496,MATCH(Settings!$L$6,$A$1:$Z$1,0))&amp;""),"")</f>
        <v/>
      </c>
      <c r="AI496" s="31">
        <f>IF(AE496="","",IF(UPPER(TRIM(AB496&amp;""))="Y","Paid another way",IF(IFERROR(TRIM(INDEX($A496:$Z496,MATCH(Settings!$L$7,$A$1:$Z$1,0))&amp;""),"")="","No payment status",IFERROR(TRIM(INDEX($A496:$Z496,MATCH(Settings!$L$7,$A$1:$Z$1,0))&amp;""),""))))</f>
        <v/>
      </c>
      <c r="AJ496" s="31">
        <f>IF(AE496="",0,IF(IFERROR(INDEX(Settings!$J$4:$J$14,MATCH(AI496,Settings!$I$4:$I$14,0)),"N")="Y",1,0))</f>
        <v/>
      </c>
      <c r="AK496" s="32">
        <f>IFERROR(INT(IFERROR(IF(ISNUMBER(INDEX($A496:$Z496,MATCH(Settings!$L$10,$A$1:$Z$1,0))),INDEX($A496:$Z496,MATCH(Settings!$L$10,$A$1:$Z$1,0)),DATE(VALUE(LEFT(IFERROR(TRIM(INDEX($A496:$Z496,MATCH(Settings!$L$10,$A$1:$Z$1,0))&amp;""),""),4)),VALUE(MID(IFERROR(TRIM(INDEX($A496:$Z496,MATCH(Settings!$L$10,$A$1:$Z$1,0))&amp;""),""),6,2)),VALUE(MID(IFERROR(TRIM(INDEX($A496:$Z496,MATCH(Settings!$L$10,$A$1:$Z$1,0))&amp;""),""),9,2)))+TIME(VALUE(MID(IFERROR(TRIM(INDEX($A496:$Z496,MATCH(Settings!$L$10,$A$1:$Z$1,0))&amp;""),""),12,2)),VALUE(MID(IFERROR(TRIM(INDEX($A496:$Z496,MATCH(Settings!$L$10,$A$1:$Z$1,0))&amp;""),""),15,2)),VALUE(MID(IFERROR(TRIM(INDEX($A496:$Z496,MATCH(Settings!$L$10,$A$1:$Z$1,0))&amp;""),""),18,2)))),"")),"")</f>
        <v/>
      </c>
      <c r="AL496" s="32">
        <f>IF(AE496="","",IF(ISNUMBER(AK496),AK496,IFERROR(INT(IFERROR(IF(ISNUMBER(INDEX($A496:$Z496,MATCH(Settings!$L$11,$A$1:$Z$1,0))),INDEX($A496:$Z496,MATCH(Settings!$L$11,$A$1:$Z$1,0)),DATE(VALUE(LEFT(IFERROR(TRIM(INDEX($A496:$Z496,MATCH(Settings!$L$11,$A$1:$Z$1,0))&amp;""),""),4)),VALUE(MID(IFERROR(TRIM(INDEX($A496:$Z496,MATCH(Settings!$L$11,$A$1:$Z$1,0))&amp;""),""),6,2)),VALUE(MID(IFERROR(TRIM(INDEX($A496:$Z496,MATCH(Settings!$L$11,$A$1:$Z$1,0))&amp;""),""),9,2)))+TIME(VALUE(MID(IFERROR(TRIM(INDEX($A496:$Z496,MATCH(Settings!$L$11,$A$1:$Z$1,0))&amp;""),""),12,2)),VALUE(MID(IFERROR(TRIM(INDEX($A496:$Z496,MATCH(Settings!$L$11,$A$1:$Z$1,0))&amp;""),""),15,2)),VALUE(MID(IFERROR(TRIM(INDEX($A496:$Z496,MATCH(Settings!$L$11,$A$1:$Z$1,0))&amp;""),""),18,2)))),"")),"")))</f>
        <v/>
      </c>
      <c r="AM496" s="31">
        <f>IF(AE496="","",IF(ISNUMBER(IFERROR(INDEX(Settings!$G$4:$G$11,MATCH(AH496,Settings!$F$4:$F$11,0)),"")),INDEX(Settings!$G$4:$G$11,MATCH(AH496,Settings!$F$4:$F$11,0)),Settings!$D$5))</f>
        <v/>
      </c>
      <c r="AN496" s="32">
        <f>IF(OR(AE496="",NOT(ISNUMBER(AL496)),NOT(ISNUMBER(AM496))),"",IF(AM496&lt;=0,"",IF(ISNUMBER(Settings!$D$8),DATE(YEAR(AL496)+IF(DATE(YEAR(AL496),MONTH(Settings!$D$8),DAY(Settings!$D$8))&gt;AL496,0,1),MONTH(Settings!$D$8),DAY(Settings!$D$8)),MIN(DATE(YEAR(AL496),MONTH(AL496)+AM496,DAY(AL496)),DATE(YEAR(AL496),MONTH(AL496)+AM496+1,0)))))</f>
        <v/>
      </c>
      <c r="AO496" s="31">
        <f>IF(ISNUMBER(AN496),AN496-Settings!$D$4,"")</f>
        <v/>
      </c>
      <c r="AP496" s="31">
        <f>IF(ISNUMBER(AL496),AL496+0+ROW()/100000,"")</f>
        <v/>
      </c>
      <c r="AQ496" s="31">
        <f>IF(OR(AG496="",NOT(ISNUMBER(AP496))),0,IF(SUMPRODUCT(('Responses'!$AG$2:$AG$501=AG496)*('Responses'!$AJ$2:$AJ$501=1)*ISNUMBER('Responses'!$AP$2:$AP$501)*('Responses'!$AP$2:$AP$501&gt;AP496)) + SUMPRODUCT(('Paper sign-ups'!$K$2:$K$101=AG496)*('Paper sign-ups'!$N$2:$N$101=1)*ISNUMBER('Paper sign-ups'!$T$2:$T$101)*('Paper sign-ups'!$T$2:$T$101&gt;AP496))&gt;0,1,0))</f>
        <v/>
      </c>
      <c r="AR496" s="31">
        <f>IF(AE496="","",IF(AQ496=1,"Joined again",IF(AJ496=0,"Unpaid",IF(NOT(ISNUMBER(AL496)),"Add a join date",IF(AN496="","No reminder",IF(AO496&lt;0,"Lapsed",IF(AO496&lt;=Settings!$D$6,"Remind soon","Current")))))))</f>
        <v/>
      </c>
      <c r="AS496" s="33">
        <f>IF(AJ496=1,IFERROR(VALUE(IFERROR(TRIM(INDEX($A496:$Z496,MATCH(Settings!$L$8,$A$1:$Z$1,0))&amp;""),"")),0)-IFERROR(VALUE(IFERROR(TRIM(INDEX($A496:$Z496,MATCH(Settings!$L$9,$A$1:$Z$1,0))&amp;""),"")),0),0)</f>
        <v/>
      </c>
      <c r="AT496" s="31">
        <f>IF(AND(AE496&lt;&gt;"",AQ496=0),1,0)</f>
        <v/>
      </c>
      <c r="AU496" s="31">
        <f>IF(AT496=0,"",IF(ISNUMBER(AN496),AN496,100000)+0+ROW()/1000000)</f>
        <v/>
      </c>
      <c r="AV496" s="31">
        <f>IF(ISNUMBER(AU496),SUMPRODUCT(ISNUMBER('Responses'!$AU$2:$AU$501)*('Responses'!$AU$2:$AU$501&lt;AU496)) + SUMPRODUCT(ISNUMBER('Paper sign-ups'!$Y$2:$Y$101)*('Paper sign-ups'!$Y$2:$Y$101&lt;AU496))+1,"")</f>
        <v/>
      </c>
    </row>
    <row r="497">
      <c r="AA497" s="29" t="n"/>
      <c r="AB497" s="30" t="n"/>
      <c r="AC497" s="30" t="n"/>
      <c r="AD497" s="29" t="n"/>
      <c r="AE497" s="31">
        <f>IFERROR(TRIM(INDEX($A497:$Z497,MATCH(Settings!$L$4,$A$1:$Z$1,0))&amp;""),"")</f>
        <v/>
      </c>
      <c r="AF497" s="31">
        <f>IFERROR(TRIM(INDEX($A497:$Z497,MATCH(Settings!$L$5,$A$1:$Z$1,0))&amp;""),"")</f>
        <v/>
      </c>
      <c r="AG497" s="31">
        <f>IF(AE497="","",LOWER(IF(AF497&lt;&gt;"",AF497,AE497)))</f>
        <v/>
      </c>
      <c r="AH497" s="31">
        <f>IFERROR(TRIM(INDEX($A497:$Z497,MATCH(Settings!$L$6,$A$1:$Z$1,0))&amp;""),"")</f>
        <v/>
      </c>
      <c r="AI497" s="31">
        <f>IF(AE497="","",IF(UPPER(TRIM(AB497&amp;""))="Y","Paid another way",IF(IFERROR(TRIM(INDEX($A497:$Z497,MATCH(Settings!$L$7,$A$1:$Z$1,0))&amp;""),"")="","No payment status",IFERROR(TRIM(INDEX($A497:$Z497,MATCH(Settings!$L$7,$A$1:$Z$1,0))&amp;""),""))))</f>
        <v/>
      </c>
      <c r="AJ497" s="31">
        <f>IF(AE497="",0,IF(IFERROR(INDEX(Settings!$J$4:$J$14,MATCH(AI497,Settings!$I$4:$I$14,0)),"N")="Y",1,0))</f>
        <v/>
      </c>
      <c r="AK497" s="32">
        <f>IFERROR(INT(IFERROR(IF(ISNUMBER(INDEX($A497:$Z497,MATCH(Settings!$L$10,$A$1:$Z$1,0))),INDEX($A497:$Z497,MATCH(Settings!$L$10,$A$1:$Z$1,0)),DATE(VALUE(LEFT(IFERROR(TRIM(INDEX($A497:$Z497,MATCH(Settings!$L$10,$A$1:$Z$1,0))&amp;""),""),4)),VALUE(MID(IFERROR(TRIM(INDEX($A497:$Z497,MATCH(Settings!$L$10,$A$1:$Z$1,0))&amp;""),""),6,2)),VALUE(MID(IFERROR(TRIM(INDEX($A497:$Z497,MATCH(Settings!$L$10,$A$1:$Z$1,0))&amp;""),""),9,2)))+TIME(VALUE(MID(IFERROR(TRIM(INDEX($A497:$Z497,MATCH(Settings!$L$10,$A$1:$Z$1,0))&amp;""),""),12,2)),VALUE(MID(IFERROR(TRIM(INDEX($A497:$Z497,MATCH(Settings!$L$10,$A$1:$Z$1,0))&amp;""),""),15,2)),VALUE(MID(IFERROR(TRIM(INDEX($A497:$Z497,MATCH(Settings!$L$10,$A$1:$Z$1,0))&amp;""),""),18,2)))),"")),"")</f>
        <v/>
      </c>
      <c r="AL497" s="32">
        <f>IF(AE497="","",IF(ISNUMBER(AK497),AK497,IFERROR(INT(IFERROR(IF(ISNUMBER(INDEX($A497:$Z497,MATCH(Settings!$L$11,$A$1:$Z$1,0))),INDEX($A497:$Z497,MATCH(Settings!$L$11,$A$1:$Z$1,0)),DATE(VALUE(LEFT(IFERROR(TRIM(INDEX($A497:$Z497,MATCH(Settings!$L$11,$A$1:$Z$1,0))&amp;""),""),4)),VALUE(MID(IFERROR(TRIM(INDEX($A497:$Z497,MATCH(Settings!$L$11,$A$1:$Z$1,0))&amp;""),""),6,2)),VALUE(MID(IFERROR(TRIM(INDEX($A497:$Z497,MATCH(Settings!$L$11,$A$1:$Z$1,0))&amp;""),""),9,2)))+TIME(VALUE(MID(IFERROR(TRIM(INDEX($A497:$Z497,MATCH(Settings!$L$11,$A$1:$Z$1,0))&amp;""),""),12,2)),VALUE(MID(IFERROR(TRIM(INDEX($A497:$Z497,MATCH(Settings!$L$11,$A$1:$Z$1,0))&amp;""),""),15,2)),VALUE(MID(IFERROR(TRIM(INDEX($A497:$Z497,MATCH(Settings!$L$11,$A$1:$Z$1,0))&amp;""),""),18,2)))),"")),"")))</f>
        <v/>
      </c>
      <c r="AM497" s="31">
        <f>IF(AE497="","",IF(ISNUMBER(IFERROR(INDEX(Settings!$G$4:$G$11,MATCH(AH497,Settings!$F$4:$F$11,0)),"")),INDEX(Settings!$G$4:$G$11,MATCH(AH497,Settings!$F$4:$F$11,0)),Settings!$D$5))</f>
        <v/>
      </c>
      <c r="AN497" s="32">
        <f>IF(OR(AE497="",NOT(ISNUMBER(AL497)),NOT(ISNUMBER(AM497))),"",IF(AM497&lt;=0,"",IF(ISNUMBER(Settings!$D$8),DATE(YEAR(AL497)+IF(DATE(YEAR(AL497),MONTH(Settings!$D$8),DAY(Settings!$D$8))&gt;AL497,0,1),MONTH(Settings!$D$8),DAY(Settings!$D$8)),MIN(DATE(YEAR(AL497),MONTH(AL497)+AM497,DAY(AL497)),DATE(YEAR(AL497),MONTH(AL497)+AM497+1,0)))))</f>
        <v/>
      </c>
      <c r="AO497" s="31">
        <f>IF(ISNUMBER(AN497),AN497-Settings!$D$4,"")</f>
        <v/>
      </c>
      <c r="AP497" s="31">
        <f>IF(ISNUMBER(AL497),AL497+0+ROW()/100000,"")</f>
        <v/>
      </c>
      <c r="AQ497" s="31">
        <f>IF(OR(AG497="",NOT(ISNUMBER(AP497))),0,IF(SUMPRODUCT(('Responses'!$AG$2:$AG$501=AG497)*('Responses'!$AJ$2:$AJ$501=1)*ISNUMBER('Responses'!$AP$2:$AP$501)*('Responses'!$AP$2:$AP$501&gt;AP497)) + SUMPRODUCT(('Paper sign-ups'!$K$2:$K$101=AG497)*('Paper sign-ups'!$N$2:$N$101=1)*ISNUMBER('Paper sign-ups'!$T$2:$T$101)*('Paper sign-ups'!$T$2:$T$101&gt;AP497))&gt;0,1,0))</f>
        <v/>
      </c>
      <c r="AR497" s="31">
        <f>IF(AE497="","",IF(AQ497=1,"Joined again",IF(AJ497=0,"Unpaid",IF(NOT(ISNUMBER(AL497)),"Add a join date",IF(AN497="","No reminder",IF(AO497&lt;0,"Lapsed",IF(AO497&lt;=Settings!$D$6,"Remind soon","Current")))))))</f>
        <v/>
      </c>
      <c r="AS497" s="33">
        <f>IF(AJ497=1,IFERROR(VALUE(IFERROR(TRIM(INDEX($A497:$Z497,MATCH(Settings!$L$8,$A$1:$Z$1,0))&amp;""),"")),0)-IFERROR(VALUE(IFERROR(TRIM(INDEX($A497:$Z497,MATCH(Settings!$L$9,$A$1:$Z$1,0))&amp;""),"")),0),0)</f>
        <v/>
      </c>
      <c r="AT497" s="31">
        <f>IF(AND(AE497&lt;&gt;"",AQ497=0),1,0)</f>
        <v/>
      </c>
      <c r="AU497" s="31">
        <f>IF(AT497=0,"",IF(ISNUMBER(AN497),AN497,100000)+0+ROW()/1000000)</f>
        <v/>
      </c>
      <c r="AV497" s="31">
        <f>IF(ISNUMBER(AU497),SUMPRODUCT(ISNUMBER('Responses'!$AU$2:$AU$501)*('Responses'!$AU$2:$AU$501&lt;AU497)) + SUMPRODUCT(ISNUMBER('Paper sign-ups'!$Y$2:$Y$101)*('Paper sign-ups'!$Y$2:$Y$101&lt;AU497))+1,"")</f>
        <v/>
      </c>
    </row>
    <row r="498">
      <c r="AA498" s="29" t="n"/>
      <c r="AB498" s="30" t="n"/>
      <c r="AC498" s="30" t="n"/>
      <c r="AD498" s="29" t="n"/>
      <c r="AE498" s="31">
        <f>IFERROR(TRIM(INDEX($A498:$Z498,MATCH(Settings!$L$4,$A$1:$Z$1,0))&amp;""),"")</f>
        <v/>
      </c>
      <c r="AF498" s="31">
        <f>IFERROR(TRIM(INDEX($A498:$Z498,MATCH(Settings!$L$5,$A$1:$Z$1,0))&amp;""),"")</f>
        <v/>
      </c>
      <c r="AG498" s="31">
        <f>IF(AE498="","",LOWER(IF(AF498&lt;&gt;"",AF498,AE498)))</f>
        <v/>
      </c>
      <c r="AH498" s="31">
        <f>IFERROR(TRIM(INDEX($A498:$Z498,MATCH(Settings!$L$6,$A$1:$Z$1,0))&amp;""),"")</f>
        <v/>
      </c>
      <c r="AI498" s="31">
        <f>IF(AE498="","",IF(UPPER(TRIM(AB498&amp;""))="Y","Paid another way",IF(IFERROR(TRIM(INDEX($A498:$Z498,MATCH(Settings!$L$7,$A$1:$Z$1,0))&amp;""),"")="","No payment status",IFERROR(TRIM(INDEX($A498:$Z498,MATCH(Settings!$L$7,$A$1:$Z$1,0))&amp;""),""))))</f>
        <v/>
      </c>
      <c r="AJ498" s="31">
        <f>IF(AE498="",0,IF(IFERROR(INDEX(Settings!$J$4:$J$14,MATCH(AI498,Settings!$I$4:$I$14,0)),"N")="Y",1,0))</f>
        <v/>
      </c>
      <c r="AK498" s="32">
        <f>IFERROR(INT(IFERROR(IF(ISNUMBER(INDEX($A498:$Z498,MATCH(Settings!$L$10,$A$1:$Z$1,0))),INDEX($A498:$Z498,MATCH(Settings!$L$10,$A$1:$Z$1,0)),DATE(VALUE(LEFT(IFERROR(TRIM(INDEX($A498:$Z498,MATCH(Settings!$L$10,$A$1:$Z$1,0))&amp;""),""),4)),VALUE(MID(IFERROR(TRIM(INDEX($A498:$Z498,MATCH(Settings!$L$10,$A$1:$Z$1,0))&amp;""),""),6,2)),VALUE(MID(IFERROR(TRIM(INDEX($A498:$Z498,MATCH(Settings!$L$10,$A$1:$Z$1,0))&amp;""),""),9,2)))+TIME(VALUE(MID(IFERROR(TRIM(INDEX($A498:$Z498,MATCH(Settings!$L$10,$A$1:$Z$1,0))&amp;""),""),12,2)),VALUE(MID(IFERROR(TRIM(INDEX($A498:$Z498,MATCH(Settings!$L$10,$A$1:$Z$1,0))&amp;""),""),15,2)),VALUE(MID(IFERROR(TRIM(INDEX($A498:$Z498,MATCH(Settings!$L$10,$A$1:$Z$1,0))&amp;""),""),18,2)))),"")),"")</f>
        <v/>
      </c>
      <c r="AL498" s="32">
        <f>IF(AE498="","",IF(ISNUMBER(AK498),AK498,IFERROR(INT(IFERROR(IF(ISNUMBER(INDEX($A498:$Z498,MATCH(Settings!$L$11,$A$1:$Z$1,0))),INDEX($A498:$Z498,MATCH(Settings!$L$11,$A$1:$Z$1,0)),DATE(VALUE(LEFT(IFERROR(TRIM(INDEX($A498:$Z498,MATCH(Settings!$L$11,$A$1:$Z$1,0))&amp;""),""),4)),VALUE(MID(IFERROR(TRIM(INDEX($A498:$Z498,MATCH(Settings!$L$11,$A$1:$Z$1,0))&amp;""),""),6,2)),VALUE(MID(IFERROR(TRIM(INDEX($A498:$Z498,MATCH(Settings!$L$11,$A$1:$Z$1,0))&amp;""),""),9,2)))+TIME(VALUE(MID(IFERROR(TRIM(INDEX($A498:$Z498,MATCH(Settings!$L$11,$A$1:$Z$1,0))&amp;""),""),12,2)),VALUE(MID(IFERROR(TRIM(INDEX($A498:$Z498,MATCH(Settings!$L$11,$A$1:$Z$1,0))&amp;""),""),15,2)),VALUE(MID(IFERROR(TRIM(INDEX($A498:$Z498,MATCH(Settings!$L$11,$A$1:$Z$1,0))&amp;""),""),18,2)))),"")),"")))</f>
        <v/>
      </c>
      <c r="AM498" s="31">
        <f>IF(AE498="","",IF(ISNUMBER(IFERROR(INDEX(Settings!$G$4:$G$11,MATCH(AH498,Settings!$F$4:$F$11,0)),"")),INDEX(Settings!$G$4:$G$11,MATCH(AH498,Settings!$F$4:$F$11,0)),Settings!$D$5))</f>
        <v/>
      </c>
      <c r="AN498" s="32">
        <f>IF(OR(AE498="",NOT(ISNUMBER(AL498)),NOT(ISNUMBER(AM498))),"",IF(AM498&lt;=0,"",IF(ISNUMBER(Settings!$D$8),DATE(YEAR(AL498)+IF(DATE(YEAR(AL498),MONTH(Settings!$D$8),DAY(Settings!$D$8))&gt;AL498,0,1),MONTH(Settings!$D$8),DAY(Settings!$D$8)),MIN(DATE(YEAR(AL498),MONTH(AL498)+AM498,DAY(AL498)),DATE(YEAR(AL498),MONTH(AL498)+AM498+1,0)))))</f>
        <v/>
      </c>
      <c r="AO498" s="31">
        <f>IF(ISNUMBER(AN498),AN498-Settings!$D$4,"")</f>
        <v/>
      </c>
      <c r="AP498" s="31">
        <f>IF(ISNUMBER(AL498),AL498+0+ROW()/100000,"")</f>
        <v/>
      </c>
      <c r="AQ498" s="31">
        <f>IF(OR(AG498="",NOT(ISNUMBER(AP498))),0,IF(SUMPRODUCT(('Responses'!$AG$2:$AG$501=AG498)*('Responses'!$AJ$2:$AJ$501=1)*ISNUMBER('Responses'!$AP$2:$AP$501)*('Responses'!$AP$2:$AP$501&gt;AP498)) + SUMPRODUCT(('Paper sign-ups'!$K$2:$K$101=AG498)*('Paper sign-ups'!$N$2:$N$101=1)*ISNUMBER('Paper sign-ups'!$T$2:$T$101)*('Paper sign-ups'!$T$2:$T$101&gt;AP498))&gt;0,1,0))</f>
        <v/>
      </c>
      <c r="AR498" s="31">
        <f>IF(AE498="","",IF(AQ498=1,"Joined again",IF(AJ498=0,"Unpaid",IF(NOT(ISNUMBER(AL498)),"Add a join date",IF(AN498="","No reminder",IF(AO498&lt;0,"Lapsed",IF(AO498&lt;=Settings!$D$6,"Remind soon","Current")))))))</f>
        <v/>
      </c>
      <c r="AS498" s="33">
        <f>IF(AJ498=1,IFERROR(VALUE(IFERROR(TRIM(INDEX($A498:$Z498,MATCH(Settings!$L$8,$A$1:$Z$1,0))&amp;""),"")),0)-IFERROR(VALUE(IFERROR(TRIM(INDEX($A498:$Z498,MATCH(Settings!$L$9,$A$1:$Z$1,0))&amp;""),"")),0),0)</f>
        <v/>
      </c>
      <c r="AT498" s="31">
        <f>IF(AND(AE498&lt;&gt;"",AQ498=0),1,0)</f>
        <v/>
      </c>
      <c r="AU498" s="31">
        <f>IF(AT498=0,"",IF(ISNUMBER(AN498),AN498,100000)+0+ROW()/1000000)</f>
        <v/>
      </c>
      <c r="AV498" s="31">
        <f>IF(ISNUMBER(AU498),SUMPRODUCT(ISNUMBER('Responses'!$AU$2:$AU$501)*('Responses'!$AU$2:$AU$501&lt;AU498)) + SUMPRODUCT(ISNUMBER('Paper sign-ups'!$Y$2:$Y$101)*('Paper sign-ups'!$Y$2:$Y$101&lt;AU498))+1,"")</f>
        <v/>
      </c>
    </row>
    <row r="499">
      <c r="AA499" s="29" t="n"/>
      <c r="AB499" s="30" t="n"/>
      <c r="AC499" s="30" t="n"/>
      <c r="AD499" s="29" t="n"/>
      <c r="AE499" s="31">
        <f>IFERROR(TRIM(INDEX($A499:$Z499,MATCH(Settings!$L$4,$A$1:$Z$1,0))&amp;""),"")</f>
        <v/>
      </c>
      <c r="AF499" s="31">
        <f>IFERROR(TRIM(INDEX($A499:$Z499,MATCH(Settings!$L$5,$A$1:$Z$1,0))&amp;""),"")</f>
        <v/>
      </c>
      <c r="AG499" s="31">
        <f>IF(AE499="","",LOWER(IF(AF499&lt;&gt;"",AF499,AE499)))</f>
        <v/>
      </c>
      <c r="AH499" s="31">
        <f>IFERROR(TRIM(INDEX($A499:$Z499,MATCH(Settings!$L$6,$A$1:$Z$1,0))&amp;""),"")</f>
        <v/>
      </c>
      <c r="AI499" s="31">
        <f>IF(AE499="","",IF(UPPER(TRIM(AB499&amp;""))="Y","Paid another way",IF(IFERROR(TRIM(INDEX($A499:$Z499,MATCH(Settings!$L$7,$A$1:$Z$1,0))&amp;""),"")="","No payment status",IFERROR(TRIM(INDEX($A499:$Z499,MATCH(Settings!$L$7,$A$1:$Z$1,0))&amp;""),""))))</f>
        <v/>
      </c>
      <c r="AJ499" s="31">
        <f>IF(AE499="",0,IF(IFERROR(INDEX(Settings!$J$4:$J$14,MATCH(AI499,Settings!$I$4:$I$14,0)),"N")="Y",1,0))</f>
        <v/>
      </c>
      <c r="AK499" s="32">
        <f>IFERROR(INT(IFERROR(IF(ISNUMBER(INDEX($A499:$Z499,MATCH(Settings!$L$10,$A$1:$Z$1,0))),INDEX($A499:$Z499,MATCH(Settings!$L$10,$A$1:$Z$1,0)),DATE(VALUE(LEFT(IFERROR(TRIM(INDEX($A499:$Z499,MATCH(Settings!$L$10,$A$1:$Z$1,0))&amp;""),""),4)),VALUE(MID(IFERROR(TRIM(INDEX($A499:$Z499,MATCH(Settings!$L$10,$A$1:$Z$1,0))&amp;""),""),6,2)),VALUE(MID(IFERROR(TRIM(INDEX($A499:$Z499,MATCH(Settings!$L$10,$A$1:$Z$1,0))&amp;""),""),9,2)))+TIME(VALUE(MID(IFERROR(TRIM(INDEX($A499:$Z499,MATCH(Settings!$L$10,$A$1:$Z$1,0))&amp;""),""),12,2)),VALUE(MID(IFERROR(TRIM(INDEX($A499:$Z499,MATCH(Settings!$L$10,$A$1:$Z$1,0))&amp;""),""),15,2)),VALUE(MID(IFERROR(TRIM(INDEX($A499:$Z499,MATCH(Settings!$L$10,$A$1:$Z$1,0))&amp;""),""),18,2)))),"")),"")</f>
        <v/>
      </c>
      <c r="AL499" s="32">
        <f>IF(AE499="","",IF(ISNUMBER(AK499),AK499,IFERROR(INT(IFERROR(IF(ISNUMBER(INDEX($A499:$Z499,MATCH(Settings!$L$11,$A$1:$Z$1,0))),INDEX($A499:$Z499,MATCH(Settings!$L$11,$A$1:$Z$1,0)),DATE(VALUE(LEFT(IFERROR(TRIM(INDEX($A499:$Z499,MATCH(Settings!$L$11,$A$1:$Z$1,0))&amp;""),""),4)),VALUE(MID(IFERROR(TRIM(INDEX($A499:$Z499,MATCH(Settings!$L$11,$A$1:$Z$1,0))&amp;""),""),6,2)),VALUE(MID(IFERROR(TRIM(INDEX($A499:$Z499,MATCH(Settings!$L$11,$A$1:$Z$1,0))&amp;""),""),9,2)))+TIME(VALUE(MID(IFERROR(TRIM(INDEX($A499:$Z499,MATCH(Settings!$L$11,$A$1:$Z$1,0))&amp;""),""),12,2)),VALUE(MID(IFERROR(TRIM(INDEX($A499:$Z499,MATCH(Settings!$L$11,$A$1:$Z$1,0))&amp;""),""),15,2)),VALUE(MID(IFERROR(TRIM(INDEX($A499:$Z499,MATCH(Settings!$L$11,$A$1:$Z$1,0))&amp;""),""),18,2)))),"")),"")))</f>
        <v/>
      </c>
      <c r="AM499" s="31">
        <f>IF(AE499="","",IF(ISNUMBER(IFERROR(INDEX(Settings!$G$4:$G$11,MATCH(AH499,Settings!$F$4:$F$11,0)),"")),INDEX(Settings!$G$4:$G$11,MATCH(AH499,Settings!$F$4:$F$11,0)),Settings!$D$5))</f>
        <v/>
      </c>
      <c r="AN499" s="32">
        <f>IF(OR(AE499="",NOT(ISNUMBER(AL499)),NOT(ISNUMBER(AM499))),"",IF(AM499&lt;=0,"",IF(ISNUMBER(Settings!$D$8),DATE(YEAR(AL499)+IF(DATE(YEAR(AL499),MONTH(Settings!$D$8),DAY(Settings!$D$8))&gt;AL499,0,1),MONTH(Settings!$D$8),DAY(Settings!$D$8)),MIN(DATE(YEAR(AL499),MONTH(AL499)+AM499,DAY(AL499)),DATE(YEAR(AL499),MONTH(AL499)+AM499+1,0)))))</f>
        <v/>
      </c>
      <c r="AO499" s="31">
        <f>IF(ISNUMBER(AN499),AN499-Settings!$D$4,"")</f>
        <v/>
      </c>
      <c r="AP499" s="31">
        <f>IF(ISNUMBER(AL499),AL499+0+ROW()/100000,"")</f>
        <v/>
      </c>
      <c r="AQ499" s="31">
        <f>IF(OR(AG499="",NOT(ISNUMBER(AP499))),0,IF(SUMPRODUCT(('Responses'!$AG$2:$AG$501=AG499)*('Responses'!$AJ$2:$AJ$501=1)*ISNUMBER('Responses'!$AP$2:$AP$501)*('Responses'!$AP$2:$AP$501&gt;AP499)) + SUMPRODUCT(('Paper sign-ups'!$K$2:$K$101=AG499)*('Paper sign-ups'!$N$2:$N$101=1)*ISNUMBER('Paper sign-ups'!$T$2:$T$101)*('Paper sign-ups'!$T$2:$T$101&gt;AP499))&gt;0,1,0))</f>
        <v/>
      </c>
      <c r="AR499" s="31">
        <f>IF(AE499="","",IF(AQ499=1,"Joined again",IF(AJ499=0,"Unpaid",IF(NOT(ISNUMBER(AL499)),"Add a join date",IF(AN499="","No reminder",IF(AO499&lt;0,"Lapsed",IF(AO499&lt;=Settings!$D$6,"Remind soon","Current")))))))</f>
        <v/>
      </c>
      <c r="AS499" s="33">
        <f>IF(AJ499=1,IFERROR(VALUE(IFERROR(TRIM(INDEX($A499:$Z499,MATCH(Settings!$L$8,$A$1:$Z$1,0))&amp;""),"")),0)-IFERROR(VALUE(IFERROR(TRIM(INDEX($A499:$Z499,MATCH(Settings!$L$9,$A$1:$Z$1,0))&amp;""),"")),0),0)</f>
        <v/>
      </c>
      <c r="AT499" s="31">
        <f>IF(AND(AE499&lt;&gt;"",AQ499=0),1,0)</f>
        <v/>
      </c>
      <c r="AU499" s="31">
        <f>IF(AT499=0,"",IF(ISNUMBER(AN499),AN499,100000)+0+ROW()/1000000)</f>
        <v/>
      </c>
      <c r="AV499" s="31">
        <f>IF(ISNUMBER(AU499),SUMPRODUCT(ISNUMBER('Responses'!$AU$2:$AU$501)*('Responses'!$AU$2:$AU$501&lt;AU499)) + SUMPRODUCT(ISNUMBER('Paper sign-ups'!$Y$2:$Y$101)*('Paper sign-ups'!$Y$2:$Y$101&lt;AU499))+1,"")</f>
        <v/>
      </c>
    </row>
    <row r="500">
      <c r="AA500" s="29" t="n"/>
      <c r="AB500" s="30" t="n"/>
      <c r="AC500" s="30" t="n"/>
      <c r="AD500" s="29" t="n"/>
      <c r="AE500" s="31">
        <f>IFERROR(TRIM(INDEX($A500:$Z500,MATCH(Settings!$L$4,$A$1:$Z$1,0))&amp;""),"")</f>
        <v/>
      </c>
      <c r="AF500" s="31">
        <f>IFERROR(TRIM(INDEX($A500:$Z500,MATCH(Settings!$L$5,$A$1:$Z$1,0))&amp;""),"")</f>
        <v/>
      </c>
      <c r="AG500" s="31">
        <f>IF(AE500="","",LOWER(IF(AF500&lt;&gt;"",AF500,AE500)))</f>
        <v/>
      </c>
      <c r="AH500" s="31">
        <f>IFERROR(TRIM(INDEX($A500:$Z500,MATCH(Settings!$L$6,$A$1:$Z$1,0))&amp;""),"")</f>
        <v/>
      </c>
      <c r="AI500" s="31">
        <f>IF(AE500="","",IF(UPPER(TRIM(AB500&amp;""))="Y","Paid another way",IF(IFERROR(TRIM(INDEX($A500:$Z500,MATCH(Settings!$L$7,$A$1:$Z$1,0))&amp;""),"")="","No payment status",IFERROR(TRIM(INDEX($A500:$Z500,MATCH(Settings!$L$7,$A$1:$Z$1,0))&amp;""),""))))</f>
        <v/>
      </c>
      <c r="AJ500" s="31">
        <f>IF(AE500="",0,IF(IFERROR(INDEX(Settings!$J$4:$J$14,MATCH(AI500,Settings!$I$4:$I$14,0)),"N")="Y",1,0))</f>
        <v/>
      </c>
      <c r="AK500" s="32">
        <f>IFERROR(INT(IFERROR(IF(ISNUMBER(INDEX($A500:$Z500,MATCH(Settings!$L$10,$A$1:$Z$1,0))),INDEX($A500:$Z500,MATCH(Settings!$L$10,$A$1:$Z$1,0)),DATE(VALUE(LEFT(IFERROR(TRIM(INDEX($A500:$Z500,MATCH(Settings!$L$10,$A$1:$Z$1,0))&amp;""),""),4)),VALUE(MID(IFERROR(TRIM(INDEX($A500:$Z500,MATCH(Settings!$L$10,$A$1:$Z$1,0))&amp;""),""),6,2)),VALUE(MID(IFERROR(TRIM(INDEX($A500:$Z500,MATCH(Settings!$L$10,$A$1:$Z$1,0))&amp;""),""),9,2)))+TIME(VALUE(MID(IFERROR(TRIM(INDEX($A500:$Z500,MATCH(Settings!$L$10,$A$1:$Z$1,0))&amp;""),""),12,2)),VALUE(MID(IFERROR(TRIM(INDEX($A500:$Z500,MATCH(Settings!$L$10,$A$1:$Z$1,0))&amp;""),""),15,2)),VALUE(MID(IFERROR(TRIM(INDEX($A500:$Z500,MATCH(Settings!$L$10,$A$1:$Z$1,0))&amp;""),""),18,2)))),"")),"")</f>
        <v/>
      </c>
      <c r="AL500" s="32">
        <f>IF(AE500="","",IF(ISNUMBER(AK500),AK500,IFERROR(INT(IFERROR(IF(ISNUMBER(INDEX($A500:$Z500,MATCH(Settings!$L$11,$A$1:$Z$1,0))),INDEX($A500:$Z500,MATCH(Settings!$L$11,$A$1:$Z$1,0)),DATE(VALUE(LEFT(IFERROR(TRIM(INDEX($A500:$Z500,MATCH(Settings!$L$11,$A$1:$Z$1,0))&amp;""),""),4)),VALUE(MID(IFERROR(TRIM(INDEX($A500:$Z500,MATCH(Settings!$L$11,$A$1:$Z$1,0))&amp;""),""),6,2)),VALUE(MID(IFERROR(TRIM(INDEX($A500:$Z500,MATCH(Settings!$L$11,$A$1:$Z$1,0))&amp;""),""),9,2)))+TIME(VALUE(MID(IFERROR(TRIM(INDEX($A500:$Z500,MATCH(Settings!$L$11,$A$1:$Z$1,0))&amp;""),""),12,2)),VALUE(MID(IFERROR(TRIM(INDEX($A500:$Z500,MATCH(Settings!$L$11,$A$1:$Z$1,0))&amp;""),""),15,2)),VALUE(MID(IFERROR(TRIM(INDEX($A500:$Z500,MATCH(Settings!$L$11,$A$1:$Z$1,0))&amp;""),""),18,2)))),"")),"")))</f>
        <v/>
      </c>
      <c r="AM500" s="31">
        <f>IF(AE500="","",IF(ISNUMBER(IFERROR(INDEX(Settings!$G$4:$G$11,MATCH(AH500,Settings!$F$4:$F$11,0)),"")),INDEX(Settings!$G$4:$G$11,MATCH(AH500,Settings!$F$4:$F$11,0)),Settings!$D$5))</f>
        <v/>
      </c>
      <c r="AN500" s="32">
        <f>IF(OR(AE500="",NOT(ISNUMBER(AL500)),NOT(ISNUMBER(AM500))),"",IF(AM500&lt;=0,"",IF(ISNUMBER(Settings!$D$8),DATE(YEAR(AL500)+IF(DATE(YEAR(AL500),MONTH(Settings!$D$8),DAY(Settings!$D$8))&gt;AL500,0,1),MONTH(Settings!$D$8),DAY(Settings!$D$8)),MIN(DATE(YEAR(AL500),MONTH(AL500)+AM500,DAY(AL500)),DATE(YEAR(AL500),MONTH(AL500)+AM500+1,0)))))</f>
        <v/>
      </c>
      <c r="AO500" s="31">
        <f>IF(ISNUMBER(AN500),AN500-Settings!$D$4,"")</f>
        <v/>
      </c>
      <c r="AP500" s="31">
        <f>IF(ISNUMBER(AL500),AL500+0+ROW()/100000,"")</f>
        <v/>
      </c>
      <c r="AQ500" s="31">
        <f>IF(OR(AG500="",NOT(ISNUMBER(AP500))),0,IF(SUMPRODUCT(('Responses'!$AG$2:$AG$501=AG500)*('Responses'!$AJ$2:$AJ$501=1)*ISNUMBER('Responses'!$AP$2:$AP$501)*('Responses'!$AP$2:$AP$501&gt;AP500)) + SUMPRODUCT(('Paper sign-ups'!$K$2:$K$101=AG500)*('Paper sign-ups'!$N$2:$N$101=1)*ISNUMBER('Paper sign-ups'!$T$2:$T$101)*('Paper sign-ups'!$T$2:$T$101&gt;AP500))&gt;0,1,0))</f>
        <v/>
      </c>
      <c r="AR500" s="31">
        <f>IF(AE500="","",IF(AQ500=1,"Joined again",IF(AJ500=0,"Unpaid",IF(NOT(ISNUMBER(AL500)),"Add a join date",IF(AN500="","No reminder",IF(AO500&lt;0,"Lapsed",IF(AO500&lt;=Settings!$D$6,"Remind soon","Current")))))))</f>
        <v/>
      </c>
      <c r="AS500" s="33">
        <f>IF(AJ500=1,IFERROR(VALUE(IFERROR(TRIM(INDEX($A500:$Z500,MATCH(Settings!$L$8,$A$1:$Z$1,0))&amp;""),"")),0)-IFERROR(VALUE(IFERROR(TRIM(INDEX($A500:$Z500,MATCH(Settings!$L$9,$A$1:$Z$1,0))&amp;""),"")),0),0)</f>
        <v/>
      </c>
      <c r="AT500" s="31">
        <f>IF(AND(AE500&lt;&gt;"",AQ500=0),1,0)</f>
        <v/>
      </c>
      <c r="AU500" s="31">
        <f>IF(AT500=0,"",IF(ISNUMBER(AN500),AN500,100000)+0+ROW()/1000000)</f>
        <v/>
      </c>
      <c r="AV500" s="31">
        <f>IF(ISNUMBER(AU500),SUMPRODUCT(ISNUMBER('Responses'!$AU$2:$AU$501)*('Responses'!$AU$2:$AU$501&lt;AU500)) + SUMPRODUCT(ISNUMBER('Paper sign-ups'!$Y$2:$Y$101)*('Paper sign-ups'!$Y$2:$Y$101&lt;AU500))+1,"")</f>
        <v/>
      </c>
    </row>
    <row r="501">
      <c r="AA501" s="29" t="n"/>
      <c r="AB501" s="30" t="n"/>
      <c r="AC501" s="30" t="n"/>
      <c r="AD501" s="29" t="n"/>
      <c r="AE501" s="31">
        <f>IFERROR(TRIM(INDEX($A501:$Z501,MATCH(Settings!$L$4,$A$1:$Z$1,0))&amp;""),"")</f>
        <v/>
      </c>
      <c r="AF501" s="31">
        <f>IFERROR(TRIM(INDEX($A501:$Z501,MATCH(Settings!$L$5,$A$1:$Z$1,0))&amp;""),"")</f>
        <v/>
      </c>
      <c r="AG501" s="31">
        <f>IF(AE501="","",LOWER(IF(AF501&lt;&gt;"",AF501,AE501)))</f>
        <v/>
      </c>
      <c r="AH501" s="31">
        <f>IFERROR(TRIM(INDEX($A501:$Z501,MATCH(Settings!$L$6,$A$1:$Z$1,0))&amp;""),"")</f>
        <v/>
      </c>
      <c r="AI501" s="31">
        <f>IF(AE501="","",IF(UPPER(TRIM(AB501&amp;""))="Y","Paid another way",IF(IFERROR(TRIM(INDEX($A501:$Z501,MATCH(Settings!$L$7,$A$1:$Z$1,0))&amp;""),"")="","No payment status",IFERROR(TRIM(INDEX($A501:$Z501,MATCH(Settings!$L$7,$A$1:$Z$1,0))&amp;""),""))))</f>
        <v/>
      </c>
      <c r="AJ501" s="31">
        <f>IF(AE501="",0,IF(IFERROR(INDEX(Settings!$J$4:$J$14,MATCH(AI501,Settings!$I$4:$I$14,0)),"N")="Y",1,0))</f>
        <v/>
      </c>
      <c r="AK501" s="32">
        <f>IFERROR(INT(IFERROR(IF(ISNUMBER(INDEX($A501:$Z501,MATCH(Settings!$L$10,$A$1:$Z$1,0))),INDEX($A501:$Z501,MATCH(Settings!$L$10,$A$1:$Z$1,0)),DATE(VALUE(LEFT(IFERROR(TRIM(INDEX($A501:$Z501,MATCH(Settings!$L$10,$A$1:$Z$1,0))&amp;""),""),4)),VALUE(MID(IFERROR(TRIM(INDEX($A501:$Z501,MATCH(Settings!$L$10,$A$1:$Z$1,0))&amp;""),""),6,2)),VALUE(MID(IFERROR(TRIM(INDEX($A501:$Z501,MATCH(Settings!$L$10,$A$1:$Z$1,0))&amp;""),""),9,2)))+TIME(VALUE(MID(IFERROR(TRIM(INDEX($A501:$Z501,MATCH(Settings!$L$10,$A$1:$Z$1,0))&amp;""),""),12,2)),VALUE(MID(IFERROR(TRIM(INDEX($A501:$Z501,MATCH(Settings!$L$10,$A$1:$Z$1,0))&amp;""),""),15,2)),VALUE(MID(IFERROR(TRIM(INDEX($A501:$Z501,MATCH(Settings!$L$10,$A$1:$Z$1,0))&amp;""),""),18,2)))),"")),"")</f>
        <v/>
      </c>
      <c r="AL501" s="32">
        <f>IF(AE501="","",IF(ISNUMBER(AK501),AK501,IFERROR(INT(IFERROR(IF(ISNUMBER(INDEX($A501:$Z501,MATCH(Settings!$L$11,$A$1:$Z$1,0))),INDEX($A501:$Z501,MATCH(Settings!$L$11,$A$1:$Z$1,0)),DATE(VALUE(LEFT(IFERROR(TRIM(INDEX($A501:$Z501,MATCH(Settings!$L$11,$A$1:$Z$1,0))&amp;""),""),4)),VALUE(MID(IFERROR(TRIM(INDEX($A501:$Z501,MATCH(Settings!$L$11,$A$1:$Z$1,0))&amp;""),""),6,2)),VALUE(MID(IFERROR(TRIM(INDEX($A501:$Z501,MATCH(Settings!$L$11,$A$1:$Z$1,0))&amp;""),""),9,2)))+TIME(VALUE(MID(IFERROR(TRIM(INDEX($A501:$Z501,MATCH(Settings!$L$11,$A$1:$Z$1,0))&amp;""),""),12,2)),VALUE(MID(IFERROR(TRIM(INDEX($A501:$Z501,MATCH(Settings!$L$11,$A$1:$Z$1,0))&amp;""),""),15,2)),VALUE(MID(IFERROR(TRIM(INDEX($A501:$Z501,MATCH(Settings!$L$11,$A$1:$Z$1,0))&amp;""),""),18,2)))),"")),"")))</f>
        <v/>
      </c>
      <c r="AM501" s="31">
        <f>IF(AE501="","",IF(ISNUMBER(IFERROR(INDEX(Settings!$G$4:$G$11,MATCH(AH501,Settings!$F$4:$F$11,0)),"")),INDEX(Settings!$G$4:$G$11,MATCH(AH501,Settings!$F$4:$F$11,0)),Settings!$D$5))</f>
        <v/>
      </c>
      <c r="AN501" s="32">
        <f>IF(OR(AE501="",NOT(ISNUMBER(AL501)),NOT(ISNUMBER(AM501))),"",IF(AM501&lt;=0,"",IF(ISNUMBER(Settings!$D$8),DATE(YEAR(AL501)+IF(DATE(YEAR(AL501),MONTH(Settings!$D$8),DAY(Settings!$D$8))&gt;AL501,0,1),MONTH(Settings!$D$8),DAY(Settings!$D$8)),MIN(DATE(YEAR(AL501),MONTH(AL501)+AM501,DAY(AL501)),DATE(YEAR(AL501),MONTH(AL501)+AM501+1,0)))))</f>
        <v/>
      </c>
      <c r="AO501" s="31">
        <f>IF(ISNUMBER(AN501),AN501-Settings!$D$4,"")</f>
        <v/>
      </c>
      <c r="AP501" s="31">
        <f>IF(ISNUMBER(AL501),AL501+0+ROW()/100000,"")</f>
        <v/>
      </c>
      <c r="AQ501" s="31">
        <f>IF(OR(AG501="",NOT(ISNUMBER(AP501))),0,IF(SUMPRODUCT(('Responses'!$AG$2:$AG$501=AG501)*('Responses'!$AJ$2:$AJ$501=1)*ISNUMBER('Responses'!$AP$2:$AP$501)*('Responses'!$AP$2:$AP$501&gt;AP501)) + SUMPRODUCT(('Paper sign-ups'!$K$2:$K$101=AG501)*('Paper sign-ups'!$N$2:$N$101=1)*ISNUMBER('Paper sign-ups'!$T$2:$T$101)*('Paper sign-ups'!$T$2:$T$101&gt;AP501))&gt;0,1,0))</f>
        <v/>
      </c>
      <c r="AR501" s="31">
        <f>IF(AE501="","",IF(AQ501=1,"Joined again",IF(AJ501=0,"Unpaid",IF(NOT(ISNUMBER(AL501)),"Add a join date",IF(AN501="","No reminder",IF(AO501&lt;0,"Lapsed",IF(AO501&lt;=Settings!$D$6,"Remind soon","Current")))))))</f>
        <v/>
      </c>
      <c r="AS501" s="33">
        <f>IF(AJ501=1,IFERROR(VALUE(IFERROR(TRIM(INDEX($A501:$Z501,MATCH(Settings!$L$8,$A$1:$Z$1,0))&amp;""),"")),0)-IFERROR(VALUE(IFERROR(TRIM(INDEX($A501:$Z501,MATCH(Settings!$L$9,$A$1:$Z$1,0))&amp;""),"")),0),0)</f>
        <v/>
      </c>
      <c r="AT501" s="31">
        <f>IF(AND(AE501&lt;&gt;"",AQ501=0),1,0)</f>
        <v/>
      </c>
      <c r="AU501" s="31">
        <f>IF(AT501=0,"",IF(ISNUMBER(AN501),AN501,100000)+0+ROW()/1000000)</f>
        <v/>
      </c>
      <c r="AV501" s="31">
        <f>IF(ISNUMBER(AU501),SUMPRODUCT(ISNUMBER('Responses'!$AU$2:$AU$501)*('Responses'!$AU$2:$AU$501&lt;AU501)) + SUMPRODUCT(ISNUMBER('Paper sign-ups'!$Y$2:$Y$101)*('Paper sign-ups'!$Y$2:$Y$101&lt;AU501))+1,"")</f>
        <v/>
      </c>
    </row>
  </sheetData>
  <dataValidations count="1">
    <dataValidation sqref="AB2:AB501" showDropDown="0" showInputMessage="1" showErrorMessage="1" allowBlank="1" errorTitle="Paid another way" error="Pick a value from the list. Y when the member paid outside the form." promptTitle="Paid another way" prompt="Y when the member paid outside the form." type="list" errorStyle="warning">
      <formula1>"Y"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5B83D"/>
    <outlinePr summaryBelow="1" summaryRight="1"/>
    <pageSetUpPr/>
  </sheetPr>
  <dimension ref="A1:Z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  <col width="14" customWidth="1" min="4" max="4"/>
    <col width="13" customWidth="1" min="5" max="5"/>
    <col width="10" customWidth="1" min="6" max="6"/>
    <col width="28" customWidth="1" min="7" max="7"/>
    <col width="2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</cols>
  <sheetData>
    <row r="1" ht="40" customHeight="1">
      <c r="A1" s="26" t="inlineStr">
        <is>
          <t>Full name</t>
        </is>
      </c>
      <c r="B1" s="26" t="inlineStr">
        <is>
          <t>Email</t>
        </is>
      </c>
      <c r="C1" s="26" t="inlineStr">
        <is>
          <t>Membership type</t>
        </is>
      </c>
      <c r="D1" s="26" t="inlineStr">
        <is>
          <t>Date joined</t>
        </is>
      </c>
      <c r="E1" s="26" t="inlineStr">
        <is>
          <t>Amount paid</t>
        </is>
      </c>
      <c r="F1" s="26" t="inlineStr">
        <is>
          <t>Paid (Y)</t>
        </is>
      </c>
      <c r="G1" s="26" t="inlineStr">
        <is>
          <t>Notes</t>
        </is>
      </c>
      <c r="H1" s="25" t="n"/>
      <c r="I1" s="27" t="inlineStr">
        <is>
          <t>Name (worked out)</t>
        </is>
      </c>
      <c r="J1" s="27" t="inlineStr">
        <is>
          <t>Email (worked out)</t>
        </is>
      </c>
      <c r="K1" s="27" t="inlineStr">
        <is>
          <t>Member key (worked out)</t>
        </is>
      </c>
      <c r="L1" s="27" t="inlineStr">
        <is>
          <t>Membership type (worked out)</t>
        </is>
      </c>
      <c r="M1" s="27" t="inlineStr">
        <is>
          <t>Payment status (worked out)</t>
        </is>
      </c>
      <c r="N1" s="27" t="inlineStr">
        <is>
          <t>Paid (1 = yes) (worked out)</t>
        </is>
      </c>
      <c r="O1" s="27" t="inlineStr">
        <is>
          <t>Paid on (worked out)</t>
        </is>
      </c>
      <c r="P1" s="27" t="inlineStr">
        <is>
          <t>Joined (worked out)</t>
        </is>
      </c>
      <c r="Q1" s="27" t="inlineStr">
        <is>
          <t>Term (months) (worked out)</t>
        </is>
      </c>
      <c r="R1" s="27" t="inlineStr">
        <is>
          <t>Next reminder date (your own) (worked out)</t>
        </is>
      </c>
      <c r="S1" s="27" t="inlineStr">
        <is>
          <t>Days to reminder (worked out)</t>
        </is>
      </c>
      <c r="T1" s="27" t="inlineStr">
        <is>
          <t>Sort key (worked out)</t>
        </is>
      </c>
      <c r="U1" s="27" t="inlineStr">
        <is>
          <t>Joined again later (1 = yes) (worked out)</t>
        </is>
      </c>
      <c r="V1" s="27" t="inlineStr">
        <is>
          <t>Status (worked out)</t>
        </is>
      </c>
      <c r="W1" s="27" t="inlineStr">
        <is>
          <t>Collected (paid minus refunded) (worked out)</t>
        </is>
      </c>
      <c r="X1" s="27" t="inlineStr">
        <is>
          <t>On the list (1 = yes) (worked out)</t>
        </is>
      </c>
      <c r="Y1" s="27" t="inlineStr">
        <is>
          <t>Order value (worked out)</t>
        </is>
      </c>
      <c r="Z1" s="27" t="inlineStr">
        <is>
          <t>List order (worked out)</t>
        </is>
      </c>
    </row>
    <row r="2">
      <c r="A2" s="34" t="inlineStr">
        <is>
          <t>Rosa Delgado (EXAMPLE)</t>
        </is>
      </c>
      <c r="B2" s="34" t="inlineStr"/>
      <c r="C2" s="34" t="inlineStr">
        <is>
          <t>Individual</t>
        </is>
      </c>
      <c r="D2" s="35" t="n">
        <v>46130</v>
      </c>
      <c r="E2" s="36" t="n">
        <v>30</v>
      </c>
      <c r="F2" s="34" t="inlineStr">
        <is>
          <t>Y</t>
        </is>
      </c>
      <c r="G2" s="34" t="inlineStr">
        <is>
          <t>EXAMPLE row, delete me</t>
        </is>
      </c>
      <c r="H2" s="29" t="n"/>
      <c r="I2" s="31">
        <f>TRIM(A2&amp;"")</f>
        <v/>
      </c>
      <c r="J2" s="31">
        <f>TRIM(B2&amp;"")</f>
        <v/>
      </c>
      <c r="K2" s="31">
        <f>IF(I2="","",LOWER(IF(J2&lt;&gt;"",J2,I2)))</f>
        <v/>
      </c>
      <c r="L2" s="31">
        <f>TRIM(C2&amp;"")</f>
        <v/>
      </c>
      <c r="M2" s="31">
        <f>IF(I2="","",IF(UPPER(TRIM(F2&amp;""))="Y","Paid another way","Unpaid"))</f>
        <v/>
      </c>
      <c r="N2" s="31">
        <f>IF(I2="",0,IF(IFERROR(INDEX(Settings!$J$4:$J$14,MATCH(M2,Settings!$I$4:$I$14,0)),"N")="Y",1,0))</f>
        <v/>
      </c>
      <c r="O2" s="32">
        <f>IF(AND(I2&lt;&gt;"",ISNUMBER(D2)),INT(D2),"")</f>
        <v/>
      </c>
      <c r="P2" s="32">
        <f>O2</f>
        <v/>
      </c>
      <c r="Q2" s="31">
        <f>IF(I2="","",IF(ISNUMBER(IFERROR(INDEX(Settings!$G$4:$G$11,MATCH(L2,Settings!$F$4:$F$11,0)),"")),INDEX(Settings!$G$4:$G$11,MATCH(L2,Settings!$F$4:$F$11,0)),Settings!$D$5))</f>
        <v/>
      </c>
      <c r="R2" s="32">
        <f>IF(OR(I2="",NOT(ISNUMBER(P2)),NOT(ISNUMBER(Q2))),"",IF(Q2&lt;=0,"",IF(ISNUMBER(Settings!$D$8),DATE(YEAR(P2)+IF(DATE(YEAR(P2),MONTH(Settings!$D$8),DAY(Settings!$D$8))&gt;P2,0,1),MONTH(Settings!$D$8),DAY(Settings!$D$8)),MIN(DATE(YEAR(P2),MONTH(P2)+Q2,DAY(P2)),DATE(YEAR(P2),MONTH(P2)+Q2+1,0)))))</f>
        <v/>
      </c>
      <c r="S2" s="31">
        <f>IF(ISNUMBER(R2),R2-Settings!$D$4,"")</f>
        <v/>
      </c>
      <c r="T2" s="31">
        <f>IF(ISNUMBER(P2),P2+0.5+ROW()/100000,"")</f>
        <v/>
      </c>
      <c r="U2" s="31">
        <f>IF(OR(K2="",NOT(ISNUMBER(T2))),0,IF(SUMPRODUCT(('Responses'!$AG$2:$AG$501=K2)*('Responses'!$AJ$2:$AJ$501=1)*ISNUMBER('Responses'!$AP$2:$AP$501)*('Responses'!$AP$2:$AP$501&gt;T2)) + SUMPRODUCT(('Paper sign-ups'!$K$2:$K$101=K2)*('Paper sign-ups'!$N$2:$N$101=1)*ISNUMBER('Paper sign-ups'!$T$2:$T$101)*('Paper sign-ups'!$T$2:$T$101&gt;T2))&gt;0,1,0))</f>
        <v/>
      </c>
      <c r="V2" s="31">
        <f>IF(I2="","",IF(U2=1,"Joined again",IF(N2=0,"Unpaid",IF(NOT(ISNUMBER(P2)),"Add a join date",IF(R2="","No reminder",IF(S2&lt;0,"Lapsed",IF(S2&lt;=Settings!$D$6,"Remind soon","Current")))))))</f>
        <v/>
      </c>
      <c r="W2" s="33">
        <f>IF(N2=1,IF(ISNUMBER(E2),E2,0),0)</f>
        <v/>
      </c>
      <c r="X2" s="31">
        <f>IF(AND(I2&lt;&gt;"",U2=0),1,0)</f>
        <v/>
      </c>
      <c r="Y2" s="31">
        <f>IF(X2=0,"",IF(ISNUMBER(R2),R2,100000)+0.5+ROW()/1000000)</f>
        <v/>
      </c>
      <c r="Z2" s="31">
        <f>IF(ISNUMBER(Y2),SUMPRODUCT(ISNUMBER('Responses'!$AU$2:$AU$501)*('Responses'!$AU$2:$AU$501&lt;Y2)) + SUMPRODUCT(ISNUMBER('Paper sign-ups'!$Y$2:$Y$101)*('Paper sign-ups'!$Y$2:$Y$101&lt;Y2))+1,"")</f>
        <v/>
      </c>
    </row>
    <row r="3">
      <c r="A3" s="34" t="inlineStr">
        <is>
          <t>Frank Moore (EXAMPLE)</t>
        </is>
      </c>
      <c r="B3" s="34" t="inlineStr">
        <is>
          <t>frank@example.com</t>
        </is>
      </c>
      <c r="C3" s="34" t="inlineStr">
        <is>
          <t>Family</t>
        </is>
      </c>
      <c r="D3" s="35" t="n">
        <v>45992</v>
      </c>
      <c r="E3" s="36" t="n">
        <v>50</v>
      </c>
      <c r="F3" s="34" t="inlineStr">
        <is>
          <t>Y</t>
        </is>
      </c>
      <c r="G3" s="34" t="inlineStr">
        <is>
          <t>EXAMPLE row, delete me</t>
        </is>
      </c>
      <c r="H3" s="29" t="n"/>
      <c r="I3" s="31">
        <f>TRIM(A3&amp;"")</f>
        <v/>
      </c>
      <c r="J3" s="31">
        <f>TRIM(B3&amp;"")</f>
        <v/>
      </c>
      <c r="K3" s="31">
        <f>IF(I3="","",LOWER(IF(J3&lt;&gt;"",J3,I3)))</f>
        <v/>
      </c>
      <c r="L3" s="31">
        <f>TRIM(C3&amp;"")</f>
        <v/>
      </c>
      <c r="M3" s="31">
        <f>IF(I3="","",IF(UPPER(TRIM(F3&amp;""))="Y","Paid another way","Unpaid"))</f>
        <v/>
      </c>
      <c r="N3" s="31">
        <f>IF(I3="",0,IF(IFERROR(INDEX(Settings!$J$4:$J$14,MATCH(M3,Settings!$I$4:$I$14,0)),"N")="Y",1,0))</f>
        <v/>
      </c>
      <c r="O3" s="32">
        <f>IF(AND(I3&lt;&gt;"",ISNUMBER(D3)),INT(D3),"")</f>
        <v/>
      </c>
      <c r="P3" s="32">
        <f>O3</f>
        <v/>
      </c>
      <c r="Q3" s="31">
        <f>IF(I3="","",IF(ISNUMBER(IFERROR(INDEX(Settings!$G$4:$G$11,MATCH(L3,Settings!$F$4:$F$11,0)),"")),INDEX(Settings!$G$4:$G$11,MATCH(L3,Settings!$F$4:$F$11,0)),Settings!$D$5))</f>
        <v/>
      </c>
      <c r="R3" s="32">
        <f>IF(OR(I3="",NOT(ISNUMBER(P3)),NOT(ISNUMBER(Q3))),"",IF(Q3&lt;=0,"",IF(ISNUMBER(Settings!$D$8),DATE(YEAR(P3)+IF(DATE(YEAR(P3),MONTH(Settings!$D$8),DAY(Settings!$D$8))&gt;P3,0,1),MONTH(Settings!$D$8),DAY(Settings!$D$8)),MIN(DATE(YEAR(P3),MONTH(P3)+Q3,DAY(P3)),DATE(YEAR(P3),MONTH(P3)+Q3+1,0)))))</f>
        <v/>
      </c>
      <c r="S3" s="31">
        <f>IF(ISNUMBER(R3),R3-Settings!$D$4,"")</f>
        <v/>
      </c>
      <c r="T3" s="31">
        <f>IF(ISNUMBER(P3),P3+0.5+ROW()/100000,"")</f>
        <v/>
      </c>
      <c r="U3" s="31">
        <f>IF(OR(K3="",NOT(ISNUMBER(T3))),0,IF(SUMPRODUCT(('Responses'!$AG$2:$AG$501=K3)*('Responses'!$AJ$2:$AJ$501=1)*ISNUMBER('Responses'!$AP$2:$AP$501)*('Responses'!$AP$2:$AP$501&gt;T3)) + SUMPRODUCT(('Paper sign-ups'!$K$2:$K$101=K3)*('Paper sign-ups'!$N$2:$N$101=1)*ISNUMBER('Paper sign-ups'!$T$2:$T$101)*('Paper sign-ups'!$T$2:$T$101&gt;T3))&gt;0,1,0))</f>
        <v/>
      </c>
      <c r="V3" s="31">
        <f>IF(I3="","",IF(U3=1,"Joined again",IF(N3=0,"Unpaid",IF(NOT(ISNUMBER(P3)),"Add a join date",IF(R3="","No reminder",IF(S3&lt;0,"Lapsed",IF(S3&lt;=Settings!$D$6,"Remind soon","Current")))))))</f>
        <v/>
      </c>
      <c r="W3" s="33">
        <f>IF(N3=1,IF(ISNUMBER(E3),E3,0),0)</f>
        <v/>
      </c>
      <c r="X3" s="31">
        <f>IF(AND(I3&lt;&gt;"",U3=0),1,0)</f>
        <v/>
      </c>
      <c r="Y3" s="31">
        <f>IF(X3=0,"",IF(ISNUMBER(R3),R3,100000)+0.5+ROW()/1000000)</f>
        <v/>
      </c>
      <c r="Z3" s="31">
        <f>IF(ISNUMBER(Y3),SUMPRODUCT(ISNUMBER('Responses'!$AU$2:$AU$501)*('Responses'!$AU$2:$AU$501&lt;Y3)) + SUMPRODUCT(ISNUMBER('Paper sign-ups'!$Y$2:$Y$101)*('Paper sign-ups'!$Y$2:$Y$101&lt;Y3))+1,"")</f>
        <v/>
      </c>
    </row>
    <row r="4">
      <c r="A4" s="30" t="n"/>
      <c r="B4" s="30" t="n"/>
      <c r="C4" s="30" t="n"/>
      <c r="D4" s="37" t="n"/>
      <c r="E4" s="38" t="n"/>
      <c r="F4" s="30" t="n"/>
      <c r="G4" s="30" t="n"/>
      <c r="H4" s="29" t="n"/>
      <c r="I4" s="31">
        <f>TRIM(A4&amp;"")</f>
        <v/>
      </c>
      <c r="J4" s="31">
        <f>TRIM(B4&amp;"")</f>
        <v/>
      </c>
      <c r="K4" s="31">
        <f>IF(I4="","",LOWER(IF(J4&lt;&gt;"",J4,I4)))</f>
        <v/>
      </c>
      <c r="L4" s="31">
        <f>TRIM(C4&amp;"")</f>
        <v/>
      </c>
      <c r="M4" s="31">
        <f>IF(I4="","",IF(UPPER(TRIM(F4&amp;""))="Y","Paid another way","Unpaid"))</f>
        <v/>
      </c>
      <c r="N4" s="31">
        <f>IF(I4="",0,IF(IFERROR(INDEX(Settings!$J$4:$J$14,MATCH(M4,Settings!$I$4:$I$14,0)),"N")="Y",1,0))</f>
        <v/>
      </c>
      <c r="O4" s="32">
        <f>IF(AND(I4&lt;&gt;"",ISNUMBER(D4)),INT(D4),"")</f>
        <v/>
      </c>
      <c r="P4" s="32">
        <f>O4</f>
        <v/>
      </c>
      <c r="Q4" s="31">
        <f>IF(I4="","",IF(ISNUMBER(IFERROR(INDEX(Settings!$G$4:$G$11,MATCH(L4,Settings!$F$4:$F$11,0)),"")),INDEX(Settings!$G$4:$G$11,MATCH(L4,Settings!$F$4:$F$11,0)),Settings!$D$5))</f>
        <v/>
      </c>
      <c r="R4" s="32">
        <f>IF(OR(I4="",NOT(ISNUMBER(P4)),NOT(ISNUMBER(Q4))),"",IF(Q4&lt;=0,"",IF(ISNUMBER(Settings!$D$8),DATE(YEAR(P4)+IF(DATE(YEAR(P4),MONTH(Settings!$D$8),DAY(Settings!$D$8))&gt;P4,0,1),MONTH(Settings!$D$8),DAY(Settings!$D$8)),MIN(DATE(YEAR(P4),MONTH(P4)+Q4,DAY(P4)),DATE(YEAR(P4),MONTH(P4)+Q4+1,0)))))</f>
        <v/>
      </c>
      <c r="S4" s="31">
        <f>IF(ISNUMBER(R4),R4-Settings!$D$4,"")</f>
        <v/>
      </c>
      <c r="T4" s="31">
        <f>IF(ISNUMBER(P4),P4+0.5+ROW()/100000,"")</f>
        <v/>
      </c>
      <c r="U4" s="31">
        <f>IF(OR(K4="",NOT(ISNUMBER(T4))),0,IF(SUMPRODUCT(('Responses'!$AG$2:$AG$501=K4)*('Responses'!$AJ$2:$AJ$501=1)*ISNUMBER('Responses'!$AP$2:$AP$501)*('Responses'!$AP$2:$AP$501&gt;T4)) + SUMPRODUCT(('Paper sign-ups'!$K$2:$K$101=K4)*('Paper sign-ups'!$N$2:$N$101=1)*ISNUMBER('Paper sign-ups'!$T$2:$T$101)*('Paper sign-ups'!$T$2:$T$101&gt;T4))&gt;0,1,0))</f>
        <v/>
      </c>
      <c r="V4" s="31">
        <f>IF(I4="","",IF(U4=1,"Joined again",IF(N4=0,"Unpaid",IF(NOT(ISNUMBER(P4)),"Add a join date",IF(R4="","No reminder",IF(S4&lt;0,"Lapsed",IF(S4&lt;=Settings!$D$6,"Remind soon","Current")))))))</f>
        <v/>
      </c>
      <c r="W4" s="33">
        <f>IF(N4=1,IF(ISNUMBER(E4),E4,0),0)</f>
        <v/>
      </c>
      <c r="X4" s="31">
        <f>IF(AND(I4&lt;&gt;"",U4=0),1,0)</f>
        <v/>
      </c>
      <c r="Y4" s="31">
        <f>IF(X4=0,"",IF(ISNUMBER(R4),R4,100000)+0.5+ROW()/1000000)</f>
        <v/>
      </c>
      <c r="Z4" s="31">
        <f>IF(ISNUMBER(Y4),SUMPRODUCT(ISNUMBER('Responses'!$AU$2:$AU$501)*('Responses'!$AU$2:$AU$501&lt;Y4)) + SUMPRODUCT(ISNUMBER('Paper sign-ups'!$Y$2:$Y$101)*('Paper sign-ups'!$Y$2:$Y$101&lt;Y4))+1,"")</f>
        <v/>
      </c>
    </row>
    <row r="5">
      <c r="A5" s="30" t="n"/>
      <c r="B5" s="30" t="n"/>
      <c r="C5" s="30" t="n"/>
      <c r="D5" s="37" t="n"/>
      <c r="E5" s="38" t="n"/>
      <c r="F5" s="30" t="n"/>
      <c r="G5" s="30" t="n"/>
      <c r="H5" s="29" t="n"/>
      <c r="I5" s="31">
        <f>TRIM(A5&amp;"")</f>
        <v/>
      </c>
      <c r="J5" s="31">
        <f>TRIM(B5&amp;"")</f>
        <v/>
      </c>
      <c r="K5" s="31">
        <f>IF(I5="","",LOWER(IF(J5&lt;&gt;"",J5,I5)))</f>
        <v/>
      </c>
      <c r="L5" s="31">
        <f>TRIM(C5&amp;"")</f>
        <v/>
      </c>
      <c r="M5" s="31">
        <f>IF(I5="","",IF(UPPER(TRIM(F5&amp;""))="Y","Paid another way","Unpaid"))</f>
        <v/>
      </c>
      <c r="N5" s="31">
        <f>IF(I5="",0,IF(IFERROR(INDEX(Settings!$J$4:$J$14,MATCH(M5,Settings!$I$4:$I$14,0)),"N")="Y",1,0))</f>
        <v/>
      </c>
      <c r="O5" s="32">
        <f>IF(AND(I5&lt;&gt;"",ISNUMBER(D5)),INT(D5),"")</f>
        <v/>
      </c>
      <c r="P5" s="32">
        <f>O5</f>
        <v/>
      </c>
      <c r="Q5" s="31">
        <f>IF(I5="","",IF(ISNUMBER(IFERROR(INDEX(Settings!$G$4:$G$11,MATCH(L5,Settings!$F$4:$F$11,0)),"")),INDEX(Settings!$G$4:$G$11,MATCH(L5,Settings!$F$4:$F$11,0)),Settings!$D$5))</f>
        <v/>
      </c>
      <c r="R5" s="32">
        <f>IF(OR(I5="",NOT(ISNUMBER(P5)),NOT(ISNUMBER(Q5))),"",IF(Q5&lt;=0,"",IF(ISNUMBER(Settings!$D$8),DATE(YEAR(P5)+IF(DATE(YEAR(P5),MONTH(Settings!$D$8),DAY(Settings!$D$8))&gt;P5,0,1),MONTH(Settings!$D$8),DAY(Settings!$D$8)),MIN(DATE(YEAR(P5),MONTH(P5)+Q5,DAY(P5)),DATE(YEAR(P5),MONTH(P5)+Q5+1,0)))))</f>
        <v/>
      </c>
      <c r="S5" s="31">
        <f>IF(ISNUMBER(R5),R5-Settings!$D$4,"")</f>
        <v/>
      </c>
      <c r="T5" s="31">
        <f>IF(ISNUMBER(P5),P5+0.5+ROW()/100000,"")</f>
        <v/>
      </c>
      <c r="U5" s="31">
        <f>IF(OR(K5="",NOT(ISNUMBER(T5))),0,IF(SUMPRODUCT(('Responses'!$AG$2:$AG$501=K5)*('Responses'!$AJ$2:$AJ$501=1)*ISNUMBER('Responses'!$AP$2:$AP$501)*('Responses'!$AP$2:$AP$501&gt;T5)) + SUMPRODUCT(('Paper sign-ups'!$K$2:$K$101=K5)*('Paper sign-ups'!$N$2:$N$101=1)*ISNUMBER('Paper sign-ups'!$T$2:$T$101)*('Paper sign-ups'!$T$2:$T$101&gt;T5))&gt;0,1,0))</f>
        <v/>
      </c>
      <c r="V5" s="31">
        <f>IF(I5="","",IF(U5=1,"Joined again",IF(N5=0,"Unpaid",IF(NOT(ISNUMBER(P5)),"Add a join date",IF(R5="","No reminder",IF(S5&lt;0,"Lapsed",IF(S5&lt;=Settings!$D$6,"Remind soon","Current")))))))</f>
        <v/>
      </c>
      <c r="W5" s="33">
        <f>IF(N5=1,IF(ISNUMBER(E5),E5,0),0)</f>
        <v/>
      </c>
      <c r="X5" s="31">
        <f>IF(AND(I5&lt;&gt;"",U5=0),1,0)</f>
        <v/>
      </c>
      <c r="Y5" s="31">
        <f>IF(X5=0,"",IF(ISNUMBER(R5),R5,100000)+0.5+ROW()/1000000)</f>
        <v/>
      </c>
      <c r="Z5" s="31">
        <f>IF(ISNUMBER(Y5),SUMPRODUCT(ISNUMBER('Responses'!$AU$2:$AU$501)*('Responses'!$AU$2:$AU$501&lt;Y5)) + SUMPRODUCT(ISNUMBER('Paper sign-ups'!$Y$2:$Y$101)*('Paper sign-ups'!$Y$2:$Y$101&lt;Y5))+1,"")</f>
        <v/>
      </c>
    </row>
    <row r="6">
      <c r="A6" s="30" t="n"/>
      <c r="B6" s="30" t="n"/>
      <c r="C6" s="30" t="n"/>
      <c r="D6" s="37" t="n"/>
      <c r="E6" s="38" t="n"/>
      <c r="F6" s="30" t="n"/>
      <c r="G6" s="30" t="n"/>
      <c r="H6" s="29" t="n"/>
      <c r="I6" s="31">
        <f>TRIM(A6&amp;"")</f>
        <v/>
      </c>
      <c r="J6" s="31">
        <f>TRIM(B6&amp;"")</f>
        <v/>
      </c>
      <c r="K6" s="31">
        <f>IF(I6="","",LOWER(IF(J6&lt;&gt;"",J6,I6)))</f>
        <v/>
      </c>
      <c r="L6" s="31">
        <f>TRIM(C6&amp;"")</f>
        <v/>
      </c>
      <c r="M6" s="31">
        <f>IF(I6="","",IF(UPPER(TRIM(F6&amp;""))="Y","Paid another way","Unpaid"))</f>
        <v/>
      </c>
      <c r="N6" s="31">
        <f>IF(I6="",0,IF(IFERROR(INDEX(Settings!$J$4:$J$14,MATCH(M6,Settings!$I$4:$I$14,0)),"N")="Y",1,0))</f>
        <v/>
      </c>
      <c r="O6" s="32">
        <f>IF(AND(I6&lt;&gt;"",ISNUMBER(D6)),INT(D6),"")</f>
        <v/>
      </c>
      <c r="P6" s="32">
        <f>O6</f>
        <v/>
      </c>
      <c r="Q6" s="31">
        <f>IF(I6="","",IF(ISNUMBER(IFERROR(INDEX(Settings!$G$4:$G$11,MATCH(L6,Settings!$F$4:$F$11,0)),"")),INDEX(Settings!$G$4:$G$11,MATCH(L6,Settings!$F$4:$F$11,0)),Settings!$D$5))</f>
        <v/>
      </c>
      <c r="R6" s="32">
        <f>IF(OR(I6="",NOT(ISNUMBER(P6)),NOT(ISNUMBER(Q6))),"",IF(Q6&lt;=0,"",IF(ISNUMBER(Settings!$D$8),DATE(YEAR(P6)+IF(DATE(YEAR(P6),MONTH(Settings!$D$8),DAY(Settings!$D$8))&gt;P6,0,1),MONTH(Settings!$D$8),DAY(Settings!$D$8)),MIN(DATE(YEAR(P6),MONTH(P6)+Q6,DAY(P6)),DATE(YEAR(P6),MONTH(P6)+Q6+1,0)))))</f>
        <v/>
      </c>
      <c r="S6" s="31">
        <f>IF(ISNUMBER(R6),R6-Settings!$D$4,"")</f>
        <v/>
      </c>
      <c r="T6" s="31">
        <f>IF(ISNUMBER(P6),P6+0.5+ROW()/100000,"")</f>
        <v/>
      </c>
      <c r="U6" s="31">
        <f>IF(OR(K6="",NOT(ISNUMBER(T6))),0,IF(SUMPRODUCT(('Responses'!$AG$2:$AG$501=K6)*('Responses'!$AJ$2:$AJ$501=1)*ISNUMBER('Responses'!$AP$2:$AP$501)*('Responses'!$AP$2:$AP$501&gt;T6)) + SUMPRODUCT(('Paper sign-ups'!$K$2:$K$101=K6)*('Paper sign-ups'!$N$2:$N$101=1)*ISNUMBER('Paper sign-ups'!$T$2:$T$101)*('Paper sign-ups'!$T$2:$T$101&gt;T6))&gt;0,1,0))</f>
        <v/>
      </c>
      <c r="V6" s="31">
        <f>IF(I6="","",IF(U6=1,"Joined again",IF(N6=0,"Unpaid",IF(NOT(ISNUMBER(P6)),"Add a join date",IF(R6="","No reminder",IF(S6&lt;0,"Lapsed",IF(S6&lt;=Settings!$D$6,"Remind soon","Current")))))))</f>
        <v/>
      </c>
      <c r="W6" s="33">
        <f>IF(N6=1,IF(ISNUMBER(E6),E6,0),0)</f>
        <v/>
      </c>
      <c r="X6" s="31">
        <f>IF(AND(I6&lt;&gt;"",U6=0),1,0)</f>
        <v/>
      </c>
      <c r="Y6" s="31">
        <f>IF(X6=0,"",IF(ISNUMBER(R6),R6,100000)+0.5+ROW()/1000000)</f>
        <v/>
      </c>
      <c r="Z6" s="31">
        <f>IF(ISNUMBER(Y6),SUMPRODUCT(ISNUMBER('Responses'!$AU$2:$AU$501)*('Responses'!$AU$2:$AU$501&lt;Y6)) + SUMPRODUCT(ISNUMBER('Paper sign-ups'!$Y$2:$Y$101)*('Paper sign-ups'!$Y$2:$Y$101&lt;Y6))+1,"")</f>
        <v/>
      </c>
    </row>
    <row r="7">
      <c r="A7" s="30" t="n"/>
      <c r="B7" s="30" t="n"/>
      <c r="C7" s="30" t="n"/>
      <c r="D7" s="37" t="n"/>
      <c r="E7" s="38" t="n"/>
      <c r="F7" s="30" t="n"/>
      <c r="G7" s="30" t="n"/>
      <c r="H7" s="29" t="n"/>
      <c r="I7" s="31">
        <f>TRIM(A7&amp;"")</f>
        <v/>
      </c>
      <c r="J7" s="31">
        <f>TRIM(B7&amp;"")</f>
        <v/>
      </c>
      <c r="K7" s="31">
        <f>IF(I7="","",LOWER(IF(J7&lt;&gt;"",J7,I7)))</f>
        <v/>
      </c>
      <c r="L7" s="31">
        <f>TRIM(C7&amp;"")</f>
        <v/>
      </c>
      <c r="M7" s="31">
        <f>IF(I7="","",IF(UPPER(TRIM(F7&amp;""))="Y","Paid another way","Unpaid"))</f>
        <v/>
      </c>
      <c r="N7" s="31">
        <f>IF(I7="",0,IF(IFERROR(INDEX(Settings!$J$4:$J$14,MATCH(M7,Settings!$I$4:$I$14,0)),"N")="Y",1,0))</f>
        <v/>
      </c>
      <c r="O7" s="32">
        <f>IF(AND(I7&lt;&gt;"",ISNUMBER(D7)),INT(D7),"")</f>
        <v/>
      </c>
      <c r="P7" s="32">
        <f>O7</f>
        <v/>
      </c>
      <c r="Q7" s="31">
        <f>IF(I7="","",IF(ISNUMBER(IFERROR(INDEX(Settings!$G$4:$G$11,MATCH(L7,Settings!$F$4:$F$11,0)),"")),INDEX(Settings!$G$4:$G$11,MATCH(L7,Settings!$F$4:$F$11,0)),Settings!$D$5))</f>
        <v/>
      </c>
      <c r="R7" s="32">
        <f>IF(OR(I7="",NOT(ISNUMBER(P7)),NOT(ISNUMBER(Q7))),"",IF(Q7&lt;=0,"",IF(ISNUMBER(Settings!$D$8),DATE(YEAR(P7)+IF(DATE(YEAR(P7),MONTH(Settings!$D$8),DAY(Settings!$D$8))&gt;P7,0,1),MONTH(Settings!$D$8),DAY(Settings!$D$8)),MIN(DATE(YEAR(P7),MONTH(P7)+Q7,DAY(P7)),DATE(YEAR(P7),MONTH(P7)+Q7+1,0)))))</f>
        <v/>
      </c>
      <c r="S7" s="31">
        <f>IF(ISNUMBER(R7),R7-Settings!$D$4,"")</f>
        <v/>
      </c>
      <c r="T7" s="31">
        <f>IF(ISNUMBER(P7),P7+0.5+ROW()/100000,"")</f>
        <v/>
      </c>
      <c r="U7" s="31">
        <f>IF(OR(K7="",NOT(ISNUMBER(T7))),0,IF(SUMPRODUCT(('Responses'!$AG$2:$AG$501=K7)*('Responses'!$AJ$2:$AJ$501=1)*ISNUMBER('Responses'!$AP$2:$AP$501)*('Responses'!$AP$2:$AP$501&gt;T7)) + SUMPRODUCT(('Paper sign-ups'!$K$2:$K$101=K7)*('Paper sign-ups'!$N$2:$N$101=1)*ISNUMBER('Paper sign-ups'!$T$2:$T$101)*('Paper sign-ups'!$T$2:$T$101&gt;T7))&gt;0,1,0))</f>
        <v/>
      </c>
      <c r="V7" s="31">
        <f>IF(I7="","",IF(U7=1,"Joined again",IF(N7=0,"Unpaid",IF(NOT(ISNUMBER(P7)),"Add a join date",IF(R7="","No reminder",IF(S7&lt;0,"Lapsed",IF(S7&lt;=Settings!$D$6,"Remind soon","Current")))))))</f>
        <v/>
      </c>
      <c r="W7" s="33">
        <f>IF(N7=1,IF(ISNUMBER(E7),E7,0),0)</f>
        <v/>
      </c>
      <c r="X7" s="31">
        <f>IF(AND(I7&lt;&gt;"",U7=0),1,0)</f>
        <v/>
      </c>
      <c r="Y7" s="31">
        <f>IF(X7=0,"",IF(ISNUMBER(R7),R7,100000)+0.5+ROW()/1000000)</f>
        <v/>
      </c>
      <c r="Z7" s="31">
        <f>IF(ISNUMBER(Y7),SUMPRODUCT(ISNUMBER('Responses'!$AU$2:$AU$501)*('Responses'!$AU$2:$AU$501&lt;Y7)) + SUMPRODUCT(ISNUMBER('Paper sign-ups'!$Y$2:$Y$101)*('Paper sign-ups'!$Y$2:$Y$101&lt;Y7))+1,"")</f>
        <v/>
      </c>
    </row>
    <row r="8">
      <c r="A8" s="30" t="n"/>
      <c r="B8" s="30" t="n"/>
      <c r="C8" s="30" t="n"/>
      <c r="D8" s="37" t="n"/>
      <c r="E8" s="38" t="n"/>
      <c r="F8" s="30" t="n"/>
      <c r="G8" s="30" t="n"/>
      <c r="H8" s="29" t="n"/>
      <c r="I8" s="31">
        <f>TRIM(A8&amp;"")</f>
        <v/>
      </c>
      <c r="J8" s="31">
        <f>TRIM(B8&amp;"")</f>
        <v/>
      </c>
      <c r="K8" s="31">
        <f>IF(I8="","",LOWER(IF(J8&lt;&gt;"",J8,I8)))</f>
        <v/>
      </c>
      <c r="L8" s="31">
        <f>TRIM(C8&amp;"")</f>
        <v/>
      </c>
      <c r="M8" s="31">
        <f>IF(I8="","",IF(UPPER(TRIM(F8&amp;""))="Y","Paid another way","Unpaid"))</f>
        <v/>
      </c>
      <c r="N8" s="31">
        <f>IF(I8="",0,IF(IFERROR(INDEX(Settings!$J$4:$J$14,MATCH(M8,Settings!$I$4:$I$14,0)),"N")="Y",1,0))</f>
        <v/>
      </c>
      <c r="O8" s="32">
        <f>IF(AND(I8&lt;&gt;"",ISNUMBER(D8)),INT(D8),"")</f>
        <v/>
      </c>
      <c r="P8" s="32">
        <f>O8</f>
        <v/>
      </c>
      <c r="Q8" s="31">
        <f>IF(I8="","",IF(ISNUMBER(IFERROR(INDEX(Settings!$G$4:$G$11,MATCH(L8,Settings!$F$4:$F$11,0)),"")),INDEX(Settings!$G$4:$G$11,MATCH(L8,Settings!$F$4:$F$11,0)),Settings!$D$5))</f>
        <v/>
      </c>
      <c r="R8" s="32">
        <f>IF(OR(I8="",NOT(ISNUMBER(P8)),NOT(ISNUMBER(Q8))),"",IF(Q8&lt;=0,"",IF(ISNUMBER(Settings!$D$8),DATE(YEAR(P8)+IF(DATE(YEAR(P8),MONTH(Settings!$D$8),DAY(Settings!$D$8))&gt;P8,0,1),MONTH(Settings!$D$8),DAY(Settings!$D$8)),MIN(DATE(YEAR(P8),MONTH(P8)+Q8,DAY(P8)),DATE(YEAR(P8),MONTH(P8)+Q8+1,0)))))</f>
        <v/>
      </c>
      <c r="S8" s="31">
        <f>IF(ISNUMBER(R8),R8-Settings!$D$4,"")</f>
        <v/>
      </c>
      <c r="T8" s="31">
        <f>IF(ISNUMBER(P8),P8+0.5+ROW()/100000,"")</f>
        <v/>
      </c>
      <c r="U8" s="31">
        <f>IF(OR(K8="",NOT(ISNUMBER(T8))),0,IF(SUMPRODUCT(('Responses'!$AG$2:$AG$501=K8)*('Responses'!$AJ$2:$AJ$501=1)*ISNUMBER('Responses'!$AP$2:$AP$501)*('Responses'!$AP$2:$AP$501&gt;T8)) + SUMPRODUCT(('Paper sign-ups'!$K$2:$K$101=K8)*('Paper sign-ups'!$N$2:$N$101=1)*ISNUMBER('Paper sign-ups'!$T$2:$T$101)*('Paper sign-ups'!$T$2:$T$101&gt;T8))&gt;0,1,0))</f>
        <v/>
      </c>
      <c r="V8" s="31">
        <f>IF(I8="","",IF(U8=1,"Joined again",IF(N8=0,"Unpaid",IF(NOT(ISNUMBER(P8)),"Add a join date",IF(R8="","No reminder",IF(S8&lt;0,"Lapsed",IF(S8&lt;=Settings!$D$6,"Remind soon","Current")))))))</f>
        <v/>
      </c>
      <c r="W8" s="33">
        <f>IF(N8=1,IF(ISNUMBER(E8),E8,0),0)</f>
        <v/>
      </c>
      <c r="X8" s="31">
        <f>IF(AND(I8&lt;&gt;"",U8=0),1,0)</f>
        <v/>
      </c>
      <c r="Y8" s="31">
        <f>IF(X8=0,"",IF(ISNUMBER(R8),R8,100000)+0.5+ROW()/1000000)</f>
        <v/>
      </c>
      <c r="Z8" s="31">
        <f>IF(ISNUMBER(Y8),SUMPRODUCT(ISNUMBER('Responses'!$AU$2:$AU$501)*('Responses'!$AU$2:$AU$501&lt;Y8)) + SUMPRODUCT(ISNUMBER('Paper sign-ups'!$Y$2:$Y$101)*('Paper sign-ups'!$Y$2:$Y$101&lt;Y8))+1,"")</f>
        <v/>
      </c>
    </row>
    <row r="9">
      <c r="A9" s="30" t="n"/>
      <c r="B9" s="30" t="n"/>
      <c r="C9" s="30" t="n"/>
      <c r="D9" s="37" t="n"/>
      <c r="E9" s="38" t="n"/>
      <c r="F9" s="30" t="n"/>
      <c r="G9" s="30" t="n"/>
      <c r="H9" s="29" t="n"/>
      <c r="I9" s="31">
        <f>TRIM(A9&amp;"")</f>
        <v/>
      </c>
      <c r="J9" s="31">
        <f>TRIM(B9&amp;"")</f>
        <v/>
      </c>
      <c r="K9" s="31">
        <f>IF(I9="","",LOWER(IF(J9&lt;&gt;"",J9,I9)))</f>
        <v/>
      </c>
      <c r="L9" s="31">
        <f>TRIM(C9&amp;"")</f>
        <v/>
      </c>
      <c r="M9" s="31">
        <f>IF(I9="","",IF(UPPER(TRIM(F9&amp;""))="Y","Paid another way","Unpaid"))</f>
        <v/>
      </c>
      <c r="N9" s="31">
        <f>IF(I9="",0,IF(IFERROR(INDEX(Settings!$J$4:$J$14,MATCH(M9,Settings!$I$4:$I$14,0)),"N")="Y",1,0))</f>
        <v/>
      </c>
      <c r="O9" s="32">
        <f>IF(AND(I9&lt;&gt;"",ISNUMBER(D9)),INT(D9),"")</f>
        <v/>
      </c>
      <c r="P9" s="32">
        <f>O9</f>
        <v/>
      </c>
      <c r="Q9" s="31">
        <f>IF(I9="","",IF(ISNUMBER(IFERROR(INDEX(Settings!$G$4:$G$11,MATCH(L9,Settings!$F$4:$F$11,0)),"")),INDEX(Settings!$G$4:$G$11,MATCH(L9,Settings!$F$4:$F$11,0)),Settings!$D$5))</f>
        <v/>
      </c>
      <c r="R9" s="32">
        <f>IF(OR(I9="",NOT(ISNUMBER(P9)),NOT(ISNUMBER(Q9))),"",IF(Q9&lt;=0,"",IF(ISNUMBER(Settings!$D$8),DATE(YEAR(P9)+IF(DATE(YEAR(P9),MONTH(Settings!$D$8),DAY(Settings!$D$8))&gt;P9,0,1),MONTH(Settings!$D$8),DAY(Settings!$D$8)),MIN(DATE(YEAR(P9),MONTH(P9)+Q9,DAY(P9)),DATE(YEAR(P9),MONTH(P9)+Q9+1,0)))))</f>
        <v/>
      </c>
      <c r="S9" s="31">
        <f>IF(ISNUMBER(R9),R9-Settings!$D$4,"")</f>
        <v/>
      </c>
      <c r="T9" s="31">
        <f>IF(ISNUMBER(P9),P9+0.5+ROW()/100000,"")</f>
        <v/>
      </c>
      <c r="U9" s="31">
        <f>IF(OR(K9="",NOT(ISNUMBER(T9))),0,IF(SUMPRODUCT(('Responses'!$AG$2:$AG$501=K9)*('Responses'!$AJ$2:$AJ$501=1)*ISNUMBER('Responses'!$AP$2:$AP$501)*('Responses'!$AP$2:$AP$501&gt;T9)) + SUMPRODUCT(('Paper sign-ups'!$K$2:$K$101=K9)*('Paper sign-ups'!$N$2:$N$101=1)*ISNUMBER('Paper sign-ups'!$T$2:$T$101)*('Paper sign-ups'!$T$2:$T$101&gt;T9))&gt;0,1,0))</f>
        <v/>
      </c>
      <c r="V9" s="31">
        <f>IF(I9="","",IF(U9=1,"Joined again",IF(N9=0,"Unpaid",IF(NOT(ISNUMBER(P9)),"Add a join date",IF(R9="","No reminder",IF(S9&lt;0,"Lapsed",IF(S9&lt;=Settings!$D$6,"Remind soon","Current")))))))</f>
        <v/>
      </c>
      <c r="W9" s="33">
        <f>IF(N9=1,IF(ISNUMBER(E9),E9,0),0)</f>
        <v/>
      </c>
      <c r="X9" s="31">
        <f>IF(AND(I9&lt;&gt;"",U9=0),1,0)</f>
        <v/>
      </c>
      <c r="Y9" s="31">
        <f>IF(X9=0,"",IF(ISNUMBER(R9),R9,100000)+0.5+ROW()/1000000)</f>
        <v/>
      </c>
      <c r="Z9" s="31">
        <f>IF(ISNUMBER(Y9),SUMPRODUCT(ISNUMBER('Responses'!$AU$2:$AU$501)*('Responses'!$AU$2:$AU$501&lt;Y9)) + SUMPRODUCT(ISNUMBER('Paper sign-ups'!$Y$2:$Y$101)*('Paper sign-ups'!$Y$2:$Y$101&lt;Y9))+1,"")</f>
        <v/>
      </c>
    </row>
    <row r="10">
      <c r="A10" s="30" t="n"/>
      <c r="B10" s="30" t="n"/>
      <c r="C10" s="30" t="n"/>
      <c r="D10" s="37" t="n"/>
      <c r="E10" s="38" t="n"/>
      <c r="F10" s="30" t="n"/>
      <c r="G10" s="30" t="n"/>
      <c r="H10" s="29" t="n"/>
      <c r="I10" s="31">
        <f>TRIM(A10&amp;"")</f>
        <v/>
      </c>
      <c r="J10" s="31">
        <f>TRIM(B10&amp;"")</f>
        <v/>
      </c>
      <c r="K10" s="31">
        <f>IF(I10="","",LOWER(IF(J10&lt;&gt;"",J10,I10)))</f>
        <v/>
      </c>
      <c r="L10" s="31">
        <f>TRIM(C10&amp;"")</f>
        <v/>
      </c>
      <c r="M10" s="31">
        <f>IF(I10="","",IF(UPPER(TRIM(F10&amp;""))="Y","Paid another way","Unpaid"))</f>
        <v/>
      </c>
      <c r="N10" s="31">
        <f>IF(I10="",0,IF(IFERROR(INDEX(Settings!$J$4:$J$14,MATCH(M10,Settings!$I$4:$I$14,0)),"N")="Y",1,0))</f>
        <v/>
      </c>
      <c r="O10" s="32">
        <f>IF(AND(I10&lt;&gt;"",ISNUMBER(D10)),INT(D10),"")</f>
        <v/>
      </c>
      <c r="P10" s="32">
        <f>O10</f>
        <v/>
      </c>
      <c r="Q10" s="31">
        <f>IF(I10="","",IF(ISNUMBER(IFERROR(INDEX(Settings!$G$4:$G$11,MATCH(L10,Settings!$F$4:$F$11,0)),"")),INDEX(Settings!$G$4:$G$11,MATCH(L10,Settings!$F$4:$F$11,0)),Settings!$D$5))</f>
        <v/>
      </c>
      <c r="R10" s="32">
        <f>IF(OR(I10="",NOT(ISNUMBER(P10)),NOT(ISNUMBER(Q10))),"",IF(Q10&lt;=0,"",IF(ISNUMBER(Settings!$D$8),DATE(YEAR(P10)+IF(DATE(YEAR(P10),MONTH(Settings!$D$8),DAY(Settings!$D$8))&gt;P10,0,1),MONTH(Settings!$D$8),DAY(Settings!$D$8)),MIN(DATE(YEAR(P10),MONTH(P10)+Q10,DAY(P10)),DATE(YEAR(P10),MONTH(P10)+Q10+1,0)))))</f>
        <v/>
      </c>
      <c r="S10" s="31">
        <f>IF(ISNUMBER(R10),R10-Settings!$D$4,"")</f>
        <v/>
      </c>
      <c r="T10" s="31">
        <f>IF(ISNUMBER(P10),P10+0.5+ROW()/100000,"")</f>
        <v/>
      </c>
      <c r="U10" s="31">
        <f>IF(OR(K10="",NOT(ISNUMBER(T10))),0,IF(SUMPRODUCT(('Responses'!$AG$2:$AG$501=K10)*('Responses'!$AJ$2:$AJ$501=1)*ISNUMBER('Responses'!$AP$2:$AP$501)*('Responses'!$AP$2:$AP$501&gt;T10)) + SUMPRODUCT(('Paper sign-ups'!$K$2:$K$101=K10)*('Paper sign-ups'!$N$2:$N$101=1)*ISNUMBER('Paper sign-ups'!$T$2:$T$101)*('Paper sign-ups'!$T$2:$T$101&gt;T10))&gt;0,1,0))</f>
        <v/>
      </c>
      <c r="V10" s="31">
        <f>IF(I10="","",IF(U10=1,"Joined again",IF(N10=0,"Unpaid",IF(NOT(ISNUMBER(P10)),"Add a join date",IF(R10="","No reminder",IF(S10&lt;0,"Lapsed",IF(S10&lt;=Settings!$D$6,"Remind soon","Current")))))))</f>
        <v/>
      </c>
      <c r="W10" s="33">
        <f>IF(N10=1,IF(ISNUMBER(E10),E10,0),0)</f>
        <v/>
      </c>
      <c r="X10" s="31">
        <f>IF(AND(I10&lt;&gt;"",U10=0),1,0)</f>
        <v/>
      </c>
      <c r="Y10" s="31">
        <f>IF(X10=0,"",IF(ISNUMBER(R10),R10,100000)+0.5+ROW()/1000000)</f>
        <v/>
      </c>
      <c r="Z10" s="31">
        <f>IF(ISNUMBER(Y10),SUMPRODUCT(ISNUMBER('Responses'!$AU$2:$AU$501)*('Responses'!$AU$2:$AU$501&lt;Y10)) + SUMPRODUCT(ISNUMBER('Paper sign-ups'!$Y$2:$Y$101)*('Paper sign-ups'!$Y$2:$Y$101&lt;Y10))+1,"")</f>
        <v/>
      </c>
    </row>
    <row r="11">
      <c r="A11" s="30" t="n"/>
      <c r="B11" s="30" t="n"/>
      <c r="C11" s="30" t="n"/>
      <c r="D11" s="37" t="n"/>
      <c r="E11" s="38" t="n"/>
      <c r="F11" s="30" t="n"/>
      <c r="G11" s="30" t="n"/>
      <c r="H11" s="29" t="n"/>
      <c r="I11" s="31">
        <f>TRIM(A11&amp;"")</f>
        <v/>
      </c>
      <c r="J11" s="31">
        <f>TRIM(B11&amp;"")</f>
        <v/>
      </c>
      <c r="K11" s="31">
        <f>IF(I11="","",LOWER(IF(J11&lt;&gt;"",J11,I11)))</f>
        <v/>
      </c>
      <c r="L11" s="31">
        <f>TRIM(C11&amp;"")</f>
        <v/>
      </c>
      <c r="M11" s="31">
        <f>IF(I11="","",IF(UPPER(TRIM(F11&amp;""))="Y","Paid another way","Unpaid"))</f>
        <v/>
      </c>
      <c r="N11" s="31">
        <f>IF(I11="",0,IF(IFERROR(INDEX(Settings!$J$4:$J$14,MATCH(M11,Settings!$I$4:$I$14,0)),"N")="Y",1,0))</f>
        <v/>
      </c>
      <c r="O11" s="32">
        <f>IF(AND(I11&lt;&gt;"",ISNUMBER(D11)),INT(D11),"")</f>
        <v/>
      </c>
      <c r="P11" s="32">
        <f>O11</f>
        <v/>
      </c>
      <c r="Q11" s="31">
        <f>IF(I11="","",IF(ISNUMBER(IFERROR(INDEX(Settings!$G$4:$G$11,MATCH(L11,Settings!$F$4:$F$11,0)),"")),INDEX(Settings!$G$4:$G$11,MATCH(L11,Settings!$F$4:$F$11,0)),Settings!$D$5))</f>
        <v/>
      </c>
      <c r="R11" s="32">
        <f>IF(OR(I11="",NOT(ISNUMBER(P11)),NOT(ISNUMBER(Q11))),"",IF(Q11&lt;=0,"",IF(ISNUMBER(Settings!$D$8),DATE(YEAR(P11)+IF(DATE(YEAR(P11),MONTH(Settings!$D$8),DAY(Settings!$D$8))&gt;P11,0,1),MONTH(Settings!$D$8),DAY(Settings!$D$8)),MIN(DATE(YEAR(P11),MONTH(P11)+Q11,DAY(P11)),DATE(YEAR(P11),MONTH(P11)+Q11+1,0)))))</f>
        <v/>
      </c>
      <c r="S11" s="31">
        <f>IF(ISNUMBER(R11),R11-Settings!$D$4,"")</f>
        <v/>
      </c>
      <c r="T11" s="31">
        <f>IF(ISNUMBER(P11),P11+0.5+ROW()/100000,"")</f>
        <v/>
      </c>
      <c r="U11" s="31">
        <f>IF(OR(K11="",NOT(ISNUMBER(T11))),0,IF(SUMPRODUCT(('Responses'!$AG$2:$AG$501=K11)*('Responses'!$AJ$2:$AJ$501=1)*ISNUMBER('Responses'!$AP$2:$AP$501)*('Responses'!$AP$2:$AP$501&gt;T11)) + SUMPRODUCT(('Paper sign-ups'!$K$2:$K$101=K11)*('Paper sign-ups'!$N$2:$N$101=1)*ISNUMBER('Paper sign-ups'!$T$2:$T$101)*('Paper sign-ups'!$T$2:$T$101&gt;T11))&gt;0,1,0))</f>
        <v/>
      </c>
      <c r="V11" s="31">
        <f>IF(I11="","",IF(U11=1,"Joined again",IF(N11=0,"Unpaid",IF(NOT(ISNUMBER(P11)),"Add a join date",IF(R11="","No reminder",IF(S11&lt;0,"Lapsed",IF(S11&lt;=Settings!$D$6,"Remind soon","Current")))))))</f>
        <v/>
      </c>
      <c r="W11" s="33">
        <f>IF(N11=1,IF(ISNUMBER(E11),E11,0),0)</f>
        <v/>
      </c>
      <c r="X11" s="31">
        <f>IF(AND(I11&lt;&gt;"",U11=0),1,0)</f>
        <v/>
      </c>
      <c r="Y11" s="31">
        <f>IF(X11=0,"",IF(ISNUMBER(R11),R11,100000)+0.5+ROW()/1000000)</f>
        <v/>
      </c>
      <c r="Z11" s="31">
        <f>IF(ISNUMBER(Y11),SUMPRODUCT(ISNUMBER('Responses'!$AU$2:$AU$501)*('Responses'!$AU$2:$AU$501&lt;Y11)) + SUMPRODUCT(ISNUMBER('Paper sign-ups'!$Y$2:$Y$101)*('Paper sign-ups'!$Y$2:$Y$101&lt;Y11))+1,"")</f>
        <v/>
      </c>
    </row>
    <row r="12">
      <c r="A12" s="30" t="n"/>
      <c r="B12" s="30" t="n"/>
      <c r="C12" s="30" t="n"/>
      <c r="D12" s="37" t="n"/>
      <c r="E12" s="38" t="n"/>
      <c r="F12" s="30" t="n"/>
      <c r="G12" s="30" t="n"/>
      <c r="H12" s="29" t="n"/>
      <c r="I12" s="31">
        <f>TRIM(A12&amp;"")</f>
        <v/>
      </c>
      <c r="J12" s="31">
        <f>TRIM(B12&amp;"")</f>
        <v/>
      </c>
      <c r="K12" s="31">
        <f>IF(I12="","",LOWER(IF(J12&lt;&gt;"",J12,I12)))</f>
        <v/>
      </c>
      <c r="L12" s="31">
        <f>TRIM(C12&amp;"")</f>
        <v/>
      </c>
      <c r="M12" s="31">
        <f>IF(I12="","",IF(UPPER(TRIM(F12&amp;""))="Y","Paid another way","Unpaid"))</f>
        <v/>
      </c>
      <c r="N12" s="31">
        <f>IF(I12="",0,IF(IFERROR(INDEX(Settings!$J$4:$J$14,MATCH(M12,Settings!$I$4:$I$14,0)),"N")="Y",1,0))</f>
        <v/>
      </c>
      <c r="O12" s="32">
        <f>IF(AND(I12&lt;&gt;"",ISNUMBER(D12)),INT(D12),"")</f>
        <v/>
      </c>
      <c r="P12" s="32">
        <f>O12</f>
        <v/>
      </c>
      <c r="Q12" s="31">
        <f>IF(I12="","",IF(ISNUMBER(IFERROR(INDEX(Settings!$G$4:$G$11,MATCH(L12,Settings!$F$4:$F$11,0)),"")),INDEX(Settings!$G$4:$G$11,MATCH(L12,Settings!$F$4:$F$11,0)),Settings!$D$5))</f>
        <v/>
      </c>
      <c r="R12" s="32">
        <f>IF(OR(I12="",NOT(ISNUMBER(P12)),NOT(ISNUMBER(Q12))),"",IF(Q12&lt;=0,"",IF(ISNUMBER(Settings!$D$8),DATE(YEAR(P12)+IF(DATE(YEAR(P12),MONTH(Settings!$D$8),DAY(Settings!$D$8))&gt;P12,0,1),MONTH(Settings!$D$8),DAY(Settings!$D$8)),MIN(DATE(YEAR(P12),MONTH(P12)+Q12,DAY(P12)),DATE(YEAR(P12),MONTH(P12)+Q12+1,0)))))</f>
        <v/>
      </c>
      <c r="S12" s="31">
        <f>IF(ISNUMBER(R12),R12-Settings!$D$4,"")</f>
        <v/>
      </c>
      <c r="T12" s="31">
        <f>IF(ISNUMBER(P12),P12+0.5+ROW()/100000,"")</f>
        <v/>
      </c>
      <c r="U12" s="31">
        <f>IF(OR(K12="",NOT(ISNUMBER(T12))),0,IF(SUMPRODUCT(('Responses'!$AG$2:$AG$501=K12)*('Responses'!$AJ$2:$AJ$501=1)*ISNUMBER('Responses'!$AP$2:$AP$501)*('Responses'!$AP$2:$AP$501&gt;T12)) + SUMPRODUCT(('Paper sign-ups'!$K$2:$K$101=K12)*('Paper sign-ups'!$N$2:$N$101=1)*ISNUMBER('Paper sign-ups'!$T$2:$T$101)*('Paper sign-ups'!$T$2:$T$101&gt;T12))&gt;0,1,0))</f>
        <v/>
      </c>
      <c r="V12" s="31">
        <f>IF(I12="","",IF(U12=1,"Joined again",IF(N12=0,"Unpaid",IF(NOT(ISNUMBER(P12)),"Add a join date",IF(R12="","No reminder",IF(S12&lt;0,"Lapsed",IF(S12&lt;=Settings!$D$6,"Remind soon","Current")))))))</f>
        <v/>
      </c>
      <c r="W12" s="33">
        <f>IF(N12=1,IF(ISNUMBER(E12),E12,0),0)</f>
        <v/>
      </c>
      <c r="X12" s="31">
        <f>IF(AND(I12&lt;&gt;"",U12=0),1,0)</f>
        <v/>
      </c>
      <c r="Y12" s="31">
        <f>IF(X12=0,"",IF(ISNUMBER(R12),R12,100000)+0.5+ROW()/1000000)</f>
        <v/>
      </c>
      <c r="Z12" s="31">
        <f>IF(ISNUMBER(Y12),SUMPRODUCT(ISNUMBER('Responses'!$AU$2:$AU$501)*('Responses'!$AU$2:$AU$501&lt;Y12)) + SUMPRODUCT(ISNUMBER('Paper sign-ups'!$Y$2:$Y$101)*('Paper sign-ups'!$Y$2:$Y$101&lt;Y12))+1,"")</f>
        <v/>
      </c>
    </row>
    <row r="13">
      <c r="A13" s="30" t="n"/>
      <c r="B13" s="30" t="n"/>
      <c r="C13" s="30" t="n"/>
      <c r="D13" s="37" t="n"/>
      <c r="E13" s="38" t="n"/>
      <c r="F13" s="30" t="n"/>
      <c r="G13" s="30" t="n"/>
      <c r="H13" s="29" t="n"/>
      <c r="I13" s="31">
        <f>TRIM(A13&amp;"")</f>
        <v/>
      </c>
      <c r="J13" s="31">
        <f>TRIM(B13&amp;"")</f>
        <v/>
      </c>
      <c r="K13" s="31">
        <f>IF(I13="","",LOWER(IF(J13&lt;&gt;"",J13,I13)))</f>
        <v/>
      </c>
      <c r="L13" s="31">
        <f>TRIM(C13&amp;"")</f>
        <v/>
      </c>
      <c r="M13" s="31">
        <f>IF(I13="","",IF(UPPER(TRIM(F13&amp;""))="Y","Paid another way","Unpaid"))</f>
        <v/>
      </c>
      <c r="N13" s="31">
        <f>IF(I13="",0,IF(IFERROR(INDEX(Settings!$J$4:$J$14,MATCH(M13,Settings!$I$4:$I$14,0)),"N")="Y",1,0))</f>
        <v/>
      </c>
      <c r="O13" s="32">
        <f>IF(AND(I13&lt;&gt;"",ISNUMBER(D13)),INT(D13),"")</f>
        <v/>
      </c>
      <c r="P13" s="32">
        <f>O13</f>
        <v/>
      </c>
      <c r="Q13" s="31">
        <f>IF(I13="","",IF(ISNUMBER(IFERROR(INDEX(Settings!$G$4:$G$11,MATCH(L13,Settings!$F$4:$F$11,0)),"")),INDEX(Settings!$G$4:$G$11,MATCH(L13,Settings!$F$4:$F$11,0)),Settings!$D$5))</f>
        <v/>
      </c>
      <c r="R13" s="32">
        <f>IF(OR(I13="",NOT(ISNUMBER(P13)),NOT(ISNUMBER(Q13))),"",IF(Q13&lt;=0,"",IF(ISNUMBER(Settings!$D$8),DATE(YEAR(P13)+IF(DATE(YEAR(P13),MONTH(Settings!$D$8),DAY(Settings!$D$8))&gt;P13,0,1),MONTH(Settings!$D$8),DAY(Settings!$D$8)),MIN(DATE(YEAR(P13),MONTH(P13)+Q13,DAY(P13)),DATE(YEAR(P13),MONTH(P13)+Q13+1,0)))))</f>
        <v/>
      </c>
      <c r="S13" s="31">
        <f>IF(ISNUMBER(R13),R13-Settings!$D$4,"")</f>
        <v/>
      </c>
      <c r="T13" s="31">
        <f>IF(ISNUMBER(P13),P13+0.5+ROW()/100000,"")</f>
        <v/>
      </c>
      <c r="U13" s="31">
        <f>IF(OR(K13="",NOT(ISNUMBER(T13))),0,IF(SUMPRODUCT(('Responses'!$AG$2:$AG$501=K13)*('Responses'!$AJ$2:$AJ$501=1)*ISNUMBER('Responses'!$AP$2:$AP$501)*('Responses'!$AP$2:$AP$501&gt;T13)) + SUMPRODUCT(('Paper sign-ups'!$K$2:$K$101=K13)*('Paper sign-ups'!$N$2:$N$101=1)*ISNUMBER('Paper sign-ups'!$T$2:$T$101)*('Paper sign-ups'!$T$2:$T$101&gt;T13))&gt;0,1,0))</f>
        <v/>
      </c>
      <c r="V13" s="31">
        <f>IF(I13="","",IF(U13=1,"Joined again",IF(N13=0,"Unpaid",IF(NOT(ISNUMBER(P13)),"Add a join date",IF(R13="","No reminder",IF(S13&lt;0,"Lapsed",IF(S13&lt;=Settings!$D$6,"Remind soon","Current")))))))</f>
        <v/>
      </c>
      <c r="W13" s="33">
        <f>IF(N13=1,IF(ISNUMBER(E13),E13,0),0)</f>
        <v/>
      </c>
      <c r="X13" s="31">
        <f>IF(AND(I13&lt;&gt;"",U13=0),1,0)</f>
        <v/>
      </c>
      <c r="Y13" s="31">
        <f>IF(X13=0,"",IF(ISNUMBER(R13),R13,100000)+0.5+ROW()/1000000)</f>
        <v/>
      </c>
      <c r="Z13" s="31">
        <f>IF(ISNUMBER(Y13),SUMPRODUCT(ISNUMBER('Responses'!$AU$2:$AU$501)*('Responses'!$AU$2:$AU$501&lt;Y13)) + SUMPRODUCT(ISNUMBER('Paper sign-ups'!$Y$2:$Y$101)*('Paper sign-ups'!$Y$2:$Y$101&lt;Y13))+1,"")</f>
        <v/>
      </c>
    </row>
    <row r="14">
      <c r="A14" s="30" t="n"/>
      <c r="B14" s="30" t="n"/>
      <c r="C14" s="30" t="n"/>
      <c r="D14" s="37" t="n"/>
      <c r="E14" s="38" t="n"/>
      <c r="F14" s="30" t="n"/>
      <c r="G14" s="30" t="n"/>
      <c r="H14" s="29" t="n"/>
      <c r="I14" s="31">
        <f>TRIM(A14&amp;"")</f>
        <v/>
      </c>
      <c r="J14" s="31">
        <f>TRIM(B14&amp;"")</f>
        <v/>
      </c>
      <c r="K14" s="31">
        <f>IF(I14="","",LOWER(IF(J14&lt;&gt;"",J14,I14)))</f>
        <v/>
      </c>
      <c r="L14" s="31">
        <f>TRIM(C14&amp;"")</f>
        <v/>
      </c>
      <c r="M14" s="31">
        <f>IF(I14="","",IF(UPPER(TRIM(F14&amp;""))="Y","Paid another way","Unpaid"))</f>
        <v/>
      </c>
      <c r="N14" s="31">
        <f>IF(I14="",0,IF(IFERROR(INDEX(Settings!$J$4:$J$14,MATCH(M14,Settings!$I$4:$I$14,0)),"N")="Y",1,0))</f>
        <v/>
      </c>
      <c r="O14" s="32">
        <f>IF(AND(I14&lt;&gt;"",ISNUMBER(D14)),INT(D14),"")</f>
        <v/>
      </c>
      <c r="P14" s="32">
        <f>O14</f>
        <v/>
      </c>
      <c r="Q14" s="31">
        <f>IF(I14="","",IF(ISNUMBER(IFERROR(INDEX(Settings!$G$4:$G$11,MATCH(L14,Settings!$F$4:$F$11,0)),"")),INDEX(Settings!$G$4:$G$11,MATCH(L14,Settings!$F$4:$F$11,0)),Settings!$D$5))</f>
        <v/>
      </c>
      <c r="R14" s="32">
        <f>IF(OR(I14="",NOT(ISNUMBER(P14)),NOT(ISNUMBER(Q14))),"",IF(Q14&lt;=0,"",IF(ISNUMBER(Settings!$D$8),DATE(YEAR(P14)+IF(DATE(YEAR(P14),MONTH(Settings!$D$8),DAY(Settings!$D$8))&gt;P14,0,1),MONTH(Settings!$D$8),DAY(Settings!$D$8)),MIN(DATE(YEAR(P14),MONTH(P14)+Q14,DAY(P14)),DATE(YEAR(P14),MONTH(P14)+Q14+1,0)))))</f>
        <v/>
      </c>
      <c r="S14" s="31">
        <f>IF(ISNUMBER(R14),R14-Settings!$D$4,"")</f>
        <v/>
      </c>
      <c r="T14" s="31">
        <f>IF(ISNUMBER(P14),P14+0.5+ROW()/100000,"")</f>
        <v/>
      </c>
      <c r="U14" s="31">
        <f>IF(OR(K14="",NOT(ISNUMBER(T14))),0,IF(SUMPRODUCT(('Responses'!$AG$2:$AG$501=K14)*('Responses'!$AJ$2:$AJ$501=1)*ISNUMBER('Responses'!$AP$2:$AP$501)*('Responses'!$AP$2:$AP$501&gt;T14)) + SUMPRODUCT(('Paper sign-ups'!$K$2:$K$101=K14)*('Paper sign-ups'!$N$2:$N$101=1)*ISNUMBER('Paper sign-ups'!$T$2:$T$101)*('Paper sign-ups'!$T$2:$T$101&gt;T14))&gt;0,1,0))</f>
        <v/>
      </c>
      <c r="V14" s="31">
        <f>IF(I14="","",IF(U14=1,"Joined again",IF(N14=0,"Unpaid",IF(NOT(ISNUMBER(P14)),"Add a join date",IF(R14="","No reminder",IF(S14&lt;0,"Lapsed",IF(S14&lt;=Settings!$D$6,"Remind soon","Current")))))))</f>
        <v/>
      </c>
      <c r="W14" s="33">
        <f>IF(N14=1,IF(ISNUMBER(E14),E14,0),0)</f>
        <v/>
      </c>
      <c r="X14" s="31">
        <f>IF(AND(I14&lt;&gt;"",U14=0),1,0)</f>
        <v/>
      </c>
      <c r="Y14" s="31">
        <f>IF(X14=0,"",IF(ISNUMBER(R14),R14,100000)+0.5+ROW()/1000000)</f>
        <v/>
      </c>
      <c r="Z14" s="31">
        <f>IF(ISNUMBER(Y14),SUMPRODUCT(ISNUMBER('Responses'!$AU$2:$AU$501)*('Responses'!$AU$2:$AU$501&lt;Y14)) + SUMPRODUCT(ISNUMBER('Paper sign-ups'!$Y$2:$Y$101)*('Paper sign-ups'!$Y$2:$Y$101&lt;Y14))+1,"")</f>
        <v/>
      </c>
    </row>
    <row r="15">
      <c r="A15" s="30" t="n"/>
      <c r="B15" s="30" t="n"/>
      <c r="C15" s="30" t="n"/>
      <c r="D15" s="37" t="n"/>
      <c r="E15" s="38" t="n"/>
      <c r="F15" s="30" t="n"/>
      <c r="G15" s="30" t="n"/>
      <c r="H15" s="29" t="n"/>
      <c r="I15" s="31">
        <f>TRIM(A15&amp;"")</f>
        <v/>
      </c>
      <c r="J15" s="31">
        <f>TRIM(B15&amp;"")</f>
        <v/>
      </c>
      <c r="K15" s="31">
        <f>IF(I15="","",LOWER(IF(J15&lt;&gt;"",J15,I15)))</f>
        <v/>
      </c>
      <c r="L15" s="31">
        <f>TRIM(C15&amp;"")</f>
        <v/>
      </c>
      <c r="M15" s="31">
        <f>IF(I15="","",IF(UPPER(TRIM(F15&amp;""))="Y","Paid another way","Unpaid"))</f>
        <v/>
      </c>
      <c r="N15" s="31">
        <f>IF(I15="",0,IF(IFERROR(INDEX(Settings!$J$4:$J$14,MATCH(M15,Settings!$I$4:$I$14,0)),"N")="Y",1,0))</f>
        <v/>
      </c>
      <c r="O15" s="32">
        <f>IF(AND(I15&lt;&gt;"",ISNUMBER(D15)),INT(D15),"")</f>
        <v/>
      </c>
      <c r="P15" s="32">
        <f>O15</f>
        <v/>
      </c>
      <c r="Q15" s="31">
        <f>IF(I15="","",IF(ISNUMBER(IFERROR(INDEX(Settings!$G$4:$G$11,MATCH(L15,Settings!$F$4:$F$11,0)),"")),INDEX(Settings!$G$4:$G$11,MATCH(L15,Settings!$F$4:$F$11,0)),Settings!$D$5))</f>
        <v/>
      </c>
      <c r="R15" s="32">
        <f>IF(OR(I15="",NOT(ISNUMBER(P15)),NOT(ISNUMBER(Q15))),"",IF(Q15&lt;=0,"",IF(ISNUMBER(Settings!$D$8),DATE(YEAR(P15)+IF(DATE(YEAR(P15),MONTH(Settings!$D$8),DAY(Settings!$D$8))&gt;P15,0,1),MONTH(Settings!$D$8),DAY(Settings!$D$8)),MIN(DATE(YEAR(P15),MONTH(P15)+Q15,DAY(P15)),DATE(YEAR(P15),MONTH(P15)+Q15+1,0)))))</f>
        <v/>
      </c>
      <c r="S15" s="31">
        <f>IF(ISNUMBER(R15),R15-Settings!$D$4,"")</f>
        <v/>
      </c>
      <c r="T15" s="31">
        <f>IF(ISNUMBER(P15),P15+0.5+ROW()/100000,"")</f>
        <v/>
      </c>
      <c r="U15" s="31">
        <f>IF(OR(K15="",NOT(ISNUMBER(T15))),0,IF(SUMPRODUCT(('Responses'!$AG$2:$AG$501=K15)*('Responses'!$AJ$2:$AJ$501=1)*ISNUMBER('Responses'!$AP$2:$AP$501)*('Responses'!$AP$2:$AP$501&gt;T15)) + SUMPRODUCT(('Paper sign-ups'!$K$2:$K$101=K15)*('Paper sign-ups'!$N$2:$N$101=1)*ISNUMBER('Paper sign-ups'!$T$2:$T$101)*('Paper sign-ups'!$T$2:$T$101&gt;T15))&gt;0,1,0))</f>
        <v/>
      </c>
      <c r="V15" s="31">
        <f>IF(I15="","",IF(U15=1,"Joined again",IF(N15=0,"Unpaid",IF(NOT(ISNUMBER(P15)),"Add a join date",IF(R15="","No reminder",IF(S15&lt;0,"Lapsed",IF(S15&lt;=Settings!$D$6,"Remind soon","Current")))))))</f>
        <v/>
      </c>
      <c r="W15" s="33">
        <f>IF(N15=1,IF(ISNUMBER(E15),E15,0),0)</f>
        <v/>
      </c>
      <c r="X15" s="31">
        <f>IF(AND(I15&lt;&gt;"",U15=0),1,0)</f>
        <v/>
      </c>
      <c r="Y15" s="31">
        <f>IF(X15=0,"",IF(ISNUMBER(R15),R15,100000)+0.5+ROW()/1000000)</f>
        <v/>
      </c>
      <c r="Z15" s="31">
        <f>IF(ISNUMBER(Y15),SUMPRODUCT(ISNUMBER('Responses'!$AU$2:$AU$501)*('Responses'!$AU$2:$AU$501&lt;Y15)) + SUMPRODUCT(ISNUMBER('Paper sign-ups'!$Y$2:$Y$101)*('Paper sign-ups'!$Y$2:$Y$101&lt;Y15))+1,"")</f>
        <v/>
      </c>
    </row>
    <row r="16">
      <c r="A16" s="30" t="n"/>
      <c r="B16" s="30" t="n"/>
      <c r="C16" s="30" t="n"/>
      <c r="D16" s="37" t="n"/>
      <c r="E16" s="38" t="n"/>
      <c r="F16" s="30" t="n"/>
      <c r="G16" s="30" t="n"/>
      <c r="H16" s="29" t="n"/>
      <c r="I16" s="31">
        <f>TRIM(A16&amp;"")</f>
        <v/>
      </c>
      <c r="J16" s="31">
        <f>TRIM(B16&amp;"")</f>
        <v/>
      </c>
      <c r="K16" s="31">
        <f>IF(I16="","",LOWER(IF(J16&lt;&gt;"",J16,I16)))</f>
        <v/>
      </c>
      <c r="L16" s="31">
        <f>TRIM(C16&amp;"")</f>
        <v/>
      </c>
      <c r="M16" s="31">
        <f>IF(I16="","",IF(UPPER(TRIM(F16&amp;""))="Y","Paid another way","Unpaid"))</f>
        <v/>
      </c>
      <c r="N16" s="31">
        <f>IF(I16="",0,IF(IFERROR(INDEX(Settings!$J$4:$J$14,MATCH(M16,Settings!$I$4:$I$14,0)),"N")="Y",1,0))</f>
        <v/>
      </c>
      <c r="O16" s="32">
        <f>IF(AND(I16&lt;&gt;"",ISNUMBER(D16)),INT(D16),"")</f>
        <v/>
      </c>
      <c r="P16" s="32">
        <f>O16</f>
        <v/>
      </c>
      <c r="Q16" s="31">
        <f>IF(I16="","",IF(ISNUMBER(IFERROR(INDEX(Settings!$G$4:$G$11,MATCH(L16,Settings!$F$4:$F$11,0)),"")),INDEX(Settings!$G$4:$G$11,MATCH(L16,Settings!$F$4:$F$11,0)),Settings!$D$5))</f>
        <v/>
      </c>
      <c r="R16" s="32">
        <f>IF(OR(I16="",NOT(ISNUMBER(P16)),NOT(ISNUMBER(Q16))),"",IF(Q16&lt;=0,"",IF(ISNUMBER(Settings!$D$8),DATE(YEAR(P16)+IF(DATE(YEAR(P16),MONTH(Settings!$D$8),DAY(Settings!$D$8))&gt;P16,0,1),MONTH(Settings!$D$8),DAY(Settings!$D$8)),MIN(DATE(YEAR(P16),MONTH(P16)+Q16,DAY(P16)),DATE(YEAR(P16),MONTH(P16)+Q16+1,0)))))</f>
        <v/>
      </c>
      <c r="S16" s="31">
        <f>IF(ISNUMBER(R16),R16-Settings!$D$4,"")</f>
        <v/>
      </c>
      <c r="T16" s="31">
        <f>IF(ISNUMBER(P16),P16+0.5+ROW()/100000,"")</f>
        <v/>
      </c>
      <c r="U16" s="31">
        <f>IF(OR(K16="",NOT(ISNUMBER(T16))),0,IF(SUMPRODUCT(('Responses'!$AG$2:$AG$501=K16)*('Responses'!$AJ$2:$AJ$501=1)*ISNUMBER('Responses'!$AP$2:$AP$501)*('Responses'!$AP$2:$AP$501&gt;T16)) + SUMPRODUCT(('Paper sign-ups'!$K$2:$K$101=K16)*('Paper sign-ups'!$N$2:$N$101=1)*ISNUMBER('Paper sign-ups'!$T$2:$T$101)*('Paper sign-ups'!$T$2:$T$101&gt;T16))&gt;0,1,0))</f>
        <v/>
      </c>
      <c r="V16" s="31">
        <f>IF(I16="","",IF(U16=1,"Joined again",IF(N16=0,"Unpaid",IF(NOT(ISNUMBER(P16)),"Add a join date",IF(R16="","No reminder",IF(S16&lt;0,"Lapsed",IF(S16&lt;=Settings!$D$6,"Remind soon","Current")))))))</f>
        <v/>
      </c>
      <c r="W16" s="33">
        <f>IF(N16=1,IF(ISNUMBER(E16),E16,0),0)</f>
        <v/>
      </c>
      <c r="X16" s="31">
        <f>IF(AND(I16&lt;&gt;"",U16=0),1,0)</f>
        <v/>
      </c>
      <c r="Y16" s="31">
        <f>IF(X16=0,"",IF(ISNUMBER(R16),R16,100000)+0.5+ROW()/1000000)</f>
        <v/>
      </c>
      <c r="Z16" s="31">
        <f>IF(ISNUMBER(Y16),SUMPRODUCT(ISNUMBER('Responses'!$AU$2:$AU$501)*('Responses'!$AU$2:$AU$501&lt;Y16)) + SUMPRODUCT(ISNUMBER('Paper sign-ups'!$Y$2:$Y$101)*('Paper sign-ups'!$Y$2:$Y$101&lt;Y16))+1,"")</f>
        <v/>
      </c>
    </row>
    <row r="17">
      <c r="A17" s="30" t="n"/>
      <c r="B17" s="30" t="n"/>
      <c r="C17" s="30" t="n"/>
      <c r="D17" s="37" t="n"/>
      <c r="E17" s="38" t="n"/>
      <c r="F17" s="30" t="n"/>
      <c r="G17" s="30" t="n"/>
      <c r="H17" s="29" t="n"/>
      <c r="I17" s="31">
        <f>TRIM(A17&amp;"")</f>
        <v/>
      </c>
      <c r="J17" s="31">
        <f>TRIM(B17&amp;"")</f>
        <v/>
      </c>
      <c r="K17" s="31">
        <f>IF(I17="","",LOWER(IF(J17&lt;&gt;"",J17,I17)))</f>
        <v/>
      </c>
      <c r="L17" s="31">
        <f>TRIM(C17&amp;"")</f>
        <v/>
      </c>
      <c r="M17" s="31">
        <f>IF(I17="","",IF(UPPER(TRIM(F17&amp;""))="Y","Paid another way","Unpaid"))</f>
        <v/>
      </c>
      <c r="N17" s="31">
        <f>IF(I17="",0,IF(IFERROR(INDEX(Settings!$J$4:$J$14,MATCH(M17,Settings!$I$4:$I$14,0)),"N")="Y",1,0))</f>
        <v/>
      </c>
      <c r="O17" s="32">
        <f>IF(AND(I17&lt;&gt;"",ISNUMBER(D17)),INT(D17),"")</f>
        <v/>
      </c>
      <c r="P17" s="32">
        <f>O17</f>
        <v/>
      </c>
      <c r="Q17" s="31">
        <f>IF(I17="","",IF(ISNUMBER(IFERROR(INDEX(Settings!$G$4:$G$11,MATCH(L17,Settings!$F$4:$F$11,0)),"")),INDEX(Settings!$G$4:$G$11,MATCH(L17,Settings!$F$4:$F$11,0)),Settings!$D$5))</f>
        <v/>
      </c>
      <c r="R17" s="32">
        <f>IF(OR(I17="",NOT(ISNUMBER(P17)),NOT(ISNUMBER(Q17))),"",IF(Q17&lt;=0,"",IF(ISNUMBER(Settings!$D$8),DATE(YEAR(P17)+IF(DATE(YEAR(P17),MONTH(Settings!$D$8),DAY(Settings!$D$8))&gt;P17,0,1),MONTH(Settings!$D$8),DAY(Settings!$D$8)),MIN(DATE(YEAR(P17),MONTH(P17)+Q17,DAY(P17)),DATE(YEAR(P17),MONTH(P17)+Q17+1,0)))))</f>
        <v/>
      </c>
      <c r="S17" s="31">
        <f>IF(ISNUMBER(R17),R17-Settings!$D$4,"")</f>
        <v/>
      </c>
      <c r="T17" s="31">
        <f>IF(ISNUMBER(P17),P17+0.5+ROW()/100000,"")</f>
        <v/>
      </c>
      <c r="U17" s="31">
        <f>IF(OR(K17="",NOT(ISNUMBER(T17))),0,IF(SUMPRODUCT(('Responses'!$AG$2:$AG$501=K17)*('Responses'!$AJ$2:$AJ$501=1)*ISNUMBER('Responses'!$AP$2:$AP$501)*('Responses'!$AP$2:$AP$501&gt;T17)) + SUMPRODUCT(('Paper sign-ups'!$K$2:$K$101=K17)*('Paper sign-ups'!$N$2:$N$101=1)*ISNUMBER('Paper sign-ups'!$T$2:$T$101)*('Paper sign-ups'!$T$2:$T$101&gt;T17))&gt;0,1,0))</f>
        <v/>
      </c>
      <c r="V17" s="31">
        <f>IF(I17="","",IF(U17=1,"Joined again",IF(N17=0,"Unpaid",IF(NOT(ISNUMBER(P17)),"Add a join date",IF(R17="","No reminder",IF(S17&lt;0,"Lapsed",IF(S17&lt;=Settings!$D$6,"Remind soon","Current")))))))</f>
        <v/>
      </c>
      <c r="W17" s="33">
        <f>IF(N17=1,IF(ISNUMBER(E17),E17,0),0)</f>
        <v/>
      </c>
      <c r="X17" s="31">
        <f>IF(AND(I17&lt;&gt;"",U17=0),1,0)</f>
        <v/>
      </c>
      <c r="Y17" s="31">
        <f>IF(X17=0,"",IF(ISNUMBER(R17),R17,100000)+0.5+ROW()/1000000)</f>
        <v/>
      </c>
      <c r="Z17" s="31">
        <f>IF(ISNUMBER(Y17),SUMPRODUCT(ISNUMBER('Responses'!$AU$2:$AU$501)*('Responses'!$AU$2:$AU$501&lt;Y17)) + SUMPRODUCT(ISNUMBER('Paper sign-ups'!$Y$2:$Y$101)*('Paper sign-ups'!$Y$2:$Y$101&lt;Y17))+1,"")</f>
        <v/>
      </c>
    </row>
    <row r="18">
      <c r="A18" s="30" t="n"/>
      <c r="B18" s="30" t="n"/>
      <c r="C18" s="30" t="n"/>
      <c r="D18" s="37" t="n"/>
      <c r="E18" s="38" t="n"/>
      <c r="F18" s="30" t="n"/>
      <c r="G18" s="30" t="n"/>
      <c r="H18" s="29" t="n"/>
      <c r="I18" s="31">
        <f>TRIM(A18&amp;"")</f>
        <v/>
      </c>
      <c r="J18" s="31">
        <f>TRIM(B18&amp;"")</f>
        <v/>
      </c>
      <c r="K18" s="31">
        <f>IF(I18="","",LOWER(IF(J18&lt;&gt;"",J18,I18)))</f>
        <v/>
      </c>
      <c r="L18" s="31">
        <f>TRIM(C18&amp;"")</f>
        <v/>
      </c>
      <c r="M18" s="31">
        <f>IF(I18="","",IF(UPPER(TRIM(F18&amp;""))="Y","Paid another way","Unpaid"))</f>
        <v/>
      </c>
      <c r="N18" s="31">
        <f>IF(I18="",0,IF(IFERROR(INDEX(Settings!$J$4:$J$14,MATCH(M18,Settings!$I$4:$I$14,0)),"N")="Y",1,0))</f>
        <v/>
      </c>
      <c r="O18" s="32">
        <f>IF(AND(I18&lt;&gt;"",ISNUMBER(D18)),INT(D18),"")</f>
        <v/>
      </c>
      <c r="P18" s="32">
        <f>O18</f>
        <v/>
      </c>
      <c r="Q18" s="31">
        <f>IF(I18="","",IF(ISNUMBER(IFERROR(INDEX(Settings!$G$4:$G$11,MATCH(L18,Settings!$F$4:$F$11,0)),"")),INDEX(Settings!$G$4:$G$11,MATCH(L18,Settings!$F$4:$F$11,0)),Settings!$D$5))</f>
        <v/>
      </c>
      <c r="R18" s="32">
        <f>IF(OR(I18="",NOT(ISNUMBER(P18)),NOT(ISNUMBER(Q18))),"",IF(Q18&lt;=0,"",IF(ISNUMBER(Settings!$D$8),DATE(YEAR(P18)+IF(DATE(YEAR(P18),MONTH(Settings!$D$8),DAY(Settings!$D$8))&gt;P18,0,1),MONTH(Settings!$D$8),DAY(Settings!$D$8)),MIN(DATE(YEAR(P18),MONTH(P18)+Q18,DAY(P18)),DATE(YEAR(P18),MONTH(P18)+Q18+1,0)))))</f>
        <v/>
      </c>
      <c r="S18" s="31">
        <f>IF(ISNUMBER(R18),R18-Settings!$D$4,"")</f>
        <v/>
      </c>
      <c r="T18" s="31">
        <f>IF(ISNUMBER(P18),P18+0.5+ROW()/100000,"")</f>
        <v/>
      </c>
      <c r="U18" s="31">
        <f>IF(OR(K18="",NOT(ISNUMBER(T18))),0,IF(SUMPRODUCT(('Responses'!$AG$2:$AG$501=K18)*('Responses'!$AJ$2:$AJ$501=1)*ISNUMBER('Responses'!$AP$2:$AP$501)*('Responses'!$AP$2:$AP$501&gt;T18)) + SUMPRODUCT(('Paper sign-ups'!$K$2:$K$101=K18)*('Paper sign-ups'!$N$2:$N$101=1)*ISNUMBER('Paper sign-ups'!$T$2:$T$101)*('Paper sign-ups'!$T$2:$T$101&gt;T18))&gt;0,1,0))</f>
        <v/>
      </c>
      <c r="V18" s="31">
        <f>IF(I18="","",IF(U18=1,"Joined again",IF(N18=0,"Unpaid",IF(NOT(ISNUMBER(P18)),"Add a join date",IF(R18="","No reminder",IF(S18&lt;0,"Lapsed",IF(S18&lt;=Settings!$D$6,"Remind soon","Current")))))))</f>
        <v/>
      </c>
      <c r="W18" s="33">
        <f>IF(N18=1,IF(ISNUMBER(E18),E18,0),0)</f>
        <v/>
      </c>
      <c r="X18" s="31">
        <f>IF(AND(I18&lt;&gt;"",U18=0),1,0)</f>
        <v/>
      </c>
      <c r="Y18" s="31">
        <f>IF(X18=0,"",IF(ISNUMBER(R18),R18,100000)+0.5+ROW()/1000000)</f>
        <v/>
      </c>
      <c r="Z18" s="31">
        <f>IF(ISNUMBER(Y18),SUMPRODUCT(ISNUMBER('Responses'!$AU$2:$AU$501)*('Responses'!$AU$2:$AU$501&lt;Y18)) + SUMPRODUCT(ISNUMBER('Paper sign-ups'!$Y$2:$Y$101)*('Paper sign-ups'!$Y$2:$Y$101&lt;Y18))+1,"")</f>
        <v/>
      </c>
    </row>
    <row r="19">
      <c r="A19" s="30" t="n"/>
      <c r="B19" s="30" t="n"/>
      <c r="C19" s="30" t="n"/>
      <c r="D19" s="37" t="n"/>
      <c r="E19" s="38" t="n"/>
      <c r="F19" s="30" t="n"/>
      <c r="G19" s="30" t="n"/>
      <c r="H19" s="29" t="n"/>
      <c r="I19" s="31">
        <f>TRIM(A19&amp;"")</f>
        <v/>
      </c>
      <c r="J19" s="31">
        <f>TRIM(B19&amp;"")</f>
        <v/>
      </c>
      <c r="K19" s="31">
        <f>IF(I19="","",LOWER(IF(J19&lt;&gt;"",J19,I19)))</f>
        <v/>
      </c>
      <c r="L19" s="31">
        <f>TRIM(C19&amp;"")</f>
        <v/>
      </c>
      <c r="M19" s="31">
        <f>IF(I19="","",IF(UPPER(TRIM(F19&amp;""))="Y","Paid another way","Unpaid"))</f>
        <v/>
      </c>
      <c r="N19" s="31">
        <f>IF(I19="",0,IF(IFERROR(INDEX(Settings!$J$4:$J$14,MATCH(M19,Settings!$I$4:$I$14,0)),"N")="Y",1,0))</f>
        <v/>
      </c>
      <c r="O19" s="32">
        <f>IF(AND(I19&lt;&gt;"",ISNUMBER(D19)),INT(D19),"")</f>
        <v/>
      </c>
      <c r="P19" s="32">
        <f>O19</f>
        <v/>
      </c>
      <c r="Q19" s="31">
        <f>IF(I19="","",IF(ISNUMBER(IFERROR(INDEX(Settings!$G$4:$G$11,MATCH(L19,Settings!$F$4:$F$11,0)),"")),INDEX(Settings!$G$4:$G$11,MATCH(L19,Settings!$F$4:$F$11,0)),Settings!$D$5))</f>
        <v/>
      </c>
      <c r="R19" s="32">
        <f>IF(OR(I19="",NOT(ISNUMBER(P19)),NOT(ISNUMBER(Q19))),"",IF(Q19&lt;=0,"",IF(ISNUMBER(Settings!$D$8),DATE(YEAR(P19)+IF(DATE(YEAR(P19),MONTH(Settings!$D$8),DAY(Settings!$D$8))&gt;P19,0,1),MONTH(Settings!$D$8),DAY(Settings!$D$8)),MIN(DATE(YEAR(P19),MONTH(P19)+Q19,DAY(P19)),DATE(YEAR(P19),MONTH(P19)+Q19+1,0)))))</f>
        <v/>
      </c>
      <c r="S19" s="31">
        <f>IF(ISNUMBER(R19),R19-Settings!$D$4,"")</f>
        <v/>
      </c>
      <c r="T19" s="31">
        <f>IF(ISNUMBER(P19),P19+0.5+ROW()/100000,"")</f>
        <v/>
      </c>
      <c r="U19" s="31">
        <f>IF(OR(K19="",NOT(ISNUMBER(T19))),0,IF(SUMPRODUCT(('Responses'!$AG$2:$AG$501=K19)*('Responses'!$AJ$2:$AJ$501=1)*ISNUMBER('Responses'!$AP$2:$AP$501)*('Responses'!$AP$2:$AP$501&gt;T19)) + SUMPRODUCT(('Paper sign-ups'!$K$2:$K$101=K19)*('Paper sign-ups'!$N$2:$N$101=1)*ISNUMBER('Paper sign-ups'!$T$2:$T$101)*('Paper sign-ups'!$T$2:$T$101&gt;T19))&gt;0,1,0))</f>
        <v/>
      </c>
      <c r="V19" s="31">
        <f>IF(I19="","",IF(U19=1,"Joined again",IF(N19=0,"Unpaid",IF(NOT(ISNUMBER(P19)),"Add a join date",IF(R19="","No reminder",IF(S19&lt;0,"Lapsed",IF(S19&lt;=Settings!$D$6,"Remind soon","Current")))))))</f>
        <v/>
      </c>
      <c r="W19" s="33">
        <f>IF(N19=1,IF(ISNUMBER(E19),E19,0),0)</f>
        <v/>
      </c>
      <c r="X19" s="31">
        <f>IF(AND(I19&lt;&gt;"",U19=0),1,0)</f>
        <v/>
      </c>
      <c r="Y19" s="31">
        <f>IF(X19=0,"",IF(ISNUMBER(R19),R19,100000)+0.5+ROW()/1000000)</f>
        <v/>
      </c>
      <c r="Z19" s="31">
        <f>IF(ISNUMBER(Y19),SUMPRODUCT(ISNUMBER('Responses'!$AU$2:$AU$501)*('Responses'!$AU$2:$AU$501&lt;Y19)) + SUMPRODUCT(ISNUMBER('Paper sign-ups'!$Y$2:$Y$101)*('Paper sign-ups'!$Y$2:$Y$101&lt;Y19))+1,"")</f>
        <v/>
      </c>
    </row>
    <row r="20">
      <c r="A20" s="30" t="n"/>
      <c r="B20" s="30" t="n"/>
      <c r="C20" s="30" t="n"/>
      <c r="D20" s="37" t="n"/>
      <c r="E20" s="38" t="n"/>
      <c r="F20" s="30" t="n"/>
      <c r="G20" s="30" t="n"/>
      <c r="H20" s="29" t="n"/>
      <c r="I20" s="31">
        <f>TRIM(A20&amp;"")</f>
        <v/>
      </c>
      <c r="J20" s="31">
        <f>TRIM(B20&amp;"")</f>
        <v/>
      </c>
      <c r="K20" s="31">
        <f>IF(I20="","",LOWER(IF(J20&lt;&gt;"",J20,I20)))</f>
        <v/>
      </c>
      <c r="L20" s="31">
        <f>TRIM(C20&amp;"")</f>
        <v/>
      </c>
      <c r="M20" s="31">
        <f>IF(I20="","",IF(UPPER(TRIM(F20&amp;""))="Y","Paid another way","Unpaid"))</f>
        <v/>
      </c>
      <c r="N20" s="31">
        <f>IF(I20="",0,IF(IFERROR(INDEX(Settings!$J$4:$J$14,MATCH(M20,Settings!$I$4:$I$14,0)),"N")="Y",1,0))</f>
        <v/>
      </c>
      <c r="O20" s="32">
        <f>IF(AND(I20&lt;&gt;"",ISNUMBER(D20)),INT(D20),"")</f>
        <v/>
      </c>
      <c r="P20" s="32">
        <f>O20</f>
        <v/>
      </c>
      <c r="Q20" s="31">
        <f>IF(I20="","",IF(ISNUMBER(IFERROR(INDEX(Settings!$G$4:$G$11,MATCH(L20,Settings!$F$4:$F$11,0)),"")),INDEX(Settings!$G$4:$G$11,MATCH(L20,Settings!$F$4:$F$11,0)),Settings!$D$5))</f>
        <v/>
      </c>
      <c r="R20" s="32">
        <f>IF(OR(I20="",NOT(ISNUMBER(P20)),NOT(ISNUMBER(Q20))),"",IF(Q20&lt;=0,"",IF(ISNUMBER(Settings!$D$8),DATE(YEAR(P20)+IF(DATE(YEAR(P20),MONTH(Settings!$D$8),DAY(Settings!$D$8))&gt;P20,0,1),MONTH(Settings!$D$8),DAY(Settings!$D$8)),MIN(DATE(YEAR(P20),MONTH(P20)+Q20,DAY(P20)),DATE(YEAR(P20),MONTH(P20)+Q20+1,0)))))</f>
        <v/>
      </c>
      <c r="S20" s="31">
        <f>IF(ISNUMBER(R20),R20-Settings!$D$4,"")</f>
        <v/>
      </c>
      <c r="T20" s="31">
        <f>IF(ISNUMBER(P20),P20+0.5+ROW()/100000,"")</f>
        <v/>
      </c>
      <c r="U20" s="31">
        <f>IF(OR(K20="",NOT(ISNUMBER(T20))),0,IF(SUMPRODUCT(('Responses'!$AG$2:$AG$501=K20)*('Responses'!$AJ$2:$AJ$501=1)*ISNUMBER('Responses'!$AP$2:$AP$501)*('Responses'!$AP$2:$AP$501&gt;T20)) + SUMPRODUCT(('Paper sign-ups'!$K$2:$K$101=K20)*('Paper sign-ups'!$N$2:$N$101=1)*ISNUMBER('Paper sign-ups'!$T$2:$T$101)*('Paper sign-ups'!$T$2:$T$101&gt;T20))&gt;0,1,0))</f>
        <v/>
      </c>
      <c r="V20" s="31">
        <f>IF(I20="","",IF(U20=1,"Joined again",IF(N20=0,"Unpaid",IF(NOT(ISNUMBER(P20)),"Add a join date",IF(R20="","No reminder",IF(S20&lt;0,"Lapsed",IF(S20&lt;=Settings!$D$6,"Remind soon","Current")))))))</f>
        <v/>
      </c>
      <c r="W20" s="33">
        <f>IF(N20=1,IF(ISNUMBER(E20),E20,0),0)</f>
        <v/>
      </c>
      <c r="X20" s="31">
        <f>IF(AND(I20&lt;&gt;"",U20=0),1,0)</f>
        <v/>
      </c>
      <c r="Y20" s="31">
        <f>IF(X20=0,"",IF(ISNUMBER(R20),R20,100000)+0.5+ROW()/1000000)</f>
        <v/>
      </c>
      <c r="Z20" s="31">
        <f>IF(ISNUMBER(Y20),SUMPRODUCT(ISNUMBER('Responses'!$AU$2:$AU$501)*('Responses'!$AU$2:$AU$501&lt;Y20)) + SUMPRODUCT(ISNUMBER('Paper sign-ups'!$Y$2:$Y$101)*('Paper sign-ups'!$Y$2:$Y$101&lt;Y20))+1,"")</f>
        <v/>
      </c>
    </row>
    <row r="21">
      <c r="A21" s="30" t="n"/>
      <c r="B21" s="30" t="n"/>
      <c r="C21" s="30" t="n"/>
      <c r="D21" s="37" t="n"/>
      <c r="E21" s="38" t="n"/>
      <c r="F21" s="30" t="n"/>
      <c r="G21" s="30" t="n"/>
      <c r="H21" s="29" t="n"/>
      <c r="I21" s="31">
        <f>TRIM(A21&amp;"")</f>
        <v/>
      </c>
      <c r="J21" s="31">
        <f>TRIM(B21&amp;"")</f>
        <v/>
      </c>
      <c r="K21" s="31">
        <f>IF(I21="","",LOWER(IF(J21&lt;&gt;"",J21,I21)))</f>
        <v/>
      </c>
      <c r="L21" s="31">
        <f>TRIM(C21&amp;"")</f>
        <v/>
      </c>
      <c r="M21" s="31">
        <f>IF(I21="","",IF(UPPER(TRIM(F21&amp;""))="Y","Paid another way","Unpaid"))</f>
        <v/>
      </c>
      <c r="N21" s="31">
        <f>IF(I21="",0,IF(IFERROR(INDEX(Settings!$J$4:$J$14,MATCH(M21,Settings!$I$4:$I$14,0)),"N")="Y",1,0))</f>
        <v/>
      </c>
      <c r="O21" s="32">
        <f>IF(AND(I21&lt;&gt;"",ISNUMBER(D21)),INT(D21),"")</f>
        <v/>
      </c>
      <c r="P21" s="32">
        <f>O21</f>
        <v/>
      </c>
      <c r="Q21" s="31">
        <f>IF(I21="","",IF(ISNUMBER(IFERROR(INDEX(Settings!$G$4:$G$11,MATCH(L21,Settings!$F$4:$F$11,0)),"")),INDEX(Settings!$G$4:$G$11,MATCH(L21,Settings!$F$4:$F$11,0)),Settings!$D$5))</f>
        <v/>
      </c>
      <c r="R21" s="32">
        <f>IF(OR(I21="",NOT(ISNUMBER(P21)),NOT(ISNUMBER(Q21))),"",IF(Q21&lt;=0,"",IF(ISNUMBER(Settings!$D$8),DATE(YEAR(P21)+IF(DATE(YEAR(P21),MONTH(Settings!$D$8),DAY(Settings!$D$8))&gt;P21,0,1),MONTH(Settings!$D$8),DAY(Settings!$D$8)),MIN(DATE(YEAR(P21),MONTH(P21)+Q21,DAY(P21)),DATE(YEAR(P21),MONTH(P21)+Q21+1,0)))))</f>
        <v/>
      </c>
      <c r="S21" s="31">
        <f>IF(ISNUMBER(R21),R21-Settings!$D$4,"")</f>
        <v/>
      </c>
      <c r="T21" s="31">
        <f>IF(ISNUMBER(P21),P21+0.5+ROW()/100000,"")</f>
        <v/>
      </c>
      <c r="U21" s="31">
        <f>IF(OR(K21="",NOT(ISNUMBER(T21))),0,IF(SUMPRODUCT(('Responses'!$AG$2:$AG$501=K21)*('Responses'!$AJ$2:$AJ$501=1)*ISNUMBER('Responses'!$AP$2:$AP$501)*('Responses'!$AP$2:$AP$501&gt;T21)) + SUMPRODUCT(('Paper sign-ups'!$K$2:$K$101=K21)*('Paper sign-ups'!$N$2:$N$101=1)*ISNUMBER('Paper sign-ups'!$T$2:$T$101)*('Paper sign-ups'!$T$2:$T$101&gt;T21))&gt;0,1,0))</f>
        <v/>
      </c>
      <c r="V21" s="31">
        <f>IF(I21="","",IF(U21=1,"Joined again",IF(N21=0,"Unpaid",IF(NOT(ISNUMBER(P21)),"Add a join date",IF(R21="","No reminder",IF(S21&lt;0,"Lapsed",IF(S21&lt;=Settings!$D$6,"Remind soon","Current")))))))</f>
        <v/>
      </c>
      <c r="W21" s="33">
        <f>IF(N21=1,IF(ISNUMBER(E21),E21,0),0)</f>
        <v/>
      </c>
      <c r="X21" s="31">
        <f>IF(AND(I21&lt;&gt;"",U21=0),1,0)</f>
        <v/>
      </c>
      <c r="Y21" s="31">
        <f>IF(X21=0,"",IF(ISNUMBER(R21),R21,100000)+0.5+ROW()/1000000)</f>
        <v/>
      </c>
      <c r="Z21" s="31">
        <f>IF(ISNUMBER(Y21),SUMPRODUCT(ISNUMBER('Responses'!$AU$2:$AU$501)*('Responses'!$AU$2:$AU$501&lt;Y21)) + SUMPRODUCT(ISNUMBER('Paper sign-ups'!$Y$2:$Y$101)*('Paper sign-ups'!$Y$2:$Y$101&lt;Y21))+1,"")</f>
        <v/>
      </c>
    </row>
    <row r="22">
      <c r="A22" s="30" t="n"/>
      <c r="B22" s="30" t="n"/>
      <c r="C22" s="30" t="n"/>
      <c r="D22" s="37" t="n"/>
      <c r="E22" s="38" t="n"/>
      <c r="F22" s="30" t="n"/>
      <c r="G22" s="30" t="n"/>
      <c r="H22" s="29" t="n"/>
      <c r="I22" s="31">
        <f>TRIM(A22&amp;"")</f>
        <v/>
      </c>
      <c r="J22" s="31">
        <f>TRIM(B22&amp;"")</f>
        <v/>
      </c>
      <c r="K22" s="31">
        <f>IF(I22="","",LOWER(IF(J22&lt;&gt;"",J22,I22)))</f>
        <v/>
      </c>
      <c r="L22" s="31">
        <f>TRIM(C22&amp;"")</f>
        <v/>
      </c>
      <c r="M22" s="31">
        <f>IF(I22="","",IF(UPPER(TRIM(F22&amp;""))="Y","Paid another way","Unpaid"))</f>
        <v/>
      </c>
      <c r="N22" s="31">
        <f>IF(I22="",0,IF(IFERROR(INDEX(Settings!$J$4:$J$14,MATCH(M22,Settings!$I$4:$I$14,0)),"N")="Y",1,0))</f>
        <v/>
      </c>
      <c r="O22" s="32">
        <f>IF(AND(I22&lt;&gt;"",ISNUMBER(D22)),INT(D22),"")</f>
        <v/>
      </c>
      <c r="P22" s="32">
        <f>O22</f>
        <v/>
      </c>
      <c r="Q22" s="31">
        <f>IF(I22="","",IF(ISNUMBER(IFERROR(INDEX(Settings!$G$4:$G$11,MATCH(L22,Settings!$F$4:$F$11,0)),"")),INDEX(Settings!$G$4:$G$11,MATCH(L22,Settings!$F$4:$F$11,0)),Settings!$D$5))</f>
        <v/>
      </c>
      <c r="R22" s="32">
        <f>IF(OR(I22="",NOT(ISNUMBER(P22)),NOT(ISNUMBER(Q22))),"",IF(Q22&lt;=0,"",IF(ISNUMBER(Settings!$D$8),DATE(YEAR(P22)+IF(DATE(YEAR(P22),MONTH(Settings!$D$8),DAY(Settings!$D$8))&gt;P22,0,1),MONTH(Settings!$D$8),DAY(Settings!$D$8)),MIN(DATE(YEAR(P22),MONTH(P22)+Q22,DAY(P22)),DATE(YEAR(P22),MONTH(P22)+Q22+1,0)))))</f>
        <v/>
      </c>
      <c r="S22" s="31">
        <f>IF(ISNUMBER(R22),R22-Settings!$D$4,"")</f>
        <v/>
      </c>
      <c r="T22" s="31">
        <f>IF(ISNUMBER(P22),P22+0.5+ROW()/100000,"")</f>
        <v/>
      </c>
      <c r="U22" s="31">
        <f>IF(OR(K22="",NOT(ISNUMBER(T22))),0,IF(SUMPRODUCT(('Responses'!$AG$2:$AG$501=K22)*('Responses'!$AJ$2:$AJ$501=1)*ISNUMBER('Responses'!$AP$2:$AP$501)*('Responses'!$AP$2:$AP$501&gt;T22)) + SUMPRODUCT(('Paper sign-ups'!$K$2:$K$101=K22)*('Paper sign-ups'!$N$2:$N$101=1)*ISNUMBER('Paper sign-ups'!$T$2:$T$101)*('Paper sign-ups'!$T$2:$T$101&gt;T22))&gt;0,1,0))</f>
        <v/>
      </c>
      <c r="V22" s="31">
        <f>IF(I22="","",IF(U22=1,"Joined again",IF(N22=0,"Unpaid",IF(NOT(ISNUMBER(P22)),"Add a join date",IF(R22="","No reminder",IF(S22&lt;0,"Lapsed",IF(S22&lt;=Settings!$D$6,"Remind soon","Current")))))))</f>
        <v/>
      </c>
      <c r="W22" s="33">
        <f>IF(N22=1,IF(ISNUMBER(E22),E22,0),0)</f>
        <v/>
      </c>
      <c r="X22" s="31">
        <f>IF(AND(I22&lt;&gt;"",U22=0),1,0)</f>
        <v/>
      </c>
      <c r="Y22" s="31">
        <f>IF(X22=0,"",IF(ISNUMBER(R22),R22,100000)+0.5+ROW()/1000000)</f>
        <v/>
      </c>
      <c r="Z22" s="31">
        <f>IF(ISNUMBER(Y22),SUMPRODUCT(ISNUMBER('Responses'!$AU$2:$AU$501)*('Responses'!$AU$2:$AU$501&lt;Y22)) + SUMPRODUCT(ISNUMBER('Paper sign-ups'!$Y$2:$Y$101)*('Paper sign-ups'!$Y$2:$Y$101&lt;Y22))+1,"")</f>
        <v/>
      </c>
    </row>
    <row r="23">
      <c r="A23" s="30" t="n"/>
      <c r="B23" s="30" t="n"/>
      <c r="C23" s="30" t="n"/>
      <c r="D23" s="37" t="n"/>
      <c r="E23" s="38" t="n"/>
      <c r="F23" s="30" t="n"/>
      <c r="G23" s="30" t="n"/>
      <c r="H23" s="29" t="n"/>
      <c r="I23" s="31">
        <f>TRIM(A23&amp;"")</f>
        <v/>
      </c>
      <c r="J23" s="31">
        <f>TRIM(B23&amp;"")</f>
        <v/>
      </c>
      <c r="K23" s="31">
        <f>IF(I23="","",LOWER(IF(J23&lt;&gt;"",J23,I23)))</f>
        <v/>
      </c>
      <c r="L23" s="31">
        <f>TRIM(C23&amp;"")</f>
        <v/>
      </c>
      <c r="M23" s="31">
        <f>IF(I23="","",IF(UPPER(TRIM(F23&amp;""))="Y","Paid another way","Unpaid"))</f>
        <v/>
      </c>
      <c r="N23" s="31">
        <f>IF(I23="",0,IF(IFERROR(INDEX(Settings!$J$4:$J$14,MATCH(M23,Settings!$I$4:$I$14,0)),"N")="Y",1,0))</f>
        <v/>
      </c>
      <c r="O23" s="32">
        <f>IF(AND(I23&lt;&gt;"",ISNUMBER(D23)),INT(D23),"")</f>
        <v/>
      </c>
      <c r="P23" s="32">
        <f>O23</f>
        <v/>
      </c>
      <c r="Q23" s="31">
        <f>IF(I23="","",IF(ISNUMBER(IFERROR(INDEX(Settings!$G$4:$G$11,MATCH(L23,Settings!$F$4:$F$11,0)),"")),INDEX(Settings!$G$4:$G$11,MATCH(L23,Settings!$F$4:$F$11,0)),Settings!$D$5))</f>
        <v/>
      </c>
      <c r="R23" s="32">
        <f>IF(OR(I23="",NOT(ISNUMBER(P23)),NOT(ISNUMBER(Q23))),"",IF(Q23&lt;=0,"",IF(ISNUMBER(Settings!$D$8),DATE(YEAR(P23)+IF(DATE(YEAR(P23),MONTH(Settings!$D$8),DAY(Settings!$D$8))&gt;P23,0,1),MONTH(Settings!$D$8),DAY(Settings!$D$8)),MIN(DATE(YEAR(P23),MONTH(P23)+Q23,DAY(P23)),DATE(YEAR(P23),MONTH(P23)+Q23+1,0)))))</f>
        <v/>
      </c>
      <c r="S23" s="31">
        <f>IF(ISNUMBER(R23),R23-Settings!$D$4,"")</f>
        <v/>
      </c>
      <c r="T23" s="31">
        <f>IF(ISNUMBER(P23),P23+0.5+ROW()/100000,"")</f>
        <v/>
      </c>
      <c r="U23" s="31">
        <f>IF(OR(K23="",NOT(ISNUMBER(T23))),0,IF(SUMPRODUCT(('Responses'!$AG$2:$AG$501=K23)*('Responses'!$AJ$2:$AJ$501=1)*ISNUMBER('Responses'!$AP$2:$AP$501)*('Responses'!$AP$2:$AP$501&gt;T23)) + SUMPRODUCT(('Paper sign-ups'!$K$2:$K$101=K23)*('Paper sign-ups'!$N$2:$N$101=1)*ISNUMBER('Paper sign-ups'!$T$2:$T$101)*('Paper sign-ups'!$T$2:$T$101&gt;T23))&gt;0,1,0))</f>
        <v/>
      </c>
      <c r="V23" s="31">
        <f>IF(I23="","",IF(U23=1,"Joined again",IF(N23=0,"Unpaid",IF(NOT(ISNUMBER(P23)),"Add a join date",IF(R23="","No reminder",IF(S23&lt;0,"Lapsed",IF(S23&lt;=Settings!$D$6,"Remind soon","Current")))))))</f>
        <v/>
      </c>
      <c r="W23" s="33">
        <f>IF(N23=1,IF(ISNUMBER(E23),E23,0),0)</f>
        <v/>
      </c>
      <c r="X23" s="31">
        <f>IF(AND(I23&lt;&gt;"",U23=0),1,0)</f>
        <v/>
      </c>
      <c r="Y23" s="31">
        <f>IF(X23=0,"",IF(ISNUMBER(R23),R23,100000)+0.5+ROW()/1000000)</f>
        <v/>
      </c>
      <c r="Z23" s="31">
        <f>IF(ISNUMBER(Y23),SUMPRODUCT(ISNUMBER('Responses'!$AU$2:$AU$501)*('Responses'!$AU$2:$AU$501&lt;Y23)) + SUMPRODUCT(ISNUMBER('Paper sign-ups'!$Y$2:$Y$101)*('Paper sign-ups'!$Y$2:$Y$101&lt;Y23))+1,"")</f>
        <v/>
      </c>
    </row>
    <row r="24">
      <c r="A24" s="30" t="n"/>
      <c r="B24" s="30" t="n"/>
      <c r="C24" s="30" t="n"/>
      <c r="D24" s="37" t="n"/>
      <c r="E24" s="38" t="n"/>
      <c r="F24" s="30" t="n"/>
      <c r="G24" s="30" t="n"/>
      <c r="H24" s="29" t="n"/>
      <c r="I24" s="31">
        <f>TRIM(A24&amp;"")</f>
        <v/>
      </c>
      <c r="J24" s="31">
        <f>TRIM(B24&amp;"")</f>
        <v/>
      </c>
      <c r="K24" s="31">
        <f>IF(I24="","",LOWER(IF(J24&lt;&gt;"",J24,I24)))</f>
        <v/>
      </c>
      <c r="L24" s="31">
        <f>TRIM(C24&amp;"")</f>
        <v/>
      </c>
      <c r="M24" s="31">
        <f>IF(I24="","",IF(UPPER(TRIM(F24&amp;""))="Y","Paid another way","Unpaid"))</f>
        <v/>
      </c>
      <c r="N24" s="31">
        <f>IF(I24="",0,IF(IFERROR(INDEX(Settings!$J$4:$J$14,MATCH(M24,Settings!$I$4:$I$14,0)),"N")="Y",1,0))</f>
        <v/>
      </c>
      <c r="O24" s="32">
        <f>IF(AND(I24&lt;&gt;"",ISNUMBER(D24)),INT(D24),"")</f>
        <v/>
      </c>
      <c r="P24" s="32">
        <f>O24</f>
        <v/>
      </c>
      <c r="Q24" s="31">
        <f>IF(I24="","",IF(ISNUMBER(IFERROR(INDEX(Settings!$G$4:$G$11,MATCH(L24,Settings!$F$4:$F$11,0)),"")),INDEX(Settings!$G$4:$G$11,MATCH(L24,Settings!$F$4:$F$11,0)),Settings!$D$5))</f>
        <v/>
      </c>
      <c r="R24" s="32">
        <f>IF(OR(I24="",NOT(ISNUMBER(P24)),NOT(ISNUMBER(Q24))),"",IF(Q24&lt;=0,"",IF(ISNUMBER(Settings!$D$8),DATE(YEAR(P24)+IF(DATE(YEAR(P24),MONTH(Settings!$D$8),DAY(Settings!$D$8))&gt;P24,0,1),MONTH(Settings!$D$8),DAY(Settings!$D$8)),MIN(DATE(YEAR(P24),MONTH(P24)+Q24,DAY(P24)),DATE(YEAR(P24),MONTH(P24)+Q24+1,0)))))</f>
        <v/>
      </c>
      <c r="S24" s="31">
        <f>IF(ISNUMBER(R24),R24-Settings!$D$4,"")</f>
        <v/>
      </c>
      <c r="T24" s="31">
        <f>IF(ISNUMBER(P24),P24+0.5+ROW()/100000,"")</f>
        <v/>
      </c>
      <c r="U24" s="31">
        <f>IF(OR(K24="",NOT(ISNUMBER(T24))),0,IF(SUMPRODUCT(('Responses'!$AG$2:$AG$501=K24)*('Responses'!$AJ$2:$AJ$501=1)*ISNUMBER('Responses'!$AP$2:$AP$501)*('Responses'!$AP$2:$AP$501&gt;T24)) + SUMPRODUCT(('Paper sign-ups'!$K$2:$K$101=K24)*('Paper sign-ups'!$N$2:$N$101=1)*ISNUMBER('Paper sign-ups'!$T$2:$T$101)*('Paper sign-ups'!$T$2:$T$101&gt;T24))&gt;0,1,0))</f>
        <v/>
      </c>
      <c r="V24" s="31">
        <f>IF(I24="","",IF(U24=1,"Joined again",IF(N24=0,"Unpaid",IF(NOT(ISNUMBER(P24)),"Add a join date",IF(R24="","No reminder",IF(S24&lt;0,"Lapsed",IF(S24&lt;=Settings!$D$6,"Remind soon","Current")))))))</f>
        <v/>
      </c>
      <c r="W24" s="33">
        <f>IF(N24=1,IF(ISNUMBER(E24),E24,0),0)</f>
        <v/>
      </c>
      <c r="X24" s="31">
        <f>IF(AND(I24&lt;&gt;"",U24=0),1,0)</f>
        <v/>
      </c>
      <c r="Y24" s="31">
        <f>IF(X24=0,"",IF(ISNUMBER(R24),R24,100000)+0.5+ROW()/1000000)</f>
        <v/>
      </c>
      <c r="Z24" s="31">
        <f>IF(ISNUMBER(Y24),SUMPRODUCT(ISNUMBER('Responses'!$AU$2:$AU$501)*('Responses'!$AU$2:$AU$501&lt;Y24)) + SUMPRODUCT(ISNUMBER('Paper sign-ups'!$Y$2:$Y$101)*('Paper sign-ups'!$Y$2:$Y$101&lt;Y24))+1,"")</f>
        <v/>
      </c>
    </row>
    <row r="25">
      <c r="A25" s="30" t="n"/>
      <c r="B25" s="30" t="n"/>
      <c r="C25" s="30" t="n"/>
      <c r="D25" s="37" t="n"/>
      <c r="E25" s="38" t="n"/>
      <c r="F25" s="30" t="n"/>
      <c r="G25" s="30" t="n"/>
      <c r="H25" s="29" t="n"/>
      <c r="I25" s="31">
        <f>TRIM(A25&amp;"")</f>
        <v/>
      </c>
      <c r="J25" s="31">
        <f>TRIM(B25&amp;"")</f>
        <v/>
      </c>
      <c r="K25" s="31">
        <f>IF(I25="","",LOWER(IF(J25&lt;&gt;"",J25,I25)))</f>
        <v/>
      </c>
      <c r="L25" s="31">
        <f>TRIM(C25&amp;"")</f>
        <v/>
      </c>
      <c r="M25" s="31">
        <f>IF(I25="","",IF(UPPER(TRIM(F25&amp;""))="Y","Paid another way","Unpaid"))</f>
        <v/>
      </c>
      <c r="N25" s="31">
        <f>IF(I25="",0,IF(IFERROR(INDEX(Settings!$J$4:$J$14,MATCH(M25,Settings!$I$4:$I$14,0)),"N")="Y",1,0))</f>
        <v/>
      </c>
      <c r="O25" s="32">
        <f>IF(AND(I25&lt;&gt;"",ISNUMBER(D25)),INT(D25),"")</f>
        <v/>
      </c>
      <c r="P25" s="32">
        <f>O25</f>
        <v/>
      </c>
      <c r="Q25" s="31">
        <f>IF(I25="","",IF(ISNUMBER(IFERROR(INDEX(Settings!$G$4:$G$11,MATCH(L25,Settings!$F$4:$F$11,0)),"")),INDEX(Settings!$G$4:$G$11,MATCH(L25,Settings!$F$4:$F$11,0)),Settings!$D$5))</f>
        <v/>
      </c>
      <c r="R25" s="32">
        <f>IF(OR(I25="",NOT(ISNUMBER(P25)),NOT(ISNUMBER(Q25))),"",IF(Q25&lt;=0,"",IF(ISNUMBER(Settings!$D$8),DATE(YEAR(P25)+IF(DATE(YEAR(P25),MONTH(Settings!$D$8),DAY(Settings!$D$8))&gt;P25,0,1),MONTH(Settings!$D$8),DAY(Settings!$D$8)),MIN(DATE(YEAR(P25),MONTH(P25)+Q25,DAY(P25)),DATE(YEAR(P25),MONTH(P25)+Q25+1,0)))))</f>
        <v/>
      </c>
      <c r="S25" s="31">
        <f>IF(ISNUMBER(R25),R25-Settings!$D$4,"")</f>
        <v/>
      </c>
      <c r="T25" s="31">
        <f>IF(ISNUMBER(P25),P25+0.5+ROW()/100000,"")</f>
        <v/>
      </c>
      <c r="U25" s="31">
        <f>IF(OR(K25="",NOT(ISNUMBER(T25))),0,IF(SUMPRODUCT(('Responses'!$AG$2:$AG$501=K25)*('Responses'!$AJ$2:$AJ$501=1)*ISNUMBER('Responses'!$AP$2:$AP$501)*('Responses'!$AP$2:$AP$501&gt;T25)) + SUMPRODUCT(('Paper sign-ups'!$K$2:$K$101=K25)*('Paper sign-ups'!$N$2:$N$101=1)*ISNUMBER('Paper sign-ups'!$T$2:$T$101)*('Paper sign-ups'!$T$2:$T$101&gt;T25))&gt;0,1,0))</f>
        <v/>
      </c>
      <c r="V25" s="31">
        <f>IF(I25="","",IF(U25=1,"Joined again",IF(N25=0,"Unpaid",IF(NOT(ISNUMBER(P25)),"Add a join date",IF(R25="","No reminder",IF(S25&lt;0,"Lapsed",IF(S25&lt;=Settings!$D$6,"Remind soon","Current")))))))</f>
        <v/>
      </c>
      <c r="W25" s="33">
        <f>IF(N25=1,IF(ISNUMBER(E25),E25,0),0)</f>
        <v/>
      </c>
      <c r="X25" s="31">
        <f>IF(AND(I25&lt;&gt;"",U25=0),1,0)</f>
        <v/>
      </c>
      <c r="Y25" s="31">
        <f>IF(X25=0,"",IF(ISNUMBER(R25),R25,100000)+0.5+ROW()/1000000)</f>
        <v/>
      </c>
      <c r="Z25" s="31">
        <f>IF(ISNUMBER(Y25),SUMPRODUCT(ISNUMBER('Responses'!$AU$2:$AU$501)*('Responses'!$AU$2:$AU$501&lt;Y25)) + SUMPRODUCT(ISNUMBER('Paper sign-ups'!$Y$2:$Y$101)*('Paper sign-ups'!$Y$2:$Y$101&lt;Y25))+1,"")</f>
        <v/>
      </c>
    </row>
    <row r="26">
      <c r="A26" s="30" t="n"/>
      <c r="B26" s="30" t="n"/>
      <c r="C26" s="30" t="n"/>
      <c r="D26" s="37" t="n"/>
      <c r="E26" s="38" t="n"/>
      <c r="F26" s="30" t="n"/>
      <c r="G26" s="30" t="n"/>
      <c r="H26" s="29" t="n"/>
      <c r="I26" s="31">
        <f>TRIM(A26&amp;"")</f>
        <v/>
      </c>
      <c r="J26" s="31">
        <f>TRIM(B26&amp;"")</f>
        <v/>
      </c>
      <c r="K26" s="31">
        <f>IF(I26="","",LOWER(IF(J26&lt;&gt;"",J26,I26)))</f>
        <v/>
      </c>
      <c r="L26" s="31">
        <f>TRIM(C26&amp;"")</f>
        <v/>
      </c>
      <c r="M26" s="31">
        <f>IF(I26="","",IF(UPPER(TRIM(F26&amp;""))="Y","Paid another way","Unpaid"))</f>
        <v/>
      </c>
      <c r="N26" s="31">
        <f>IF(I26="",0,IF(IFERROR(INDEX(Settings!$J$4:$J$14,MATCH(M26,Settings!$I$4:$I$14,0)),"N")="Y",1,0))</f>
        <v/>
      </c>
      <c r="O26" s="32">
        <f>IF(AND(I26&lt;&gt;"",ISNUMBER(D26)),INT(D26),"")</f>
        <v/>
      </c>
      <c r="P26" s="32">
        <f>O26</f>
        <v/>
      </c>
      <c r="Q26" s="31">
        <f>IF(I26="","",IF(ISNUMBER(IFERROR(INDEX(Settings!$G$4:$G$11,MATCH(L26,Settings!$F$4:$F$11,0)),"")),INDEX(Settings!$G$4:$G$11,MATCH(L26,Settings!$F$4:$F$11,0)),Settings!$D$5))</f>
        <v/>
      </c>
      <c r="R26" s="32">
        <f>IF(OR(I26="",NOT(ISNUMBER(P26)),NOT(ISNUMBER(Q26))),"",IF(Q26&lt;=0,"",IF(ISNUMBER(Settings!$D$8),DATE(YEAR(P26)+IF(DATE(YEAR(P26),MONTH(Settings!$D$8),DAY(Settings!$D$8))&gt;P26,0,1),MONTH(Settings!$D$8),DAY(Settings!$D$8)),MIN(DATE(YEAR(P26),MONTH(P26)+Q26,DAY(P26)),DATE(YEAR(P26),MONTH(P26)+Q26+1,0)))))</f>
        <v/>
      </c>
      <c r="S26" s="31">
        <f>IF(ISNUMBER(R26),R26-Settings!$D$4,"")</f>
        <v/>
      </c>
      <c r="T26" s="31">
        <f>IF(ISNUMBER(P26),P26+0.5+ROW()/100000,"")</f>
        <v/>
      </c>
      <c r="U26" s="31">
        <f>IF(OR(K26="",NOT(ISNUMBER(T26))),0,IF(SUMPRODUCT(('Responses'!$AG$2:$AG$501=K26)*('Responses'!$AJ$2:$AJ$501=1)*ISNUMBER('Responses'!$AP$2:$AP$501)*('Responses'!$AP$2:$AP$501&gt;T26)) + SUMPRODUCT(('Paper sign-ups'!$K$2:$K$101=K26)*('Paper sign-ups'!$N$2:$N$101=1)*ISNUMBER('Paper sign-ups'!$T$2:$T$101)*('Paper sign-ups'!$T$2:$T$101&gt;T26))&gt;0,1,0))</f>
        <v/>
      </c>
      <c r="V26" s="31">
        <f>IF(I26="","",IF(U26=1,"Joined again",IF(N26=0,"Unpaid",IF(NOT(ISNUMBER(P26)),"Add a join date",IF(R26="","No reminder",IF(S26&lt;0,"Lapsed",IF(S26&lt;=Settings!$D$6,"Remind soon","Current")))))))</f>
        <v/>
      </c>
      <c r="W26" s="33">
        <f>IF(N26=1,IF(ISNUMBER(E26),E26,0),0)</f>
        <v/>
      </c>
      <c r="X26" s="31">
        <f>IF(AND(I26&lt;&gt;"",U26=0),1,0)</f>
        <v/>
      </c>
      <c r="Y26" s="31">
        <f>IF(X26=0,"",IF(ISNUMBER(R26),R26,100000)+0.5+ROW()/1000000)</f>
        <v/>
      </c>
      <c r="Z26" s="31">
        <f>IF(ISNUMBER(Y26),SUMPRODUCT(ISNUMBER('Responses'!$AU$2:$AU$501)*('Responses'!$AU$2:$AU$501&lt;Y26)) + SUMPRODUCT(ISNUMBER('Paper sign-ups'!$Y$2:$Y$101)*('Paper sign-ups'!$Y$2:$Y$101&lt;Y26))+1,"")</f>
        <v/>
      </c>
    </row>
    <row r="27">
      <c r="A27" s="30" t="n"/>
      <c r="B27" s="30" t="n"/>
      <c r="C27" s="30" t="n"/>
      <c r="D27" s="37" t="n"/>
      <c r="E27" s="38" t="n"/>
      <c r="F27" s="30" t="n"/>
      <c r="G27" s="30" t="n"/>
      <c r="H27" s="29" t="n"/>
      <c r="I27" s="31">
        <f>TRIM(A27&amp;"")</f>
        <v/>
      </c>
      <c r="J27" s="31">
        <f>TRIM(B27&amp;"")</f>
        <v/>
      </c>
      <c r="K27" s="31">
        <f>IF(I27="","",LOWER(IF(J27&lt;&gt;"",J27,I27)))</f>
        <v/>
      </c>
      <c r="L27" s="31">
        <f>TRIM(C27&amp;"")</f>
        <v/>
      </c>
      <c r="M27" s="31">
        <f>IF(I27="","",IF(UPPER(TRIM(F27&amp;""))="Y","Paid another way","Unpaid"))</f>
        <v/>
      </c>
      <c r="N27" s="31">
        <f>IF(I27="",0,IF(IFERROR(INDEX(Settings!$J$4:$J$14,MATCH(M27,Settings!$I$4:$I$14,0)),"N")="Y",1,0))</f>
        <v/>
      </c>
      <c r="O27" s="32">
        <f>IF(AND(I27&lt;&gt;"",ISNUMBER(D27)),INT(D27),"")</f>
        <v/>
      </c>
      <c r="P27" s="32">
        <f>O27</f>
        <v/>
      </c>
      <c r="Q27" s="31">
        <f>IF(I27="","",IF(ISNUMBER(IFERROR(INDEX(Settings!$G$4:$G$11,MATCH(L27,Settings!$F$4:$F$11,0)),"")),INDEX(Settings!$G$4:$G$11,MATCH(L27,Settings!$F$4:$F$11,0)),Settings!$D$5))</f>
        <v/>
      </c>
      <c r="R27" s="32">
        <f>IF(OR(I27="",NOT(ISNUMBER(P27)),NOT(ISNUMBER(Q27))),"",IF(Q27&lt;=0,"",IF(ISNUMBER(Settings!$D$8),DATE(YEAR(P27)+IF(DATE(YEAR(P27),MONTH(Settings!$D$8),DAY(Settings!$D$8))&gt;P27,0,1),MONTH(Settings!$D$8),DAY(Settings!$D$8)),MIN(DATE(YEAR(P27),MONTH(P27)+Q27,DAY(P27)),DATE(YEAR(P27),MONTH(P27)+Q27+1,0)))))</f>
        <v/>
      </c>
      <c r="S27" s="31">
        <f>IF(ISNUMBER(R27),R27-Settings!$D$4,"")</f>
        <v/>
      </c>
      <c r="T27" s="31">
        <f>IF(ISNUMBER(P27),P27+0.5+ROW()/100000,"")</f>
        <v/>
      </c>
      <c r="U27" s="31">
        <f>IF(OR(K27="",NOT(ISNUMBER(T27))),0,IF(SUMPRODUCT(('Responses'!$AG$2:$AG$501=K27)*('Responses'!$AJ$2:$AJ$501=1)*ISNUMBER('Responses'!$AP$2:$AP$501)*('Responses'!$AP$2:$AP$501&gt;T27)) + SUMPRODUCT(('Paper sign-ups'!$K$2:$K$101=K27)*('Paper sign-ups'!$N$2:$N$101=1)*ISNUMBER('Paper sign-ups'!$T$2:$T$101)*('Paper sign-ups'!$T$2:$T$101&gt;T27))&gt;0,1,0))</f>
        <v/>
      </c>
      <c r="V27" s="31">
        <f>IF(I27="","",IF(U27=1,"Joined again",IF(N27=0,"Unpaid",IF(NOT(ISNUMBER(P27)),"Add a join date",IF(R27="","No reminder",IF(S27&lt;0,"Lapsed",IF(S27&lt;=Settings!$D$6,"Remind soon","Current")))))))</f>
        <v/>
      </c>
      <c r="W27" s="33">
        <f>IF(N27=1,IF(ISNUMBER(E27),E27,0),0)</f>
        <v/>
      </c>
      <c r="X27" s="31">
        <f>IF(AND(I27&lt;&gt;"",U27=0),1,0)</f>
        <v/>
      </c>
      <c r="Y27" s="31">
        <f>IF(X27=0,"",IF(ISNUMBER(R27),R27,100000)+0.5+ROW()/1000000)</f>
        <v/>
      </c>
      <c r="Z27" s="31">
        <f>IF(ISNUMBER(Y27),SUMPRODUCT(ISNUMBER('Responses'!$AU$2:$AU$501)*('Responses'!$AU$2:$AU$501&lt;Y27)) + SUMPRODUCT(ISNUMBER('Paper sign-ups'!$Y$2:$Y$101)*('Paper sign-ups'!$Y$2:$Y$101&lt;Y27))+1,"")</f>
        <v/>
      </c>
    </row>
    <row r="28">
      <c r="A28" s="30" t="n"/>
      <c r="B28" s="30" t="n"/>
      <c r="C28" s="30" t="n"/>
      <c r="D28" s="37" t="n"/>
      <c r="E28" s="38" t="n"/>
      <c r="F28" s="30" t="n"/>
      <c r="G28" s="30" t="n"/>
      <c r="H28" s="29" t="n"/>
      <c r="I28" s="31">
        <f>TRIM(A28&amp;"")</f>
        <v/>
      </c>
      <c r="J28" s="31">
        <f>TRIM(B28&amp;"")</f>
        <v/>
      </c>
      <c r="K28" s="31">
        <f>IF(I28="","",LOWER(IF(J28&lt;&gt;"",J28,I28)))</f>
        <v/>
      </c>
      <c r="L28" s="31">
        <f>TRIM(C28&amp;"")</f>
        <v/>
      </c>
      <c r="M28" s="31">
        <f>IF(I28="","",IF(UPPER(TRIM(F28&amp;""))="Y","Paid another way","Unpaid"))</f>
        <v/>
      </c>
      <c r="N28" s="31">
        <f>IF(I28="",0,IF(IFERROR(INDEX(Settings!$J$4:$J$14,MATCH(M28,Settings!$I$4:$I$14,0)),"N")="Y",1,0))</f>
        <v/>
      </c>
      <c r="O28" s="32">
        <f>IF(AND(I28&lt;&gt;"",ISNUMBER(D28)),INT(D28),"")</f>
        <v/>
      </c>
      <c r="P28" s="32">
        <f>O28</f>
        <v/>
      </c>
      <c r="Q28" s="31">
        <f>IF(I28="","",IF(ISNUMBER(IFERROR(INDEX(Settings!$G$4:$G$11,MATCH(L28,Settings!$F$4:$F$11,0)),"")),INDEX(Settings!$G$4:$G$11,MATCH(L28,Settings!$F$4:$F$11,0)),Settings!$D$5))</f>
        <v/>
      </c>
      <c r="R28" s="32">
        <f>IF(OR(I28="",NOT(ISNUMBER(P28)),NOT(ISNUMBER(Q28))),"",IF(Q28&lt;=0,"",IF(ISNUMBER(Settings!$D$8),DATE(YEAR(P28)+IF(DATE(YEAR(P28),MONTH(Settings!$D$8),DAY(Settings!$D$8))&gt;P28,0,1),MONTH(Settings!$D$8),DAY(Settings!$D$8)),MIN(DATE(YEAR(P28),MONTH(P28)+Q28,DAY(P28)),DATE(YEAR(P28),MONTH(P28)+Q28+1,0)))))</f>
        <v/>
      </c>
      <c r="S28" s="31">
        <f>IF(ISNUMBER(R28),R28-Settings!$D$4,"")</f>
        <v/>
      </c>
      <c r="T28" s="31">
        <f>IF(ISNUMBER(P28),P28+0.5+ROW()/100000,"")</f>
        <v/>
      </c>
      <c r="U28" s="31">
        <f>IF(OR(K28="",NOT(ISNUMBER(T28))),0,IF(SUMPRODUCT(('Responses'!$AG$2:$AG$501=K28)*('Responses'!$AJ$2:$AJ$501=1)*ISNUMBER('Responses'!$AP$2:$AP$501)*('Responses'!$AP$2:$AP$501&gt;T28)) + SUMPRODUCT(('Paper sign-ups'!$K$2:$K$101=K28)*('Paper sign-ups'!$N$2:$N$101=1)*ISNUMBER('Paper sign-ups'!$T$2:$T$101)*('Paper sign-ups'!$T$2:$T$101&gt;T28))&gt;0,1,0))</f>
        <v/>
      </c>
      <c r="V28" s="31">
        <f>IF(I28="","",IF(U28=1,"Joined again",IF(N28=0,"Unpaid",IF(NOT(ISNUMBER(P28)),"Add a join date",IF(R28="","No reminder",IF(S28&lt;0,"Lapsed",IF(S28&lt;=Settings!$D$6,"Remind soon","Current")))))))</f>
        <v/>
      </c>
      <c r="W28" s="33">
        <f>IF(N28=1,IF(ISNUMBER(E28),E28,0),0)</f>
        <v/>
      </c>
      <c r="X28" s="31">
        <f>IF(AND(I28&lt;&gt;"",U28=0),1,0)</f>
        <v/>
      </c>
      <c r="Y28" s="31">
        <f>IF(X28=0,"",IF(ISNUMBER(R28),R28,100000)+0.5+ROW()/1000000)</f>
        <v/>
      </c>
      <c r="Z28" s="31">
        <f>IF(ISNUMBER(Y28),SUMPRODUCT(ISNUMBER('Responses'!$AU$2:$AU$501)*('Responses'!$AU$2:$AU$501&lt;Y28)) + SUMPRODUCT(ISNUMBER('Paper sign-ups'!$Y$2:$Y$101)*('Paper sign-ups'!$Y$2:$Y$101&lt;Y28))+1,"")</f>
        <v/>
      </c>
    </row>
    <row r="29">
      <c r="A29" s="30" t="n"/>
      <c r="B29" s="30" t="n"/>
      <c r="C29" s="30" t="n"/>
      <c r="D29" s="37" t="n"/>
      <c r="E29" s="38" t="n"/>
      <c r="F29" s="30" t="n"/>
      <c r="G29" s="30" t="n"/>
      <c r="H29" s="29" t="n"/>
      <c r="I29" s="31">
        <f>TRIM(A29&amp;"")</f>
        <v/>
      </c>
      <c r="J29" s="31">
        <f>TRIM(B29&amp;"")</f>
        <v/>
      </c>
      <c r="K29" s="31">
        <f>IF(I29="","",LOWER(IF(J29&lt;&gt;"",J29,I29)))</f>
        <v/>
      </c>
      <c r="L29" s="31">
        <f>TRIM(C29&amp;"")</f>
        <v/>
      </c>
      <c r="M29" s="31">
        <f>IF(I29="","",IF(UPPER(TRIM(F29&amp;""))="Y","Paid another way","Unpaid"))</f>
        <v/>
      </c>
      <c r="N29" s="31">
        <f>IF(I29="",0,IF(IFERROR(INDEX(Settings!$J$4:$J$14,MATCH(M29,Settings!$I$4:$I$14,0)),"N")="Y",1,0))</f>
        <v/>
      </c>
      <c r="O29" s="32">
        <f>IF(AND(I29&lt;&gt;"",ISNUMBER(D29)),INT(D29),"")</f>
        <v/>
      </c>
      <c r="P29" s="32">
        <f>O29</f>
        <v/>
      </c>
      <c r="Q29" s="31">
        <f>IF(I29="","",IF(ISNUMBER(IFERROR(INDEX(Settings!$G$4:$G$11,MATCH(L29,Settings!$F$4:$F$11,0)),"")),INDEX(Settings!$G$4:$G$11,MATCH(L29,Settings!$F$4:$F$11,0)),Settings!$D$5))</f>
        <v/>
      </c>
      <c r="R29" s="32">
        <f>IF(OR(I29="",NOT(ISNUMBER(P29)),NOT(ISNUMBER(Q29))),"",IF(Q29&lt;=0,"",IF(ISNUMBER(Settings!$D$8),DATE(YEAR(P29)+IF(DATE(YEAR(P29),MONTH(Settings!$D$8),DAY(Settings!$D$8))&gt;P29,0,1),MONTH(Settings!$D$8),DAY(Settings!$D$8)),MIN(DATE(YEAR(P29),MONTH(P29)+Q29,DAY(P29)),DATE(YEAR(P29),MONTH(P29)+Q29+1,0)))))</f>
        <v/>
      </c>
      <c r="S29" s="31">
        <f>IF(ISNUMBER(R29),R29-Settings!$D$4,"")</f>
        <v/>
      </c>
      <c r="T29" s="31">
        <f>IF(ISNUMBER(P29),P29+0.5+ROW()/100000,"")</f>
        <v/>
      </c>
      <c r="U29" s="31">
        <f>IF(OR(K29="",NOT(ISNUMBER(T29))),0,IF(SUMPRODUCT(('Responses'!$AG$2:$AG$501=K29)*('Responses'!$AJ$2:$AJ$501=1)*ISNUMBER('Responses'!$AP$2:$AP$501)*('Responses'!$AP$2:$AP$501&gt;T29)) + SUMPRODUCT(('Paper sign-ups'!$K$2:$K$101=K29)*('Paper sign-ups'!$N$2:$N$101=1)*ISNUMBER('Paper sign-ups'!$T$2:$T$101)*('Paper sign-ups'!$T$2:$T$101&gt;T29))&gt;0,1,0))</f>
        <v/>
      </c>
      <c r="V29" s="31">
        <f>IF(I29="","",IF(U29=1,"Joined again",IF(N29=0,"Unpaid",IF(NOT(ISNUMBER(P29)),"Add a join date",IF(R29="","No reminder",IF(S29&lt;0,"Lapsed",IF(S29&lt;=Settings!$D$6,"Remind soon","Current")))))))</f>
        <v/>
      </c>
      <c r="W29" s="33">
        <f>IF(N29=1,IF(ISNUMBER(E29),E29,0),0)</f>
        <v/>
      </c>
      <c r="X29" s="31">
        <f>IF(AND(I29&lt;&gt;"",U29=0),1,0)</f>
        <v/>
      </c>
      <c r="Y29" s="31">
        <f>IF(X29=0,"",IF(ISNUMBER(R29),R29,100000)+0.5+ROW()/1000000)</f>
        <v/>
      </c>
      <c r="Z29" s="31">
        <f>IF(ISNUMBER(Y29),SUMPRODUCT(ISNUMBER('Responses'!$AU$2:$AU$501)*('Responses'!$AU$2:$AU$501&lt;Y29)) + SUMPRODUCT(ISNUMBER('Paper sign-ups'!$Y$2:$Y$101)*('Paper sign-ups'!$Y$2:$Y$101&lt;Y29))+1,"")</f>
        <v/>
      </c>
    </row>
    <row r="30">
      <c r="A30" s="30" t="n"/>
      <c r="B30" s="30" t="n"/>
      <c r="C30" s="30" t="n"/>
      <c r="D30" s="37" t="n"/>
      <c r="E30" s="38" t="n"/>
      <c r="F30" s="30" t="n"/>
      <c r="G30" s="30" t="n"/>
      <c r="H30" s="29" t="n"/>
      <c r="I30" s="31">
        <f>TRIM(A30&amp;"")</f>
        <v/>
      </c>
      <c r="J30" s="31">
        <f>TRIM(B30&amp;"")</f>
        <v/>
      </c>
      <c r="K30" s="31">
        <f>IF(I30="","",LOWER(IF(J30&lt;&gt;"",J30,I30)))</f>
        <v/>
      </c>
      <c r="L30" s="31">
        <f>TRIM(C30&amp;"")</f>
        <v/>
      </c>
      <c r="M30" s="31">
        <f>IF(I30="","",IF(UPPER(TRIM(F30&amp;""))="Y","Paid another way","Unpaid"))</f>
        <v/>
      </c>
      <c r="N30" s="31">
        <f>IF(I30="",0,IF(IFERROR(INDEX(Settings!$J$4:$J$14,MATCH(M30,Settings!$I$4:$I$14,0)),"N")="Y",1,0))</f>
        <v/>
      </c>
      <c r="O30" s="32">
        <f>IF(AND(I30&lt;&gt;"",ISNUMBER(D30)),INT(D30),"")</f>
        <v/>
      </c>
      <c r="P30" s="32">
        <f>O30</f>
        <v/>
      </c>
      <c r="Q30" s="31">
        <f>IF(I30="","",IF(ISNUMBER(IFERROR(INDEX(Settings!$G$4:$G$11,MATCH(L30,Settings!$F$4:$F$11,0)),"")),INDEX(Settings!$G$4:$G$11,MATCH(L30,Settings!$F$4:$F$11,0)),Settings!$D$5))</f>
        <v/>
      </c>
      <c r="R30" s="32">
        <f>IF(OR(I30="",NOT(ISNUMBER(P30)),NOT(ISNUMBER(Q30))),"",IF(Q30&lt;=0,"",IF(ISNUMBER(Settings!$D$8),DATE(YEAR(P30)+IF(DATE(YEAR(P30),MONTH(Settings!$D$8),DAY(Settings!$D$8))&gt;P30,0,1),MONTH(Settings!$D$8),DAY(Settings!$D$8)),MIN(DATE(YEAR(P30),MONTH(P30)+Q30,DAY(P30)),DATE(YEAR(P30),MONTH(P30)+Q30+1,0)))))</f>
        <v/>
      </c>
      <c r="S30" s="31">
        <f>IF(ISNUMBER(R30),R30-Settings!$D$4,"")</f>
        <v/>
      </c>
      <c r="T30" s="31">
        <f>IF(ISNUMBER(P30),P30+0.5+ROW()/100000,"")</f>
        <v/>
      </c>
      <c r="U30" s="31">
        <f>IF(OR(K30="",NOT(ISNUMBER(T30))),0,IF(SUMPRODUCT(('Responses'!$AG$2:$AG$501=K30)*('Responses'!$AJ$2:$AJ$501=1)*ISNUMBER('Responses'!$AP$2:$AP$501)*('Responses'!$AP$2:$AP$501&gt;T30)) + SUMPRODUCT(('Paper sign-ups'!$K$2:$K$101=K30)*('Paper sign-ups'!$N$2:$N$101=1)*ISNUMBER('Paper sign-ups'!$T$2:$T$101)*('Paper sign-ups'!$T$2:$T$101&gt;T30))&gt;0,1,0))</f>
        <v/>
      </c>
      <c r="V30" s="31">
        <f>IF(I30="","",IF(U30=1,"Joined again",IF(N30=0,"Unpaid",IF(NOT(ISNUMBER(P30)),"Add a join date",IF(R30="","No reminder",IF(S30&lt;0,"Lapsed",IF(S30&lt;=Settings!$D$6,"Remind soon","Current")))))))</f>
        <v/>
      </c>
      <c r="W30" s="33">
        <f>IF(N30=1,IF(ISNUMBER(E30),E30,0),0)</f>
        <v/>
      </c>
      <c r="X30" s="31">
        <f>IF(AND(I30&lt;&gt;"",U30=0),1,0)</f>
        <v/>
      </c>
      <c r="Y30" s="31">
        <f>IF(X30=0,"",IF(ISNUMBER(R30),R30,100000)+0.5+ROW()/1000000)</f>
        <v/>
      </c>
      <c r="Z30" s="31">
        <f>IF(ISNUMBER(Y30),SUMPRODUCT(ISNUMBER('Responses'!$AU$2:$AU$501)*('Responses'!$AU$2:$AU$501&lt;Y30)) + SUMPRODUCT(ISNUMBER('Paper sign-ups'!$Y$2:$Y$101)*('Paper sign-ups'!$Y$2:$Y$101&lt;Y30))+1,"")</f>
        <v/>
      </c>
    </row>
    <row r="31">
      <c r="A31" s="30" t="n"/>
      <c r="B31" s="30" t="n"/>
      <c r="C31" s="30" t="n"/>
      <c r="D31" s="37" t="n"/>
      <c r="E31" s="38" t="n"/>
      <c r="F31" s="30" t="n"/>
      <c r="G31" s="30" t="n"/>
      <c r="H31" s="29" t="n"/>
      <c r="I31" s="31">
        <f>TRIM(A31&amp;"")</f>
        <v/>
      </c>
      <c r="J31" s="31">
        <f>TRIM(B31&amp;"")</f>
        <v/>
      </c>
      <c r="K31" s="31">
        <f>IF(I31="","",LOWER(IF(J31&lt;&gt;"",J31,I31)))</f>
        <v/>
      </c>
      <c r="L31" s="31">
        <f>TRIM(C31&amp;"")</f>
        <v/>
      </c>
      <c r="M31" s="31">
        <f>IF(I31="","",IF(UPPER(TRIM(F31&amp;""))="Y","Paid another way","Unpaid"))</f>
        <v/>
      </c>
      <c r="N31" s="31">
        <f>IF(I31="",0,IF(IFERROR(INDEX(Settings!$J$4:$J$14,MATCH(M31,Settings!$I$4:$I$14,0)),"N")="Y",1,0))</f>
        <v/>
      </c>
      <c r="O31" s="32">
        <f>IF(AND(I31&lt;&gt;"",ISNUMBER(D31)),INT(D31),"")</f>
        <v/>
      </c>
      <c r="P31" s="32">
        <f>O31</f>
        <v/>
      </c>
      <c r="Q31" s="31">
        <f>IF(I31="","",IF(ISNUMBER(IFERROR(INDEX(Settings!$G$4:$G$11,MATCH(L31,Settings!$F$4:$F$11,0)),"")),INDEX(Settings!$G$4:$G$11,MATCH(L31,Settings!$F$4:$F$11,0)),Settings!$D$5))</f>
        <v/>
      </c>
      <c r="R31" s="32">
        <f>IF(OR(I31="",NOT(ISNUMBER(P31)),NOT(ISNUMBER(Q31))),"",IF(Q31&lt;=0,"",IF(ISNUMBER(Settings!$D$8),DATE(YEAR(P31)+IF(DATE(YEAR(P31),MONTH(Settings!$D$8),DAY(Settings!$D$8))&gt;P31,0,1),MONTH(Settings!$D$8),DAY(Settings!$D$8)),MIN(DATE(YEAR(P31),MONTH(P31)+Q31,DAY(P31)),DATE(YEAR(P31),MONTH(P31)+Q31+1,0)))))</f>
        <v/>
      </c>
      <c r="S31" s="31">
        <f>IF(ISNUMBER(R31),R31-Settings!$D$4,"")</f>
        <v/>
      </c>
      <c r="T31" s="31">
        <f>IF(ISNUMBER(P31),P31+0.5+ROW()/100000,"")</f>
        <v/>
      </c>
      <c r="U31" s="31">
        <f>IF(OR(K31="",NOT(ISNUMBER(T31))),0,IF(SUMPRODUCT(('Responses'!$AG$2:$AG$501=K31)*('Responses'!$AJ$2:$AJ$501=1)*ISNUMBER('Responses'!$AP$2:$AP$501)*('Responses'!$AP$2:$AP$501&gt;T31)) + SUMPRODUCT(('Paper sign-ups'!$K$2:$K$101=K31)*('Paper sign-ups'!$N$2:$N$101=1)*ISNUMBER('Paper sign-ups'!$T$2:$T$101)*('Paper sign-ups'!$T$2:$T$101&gt;T31))&gt;0,1,0))</f>
        <v/>
      </c>
      <c r="V31" s="31">
        <f>IF(I31="","",IF(U31=1,"Joined again",IF(N31=0,"Unpaid",IF(NOT(ISNUMBER(P31)),"Add a join date",IF(R31="","No reminder",IF(S31&lt;0,"Lapsed",IF(S31&lt;=Settings!$D$6,"Remind soon","Current")))))))</f>
        <v/>
      </c>
      <c r="W31" s="33">
        <f>IF(N31=1,IF(ISNUMBER(E31),E31,0),0)</f>
        <v/>
      </c>
      <c r="X31" s="31">
        <f>IF(AND(I31&lt;&gt;"",U31=0),1,0)</f>
        <v/>
      </c>
      <c r="Y31" s="31">
        <f>IF(X31=0,"",IF(ISNUMBER(R31),R31,100000)+0.5+ROW()/1000000)</f>
        <v/>
      </c>
      <c r="Z31" s="31">
        <f>IF(ISNUMBER(Y31),SUMPRODUCT(ISNUMBER('Responses'!$AU$2:$AU$501)*('Responses'!$AU$2:$AU$501&lt;Y31)) + SUMPRODUCT(ISNUMBER('Paper sign-ups'!$Y$2:$Y$101)*('Paper sign-ups'!$Y$2:$Y$101&lt;Y31))+1,"")</f>
        <v/>
      </c>
    </row>
    <row r="32">
      <c r="A32" s="30" t="n"/>
      <c r="B32" s="30" t="n"/>
      <c r="C32" s="30" t="n"/>
      <c r="D32" s="37" t="n"/>
      <c r="E32" s="38" t="n"/>
      <c r="F32" s="30" t="n"/>
      <c r="G32" s="30" t="n"/>
      <c r="H32" s="29" t="n"/>
      <c r="I32" s="31">
        <f>TRIM(A32&amp;"")</f>
        <v/>
      </c>
      <c r="J32" s="31">
        <f>TRIM(B32&amp;"")</f>
        <v/>
      </c>
      <c r="K32" s="31">
        <f>IF(I32="","",LOWER(IF(J32&lt;&gt;"",J32,I32)))</f>
        <v/>
      </c>
      <c r="L32" s="31">
        <f>TRIM(C32&amp;"")</f>
        <v/>
      </c>
      <c r="M32" s="31">
        <f>IF(I32="","",IF(UPPER(TRIM(F32&amp;""))="Y","Paid another way","Unpaid"))</f>
        <v/>
      </c>
      <c r="N32" s="31">
        <f>IF(I32="",0,IF(IFERROR(INDEX(Settings!$J$4:$J$14,MATCH(M32,Settings!$I$4:$I$14,0)),"N")="Y",1,0))</f>
        <v/>
      </c>
      <c r="O32" s="32">
        <f>IF(AND(I32&lt;&gt;"",ISNUMBER(D32)),INT(D32),"")</f>
        <v/>
      </c>
      <c r="P32" s="32">
        <f>O32</f>
        <v/>
      </c>
      <c r="Q32" s="31">
        <f>IF(I32="","",IF(ISNUMBER(IFERROR(INDEX(Settings!$G$4:$G$11,MATCH(L32,Settings!$F$4:$F$11,0)),"")),INDEX(Settings!$G$4:$G$11,MATCH(L32,Settings!$F$4:$F$11,0)),Settings!$D$5))</f>
        <v/>
      </c>
      <c r="R32" s="32">
        <f>IF(OR(I32="",NOT(ISNUMBER(P32)),NOT(ISNUMBER(Q32))),"",IF(Q32&lt;=0,"",IF(ISNUMBER(Settings!$D$8),DATE(YEAR(P32)+IF(DATE(YEAR(P32),MONTH(Settings!$D$8),DAY(Settings!$D$8))&gt;P32,0,1),MONTH(Settings!$D$8),DAY(Settings!$D$8)),MIN(DATE(YEAR(P32),MONTH(P32)+Q32,DAY(P32)),DATE(YEAR(P32),MONTH(P32)+Q32+1,0)))))</f>
        <v/>
      </c>
      <c r="S32" s="31">
        <f>IF(ISNUMBER(R32),R32-Settings!$D$4,"")</f>
        <v/>
      </c>
      <c r="T32" s="31">
        <f>IF(ISNUMBER(P32),P32+0.5+ROW()/100000,"")</f>
        <v/>
      </c>
      <c r="U32" s="31">
        <f>IF(OR(K32="",NOT(ISNUMBER(T32))),0,IF(SUMPRODUCT(('Responses'!$AG$2:$AG$501=K32)*('Responses'!$AJ$2:$AJ$501=1)*ISNUMBER('Responses'!$AP$2:$AP$501)*('Responses'!$AP$2:$AP$501&gt;T32)) + SUMPRODUCT(('Paper sign-ups'!$K$2:$K$101=K32)*('Paper sign-ups'!$N$2:$N$101=1)*ISNUMBER('Paper sign-ups'!$T$2:$T$101)*('Paper sign-ups'!$T$2:$T$101&gt;T32))&gt;0,1,0))</f>
        <v/>
      </c>
      <c r="V32" s="31">
        <f>IF(I32="","",IF(U32=1,"Joined again",IF(N32=0,"Unpaid",IF(NOT(ISNUMBER(P32)),"Add a join date",IF(R32="","No reminder",IF(S32&lt;0,"Lapsed",IF(S32&lt;=Settings!$D$6,"Remind soon","Current")))))))</f>
        <v/>
      </c>
      <c r="W32" s="33">
        <f>IF(N32=1,IF(ISNUMBER(E32),E32,0),0)</f>
        <v/>
      </c>
      <c r="X32" s="31">
        <f>IF(AND(I32&lt;&gt;"",U32=0),1,0)</f>
        <v/>
      </c>
      <c r="Y32" s="31">
        <f>IF(X32=0,"",IF(ISNUMBER(R32),R32,100000)+0.5+ROW()/1000000)</f>
        <v/>
      </c>
      <c r="Z32" s="31">
        <f>IF(ISNUMBER(Y32),SUMPRODUCT(ISNUMBER('Responses'!$AU$2:$AU$501)*('Responses'!$AU$2:$AU$501&lt;Y32)) + SUMPRODUCT(ISNUMBER('Paper sign-ups'!$Y$2:$Y$101)*('Paper sign-ups'!$Y$2:$Y$101&lt;Y32))+1,"")</f>
        <v/>
      </c>
    </row>
    <row r="33">
      <c r="A33" s="30" t="n"/>
      <c r="B33" s="30" t="n"/>
      <c r="C33" s="30" t="n"/>
      <c r="D33" s="37" t="n"/>
      <c r="E33" s="38" t="n"/>
      <c r="F33" s="30" t="n"/>
      <c r="G33" s="30" t="n"/>
      <c r="H33" s="29" t="n"/>
      <c r="I33" s="31">
        <f>TRIM(A33&amp;"")</f>
        <v/>
      </c>
      <c r="J33" s="31">
        <f>TRIM(B33&amp;"")</f>
        <v/>
      </c>
      <c r="K33" s="31">
        <f>IF(I33="","",LOWER(IF(J33&lt;&gt;"",J33,I33)))</f>
        <v/>
      </c>
      <c r="L33" s="31">
        <f>TRIM(C33&amp;"")</f>
        <v/>
      </c>
      <c r="M33" s="31">
        <f>IF(I33="","",IF(UPPER(TRIM(F33&amp;""))="Y","Paid another way","Unpaid"))</f>
        <v/>
      </c>
      <c r="N33" s="31">
        <f>IF(I33="",0,IF(IFERROR(INDEX(Settings!$J$4:$J$14,MATCH(M33,Settings!$I$4:$I$14,0)),"N")="Y",1,0))</f>
        <v/>
      </c>
      <c r="O33" s="32">
        <f>IF(AND(I33&lt;&gt;"",ISNUMBER(D33)),INT(D33),"")</f>
        <v/>
      </c>
      <c r="P33" s="32">
        <f>O33</f>
        <v/>
      </c>
      <c r="Q33" s="31">
        <f>IF(I33="","",IF(ISNUMBER(IFERROR(INDEX(Settings!$G$4:$G$11,MATCH(L33,Settings!$F$4:$F$11,0)),"")),INDEX(Settings!$G$4:$G$11,MATCH(L33,Settings!$F$4:$F$11,0)),Settings!$D$5))</f>
        <v/>
      </c>
      <c r="R33" s="32">
        <f>IF(OR(I33="",NOT(ISNUMBER(P33)),NOT(ISNUMBER(Q33))),"",IF(Q33&lt;=0,"",IF(ISNUMBER(Settings!$D$8),DATE(YEAR(P33)+IF(DATE(YEAR(P33),MONTH(Settings!$D$8),DAY(Settings!$D$8))&gt;P33,0,1),MONTH(Settings!$D$8),DAY(Settings!$D$8)),MIN(DATE(YEAR(P33),MONTH(P33)+Q33,DAY(P33)),DATE(YEAR(P33),MONTH(P33)+Q33+1,0)))))</f>
        <v/>
      </c>
      <c r="S33" s="31">
        <f>IF(ISNUMBER(R33),R33-Settings!$D$4,"")</f>
        <v/>
      </c>
      <c r="T33" s="31">
        <f>IF(ISNUMBER(P33),P33+0.5+ROW()/100000,"")</f>
        <v/>
      </c>
      <c r="U33" s="31">
        <f>IF(OR(K33="",NOT(ISNUMBER(T33))),0,IF(SUMPRODUCT(('Responses'!$AG$2:$AG$501=K33)*('Responses'!$AJ$2:$AJ$501=1)*ISNUMBER('Responses'!$AP$2:$AP$501)*('Responses'!$AP$2:$AP$501&gt;T33)) + SUMPRODUCT(('Paper sign-ups'!$K$2:$K$101=K33)*('Paper sign-ups'!$N$2:$N$101=1)*ISNUMBER('Paper sign-ups'!$T$2:$T$101)*('Paper sign-ups'!$T$2:$T$101&gt;T33))&gt;0,1,0))</f>
        <v/>
      </c>
      <c r="V33" s="31">
        <f>IF(I33="","",IF(U33=1,"Joined again",IF(N33=0,"Unpaid",IF(NOT(ISNUMBER(P33)),"Add a join date",IF(R33="","No reminder",IF(S33&lt;0,"Lapsed",IF(S33&lt;=Settings!$D$6,"Remind soon","Current")))))))</f>
        <v/>
      </c>
      <c r="W33" s="33">
        <f>IF(N33=1,IF(ISNUMBER(E33),E33,0),0)</f>
        <v/>
      </c>
      <c r="X33" s="31">
        <f>IF(AND(I33&lt;&gt;"",U33=0),1,0)</f>
        <v/>
      </c>
      <c r="Y33" s="31">
        <f>IF(X33=0,"",IF(ISNUMBER(R33),R33,100000)+0.5+ROW()/1000000)</f>
        <v/>
      </c>
      <c r="Z33" s="31">
        <f>IF(ISNUMBER(Y33),SUMPRODUCT(ISNUMBER('Responses'!$AU$2:$AU$501)*('Responses'!$AU$2:$AU$501&lt;Y33)) + SUMPRODUCT(ISNUMBER('Paper sign-ups'!$Y$2:$Y$101)*('Paper sign-ups'!$Y$2:$Y$101&lt;Y33))+1,"")</f>
        <v/>
      </c>
    </row>
    <row r="34">
      <c r="A34" s="30" t="n"/>
      <c r="B34" s="30" t="n"/>
      <c r="C34" s="30" t="n"/>
      <c r="D34" s="37" t="n"/>
      <c r="E34" s="38" t="n"/>
      <c r="F34" s="30" t="n"/>
      <c r="G34" s="30" t="n"/>
      <c r="H34" s="29" t="n"/>
      <c r="I34" s="31">
        <f>TRIM(A34&amp;"")</f>
        <v/>
      </c>
      <c r="J34" s="31">
        <f>TRIM(B34&amp;"")</f>
        <v/>
      </c>
      <c r="K34" s="31">
        <f>IF(I34="","",LOWER(IF(J34&lt;&gt;"",J34,I34)))</f>
        <v/>
      </c>
      <c r="L34" s="31">
        <f>TRIM(C34&amp;"")</f>
        <v/>
      </c>
      <c r="M34" s="31">
        <f>IF(I34="","",IF(UPPER(TRIM(F34&amp;""))="Y","Paid another way","Unpaid"))</f>
        <v/>
      </c>
      <c r="N34" s="31">
        <f>IF(I34="",0,IF(IFERROR(INDEX(Settings!$J$4:$J$14,MATCH(M34,Settings!$I$4:$I$14,0)),"N")="Y",1,0))</f>
        <v/>
      </c>
      <c r="O34" s="32">
        <f>IF(AND(I34&lt;&gt;"",ISNUMBER(D34)),INT(D34),"")</f>
        <v/>
      </c>
      <c r="P34" s="32">
        <f>O34</f>
        <v/>
      </c>
      <c r="Q34" s="31">
        <f>IF(I34="","",IF(ISNUMBER(IFERROR(INDEX(Settings!$G$4:$G$11,MATCH(L34,Settings!$F$4:$F$11,0)),"")),INDEX(Settings!$G$4:$G$11,MATCH(L34,Settings!$F$4:$F$11,0)),Settings!$D$5))</f>
        <v/>
      </c>
      <c r="R34" s="32">
        <f>IF(OR(I34="",NOT(ISNUMBER(P34)),NOT(ISNUMBER(Q34))),"",IF(Q34&lt;=0,"",IF(ISNUMBER(Settings!$D$8),DATE(YEAR(P34)+IF(DATE(YEAR(P34),MONTH(Settings!$D$8),DAY(Settings!$D$8))&gt;P34,0,1),MONTH(Settings!$D$8),DAY(Settings!$D$8)),MIN(DATE(YEAR(P34),MONTH(P34)+Q34,DAY(P34)),DATE(YEAR(P34),MONTH(P34)+Q34+1,0)))))</f>
        <v/>
      </c>
      <c r="S34" s="31">
        <f>IF(ISNUMBER(R34),R34-Settings!$D$4,"")</f>
        <v/>
      </c>
      <c r="T34" s="31">
        <f>IF(ISNUMBER(P34),P34+0.5+ROW()/100000,"")</f>
        <v/>
      </c>
      <c r="U34" s="31">
        <f>IF(OR(K34="",NOT(ISNUMBER(T34))),0,IF(SUMPRODUCT(('Responses'!$AG$2:$AG$501=K34)*('Responses'!$AJ$2:$AJ$501=1)*ISNUMBER('Responses'!$AP$2:$AP$501)*('Responses'!$AP$2:$AP$501&gt;T34)) + SUMPRODUCT(('Paper sign-ups'!$K$2:$K$101=K34)*('Paper sign-ups'!$N$2:$N$101=1)*ISNUMBER('Paper sign-ups'!$T$2:$T$101)*('Paper sign-ups'!$T$2:$T$101&gt;T34))&gt;0,1,0))</f>
        <v/>
      </c>
      <c r="V34" s="31">
        <f>IF(I34="","",IF(U34=1,"Joined again",IF(N34=0,"Unpaid",IF(NOT(ISNUMBER(P34)),"Add a join date",IF(R34="","No reminder",IF(S34&lt;0,"Lapsed",IF(S34&lt;=Settings!$D$6,"Remind soon","Current")))))))</f>
        <v/>
      </c>
      <c r="W34" s="33">
        <f>IF(N34=1,IF(ISNUMBER(E34),E34,0),0)</f>
        <v/>
      </c>
      <c r="X34" s="31">
        <f>IF(AND(I34&lt;&gt;"",U34=0),1,0)</f>
        <v/>
      </c>
      <c r="Y34" s="31">
        <f>IF(X34=0,"",IF(ISNUMBER(R34),R34,100000)+0.5+ROW()/1000000)</f>
        <v/>
      </c>
      <c r="Z34" s="31">
        <f>IF(ISNUMBER(Y34),SUMPRODUCT(ISNUMBER('Responses'!$AU$2:$AU$501)*('Responses'!$AU$2:$AU$501&lt;Y34)) + SUMPRODUCT(ISNUMBER('Paper sign-ups'!$Y$2:$Y$101)*('Paper sign-ups'!$Y$2:$Y$101&lt;Y34))+1,"")</f>
        <v/>
      </c>
    </row>
    <row r="35">
      <c r="A35" s="30" t="n"/>
      <c r="B35" s="30" t="n"/>
      <c r="C35" s="30" t="n"/>
      <c r="D35" s="37" t="n"/>
      <c r="E35" s="38" t="n"/>
      <c r="F35" s="30" t="n"/>
      <c r="G35" s="30" t="n"/>
      <c r="H35" s="29" t="n"/>
      <c r="I35" s="31">
        <f>TRIM(A35&amp;"")</f>
        <v/>
      </c>
      <c r="J35" s="31">
        <f>TRIM(B35&amp;"")</f>
        <v/>
      </c>
      <c r="K35" s="31">
        <f>IF(I35="","",LOWER(IF(J35&lt;&gt;"",J35,I35)))</f>
        <v/>
      </c>
      <c r="L35" s="31">
        <f>TRIM(C35&amp;"")</f>
        <v/>
      </c>
      <c r="M35" s="31">
        <f>IF(I35="","",IF(UPPER(TRIM(F35&amp;""))="Y","Paid another way","Unpaid"))</f>
        <v/>
      </c>
      <c r="N35" s="31">
        <f>IF(I35="",0,IF(IFERROR(INDEX(Settings!$J$4:$J$14,MATCH(M35,Settings!$I$4:$I$14,0)),"N")="Y",1,0))</f>
        <v/>
      </c>
      <c r="O35" s="32">
        <f>IF(AND(I35&lt;&gt;"",ISNUMBER(D35)),INT(D35),"")</f>
        <v/>
      </c>
      <c r="P35" s="32">
        <f>O35</f>
        <v/>
      </c>
      <c r="Q35" s="31">
        <f>IF(I35="","",IF(ISNUMBER(IFERROR(INDEX(Settings!$G$4:$G$11,MATCH(L35,Settings!$F$4:$F$11,0)),"")),INDEX(Settings!$G$4:$G$11,MATCH(L35,Settings!$F$4:$F$11,0)),Settings!$D$5))</f>
        <v/>
      </c>
      <c r="R35" s="32">
        <f>IF(OR(I35="",NOT(ISNUMBER(P35)),NOT(ISNUMBER(Q35))),"",IF(Q35&lt;=0,"",IF(ISNUMBER(Settings!$D$8),DATE(YEAR(P35)+IF(DATE(YEAR(P35),MONTH(Settings!$D$8),DAY(Settings!$D$8))&gt;P35,0,1),MONTH(Settings!$D$8),DAY(Settings!$D$8)),MIN(DATE(YEAR(P35),MONTH(P35)+Q35,DAY(P35)),DATE(YEAR(P35),MONTH(P35)+Q35+1,0)))))</f>
        <v/>
      </c>
      <c r="S35" s="31">
        <f>IF(ISNUMBER(R35),R35-Settings!$D$4,"")</f>
        <v/>
      </c>
      <c r="T35" s="31">
        <f>IF(ISNUMBER(P35),P35+0.5+ROW()/100000,"")</f>
        <v/>
      </c>
      <c r="U35" s="31">
        <f>IF(OR(K35="",NOT(ISNUMBER(T35))),0,IF(SUMPRODUCT(('Responses'!$AG$2:$AG$501=K35)*('Responses'!$AJ$2:$AJ$501=1)*ISNUMBER('Responses'!$AP$2:$AP$501)*('Responses'!$AP$2:$AP$501&gt;T35)) + SUMPRODUCT(('Paper sign-ups'!$K$2:$K$101=K35)*('Paper sign-ups'!$N$2:$N$101=1)*ISNUMBER('Paper sign-ups'!$T$2:$T$101)*('Paper sign-ups'!$T$2:$T$101&gt;T35))&gt;0,1,0))</f>
        <v/>
      </c>
      <c r="V35" s="31">
        <f>IF(I35="","",IF(U35=1,"Joined again",IF(N35=0,"Unpaid",IF(NOT(ISNUMBER(P35)),"Add a join date",IF(R35="","No reminder",IF(S35&lt;0,"Lapsed",IF(S35&lt;=Settings!$D$6,"Remind soon","Current")))))))</f>
        <v/>
      </c>
      <c r="W35" s="33">
        <f>IF(N35=1,IF(ISNUMBER(E35),E35,0),0)</f>
        <v/>
      </c>
      <c r="X35" s="31">
        <f>IF(AND(I35&lt;&gt;"",U35=0),1,0)</f>
        <v/>
      </c>
      <c r="Y35" s="31">
        <f>IF(X35=0,"",IF(ISNUMBER(R35),R35,100000)+0.5+ROW()/1000000)</f>
        <v/>
      </c>
      <c r="Z35" s="31">
        <f>IF(ISNUMBER(Y35),SUMPRODUCT(ISNUMBER('Responses'!$AU$2:$AU$501)*('Responses'!$AU$2:$AU$501&lt;Y35)) + SUMPRODUCT(ISNUMBER('Paper sign-ups'!$Y$2:$Y$101)*('Paper sign-ups'!$Y$2:$Y$101&lt;Y35))+1,"")</f>
        <v/>
      </c>
    </row>
    <row r="36">
      <c r="A36" s="30" t="n"/>
      <c r="B36" s="30" t="n"/>
      <c r="C36" s="30" t="n"/>
      <c r="D36" s="37" t="n"/>
      <c r="E36" s="38" t="n"/>
      <c r="F36" s="30" t="n"/>
      <c r="G36" s="30" t="n"/>
      <c r="H36" s="29" t="n"/>
      <c r="I36" s="31">
        <f>TRIM(A36&amp;"")</f>
        <v/>
      </c>
      <c r="J36" s="31">
        <f>TRIM(B36&amp;"")</f>
        <v/>
      </c>
      <c r="K36" s="31">
        <f>IF(I36="","",LOWER(IF(J36&lt;&gt;"",J36,I36)))</f>
        <v/>
      </c>
      <c r="L36" s="31">
        <f>TRIM(C36&amp;"")</f>
        <v/>
      </c>
      <c r="M36" s="31">
        <f>IF(I36="","",IF(UPPER(TRIM(F36&amp;""))="Y","Paid another way","Unpaid"))</f>
        <v/>
      </c>
      <c r="N36" s="31">
        <f>IF(I36="",0,IF(IFERROR(INDEX(Settings!$J$4:$J$14,MATCH(M36,Settings!$I$4:$I$14,0)),"N")="Y",1,0))</f>
        <v/>
      </c>
      <c r="O36" s="32">
        <f>IF(AND(I36&lt;&gt;"",ISNUMBER(D36)),INT(D36),"")</f>
        <v/>
      </c>
      <c r="P36" s="32">
        <f>O36</f>
        <v/>
      </c>
      <c r="Q36" s="31">
        <f>IF(I36="","",IF(ISNUMBER(IFERROR(INDEX(Settings!$G$4:$G$11,MATCH(L36,Settings!$F$4:$F$11,0)),"")),INDEX(Settings!$G$4:$G$11,MATCH(L36,Settings!$F$4:$F$11,0)),Settings!$D$5))</f>
        <v/>
      </c>
      <c r="R36" s="32">
        <f>IF(OR(I36="",NOT(ISNUMBER(P36)),NOT(ISNUMBER(Q36))),"",IF(Q36&lt;=0,"",IF(ISNUMBER(Settings!$D$8),DATE(YEAR(P36)+IF(DATE(YEAR(P36),MONTH(Settings!$D$8),DAY(Settings!$D$8))&gt;P36,0,1),MONTH(Settings!$D$8),DAY(Settings!$D$8)),MIN(DATE(YEAR(P36),MONTH(P36)+Q36,DAY(P36)),DATE(YEAR(P36),MONTH(P36)+Q36+1,0)))))</f>
        <v/>
      </c>
      <c r="S36" s="31">
        <f>IF(ISNUMBER(R36),R36-Settings!$D$4,"")</f>
        <v/>
      </c>
      <c r="T36" s="31">
        <f>IF(ISNUMBER(P36),P36+0.5+ROW()/100000,"")</f>
        <v/>
      </c>
      <c r="U36" s="31">
        <f>IF(OR(K36="",NOT(ISNUMBER(T36))),0,IF(SUMPRODUCT(('Responses'!$AG$2:$AG$501=K36)*('Responses'!$AJ$2:$AJ$501=1)*ISNUMBER('Responses'!$AP$2:$AP$501)*('Responses'!$AP$2:$AP$501&gt;T36)) + SUMPRODUCT(('Paper sign-ups'!$K$2:$K$101=K36)*('Paper sign-ups'!$N$2:$N$101=1)*ISNUMBER('Paper sign-ups'!$T$2:$T$101)*('Paper sign-ups'!$T$2:$T$101&gt;T36))&gt;0,1,0))</f>
        <v/>
      </c>
      <c r="V36" s="31">
        <f>IF(I36="","",IF(U36=1,"Joined again",IF(N36=0,"Unpaid",IF(NOT(ISNUMBER(P36)),"Add a join date",IF(R36="","No reminder",IF(S36&lt;0,"Lapsed",IF(S36&lt;=Settings!$D$6,"Remind soon","Current")))))))</f>
        <v/>
      </c>
      <c r="W36" s="33">
        <f>IF(N36=1,IF(ISNUMBER(E36),E36,0),0)</f>
        <v/>
      </c>
      <c r="X36" s="31">
        <f>IF(AND(I36&lt;&gt;"",U36=0),1,0)</f>
        <v/>
      </c>
      <c r="Y36" s="31">
        <f>IF(X36=0,"",IF(ISNUMBER(R36),R36,100000)+0.5+ROW()/1000000)</f>
        <v/>
      </c>
      <c r="Z36" s="31">
        <f>IF(ISNUMBER(Y36),SUMPRODUCT(ISNUMBER('Responses'!$AU$2:$AU$501)*('Responses'!$AU$2:$AU$501&lt;Y36)) + SUMPRODUCT(ISNUMBER('Paper sign-ups'!$Y$2:$Y$101)*('Paper sign-ups'!$Y$2:$Y$101&lt;Y36))+1,"")</f>
        <v/>
      </c>
    </row>
    <row r="37">
      <c r="A37" s="30" t="n"/>
      <c r="B37" s="30" t="n"/>
      <c r="C37" s="30" t="n"/>
      <c r="D37" s="37" t="n"/>
      <c r="E37" s="38" t="n"/>
      <c r="F37" s="30" t="n"/>
      <c r="G37" s="30" t="n"/>
      <c r="H37" s="29" t="n"/>
      <c r="I37" s="31">
        <f>TRIM(A37&amp;"")</f>
        <v/>
      </c>
      <c r="J37" s="31">
        <f>TRIM(B37&amp;"")</f>
        <v/>
      </c>
      <c r="K37" s="31">
        <f>IF(I37="","",LOWER(IF(J37&lt;&gt;"",J37,I37)))</f>
        <v/>
      </c>
      <c r="L37" s="31">
        <f>TRIM(C37&amp;"")</f>
        <v/>
      </c>
      <c r="M37" s="31">
        <f>IF(I37="","",IF(UPPER(TRIM(F37&amp;""))="Y","Paid another way","Unpaid"))</f>
        <v/>
      </c>
      <c r="N37" s="31">
        <f>IF(I37="",0,IF(IFERROR(INDEX(Settings!$J$4:$J$14,MATCH(M37,Settings!$I$4:$I$14,0)),"N")="Y",1,0))</f>
        <v/>
      </c>
      <c r="O37" s="32">
        <f>IF(AND(I37&lt;&gt;"",ISNUMBER(D37)),INT(D37),"")</f>
        <v/>
      </c>
      <c r="P37" s="32">
        <f>O37</f>
        <v/>
      </c>
      <c r="Q37" s="31">
        <f>IF(I37="","",IF(ISNUMBER(IFERROR(INDEX(Settings!$G$4:$G$11,MATCH(L37,Settings!$F$4:$F$11,0)),"")),INDEX(Settings!$G$4:$G$11,MATCH(L37,Settings!$F$4:$F$11,0)),Settings!$D$5))</f>
        <v/>
      </c>
      <c r="R37" s="32">
        <f>IF(OR(I37="",NOT(ISNUMBER(P37)),NOT(ISNUMBER(Q37))),"",IF(Q37&lt;=0,"",IF(ISNUMBER(Settings!$D$8),DATE(YEAR(P37)+IF(DATE(YEAR(P37),MONTH(Settings!$D$8),DAY(Settings!$D$8))&gt;P37,0,1),MONTH(Settings!$D$8),DAY(Settings!$D$8)),MIN(DATE(YEAR(P37),MONTH(P37)+Q37,DAY(P37)),DATE(YEAR(P37),MONTH(P37)+Q37+1,0)))))</f>
        <v/>
      </c>
      <c r="S37" s="31">
        <f>IF(ISNUMBER(R37),R37-Settings!$D$4,"")</f>
        <v/>
      </c>
      <c r="T37" s="31">
        <f>IF(ISNUMBER(P37),P37+0.5+ROW()/100000,"")</f>
        <v/>
      </c>
      <c r="U37" s="31">
        <f>IF(OR(K37="",NOT(ISNUMBER(T37))),0,IF(SUMPRODUCT(('Responses'!$AG$2:$AG$501=K37)*('Responses'!$AJ$2:$AJ$501=1)*ISNUMBER('Responses'!$AP$2:$AP$501)*('Responses'!$AP$2:$AP$501&gt;T37)) + SUMPRODUCT(('Paper sign-ups'!$K$2:$K$101=K37)*('Paper sign-ups'!$N$2:$N$101=1)*ISNUMBER('Paper sign-ups'!$T$2:$T$101)*('Paper sign-ups'!$T$2:$T$101&gt;T37))&gt;0,1,0))</f>
        <v/>
      </c>
      <c r="V37" s="31">
        <f>IF(I37="","",IF(U37=1,"Joined again",IF(N37=0,"Unpaid",IF(NOT(ISNUMBER(P37)),"Add a join date",IF(R37="","No reminder",IF(S37&lt;0,"Lapsed",IF(S37&lt;=Settings!$D$6,"Remind soon","Current")))))))</f>
        <v/>
      </c>
      <c r="W37" s="33">
        <f>IF(N37=1,IF(ISNUMBER(E37),E37,0),0)</f>
        <v/>
      </c>
      <c r="X37" s="31">
        <f>IF(AND(I37&lt;&gt;"",U37=0),1,0)</f>
        <v/>
      </c>
      <c r="Y37" s="31">
        <f>IF(X37=0,"",IF(ISNUMBER(R37),R37,100000)+0.5+ROW()/1000000)</f>
        <v/>
      </c>
      <c r="Z37" s="31">
        <f>IF(ISNUMBER(Y37),SUMPRODUCT(ISNUMBER('Responses'!$AU$2:$AU$501)*('Responses'!$AU$2:$AU$501&lt;Y37)) + SUMPRODUCT(ISNUMBER('Paper sign-ups'!$Y$2:$Y$101)*('Paper sign-ups'!$Y$2:$Y$101&lt;Y37))+1,"")</f>
        <v/>
      </c>
    </row>
    <row r="38">
      <c r="A38" s="30" t="n"/>
      <c r="B38" s="30" t="n"/>
      <c r="C38" s="30" t="n"/>
      <c r="D38" s="37" t="n"/>
      <c r="E38" s="38" t="n"/>
      <c r="F38" s="30" t="n"/>
      <c r="G38" s="30" t="n"/>
      <c r="H38" s="29" t="n"/>
      <c r="I38" s="31">
        <f>TRIM(A38&amp;"")</f>
        <v/>
      </c>
      <c r="J38" s="31">
        <f>TRIM(B38&amp;"")</f>
        <v/>
      </c>
      <c r="K38" s="31">
        <f>IF(I38="","",LOWER(IF(J38&lt;&gt;"",J38,I38)))</f>
        <v/>
      </c>
      <c r="L38" s="31">
        <f>TRIM(C38&amp;"")</f>
        <v/>
      </c>
      <c r="M38" s="31">
        <f>IF(I38="","",IF(UPPER(TRIM(F38&amp;""))="Y","Paid another way","Unpaid"))</f>
        <v/>
      </c>
      <c r="N38" s="31">
        <f>IF(I38="",0,IF(IFERROR(INDEX(Settings!$J$4:$J$14,MATCH(M38,Settings!$I$4:$I$14,0)),"N")="Y",1,0))</f>
        <v/>
      </c>
      <c r="O38" s="32">
        <f>IF(AND(I38&lt;&gt;"",ISNUMBER(D38)),INT(D38),"")</f>
        <v/>
      </c>
      <c r="P38" s="32">
        <f>O38</f>
        <v/>
      </c>
      <c r="Q38" s="31">
        <f>IF(I38="","",IF(ISNUMBER(IFERROR(INDEX(Settings!$G$4:$G$11,MATCH(L38,Settings!$F$4:$F$11,0)),"")),INDEX(Settings!$G$4:$G$11,MATCH(L38,Settings!$F$4:$F$11,0)),Settings!$D$5))</f>
        <v/>
      </c>
      <c r="R38" s="32">
        <f>IF(OR(I38="",NOT(ISNUMBER(P38)),NOT(ISNUMBER(Q38))),"",IF(Q38&lt;=0,"",IF(ISNUMBER(Settings!$D$8),DATE(YEAR(P38)+IF(DATE(YEAR(P38),MONTH(Settings!$D$8),DAY(Settings!$D$8))&gt;P38,0,1),MONTH(Settings!$D$8),DAY(Settings!$D$8)),MIN(DATE(YEAR(P38),MONTH(P38)+Q38,DAY(P38)),DATE(YEAR(P38),MONTH(P38)+Q38+1,0)))))</f>
        <v/>
      </c>
      <c r="S38" s="31">
        <f>IF(ISNUMBER(R38),R38-Settings!$D$4,"")</f>
        <v/>
      </c>
      <c r="T38" s="31">
        <f>IF(ISNUMBER(P38),P38+0.5+ROW()/100000,"")</f>
        <v/>
      </c>
      <c r="U38" s="31">
        <f>IF(OR(K38="",NOT(ISNUMBER(T38))),0,IF(SUMPRODUCT(('Responses'!$AG$2:$AG$501=K38)*('Responses'!$AJ$2:$AJ$501=1)*ISNUMBER('Responses'!$AP$2:$AP$501)*('Responses'!$AP$2:$AP$501&gt;T38)) + SUMPRODUCT(('Paper sign-ups'!$K$2:$K$101=K38)*('Paper sign-ups'!$N$2:$N$101=1)*ISNUMBER('Paper sign-ups'!$T$2:$T$101)*('Paper sign-ups'!$T$2:$T$101&gt;T38))&gt;0,1,0))</f>
        <v/>
      </c>
      <c r="V38" s="31">
        <f>IF(I38="","",IF(U38=1,"Joined again",IF(N38=0,"Unpaid",IF(NOT(ISNUMBER(P38)),"Add a join date",IF(R38="","No reminder",IF(S38&lt;0,"Lapsed",IF(S38&lt;=Settings!$D$6,"Remind soon","Current")))))))</f>
        <v/>
      </c>
      <c r="W38" s="33">
        <f>IF(N38=1,IF(ISNUMBER(E38),E38,0),0)</f>
        <v/>
      </c>
      <c r="X38" s="31">
        <f>IF(AND(I38&lt;&gt;"",U38=0),1,0)</f>
        <v/>
      </c>
      <c r="Y38" s="31">
        <f>IF(X38=0,"",IF(ISNUMBER(R38),R38,100000)+0.5+ROW()/1000000)</f>
        <v/>
      </c>
      <c r="Z38" s="31">
        <f>IF(ISNUMBER(Y38),SUMPRODUCT(ISNUMBER('Responses'!$AU$2:$AU$501)*('Responses'!$AU$2:$AU$501&lt;Y38)) + SUMPRODUCT(ISNUMBER('Paper sign-ups'!$Y$2:$Y$101)*('Paper sign-ups'!$Y$2:$Y$101&lt;Y38))+1,"")</f>
        <v/>
      </c>
    </row>
    <row r="39">
      <c r="A39" s="30" t="n"/>
      <c r="B39" s="30" t="n"/>
      <c r="C39" s="30" t="n"/>
      <c r="D39" s="37" t="n"/>
      <c r="E39" s="38" t="n"/>
      <c r="F39" s="30" t="n"/>
      <c r="G39" s="30" t="n"/>
      <c r="H39" s="29" t="n"/>
      <c r="I39" s="31">
        <f>TRIM(A39&amp;"")</f>
        <v/>
      </c>
      <c r="J39" s="31">
        <f>TRIM(B39&amp;"")</f>
        <v/>
      </c>
      <c r="K39" s="31">
        <f>IF(I39="","",LOWER(IF(J39&lt;&gt;"",J39,I39)))</f>
        <v/>
      </c>
      <c r="L39" s="31">
        <f>TRIM(C39&amp;"")</f>
        <v/>
      </c>
      <c r="M39" s="31">
        <f>IF(I39="","",IF(UPPER(TRIM(F39&amp;""))="Y","Paid another way","Unpaid"))</f>
        <v/>
      </c>
      <c r="N39" s="31">
        <f>IF(I39="",0,IF(IFERROR(INDEX(Settings!$J$4:$J$14,MATCH(M39,Settings!$I$4:$I$14,0)),"N")="Y",1,0))</f>
        <v/>
      </c>
      <c r="O39" s="32">
        <f>IF(AND(I39&lt;&gt;"",ISNUMBER(D39)),INT(D39),"")</f>
        <v/>
      </c>
      <c r="P39" s="32">
        <f>O39</f>
        <v/>
      </c>
      <c r="Q39" s="31">
        <f>IF(I39="","",IF(ISNUMBER(IFERROR(INDEX(Settings!$G$4:$G$11,MATCH(L39,Settings!$F$4:$F$11,0)),"")),INDEX(Settings!$G$4:$G$11,MATCH(L39,Settings!$F$4:$F$11,0)),Settings!$D$5))</f>
        <v/>
      </c>
      <c r="R39" s="32">
        <f>IF(OR(I39="",NOT(ISNUMBER(P39)),NOT(ISNUMBER(Q39))),"",IF(Q39&lt;=0,"",IF(ISNUMBER(Settings!$D$8),DATE(YEAR(P39)+IF(DATE(YEAR(P39),MONTH(Settings!$D$8),DAY(Settings!$D$8))&gt;P39,0,1),MONTH(Settings!$D$8),DAY(Settings!$D$8)),MIN(DATE(YEAR(P39),MONTH(P39)+Q39,DAY(P39)),DATE(YEAR(P39),MONTH(P39)+Q39+1,0)))))</f>
        <v/>
      </c>
      <c r="S39" s="31">
        <f>IF(ISNUMBER(R39),R39-Settings!$D$4,"")</f>
        <v/>
      </c>
      <c r="T39" s="31">
        <f>IF(ISNUMBER(P39),P39+0.5+ROW()/100000,"")</f>
        <v/>
      </c>
      <c r="U39" s="31">
        <f>IF(OR(K39="",NOT(ISNUMBER(T39))),0,IF(SUMPRODUCT(('Responses'!$AG$2:$AG$501=K39)*('Responses'!$AJ$2:$AJ$501=1)*ISNUMBER('Responses'!$AP$2:$AP$501)*('Responses'!$AP$2:$AP$501&gt;T39)) + SUMPRODUCT(('Paper sign-ups'!$K$2:$K$101=K39)*('Paper sign-ups'!$N$2:$N$101=1)*ISNUMBER('Paper sign-ups'!$T$2:$T$101)*('Paper sign-ups'!$T$2:$T$101&gt;T39))&gt;0,1,0))</f>
        <v/>
      </c>
      <c r="V39" s="31">
        <f>IF(I39="","",IF(U39=1,"Joined again",IF(N39=0,"Unpaid",IF(NOT(ISNUMBER(P39)),"Add a join date",IF(R39="","No reminder",IF(S39&lt;0,"Lapsed",IF(S39&lt;=Settings!$D$6,"Remind soon","Current")))))))</f>
        <v/>
      </c>
      <c r="W39" s="33">
        <f>IF(N39=1,IF(ISNUMBER(E39),E39,0),0)</f>
        <v/>
      </c>
      <c r="X39" s="31">
        <f>IF(AND(I39&lt;&gt;"",U39=0),1,0)</f>
        <v/>
      </c>
      <c r="Y39" s="31">
        <f>IF(X39=0,"",IF(ISNUMBER(R39),R39,100000)+0.5+ROW()/1000000)</f>
        <v/>
      </c>
      <c r="Z39" s="31">
        <f>IF(ISNUMBER(Y39),SUMPRODUCT(ISNUMBER('Responses'!$AU$2:$AU$501)*('Responses'!$AU$2:$AU$501&lt;Y39)) + SUMPRODUCT(ISNUMBER('Paper sign-ups'!$Y$2:$Y$101)*('Paper sign-ups'!$Y$2:$Y$101&lt;Y39))+1,"")</f>
        <v/>
      </c>
    </row>
    <row r="40">
      <c r="A40" s="30" t="n"/>
      <c r="B40" s="30" t="n"/>
      <c r="C40" s="30" t="n"/>
      <c r="D40" s="37" t="n"/>
      <c r="E40" s="38" t="n"/>
      <c r="F40" s="30" t="n"/>
      <c r="G40" s="30" t="n"/>
      <c r="H40" s="29" t="n"/>
      <c r="I40" s="31">
        <f>TRIM(A40&amp;"")</f>
        <v/>
      </c>
      <c r="J40" s="31">
        <f>TRIM(B40&amp;"")</f>
        <v/>
      </c>
      <c r="K40" s="31">
        <f>IF(I40="","",LOWER(IF(J40&lt;&gt;"",J40,I40)))</f>
        <v/>
      </c>
      <c r="L40" s="31">
        <f>TRIM(C40&amp;"")</f>
        <v/>
      </c>
      <c r="M40" s="31">
        <f>IF(I40="","",IF(UPPER(TRIM(F40&amp;""))="Y","Paid another way","Unpaid"))</f>
        <v/>
      </c>
      <c r="N40" s="31">
        <f>IF(I40="",0,IF(IFERROR(INDEX(Settings!$J$4:$J$14,MATCH(M40,Settings!$I$4:$I$14,0)),"N")="Y",1,0))</f>
        <v/>
      </c>
      <c r="O40" s="32">
        <f>IF(AND(I40&lt;&gt;"",ISNUMBER(D40)),INT(D40),"")</f>
        <v/>
      </c>
      <c r="P40" s="32">
        <f>O40</f>
        <v/>
      </c>
      <c r="Q40" s="31">
        <f>IF(I40="","",IF(ISNUMBER(IFERROR(INDEX(Settings!$G$4:$G$11,MATCH(L40,Settings!$F$4:$F$11,0)),"")),INDEX(Settings!$G$4:$G$11,MATCH(L40,Settings!$F$4:$F$11,0)),Settings!$D$5))</f>
        <v/>
      </c>
      <c r="R40" s="32">
        <f>IF(OR(I40="",NOT(ISNUMBER(P40)),NOT(ISNUMBER(Q40))),"",IF(Q40&lt;=0,"",IF(ISNUMBER(Settings!$D$8),DATE(YEAR(P40)+IF(DATE(YEAR(P40),MONTH(Settings!$D$8),DAY(Settings!$D$8))&gt;P40,0,1),MONTH(Settings!$D$8),DAY(Settings!$D$8)),MIN(DATE(YEAR(P40),MONTH(P40)+Q40,DAY(P40)),DATE(YEAR(P40),MONTH(P40)+Q40+1,0)))))</f>
        <v/>
      </c>
      <c r="S40" s="31">
        <f>IF(ISNUMBER(R40),R40-Settings!$D$4,"")</f>
        <v/>
      </c>
      <c r="T40" s="31">
        <f>IF(ISNUMBER(P40),P40+0.5+ROW()/100000,"")</f>
        <v/>
      </c>
      <c r="U40" s="31">
        <f>IF(OR(K40="",NOT(ISNUMBER(T40))),0,IF(SUMPRODUCT(('Responses'!$AG$2:$AG$501=K40)*('Responses'!$AJ$2:$AJ$501=1)*ISNUMBER('Responses'!$AP$2:$AP$501)*('Responses'!$AP$2:$AP$501&gt;T40)) + SUMPRODUCT(('Paper sign-ups'!$K$2:$K$101=K40)*('Paper sign-ups'!$N$2:$N$101=1)*ISNUMBER('Paper sign-ups'!$T$2:$T$101)*('Paper sign-ups'!$T$2:$T$101&gt;T40))&gt;0,1,0))</f>
        <v/>
      </c>
      <c r="V40" s="31">
        <f>IF(I40="","",IF(U40=1,"Joined again",IF(N40=0,"Unpaid",IF(NOT(ISNUMBER(P40)),"Add a join date",IF(R40="","No reminder",IF(S40&lt;0,"Lapsed",IF(S40&lt;=Settings!$D$6,"Remind soon","Current")))))))</f>
        <v/>
      </c>
      <c r="W40" s="33">
        <f>IF(N40=1,IF(ISNUMBER(E40),E40,0),0)</f>
        <v/>
      </c>
      <c r="X40" s="31">
        <f>IF(AND(I40&lt;&gt;"",U40=0),1,0)</f>
        <v/>
      </c>
      <c r="Y40" s="31">
        <f>IF(X40=0,"",IF(ISNUMBER(R40),R40,100000)+0.5+ROW()/1000000)</f>
        <v/>
      </c>
      <c r="Z40" s="31">
        <f>IF(ISNUMBER(Y40),SUMPRODUCT(ISNUMBER('Responses'!$AU$2:$AU$501)*('Responses'!$AU$2:$AU$501&lt;Y40)) + SUMPRODUCT(ISNUMBER('Paper sign-ups'!$Y$2:$Y$101)*('Paper sign-ups'!$Y$2:$Y$101&lt;Y40))+1,"")</f>
        <v/>
      </c>
    </row>
    <row r="41">
      <c r="A41" s="30" t="n"/>
      <c r="B41" s="30" t="n"/>
      <c r="C41" s="30" t="n"/>
      <c r="D41" s="37" t="n"/>
      <c r="E41" s="38" t="n"/>
      <c r="F41" s="30" t="n"/>
      <c r="G41" s="30" t="n"/>
      <c r="H41" s="29" t="n"/>
      <c r="I41" s="31">
        <f>TRIM(A41&amp;"")</f>
        <v/>
      </c>
      <c r="J41" s="31">
        <f>TRIM(B41&amp;"")</f>
        <v/>
      </c>
      <c r="K41" s="31">
        <f>IF(I41="","",LOWER(IF(J41&lt;&gt;"",J41,I41)))</f>
        <v/>
      </c>
      <c r="L41" s="31">
        <f>TRIM(C41&amp;"")</f>
        <v/>
      </c>
      <c r="M41" s="31">
        <f>IF(I41="","",IF(UPPER(TRIM(F41&amp;""))="Y","Paid another way","Unpaid"))</f>
        <v/>
      </c>
      <c r="N41" s="31">
        <f>IF(I41="",0,IF(IFERROR(INDEX(Settings!$J$4:$J$14,MATCH(M41,Settings!$I$4:$I$14,0)),"N")="Y",1,0))</f>
        <v/>
      </c>
      <c r="O41" s="32">
        <f>IF(AND(I41&lt;&gt;"",ISNUMBER(D41)),INT(D41),"")</f>
        <v/>
      </c>
      <c r="P41" s="32">
        <f>O41</f>
        <v/>
      </c>
      <c r="Q41" s="31">
        <f>IF(I41="","",IF(ISNUMBER(IFERROR(INDEX(Settings!$G$4:$G$11,MATCH(L41,Settings!$F$4:$F$11,0)),"")),INDEX(Settings!$G$4:$G$11,MATCH(L41,Settings!$F$4:$F$11,0)),Settings!$D$5))</f>
        <v/>
      </c>
      <c r="R41" s="32">
        <f>IF(OR(I41="",NOT(ISNUMBER(P41)),NOT(ISNUMBER(Q41))),"",IF(Q41&lt;=0,"",IF(ISNUMBER(Settings!$D$8),DATE(YEAR(P41)+IF(DATE(YEAR(P41),MONTH(Settings!$D$8),DAY(Settings!$D$8))&gt;P41,0,1),MONTH(Settings!$D$8),DAY(Settings!$D$8)),MIN(DATE(YEAR(P41),MONTH(P41)+Q41,DAY(P41)),DATE(YEAR(P41),MONTH(P41)+Q41+1,0)))))</f>
        <v/>
      </c>
      <c r="S41" s="31">
        <f>IF(ISNUMBER(R41),R41-Settings!$D$4,"")</f>
        <v/>
      </c>
      <c r="T41" s="31">
        <f>IF(ISNUMBER(P41),P41+0.5+ROW()/100000,"")</f>
        <v/>
      </c>
      <c r="U41" s="31">
        <f>IF(OR(K41="",NOT(ISNUMBER(T41))),0,IF(SUMPRODUCT(('Responses'!$AG$2:$AG$501=K41)*('Responses'!$AJ$2:$AJ$501=1)*ISNUMBER('Responses'!$AP$2:$AP$501)*('Responses'!$AP$2:$AP$501&gt;T41)) + SUMPRODUCT(('Paper sign-ups'!$K$2:$K$101=K41)*('Paper sign-ups'!$N$2:$N$101=1)*ISNUMBER('Paper sign-ups'!$T$2:$T$101)*('Paper sign-ups'!$T$2:$T$101&gt;T41))&gt;0,1,0))</f>
        <v/>
      </c>
      <c r="V41" s="31">
        <f>IF(I41="","",IF(U41=1,"Joined again",IF(N41=0,"Unpaid",IF(NOT(ISNUMBER(P41)),"Add a join date",IF(R41="","No reminder",IF(S41&lt;0,"Lapsed",IF(S41&lt;=Settings!$D$6,"Remind soon","Current")))))))</f>
        <v/>
      </c>
      <c r="W41" s="33">
        <f>IF(N41=1,IF(ISNUMBER(E41),E41,0),0)</f>
        <v/>
      </c>
      <c r="X41" s="31">
        <f>IF(AND(I41&lt;&gt;"",U41=0),1,0)</f>
        <v/>
      </c>
      <c r="Y41" s="31">
        <f>IF(X41=0,"",IF(ISNUMBER(R41),R41,100000)+0.5+ROW()/1000000)</f>
        <v/>
      </c>
      <c r="Z41" s="31">
        <f>IF(ISNUMBER(Y41),SUMPRODUCT(ISNUMBER('Responses'!$AU$2:$AU$501)*('Responses'!$AU$2:$AU$501&lt;Y41)) + SUMPRODUCT(ISNUMBER('Paper sign-ups'!$Y$2:$Y$101)*('Paper sign-ups'!$Y$2:$Y$101&lt;Y41))+1,"")</f>
        <v/>
      </c>
    </row>
    <row r="42">
      <c r="A42" s="30" t="n"/>
      <c r="B42" s="30" t="n"/>
      <c r="C42" s="30" t="n"/>
      <c r="D42" s="37" t="n"/>
      <c r="E42" s="38" t="n"/>
      <c r="F42" s="30" t="n"/>
      <c r="G42" s="30" t="n"/>
      <c r="H42" s="29" t="n"/>
      <c r="I42" s="31">
        <f>TRIM(A42&amp;"")</f>
        <v/>
      </c>
      <c r="J42" s="31">
        <f>TRIM(B42&amp;"")</f>
        <v/>
      </c>
      <c r="K42" s="31">
        <f>IF(I42="","",LOWER(IF(J42&lt;&gt;"",J42,I42)))</f>
        <v/>
      </c>
      <c r="L42" s="31">
        <f>TRIM(C42&amp;"")</f>
        <v/>
      </c>
      <c r="M42" s="31">
        <f>IF(I42="","",IF(UPPER(TRIM(F42&amp;""))="Y","Paid another way","Unpaid"))</f>
        <v/>
      </c>
      <c r="N42" s="31">
        <f>IF(I42="",0,IF(IFERROR(INDEX(Settings!$J$4:$J$14,MATCH(M42,Settings!$I$4:$I$14,0)),"N")="Y",1,0))</f>
        <v/>
      </c>
      <c r="O42" s="32">
        <f>IF(AND(I42&lt;&gt;"",ISNUMBER(D42)),INT(D42),"")</f>
        <v/>
      </c>
      <c r="P42" s="32">
        <f>O42</f>
        <v/>
      </c>
      <c r="Q42" s="31">
        <f>IF(I42="","",IF(ISNUMBER(IFERROR(INDEX(Settings!$G$4:$G$11,MATCH(L42,Settings!$F$4:$F$11,0)),"")),INDEX(Settings!$G$4:$G$11,MATCH(L42,Settings!$F$4:$F$11,0)),Settings!$D$5))</f>
        <v/>
      </c>
      <c r="R42" s="32">
        <f>IF(OR(I42="",NOT(ISNUMBER(P42)),NOT(ISNUMBER(Q42))),"",IF(Q42&lt;=0,"",IF(ISNUMBER(Settings!$D$8),DATE(YEAR(P42)+IF(DATE(YEAR(P42),MONTH(Settings!$D$8),DAY(Settings!$D$8))&gt;P42,0,1),MONTH(Settings!$D$8),DAY(Settings!$D$8)),MIN(DATE(YEAR(P42),MONTH(P42)+Q42,DAY(P42)),DATE(YEAR(P42),MONTH(P42)+Q42+1,0)))))</f>
        <v/>
      </c>
      <c r="S42" s="31">
        <f>IF(ISNUMBER(R42),R42-Settings!$D$4,"")</f>
        <v/>
      </c>
      <c r="T42" s="31">
        <f>IF(ISNUMBER(P42),P42+0.5+ROW()/100000,"")</f>
        <v/>
      </c>
      <c r="U42" s="31">
        <f>IF(OR(K42="",NOT(ISNUMBER(T42))),0,IF(SUMPRODUCT(('Responses'!$AG$2:$AG$501=K42)*('Responses'!$AJ$2:$AJ$501=1)*ISNUMBER('Responses'!$AP$2:$AP$501)*('Responses'!$AP$2:$AP$501&gt;T42)) + SUMPRODUCT(('Paper sign-ups'!$K$2:$K$101=K42)*('Paper sign-ups'!$N$2:$N$101=1)*ISNUMBER('Paper sign-ups'!$T$2:$T$101)*('Paper sign-ups'!$T$2:$T$101&gt;T42))&gt;0,1,0))</f>
        <v/>
      </c>
      <c r="V42" s="31">
        <f>IF(I42="","",IF(U42=1,"Joined again",IF(N42=0,"Unpaid",IF(NOT(ISNUMBER(P42)),"Add a join date",IF(R42="","No reminder",IF(S42&lt;0,"Lapsed",IF(S42&lt;=Settings!$D$6,"Remind soon","Current")))))))</f>
        <v/>
      </c>
      <c r="W42" s="33">
        <f>IF(N42=1,IF(ISNUMBER(E42),E42,0),0)</f>
        <v/>
      </c>
      <c r="X42" s="31">
        <f>IF(AND(I42&lt;&gt;"",U42=0),1,0)</f>
        <v/>
      </c>
      <c r="Y42" s="31">
        <f>IF(X42=0,"",IF(ISNUMBER(R42),R42,100000)+0.5+ROW()/1000000)</f>
        <v/>
      </c>
      <c r="Z42" s="31">
        <f>IF(ISNUMBER(Y42),SUMPRODUCT(ISNUMBER('Responses'!$AU$2:$AU$501)*('Responses'!$AU$2:$AU$501&lt;Y42)) + SUMPRODUCT(ISNUMBER('Paper sign-ups'!$Y$2:$Y$101)*('Paper sign-ups'!$Y$2:$Y$101&lt;Y42))+1,"")</f>
        <v/>
      </c>
    </row>
    <row r="43">
      <c r="A43" s="30" t="n"/>
      <c r="B43" s="30" t="n"/>
      <c r="C43" s="30" t="n"/>
      <c r="D43" s="37" t="n"/>
      <c r="E43" s="38" t="n"/>
      <c r="F43" s="30" t="n"/>
      <c r="G43" s="30" t="n"/>
      <c r="H43" s="29" t="n"/>
      <c r="I43" s="31">
        <f>TRIM(A43&amp;"")</f>
        <v/>
      </c>
      <c r="J43" s="31">
        <f>TRIM(B43&amp;"")</f>
        <v/>
      </c>
      <c r="K43" s="31">
        <f>IF(I43="","",LOWER(IF(J43&lt;&gt;"",J43,I43)))</f>
        <v/>
      </c>
      <c r="L43" s="31">
        <f>TRIM(C43&amp;"")</f>
        <v/>
      </c>
      <c r="M43" s="31">
        <f>IF(I43="","",IF(UPPER(TRIM(F43&amp;""))="Y","Paid another way","Unpaid"))</f>
        <v/>
      </c>
      <c r="N43" s="31">
        <f>IF(I43="",0,IF(IFERROR(INDEX(Settings!$J$4:$J$14,MATCH(M43,Settings!$I$4:$I$14,0)),"N")="Y",1,0))</f>
        <v/>
      </c>
      <c r="O43" s="32">
        <f>IF(AND(I43&lt;&gt;"",ISNUMBER(D43)),INT(D43),"")</f>
        <v/>
      </c>
      <c r="P43" s="32">
        <f>O43</f>
        <v/>
      </c>
      <c r="Q43" s="31">
        <f>IF(I43="","",IF(ISNUMBER(IFERROR(INDEX(Settings!$G$4:$G$11,MATCH(L43,Settings!$F$4:$F$11,0)),"")),INDEX(Settings!$G$4:$G$11,MATCH(L43,Settings!$F$4:$F$11,0)),Settings!$D$5))</f>
        <v/>
      </c>
      <c r="R43" s="32">
        <f>IF(OR(I43="",NOT(ISNUMBER(P43)),NOT(ISNUMBER(Q43))),"",IF(Q43&lt;=0,"",IF(ISNUMBER(Settings!$D$8),DATE(YEAR(P43)+IF(DATE(YEAR(P43),MONTH(Settings!$D$8),DAY(Settings!$D$8))&gt;P43,0,1),MONTH(Settings!$D$8),DAY(Settings!$D$8)),MIN(DATE(YEAR(P43),MONTH(P43)+Q43,DAY(P43)),DATE(YEAR(P43),MONTH(P43)+Q43+1,0)))))</f>
        <v/>
      </c>
      <c r="S43" s="31">
        <f>IF(ISNUMBER(R43),R43-Settings!$D$4,"")</f>
        <v/>
      </c>
      <c r="T43" s="31">
        <f>IF(ISNUMBER(P43),P43+0.5+ROW()/100000,"")</f>
        <v/>
      </c>
      <c r="U43" s="31">
        <f>IF(OR(K43="",NOT(ISNUMBER(T43))),0,IF(SUMPRODUCT(('Responses'!$AG$2:$AG$501=K43)*('Responses'!$AJ$2:$AJ$501=1)*ISNUMBER('Responses'!$AP$2:$AP$501)*('Responses'!$AP$2:$AP$501&gt;T43)) + SUMPRODUCT(('Paper sign-ups'!$K$2:$K$101=K43)*('Paper sign-ups'!$N$2:$N$101=1)*ISNUMBER('Paper sign-ups'!$T$2:$T$101)*('Paper sign-ups'!$T$2:$T$101&gt;T43))&gt;0,1,0))</f>
        <v/>
      </c>
      <c r="V43" s="31">
        <f>IF(I43="","",IF(U43=1,"Joined again",IF(N43=0,"Unpaid",IF(NOT(ISNUMBER(P43)),"Add a join date",IF(R43="","No reminder",IF(S43&lt;0,"Lapsed",IF(S43&lt;=Settings!$D$6,"Remind soon","Current")))))))</f>
        <v/>
      </c>
      <c r="W43" s="33">
        <f>IF(N43=1,IF(ISNUMBER(E43),E43,0),0)</f>
        <v/>
      </c>
      <c r="X43" s="31">
        <f>IF(AND(I43&lt;&gt;"",U43=0),1,0)</f>
        <v/>
      </c>
      <c r="Y43" s="31">
        <f>IF(X43=0,"",IF(ISNUMBER(R43),R43,100000)+0.5+ROW()/1000000)</f>
        <v/>
      </c>
      <c r="Z43" s="31">
        <f>IF(ISNUMBER(Y43),SUMPRODUCT(ISNUMBER('Responses'!$AU$2:$AU$501)*('Responses'!$AU$2:$AU$501&lt;Y43)) + SUMPRODUCT(ISNUMBER('Paper sign-ups'!$Y$2:$Y$101)*('Paper sign-ups'!$Y$2:$Y$101&lt;Y43))+1,"")</f>
        <v/>
      </c>
    </row>
    <row r="44">
      <c r="A44" s="30" t="n"/>
      <c r="B44" s="30" t="n"/>
      <c r="C44" s="30" t="n"/>
      <c r="D44" s="37" t="n"/>
      <c r="E44" s="38" t="n"/>
      <c r="F44" s="30" t="n"/>
      <c r="G44" s="30" t="n"/>
      <c r="H44" s="29" t="n"/>
      <c r="I44" s="31">
        <f>TRIM(A44&amp;"")</f>
        <v/>
      </c>
      <c r="J44" s="31">
        <f>TRIM(B44&amp;"")</f>
        <v/>
      </c>
      <c r="K44" s="31">
        <f>IF(I44="","",LOWER(IF(J44&lt;&gt;"",J44,I44)))</f>
        <v/>
      </c>
      <c r="L44" s="31">
        <f>TRIM(C44&amp;"")</f>
        <v/>
      </c>
      <c r="M44" s="31">
        <f>IF(I44="","",IF(UPPER(TRIM(F44&amp;""))="Y","Paid another way","Unpaid"))</f>
        <v/>
      </c>
      <c r="N44" s="31">
        <f>IF(I44="",0,IF(IFERROR(INDEX(Settings!$J$4:$J$14,MATCH(M44,Settings!$I$4:$I$14,0)),"N")="Y",1,0))</f>
        <v/>
      </c>
      <c r="O44" s="32">
        <f>IF(AND(I44&lt;&gt;"",ISNUMBER(D44)),INT(D44),"")</f>
        <v/>
      </c>
      <c r="P44" s="32">
        <f>O44</f>
        <v/>
      </c>
      <c r="Q44" s="31">
        <f>IF(I44="","",IF(ISNUMBER(IFERROR(INDEX(Settings!$G$4:$G$11,MATCH(L44,Settings!$F$4:$F$11,0)),"")),INDEX(Settings!$G$4:$G$11,MATCH(L44,Settings!$F$4:$F$11,0)),Settings!$D$5))</f>
        <v/>
      </c>
      <c r="R44" s="32">
        <f>IF(OR(I44="",NOT(ISNUMBER(P44)),NOT(ISNUMBER(Q44))),"",IF(Q44&lt;=0,"",IF(ISNUMBER(Settings!$D$8),DATE(YEAR(P44)+IF(DATE(YEAR(P44),MONTH(Settings!$D$8),DAY(Settings!$D$8))&gt;P44,0,1),MONTH(Settings!$D$8),DAY(Settings!$D$8)),MIN(DATE(YEAR(P44),MONTH(P44)+Q44,DAY(P44)),DATE(YEAR(P44),MONTH(P44)+Q44+1,0)))))</f>
        <v/>
      </c>
      <c r="S44" s="31">
        <f>IF(ISNUMBER(R44),R44-Settings!$D$4,"")</f>
        <v/>
      </c>
      <c r="T44" s="31">
        <f>IF(ISNUMBER(P44),P44+0.5+ROW()/100000,"")</f>
        <v/>
      </c>
      <c r="U44" s="31">
        <f>IF(OR(K44="",NOT(ISNUMBER(T44))),0,IF(SUMPRODUCT(('Responses'!$AG$2:$AG$501=K44)*('Responses'!$AJ$2:$AJ$501=1)*ISNUMBER('Responses'!$AP$2:$AP$501)*('Responses'!$AP$2:$AP$501&gt;T44)) + SUMPRODUCT(('Paper sign-ups'!$K$2:$K$101=K44)*('Paper sign-ups'!$N$2:$N$101=1)*ISNUMBER('Paper sign-ups'!$T$2:$T$101)*('Paper sign-ups'!$T$2:$T$101&gt;T44))&gt;0,1,0))</f>
        <v/>
      </c>
      <c r="V44" s="31">
        <f>IF(I44="","",IF(U44=1,"Joined again",IF(N44=0,"Unpaid",IF(NOT(ISNUMBER(P44)),"Add a join date",IF(R44="","No reminder",IF(S44&lt;0,"Lapsed",IF(S44&lt;=Settings!$D$6,"Remind soon","Current")))))))</f>
        <v/>
      </c>
      <c r="W44" s="33">
        <f>IF(N44=1,IF(ISNUMBER(E44),E44,0),0)</f>
        <v/>
      </c>
      <c r="X44" s="31">
        <f>IF(AND(I44&lt;&gt;"",U44=0),1,0)</f>
        <v/>
      </c>
      <c r="Y44" s="31">
        <f>IF(X44=0,"",IF(ISNUMBER(R44),R44,100000)+0.5+ROW()/1000000)</f>
        <v/>
      </c>
      <c r="Z44" s="31">
        <f>IF(ISNUMBER(Y44),SUMPRODUCT(ISNUMBER('Responses'!$AU$2:$AU$501)*('Responses'!$AU$2:$AU$501&lt;Y44)) + SUMPRODUCT(ISNUMBER('Paper sign-ups'!$Y$2:$Y$101)*('Paper sign-ups'!$Y$2:$Y$101&lt;Y44))+1,"")</f>
        <v/>
      </c>
    </row>
    <row r="45">
      <c r="A45" s="30" t="n"/>
      <c r="B45" s="30" t="n"/>
      <c r="C45" s="30" t="n"/>
      <c r="D45" s="37" t="n"/>
      <c r="E45" s="38" t="n"/>
      <c r="F45" s="30" t="n"/>
      <c r="G45" s="30" t="n"/>
      <c r="H45" s="29" t="n"/>
      <c r="I45" s="31">
        <f>TRIM(A45&amp;"")</f>
        <v/>
      </c>
      <c r="J45" s="31">
        <f>TRIM(B45&amp;"")</f>
        <v/>
      </c>
      <c r="K45" s="31">
        <f>IF(I45="","",LOWER(IF(J45&lt;&gt;"",J45,I45)))</f>
        <v/>
      </c>
      <c r="L45" s="31">
        <f>TRIM(C45&amp;"")</f>
        <v/>
      </c>
      <c r="M45" s="31">
        <f>IF(I45="","",IF(UPPER(TRIM(F45&amp;""))="Y","Paid another way","Unpaid"))</f>
        <v/>
      </c>
      <c r="N45" s="31">
        <f>IF(I45="",0,IF(IFERROR(INDEX(Settings!$J$4:$J$14,MATCH(M45,Settings!$I$4:$I$14,0)),"N")="Y",1,0))</f>
        <v/>
      </c>
      <c r="O45" s="32">
        <f>IF(AND(I45&lt;&gt;"",ISNUMBER(D45)),INT(D45),"")</f>
        <v/>
      </c>
      <c r="P45" s="32">
        <f>O45</f>
        <v/>
      </c>
      <c r="Q45" s="31">
        <f>IF(I45="","",IF(ISNUMBER(IFERROR(INDEX(Settings!$G$4:$G$11,MATCH(L45,Settings!$F$4:$F$11,0)),"")),INDEX(Settings!$G$4:$G$11,MATCH(L45,Settings!$F$4:$F$11,0)),Settings!$D$5))</f>
        <v/>
      </c>
      <c r="R45" s="32">
        <f>IF(OR(I45="",NOT(ISNUMBER(P45)),NOT(ISNUMBER(Q45))),"",IF(Q45&lt;=0,"",IF(ISNUMBER(Settings!$D$8),DATE(YEAR(P45)+IF(DATE(YEAR(P45),MONTH(Settings!$D$8),DAY(Settings!$D$8))&gt;P45,0,1),MONTH(Settings!$D$8),DAY(Settings!$D$8)),MIN(DATE(YEAR(P45),MONTH(P45)+Q45,DAY(P45)),DATE(YEAR(P45),MONTH(P45)+Q45+1,0)))))</f>
        <v/>
      </c>
      <c r="S45" s="31">
        <f>IF(ISNUMBER(R45),R45-Settings!$D$4,"")</f>
        <v/>
      </c>
      <c r="T45" s="31">
        <f>IF(ISNUMBER(P45),P45+0.5+ROW()/100000,"")</f>
        <v/>
      </c>
      <c r="U45" s="31">
        <f>IF(OR(K45="",NOT(ISNUMBER(T45))),0,IF(SUMPRODUCT(('Responses'!$AG$2:$AG$501=K45)*('Responses'!$AJ$2:$AJ$501=1)*ISNUMBER('Responses'!$AP$2:$AP$501)*('Responses'!$AP$2:$AP$501&gt;T45)) + SUMPRODUCT(('Paper sign-ups'!$K$2:$K$101=K45)*('Paper sign-ups'!$N$2:$N$101=1)*ISNUMBER('Paper sign-ups'!$T$2:$T$101)*('Paper sign-ups'!$T$2:$T$101&gt;T45))&gt;0,1,0))</f>
        <v/>
      </c>
      <c r="V45" s="31">
        <f>IF(I45="","",IF(U45=1,"Joined again",IF(N45=0,"Unpaid",IF(NOT(ISNUMBER(P45)),"Add a join date",IF(R45="","No reminder",IF(S45&lt;0,"Lapsed",IF(S45&lt;=Settings!$D$6,"Remind soon","Current")))))))</f>
        <v/>
      </c>
      <c r="W45" s="33">
        <f>IF(N45=1,IF(ISNUMBER(E45),E45,0),0)</f>
        <v/>
      </c>
      <c r="X45" s="31">
        <f>IF(AND(I45&lt;&gt;"",U45=0),1,0)</f>
        <v/>
      </c>
      <c r="Y45" s="31">
        <f>IF(X45=0,"",IF(ISNUMBER(R45),R45,100000)+0.5+ROW()/1000000)</f>
        <v/>
      </c>
      <c r="Z45" s="31">
        <f>IF(ISNUMBER(Y45),SUMPRODUCT(ISNUMBER('Responses'!$AU$2:$AU$501)*('Responses'!$AU$2:$AU$501&lt;Y45)) + SUMPRODUCT(ISNUMBER('Paper sign-ups'!$Y$2:$Y$101)*('Paper sign-ups'!$Y$2:$Y$101&lt;Y45))+1,"")</f>
        <v/>
      </c>
    </row>
    <row r="46">
      <c r="A46" s="30" t="n"/>
      <c r="B46" s="30" t="n"/>
      <c r="C46" s="30" t="n"/>
      <c r="D46" s="37" t="n"/>
      <c r="E46" s="38" t="n"/>
      <c r="F46" s="30" t="n"/>
      <c r="G46" s="30" t="n"/>
      <c r="H46" s="29" t="n"/>
      <c r="I46" s="31">
        <f>TRIM(A46&amp;"")</f>
        <v/>
      </c>
      <c r="J46" s="31">
        <f>TRIM(B46&amp;"")</f>
        <v/>
      </c>
      <c r="K46" s="31">
        <f>IF(I46="","",LOWER(IF(J46&lt;&gt;"",J46,I46)))</f>
        <v/>
      </c>
      <c r="L46" s="31">
        <f>TRIM(C46&amp;"")</f>
        <v/>
      </c>
      <c r="M46" s="31">
        <f>IF(I46="","",IF(UPPER(TRIM(F46&amp;""))="Y","Paid another way","Unpaid"))</f>
        <v/>
      </c>
      <c r="N46" s="31">
        <f>IF(I46="",0,IF(IFERROR(INDEX(Settings!$J$4:$J$14,MATCH(M46,Settings!$I$4:$I$14,0)),"N")="Y",1,0))</f>
        <v/>
      </c>
      <c r="O46" s="32">
        <f>IF(AND(I46&lt;&gt;"",ISNUMBER(D46)),INT(D46),"")</f>
        <v/>
      </c>
      <c r="P46" s="32">
        <f>O46</f>
        <v/>
      </c>
      <c r="Q46" s="31">
        <f>IF(I46="","",IF(ISNUMBER(IFERROR(INDEX(Settings!$G$4:$G$11,MATCH(L46,Settings!$F$4:$F$11,0)),"")),INDEX(Settings!$G$4:$G$11,MATCH(L46,Settings!$F$4:$F$11,0)),Settings!$D$5))</f>
        <v/>
      </c>
      <c r="R46" s="32">
        <f>IF(OR(I46="",NOT(ISNUMBER(P46)),NOT(ISNUMBER(Q46))),"",IF(Q46&lt;=0,"",IF(ISNUMBER(Settings!$D$8),DATE(YEAR(P46)+IF(DATE(YEAR(P46),MONTH(Settings!$D$8),DAY(Settings!$D$8))&gt;P46,0,1),MONTH(Settings!$D$8),DAY(Settings!$D$8)),MIN(DATE(YEAR(P46),MONTH(P46)+Q46,DAY(P46)),DATE(YEAR(P46),MONTH(P46)+Q46+1,0)))))</f>
        <v/>
      </c>
      <c r="S46" s="31">
        <f>IF(ISNUMBER(R46),R46-Settings!$D$4,"")</f>
        <v/>
      </c>
      <c r="T46" s="31">
        <f>IF(ISNUMBER(P46),P46+0.5+ROW()/100000,"")</f>
        <v/>
      </c>
      <c r="U46" s="31">
        <f>IF(OR(K46="",NOT(ISNUMBER(T46))),0,IF(SUMPRODUCT(('Responses'!$AG$2:$AG$501=K46)*('Responses'!$AJ$2:$AJ$501=1)*ISNUMBER('Responses'!$AP$2:$AP$501)*('Responses'!$AP$2:$AP$501&gt;T46)) + SUMPRODUCT(('Paper sign-ups'!$K$2:$K$101=K46)*('Paper sign-ups'!$N$2:$N$101=1)*ISNUMBER('Paper sign-ups'!$T$2:$T$101)*('Paper sign-ups'!$T$2:$T$101&gt;T46))&gt;0,1,0))</f>
        <v/>
      </c>
      <c r="V46" s="31">
        <f>IF(I46="","",IF(U46=1,"Joined again",IF(N46=0,"Unpaid",IF(NOT(ISNUMBER(P46)),"Add a join date",IF(R46="","No reminder",IF(S46&lt;0,"Lapsed",IF(S46&lt;=Settings!$D$6,"Remind soon","Current")))))))</f>
        <v/>
      </c>
      <c r="W46" s="33">
        <f>IF(N46=1,IF(ISNUMBER(E46),E46,0),0)</f>
        <v/>
      </c>
      <c r="X46" s="31">
        <f>IF(AND(I46&lt;&gt;"",U46=0),1,0)</f>
        <v/>
      </c>
      <c r="Y46" s="31">
        <f>IF(X46=0,"",IF(ISNUMBER(R46),R46,100000)+0.5+ROW()/1000000)</f>
        <v/>
      </c>
      <c r="Z46" s="31">
        <f>IF(ISNUMBER(Y46),SUMPRODUCT(ISNUMBER('Responses'!$AU$2:$AU$501)*('Responses'!$AU$2:$AU$501&lt;Y46)) + SUMPRODUCT(ISNUMBER('Paper sign-ups'!$Y$2:$Y$101)*('Paper sign-ups'!$Y$2:$Y$101&lt;Y46))+1,"")</f>
        <v/>
      </c>
    </row>
    <row r="47">
      <c r="A47" s="30" t="n"/>
      <c r="B47" s="30" t="n"/>
      <c r="C47" s="30" t="n"/>
      <c r="D47" s="37" t="n"/>
      <c r="E47" s="38" t="n"/>
      <c r="F47" s="30" t="n"/>
      <c r="G47" s="30" t="n"/>
      <c r="H47" s="29" t="n"/>
      <c r="I47" s="31">
        <f>TRIM(A47&amp;"")</f>
        <v/>
      </c>
      <c r="J47" s="31">
        <f>TRIM(B47&amp;"")</f>
        <v/>
      </c>
      <c r="K47" s="31">
        <f>IF(I47="","",LOWER(IF(J47&lt;&gt;"",J47,I47)))</f>
        <v/>
      </c>
      <c r="L47" s="31">
        <f>TRIM(C47&amp;"")</f>
        <v/>
      </c>
      <c r="M47" s="31">
        <f>IF(I47="","",IF(UPPER(TRIM(F47&amp;""))="Y","Paid another way","Unpaid"))</f>
        <v/>
      </c>
      <c r="N47" s="31">
        <f>IF(I47="",0,IF(IFERROR(INDEX(Settings!$J$4:$J$14,MATCH(M47,Settings!$I$4:$I$14,0)),"N")="Y",1,0))</f>
        <v/>
      </c>
      <c r="O47" s="32">
        <f>IF(AND(I47&lt;&gt;"",ISNUMBER(D47)),INT(D47),"")</f>
        <v/>
      </c>
      <c r="P47" s="32">
        <f>O47</f>
        <v/>
      </c>
      <c r="Q47" s="31">
        <f>IF(I47="","",IF(ISNUMBER(IFERROR(INDEX(Settings!$G$4:$G$11,MATCH(L47,Settings!$F$4:$F$11,0)),"")),INDEX(Settings!$G$4:$G$11,MATCH(L47,Settings!$F$4:$F$11,0)),Settings!$D$5))</f>
        <v/>
      </c>
      <c r="R47" s="32">
        <f>IF(OR(I47="",NOT(ISNUMBER(P47)),NOT(ISNUMBER(Q47))),"",IF(Q47&lt;=0,"",IF(ISNUMBER(Settings!$D$8),DATE(YEAR(P47)+IF(DATE(YEAR(P47),MONTH(Settings!$D$8),DAY(Settings!$D$8))&gt;P47,0,1),MONTH(Settings!$D$8),DAY(Settings!$D$8)),MIN(DATE(YEAR(P47),MONTH(P47)+Q47,DAY(P47)),DATE(YEAR(P47),MONTH(P47)+Q47+1,0)))))</f>
        <v/>
      </c>
      <c r="S47" s="31">
        <f>IF(ISNUMBER(R47),R47-Settings!$D$4,"")</f>
        <v/>
      </c>
      <c r="T47" s="31">
        <f>IF(ISNUMBER(P47),P47+0.5+ROW()/100000,"")</f>
        <v/>
      </c>
      <c r="U47" s="31">
        <f>IF(OR(K47="",NOT(ISNUMBER(T47))),0,IF(SUMPRODUCT(('Responses'!$AG$2:$AG$501=K47)*('Responses'!$AJ$2:$AJ$501=1)*ISNUMBER('Responses'!$AP$2:$AP$501)*('Responses'!$AP$2:$AP$501&gt;T47)) + SUMPRODUCT(('Paper sign-ups'!$K$2:$K$101=K47)*('Paper sign-ups'!$N$2:$N$101=1)*ISNUMBER('Paper sign-ups'!$T$2:$T$101)*('Paper sign-ups'!$T$2:$T$101&gt;T47))&gt;0,1,0))</f>
        <v/>
      </c>
      <c r="V47" s="31">
        <f>IF(I47="","",IF(U47=1,"Joined again",IF(N47=0,"Unpaid",IF(NOT(ISNUMBER(P47)),"Add a join date",IF(R47="","No reminder",IF(S47&lt;0,"Lapsed",IF(S47&lt;=Settings!$D$6,"Remind soon","Current")))))))</f>
        <v/>
      </c>
      <c r="W47" s="33">
        <f>IF(N47=1,IF(ISNUMBER(E47),E47,0),0)</f>
        <v/>
      </c>
      <c r="X47" s="31">
        <f>IF(AND(I47&lt;&gt;"",U47=0),1,0)</f>
        <v/>
      </c>
      <c r="Y47" s="31">
        <f>IF(X47=0,"",IF(ISNUMBER(R47),R47,100000)+0.5+ROW()/1000000)</f>
        <v/>
      </c>
      <c r="Z47" s="31">
        <f>IF(ISNUMBER(Y47),SUMPRODUCT(ISNUMBER('Responses'!$AU$2:$AU$501)*('Responses'!$AU$2:$AU$501&lt;Y47)) + SUMPRODUCT(ISNUMBER('Paper sign-ups'!$Y$2:$Y$101)*('Paper sign-ups'!$Y$2:$Y$101&lt;Y47))+1,"")</f>
        <v/>
      </c>
    </row>
    <row r="48">
      <c r="A48" s="30" t="n"/>
      <c r="B48" s="30" t="n"/>
      <c r="C48" s="30" t="n"/>
      <c r="D48" s="37" t="n"/>
      <c r="E48" s="38" t="n"/>
      <c r="F48" s="30" t="n"/>
      <c r="G48" s="30" t="n"/>
      <c r="H48" s="29" t="n"/>
      <c r="I48" s="31">
        <f>TRIM(A48&amp;"")</f>
        <v/>
      </c>
      <c r="J48" s="31">
        <f>TRIM(B48&amp;"")</f>
        <v/>
      </c>
      <c r="K48" s="31">
        <f>IF(I48="","",LOWER(IF(J48&lt;&gt;"",J48,I48)))</f>
        <v/>
      </c>
      <c r="L48" s="31">
        <f>TRIM(C48&amp;"")</f>
        <v/>
      </c>
      <c r="M48" s="31">
        <f>IF(I48="","",IF(UPPER(TRIM(F48&amp;""))="Y","Paid another way","Unpaid"))</f>
        <v/>
      </c>
      <c r="N48" s="31">
        <f>IF(I48="",0,IF(IFERROR(INDEX(Settings!$J$4:$J$14,MATCH(M48,Settings!$I$4:$I$14,0)),"N")="Y",1,0))</f>
        <v/>
      </c>
      <c r="O48" s="32">
        <f>IF(AND(I48&lt;&gt;"",ISNUMBER(D48)),INT(D48),"")</f>
        <v/>
      </c>
      <c r="P48" s="32">
        <f>O48</f>
        <v/>
      </c>
      <c r="Q48" s="31">
        <f>IF(I48="","",IF(ISNUMBER(IFERROR(INDEX(Settings!$G$4:$G$11,MATCH(L48,Settings!$F$4:$F$11,0)),"")),INDEX(Settings!$G$4:$G$11,MATCH(L48,Settings!$F$4:$F$11,0)),Settings!$D$5))</f>
        <v/>
      </c>
      <c r="R48" s="32">
        <f>IF(OR(I48="",NOT(ISNUMBER(P48)),NOT(ISNUMBER(Q48))),"",IF(Q48&lt;=0,"",IF(ISNUMBER(Settings!$D$8),DATE(YEAR(P48)+IF(DATE(YEAR(P48),MONTH(Settings!$D$8),DAY(Settings!$D$8))&gt;P48,0,1),MONTH(Settings!$D$8),DAY(Settings!$D$8)),MIN(DATE(YEAR(P48),MONTH(P48)+Q48,DAY(P48)),DATE(YEAR(P48),MONTH(P48)+Q48+1,0)))))</f>
        <v/>
      </c>
      <c r="S48" s="31">
        <f>IF(ISNUMBER(R48),R48-Settings!$D$4,"")</f>
        <v/>
      </c>
      <c r="T48" s="31">
        <f>IF(ISNUMBER(P48),P48+0.5+ROW()/100000,"")</f>
        <v/>
      </c>
      <c r="U48" s="31">
        <f>IF(OR(K48="",NOT(ISNUMBER(T48))),0,IF(SUMPRODUCT(('Responses'!$AG$2:$AG$501=K48)*('Responses'!$AJ$2:$AJ$501=1)*ISNUMBER('Responses'!$AP$2:$AP$501)*('Responses'!$AP$2:$AP$501&gt;T48)) + SUMPRODUCT(('Paper sign-ups'!$K$2:$K$101=K48)*('Paper sign-ups'!$N$2:$N$101=1)*ISNUMBER('Paper sign-ups'!$T$2:$T$101)*('Paper sign-ups'!$T$2:$T$101&gt;T48))&gt;0,1,0))</f>
        <v/>
      </c>
      <c r="V48" s="31">
        <f>IF(I48="","",IF(U48=1,"Joined again",IF(N48=0,"Unpaid",IF(NOT(ISNUMBER(P48)),"Add a join date",IF(R48="","No reminder",IF(S48&lt;0,"Lapsed",IF(S48&lt;=Settings!$D$6,"Remind soon","Current")))))))</f>
        <v/>
      </c>
      <c r="W48" s="33">
        <f>IF(N48=1,IF(ISNUMBER(E48),E48,0),0)</f>
        <v/>
      </c>
      <c r="X48" s="31">
        <f>IF(AND(I48&lt;&gt;"",U48=0),1,0)</f>
        <v/>
      </c>
      <c r="Y48" s="31">
        <f>IF(X48=0,"",IF(ISNUMBER(R48),R48,100000)+0.5+ROW()/1000000)</f>
        <v/>
      </c>
      <c r="Z48" s="31">
        <f>IF(ISNUMBER(Y48),SUMPRODUCT(ISNUMBER('Responses'!$AU$2:$AU$501)*('Responses'!$AU$2:$AU$501&lt;Y48)) + SUMPRODUCT(ISNUMBER('Paper sign-ups'!$Y$2:$Y$101)*('Paper sign-ups'!$Y$2:$Y$101&lt;Y48))+1,"")</f>
        <v/>
      </c>
    </row>
    <row r="49">
      <c r="A49" s="30" t="n"/>
      <c r="B49" s="30" t="n"/>
      <c r="C49" s="30" t="n"/>
      <c r="D49" s="37" t="n"/>
      <c r="E49" s="38" t="n"/>
      <c r="F49" s="30" t="n"/>
      <c r="G49" s="30" t="n"/>
      <c r="H49" s="29" t="n"/>
      <c r="I49" s="31">
        <f>TRIM(A49&amp;"")</f>
        <v/>
      </c>
      <c r="J49" s="31">
        <f>TRIM(B49&amp;"")</f>
        <v/>
      </c>
      <c r="K49" s="31">
        <f>IF(I49="","",LOWER(IF(J49&lt;&gt;"",J49,I49)))</f>
        <v/>
      </c>
      <c r="L49" s="31">
        <f>TRIM(C49&amp;"")</f>
        <v/>
      </c>
      <c r="M49" s="31">
        <f>IF(I49="","",IF(UPPER(TRIM(F49&amp;""))="Y","Paid another way","Unpaid"))</f>
        <v/>
      </c>
      <c r="N49" s="31">
        <f>IF(I49="",0,IF(IFERROR(INDEX(Settings!$J$4:$J$14,MATCH(M49,Settings!$I$4:$I$14,0)),"N")="Y",1,0))</f>
        <v/>
      </c>
      <c r="O49" s="32">
        <f>IF(AND(I49&lt;&gt;"",ISNUMBER(D49)),INT(D49),"")</f>
        <v/>
      </c>
      <c r="P49" s="32">
        <f>O49</f>
        <v/>
      </c>
      <c r="Q49" s="31">
        <f>IF(I49="","",IF(ISNUMBER(IFERROR(INDEX(Settings!$G$4:$G$11,MATCH(L49,Settings!$F$4:$F$11,0)),"")),INDEX(Settings!$G$4:$G$11,MATCH(L49,Settings!$F$4:$F$11,0)),Settings!$D$5))</f>
        <v/>
      </c>
      <c r="R49" s="32">
        <f>IF(OR(I49="",NOT(ISNUMBER(P49)),NOT(ISNUMBER(Q49))),"",IF(Q49&lt;=0,"",IF(ISNUMBER(Settings!$D$8),DATE(YEAR(P49)+IF(DATE(YEAR(P49),MONTH(Settings!$D$8),DAY(Settings!$D$8))&gt;P49,0,1),MONTH(Settings!$D$8),DAY(Settings!$D$8)),MIN(DATE(YEAR(P49),MONTH(P49)+Q49,DAY(P49)),DATE(YEAR(P49),MONTH(P49)+Q49+1,0)))))</f>
        <v/>
      </c>
      <c r="S49" s="31">
        <f>IF(ISNUMBER(R49),R49-Settings!$D$4,"")</f>
        <v/>
      </c>
      <c r="T49" s="31">
        <f>IF(ISNUMBER(P49),P49+0.5+ROW()/100000,"")</f>
        <v/>
      </c>
      <c r="U49" s="31">
        <f>IF(OR(K49="",NOT(ISNUMBER(T49))),0,IF(SUMPRODUCT(('Responses'!$AG$2:$AG$501=K49)*('Responses'!$AJ$2:$AJ$501=1)*ISNUMBER('Responses'!$AP$2:$AP$501)*('Responses'!$AP$2:$AP$501&gt;T49)) + SUMPRODUCT(('Paper sign-ups'!$K$2:$K$101=K49)*('Paper sign-ups'!$N$2:$N$101=1)*ISNUMBER('Paper sign-ups'!$T$2:$T$101)*('Paper sign-ups'!$T$2:$T$101&gt;T49))&gt;0,1,0))</f>
        <v/>
      </c>
      <c r="V49" s="31">
        <f>IF(I49="","",IF(U49=1,"Joined again",IF(N49=0,"Unpaid",IF(NOT(ISNUMBER(P49)),"Add a join date",IF(R49="","No reminder",IF(S49&lt;0,"Lapsed",IF(S49&lt;=Settings!$D$6,"Remind soon","Current")))))))</f>
        <v/>
      </c>
      <c r="W49" s="33">
        <f>IF(N49=1,IF(ISNUMBER(E49),E49,0),0)</f>
        <v/>
      </c>
      <c r="X49" s="31">
        <f>IF(AND(I49&lt;&gt;"",U49=0),1,0)</f>
        <v/>
      </c>
      <c r="Y49" s="31">
        <f>IF(X49=0,"",IF(ISNUMBER(R49),R49,100000)+0.5+ROW()/1000000)</f>
        <v/>
      </c>
      <c r="Z49" s="31">
        <f>IF(ISNUMBER(Y49),SUMPRODUCT(ISNUMBER('Responses'!$AU$2:$AU$501)*('Responses'!$AU$2:$AU$501&lt;Y49)) + SUMPRODUCT(ISNUMBER('Paper sign-ups'!$Y$2:$Y$101)*('Paper sign-ups'!$Y$2:$Y$101&lt;Y49))+1,"")</f>
        <v/>
      </c>
    </row>
    <row r="50">
      <c r="A50" s="30" t="n"/>
      <c r="B50" s="30" t="n"/>
      <c r="C50" s="30" t="n"/>
      <c r="D50" s="37" t="n"/>
      <c r="E50" s="38" t="n"/>
      <c r="F50" s="30" t="n"/>
      <c r="G50" s="30" t="n"/>
      <c r="H50" s="29" t="n"/>
      <c r="I50" s="31">
        <f>TRIM(A50&amp;"")</f>
        <v/>
      </c>
      <c r="J50" s="31">
        <f>TRIM(B50&amp;"")</f>
        <v/>
      </c>
      <c r="K50" s="31">
        <f>IF(I50="","",LOWER(IF(J50&lt;&gt;"",J50,I50)))</f>
        <v/>
      </c>
      <c r="L50" s="31">
        <f>TRIM(C50&amp;"")</f>
        <v/>
      </c>
      <c r="M50" s="31">
        <f>IF(I50="","",IF(UPPER(TRIM(F50&amp;""))="Y","Paid another way","Unpaid"))</f>
        <v/>
      </c>
      <c r="N50" s="31">
        <f>IF(I50="",0,IF(IFERROR(INDEX(Settings!$J$4:$J$14,MATCH(M50,Settings!$I$4:$I$14,0)),"N")="Y",1,0))</f>
        <v/>
      </c>
      <c r="O50" s="32">
        <f>IF(AND(I50&lt;&gt;"",ISNUMBER(D50)),INT(D50),"")</f>
        <v/>
      </c>
      <c r="P50" s="32">
        <f>O50</f>
        <v/>
      </c>
      <c r="Q50" s="31">
        <f>IF(I50="","",IF(ISNUMBER(IFERROR(INDEX(Settings!$G$4:$G$11,MATCH(L50,Settings!$F$4:$F$11,0)),"")),INDEX(Settings!$G$4:$G$11,MATCH(L50,Settings!$F$4:$F$11,0)),Settings!$D$5))</f>
        <v/>
      </c>
      <c r="R50" s="32">
        <f>IF(OR(I50="",NOT(ISNUMBER(P50)),NOT(ISNUMBER(Q50))),"",IF(Q50&lt;=0,"",IF(ISNUMBER(Settings!$D$8),DATE(YEAR(P50)+IF(DATE(YEAR(P50),MONTH(Settings!$D$8),DAY(Settings!$D$8))&gt;P50,0,1),MONTH(Settings!$D$8),DAY(Settings!$D$8)),MIN(DATE(YEAR(P50),MONTH(P50)+Q50,DAY(P50)),DATE(YEAR(P50),MONTH(P50)+Q50+1,0)))))</f>
        <v/>
      </c>
      <c r="S50" s="31">
        <f>IF(ISNUMBER(R50),R50-Settings!$D$4,"")</f>
        <v/>
      </c>
      <c r="T50" s="31">
        <f>IF(ISNUMBER(P50),P50+0.5+ROW()/100000,"")</f>
        <v/>
      </c>
      <c r="U50" s="31">
        <f>IF(OR(K50="",NOT(ISNUMBER(T50))),0,IF(SUMPRODUCT(('Responses'!$AG$2:$AG$501=K50)*('Responses'!$AJ$2:$AJ$501=1)*ISNUMBER('Responses'!$AP$2:$AP$501)*('Responses'!$AP$2:$AP$501&gt;T50)) + SUMPRODUCT(('Paper sign-ups'!$K$2:$K$101=K50)*('Paper sign-ups'!$N$2:$N$101=1)*ISNUMBER('Paper sign-ups'!$T$2:$T$101)*('Paper sign-ups'!$T$2:$T$101&gt;T50))&gt;0,1,0))</f>
        <v/>
      </c>
      <c r="V50" s="31">
        <f>IF(I50="","",IF(U50=1,"Joined again",IF(N50=0,"Unpaid",IF(NOT(ISNUMBER(P50)),"Add a join date",IF(R50="","No reminder",IF(S50&lt;0,"Lapsed",IF(S50&lt;=Settings!$D$6,"Remind soon","Current")))))))</f>
        <v/>
      </c>
      <c r="W50" s="33">
        <f>IF(N50=1,IF(ISNUMBER(E50),E50,0),0)</f>
        <v/>
      </c>
      <c r="X50" s="31">
        <f>IF(AND(I50&lt;&gt;"",U50=0),1,0)</f>
        <v/>
      </c>
      <c r="Y50" s="31">
        <f>IF(X50=0,"",IF(ISNUMBER(R50),R50,100000)+0.5+ROW()/1000000)</f>
        <v/>
      </c>
      <c r="Z50" s="31">
        <f>IF(ISNUMBER(Y50),SUMPRODUCT(ISNUMBER('Responses'!$AU$2:$AU$501)*('Responses'!$AU$2:$AU$501&lt;Y50)) + SUMPRODUCT(ISNUMBER('Paper sign-ups'!$Y$2:$Y$101)*('Paper sign-ups'!$Y$2:$Y$101&lt;Y50))+1,"")</f>
        <v/>
      </c>
    </row>
    <row r="51">
      <c r="A51" s="30" t="n"/>
      <c r="B51" s="30" t="n"/>
      <c r="C51" s="30" t="n"/>
      <c r="D51" s="37" t="n"/>
      <c r="E51" s="38" t="n"/>
      <c r="F51" s="30" t="n"/>
      <c r="G51" s="30" t="n"/>
      <c r="H51" s="29" t="n"/>
      <c r="I51" s="31">
        <f>TRIM(A51&amp;"")</f>
        <v/>
      </c>
      <c r="J51" s="31">
        <f>TRIM(B51&amp;"")</f>
        <v/>
      </c>
      <c r="K51" s="31">
        <f>IF(I51="","",LOWER(IF(J51&lt;&gt;"",J51,I51)))</f>
        <v/>
      </c>
      <c r="L51" s="31">
        <f>TRIM(C51&amp;"")</f>
        <v/>
      </c>
      <c r="M51" s="31">
        <f>IF(I51="","",IF(UPPER(TRIM(F51&amp;""))="Y","Paid another way","Unpaid"))</f>
        <v/>
      </c>
      <c r="N51" s="31">
        <f>IF(I51="",0,IF(IFERROR(INDEX(Settings!$J$4:$J$14,MATCH(M51,Settings!$I$4:$I$14,0)),"N")="Y",1,0))</f>
        <v/>
      </c>
      <c r="O51" s="32">
        <f>IF(AND(I51&lt;&gt;"",ISNUMBER(D51)),INT(D51),"")</f>
        <v/>
      </c>
      <c r="P51" s="32">
        <f>O51</f>
        <v/>
      </c>
      <c r="Q51" s="31">
        <f>IF(I51="","",IF(ISNUMBER(IFERROR(INDEX(Settings!$G$4:$G$11,MATCH(L51,Settings!$F$4:$F$11,0)),"")),INDEX(Settings!$G$4:$G$11,MATCH(L51,Settings!$F$4:$F$11,0)),Settings!$D$5))</f>
        <v/>
      </c>
      <c r="R51" s="32">
        <f>IF(OR(I51="",NOT(ISNUMBER(P51)),NOT(ISNUMBER(Q51))),"",IF(Q51&lt;=0,"",IF(ISNUMBER(Settings!$D$8),DATE(YEAR(P51)+IF(DATE(YEAR(P51),MONTH(Settings!$D$8),DAY(Settings!$D$8))&gt;P51,0,1),MONTH(Settings!$D$8),DAY(Settings!$D$8)),MIN(DATE(YEAR(P51),MONTH(P51)+Q51,DAY(P51)),DATE(YEAR(P51),MONTH(P51)+Q51+1,0)))))</f>
        <v/>
      </c>
      <c r="S51" s="31">
        <f>IF(ISNUMBER(R51),R51-Settings!$D$4,"")</f>
        <v/>
      </c>
      <c r="T51" s="31">
        <f>IF(ISNUMBER(P51),P51+0.5+ROW()/100000,"")</f>
        <v/>
      </c>
      <c r="U51" s="31">
        <f>IF(OR(K51="",NOT(ISNUMBER(T51))),0,IF(SUMPRODUCT(('Responses'!$AG$2:$AG$501=K51)*('Responses'!$AJ$2:$AJ$501=1)*ISNUMBER('Responses'!$AP$2:$AP$501)*('Responses'!$AP$2:$AP$501&gt;T51)) + SUMPRODUCT(('Paper sign-ups'!$K$2:$K$101=K51)*('Paper sign-ups'!$N$2:$N$101=1)*ISNUMBER('Paper sign-ups'!$T$2:$T$101)*('Paper sign-ups'!$T$2:$T$101&gt;T51))&gt;0,1,0))</f>
        <v/>
      </c>
      <c r="V51" s="31">
        <f>IF(I51="","",IF(U51=1,"Joined again",IF(N51=0,"Unpaid",IF(NOT(ISNUMBER(P51)),"Add a join date",IF(R51="","No reminder",IF(S51&lt;0,"Lapsed",IF(S51&lt;=Settings!$D$6,"Remind soon","Current")))))))</f>
        <v/>
      </c>
      <c r="W51" s="33">
        <f>IF(N51=1,IF(ISNUMBER(E51),E51,0),0)</f>
        <v/>
      </c>
      <c r="X51" s="31">
        <f>IF(AND(I51&lt;&gt;"",U51=0),1,0)</f>
        <v/>
      </c>
      <c r="Y51" s="31">
        <f>IF(X51=0,"",IF(ISNUMBER(R51),R51,100000)+0.5+ROW()/1000000)</f>
        <v/>
      </c>
      <c r="Z51" s="31">
        <f>IF(ISNUMBER(Y51),SUMPRODUCT(ISNUMBER('Responses'!$AU$2:$AU$501)*('Responses'!$AU$2:$AU$501&lt;Y51)) + SUMPRODUCT(ISNUMBER('Paper sign-ups'!$Y$2:$Y$101)*('Paper sign-ups'!$Y$2:$Y$101&lt;Y51))+1,"")</f>
        <v/>
      </c>
    </row>
    <row r="52">
      <c r="A52" s="30" t="n"/>
      <c r="B52" s="30" t="n"/>
      <c r="C52" s="30" t="n"/>
      <c r="D52" s="37" t="n"/>
      <c r="E52" s="38" t="n"/>
      <c r="F52" s="30" t="n"/>
      <c r="G52" s="30" t="n"/>
      <c r="H52" s="29" t="n"/>
      <c r="I52" s="31">
        <f>TRIM(A52&amp;"")</f>
        <v/>
      </c>
      <c r="J52" s="31">
        <f>TRIM(B52&amp;"")</f>
        <v/>
      </c>
      <c r="K52" s="31">
        <f>IF(I52="","",LOWER(IF(J52&lt;&gt;"",J52,I52)))</f>
        <v/>
      </c>
      <c r="L52" s="31">
        <f>TRIM(C52&amp;"")</f>
        <v/>
      </c>
      <c r="M52" s="31">
        <f>IF(I52="","",IF(UPPER(TRIM(F52&amp;""))="Y","Paid another way","Unpaid"))</f>
        <v/>
      </c>
      <c r="N52" s="31">
        <f>IF(I52="",0,IF(IFERROR(INDEX(Settings!$J$4:$J$14,MATCH(M52,Settings!$I$4:$I$14,0)),"N")="Y",1,0))</f>
        <v/>
      </c>
      <c r="O52" s="32">
        <f>IF(AND(I52&lt;&gt;"",ISNUMBER(D52)),INT(D52),"")</f>
        <v/>
      </c>
      <c r="P52" s="32">
        <f>O52</f>
        <v/>
      </c>
      <c r="Q52" s="31">
        <f>IF(I52="","",IF(ISNUMBER(IFERROR(INDEX(Settings!$G$4:$G$11,MATCH(L52,Settings!$F$4:$F$11,0)),"")),INDEX(Settings!$G$4:$G$11,MATCH(L52,Settings!$F$4:$F$11,0)),Settings!$D$5))</f>
        <v/>
      </c>
      <c r="R52" s="32">
        <f>IF(OR(I52="",NOT(ISNUMBER(P52)),NOT(ISNUMBER(Q52))),"",IF(Q52&lt;=0,"",IF(ISNUMBER(Settings!$D$8),DATE(YEAR(P52)+IF(DATE(YEAR(P52),MONTH(Settings!$D$8),DAY(Settings!$D$8))&gt;P52,0,1),MONTH(Settings!$D$8),DAY(Settings!$D$8)),MIN(DATE(YEAR(P52),MONTH(P52)+Q52,DAY(P52)),DATE(YEAR(P52),MONTH(P52)+Q52+1,0)))))</f>
        <v/>
      </c>
      <c r="S52" s="31">
        <f>IF(ISNUMBER(R52),R52-Settings!$D$4,"")</f>
        <v/>
      </c>
      <c r="T52" s="31">
        <f>IF(ISNUMBER(P52),P52+0.5+ROW()/100000,"")</f>
        <v/>
      </c>
      <c r="U52" s="31">
        <f>IF(OR(K52="",NOT(ISNUMBER(T52))),0,IF(SUMPRODUCT(('Responses'!$AG$2:$AG$501=K52)*('Responses'!$AJ$2:$AJ$501=1)*ISNUMBER('Responses'!$AP$2:$AP$501)*('Responses'!$AP$2:$AP$501&gt;T52)) + SUMPRODUCT(('Paper sign-ups'!$K$2:$K$101=K52)*('Paper sign-ups'!$N$2:$N$101=1)*ISNUMBER('Paper sign-ups'!$T$2:$T$101)*('Paper sign-ups'!$T$2:$T$101&gt;T52))&gt;0,1,0))</f>
        <v/>
      </c>
      <c r="V52" s="31">
        <f>IF(I52="","",IF(U52=1,"Joined again",IF(N52=0,"Unpaid",IF(NOT(ISNUMBER(P52)),"Add a join date",IF(R52="","No reminder",IF(S52&lt;0,"Lapsed",IF(S52&lt;=Settings!$D$6,"Remind soon","Current")))))))</f>
        <v/>
      </c>
      <c r="W52" s="33">
        <f>IF(N52=1,IF(ISNUMBER(E52),E52,0),0)</f>
        <v/>
      </c>
      <c r="X52" s="31">
        <f>IF(AND(I52&lt;&gt;"",U52=0),1,0)</f>
        <v/>
      </c>
      <c r="Y52" s="31">
        <f>IF(X52=0,"",IF(ISNUMBER(R52),R52,100000)+0.5+ROW()/1000000)</f>
        <v/>
      </c>
      <c r="Z52" s="31">
        <f>IF(ISNUMBER(Y52),SUMPRODUCT(ISNUMBER('Responses'!$AU$2:$AU$501)*('Responses'!$AU$2:$AU$501&lt;Y52)) + SUMPRODUCT(ISNUMBER('Paper sign-ups'!$Y$2:$Y$101)*('Paper sign-ups'!$Y$2:$Y$101&lt;Y52))+1,"")</f>
        <v/>
      </c>
    </row>
    <row r="53">
      <c r="A53" s="30" t="n"/>
      <c r="B53" s="30" t="n"/>
      <c r="C53" s="30" t="n"/>
      <c r="D53" s="37" t="n"/>
      <c r="E53" s="38" t="n"/>
      <c r="F53" s="30" t="n"/>
      <c r="G53" s="30" t="n"/>
      <c r="H53" s="29" t="n"/>
      <c r="I53" s="31">
        <f>TRIM(A53&amp;"")</f>
        <v/>
      </c>
      <c r="J53" s="31">
        <f>TRIM(B53&amp;"")</f>
        <v/>
      </c>
      <c r="K53" s="31">
        <f>IF(I53="","",LOWER(IF(J53&lt;&gt;"",J53,I53)))</f>
        <v/>
      </c>
      <c r="L53" s="31">
        <f>TRIM(C53&amp;"")</f>
        <v/>
      </c>
      <c r="M53" s="31">
        <f>IF(I53="","",IF(UPPER(TRIM(F53&amp;""))="Y","Paid another way","Unpaid"))</f>
        <v/>
      </c>
      <c r="N53" s="31">
        <f>IF(I53="",0,IF(IFERROR(INDEX(Settings!$J$4:$J$14,MATCH(M53,Settings!$I$4:$I$14,0)),"N")="Y",1,0))</f>
        <v/>
      </c>
      <c r="O53" s="32">
        <f>IF(AND(I53&lt;&gt;"",ISNUMBER(D53)),INT(D53),"")</f>
        <v/>
      </c>
      <c r="P53" s="32">
        <f>O53</f>
        <v/>
      </c>
      <c r="Q53" s="31">
        <f>IF(I53="","",IF(ISNUMBER(IFERROR(INDEX(Settings!$G$4:$G$11,MATCH(L53,Settings!$F$4:$F$11,0)),"")),INDEX(Settings!$G$4:$G$11,MATCH(L53,Settings!$F$4:$F$11,0)),Settings!$D$5))</f>
        <v/>
      </c>
      <c r="R53" s="32">
        <f>IF(OR(I53="",NOT(ISNUMBER(P53)),NOT(ISNUMBER(Q53))),"",IF(Q53&lt;=0,"",IF(ISNUMBER(Settings!$D$8),DATE(YEAR(P53)+IF(DATE(YEAR(P53),MONTH(Settings!$D$8),DAY(Settings!$D$8))&gt;P53,0,1),MONTH(Settings!$D$8),DAY(Settings!$D$8)),MIN(DATE(YEAR(P53),MONTH(P53)+Q53,DAY(P53)),DATE(YEAR(P53),MONTH(P53)+Q53+1,0)))))</f>
        <v/>
      </c>
      <c r="S53" s="31">
        <f>IF(ISNUMBER(R53),R53-Settings!$D$4,"")</f>
        <v/>
      </c>
      <c r="T53" s="31">
        <f>IF(ISNUMBER(P53),P53+0.5+ROW()/100000,"")</f>
        <v/>
      </c>
      <c r="U53" s="31">
        <f>IF(OR(K53="",NOT(ISNUMBER(T53))),0,IF(SUMPRODUCT(('Responses'!$AG$2:$AG$501=K53)*('Responses'!$AJ$2:$AJ$501=1)*ISNUMBER('Responses'!$AP$2:$AP$501)*('Responses'!$AP$2:$AP$501&gt;T53)) + SUMPRODUCT(('Paper sign-ups'!$K$2:$K$101=K53)*('Paper sign-ups'!$N$2:$N$101=1)*ISNUMBER('Paper sign-ups'!$T$2:$T$101)*('Paper sign-ups'!$T$2:$T$101&gt;T53))&gt;0,1,0))</f>
        <v/>
      </c>
      <c r="V53" s="31">
        <f>IF(I53="","",IF(U53=1,"Joined again",IF(N53=0,"Unpaid",IF(NOT(ISNUMBER(P53)),"Add a join date",IF(R53="","No reminder",IF(S53&lt;0,"Lapsed",IF(S53&lt;=Settings!$D$6,"Remind soon","Current")))))))</f>
        <v/>
      </c>
      <c r="W53" s="33">
        <f>IF(N53=1,IF(ISNUMBER(E53),E53,0),0)</f>
        <v/>
      </c>
      <c r="X53" s="31">
        <f>IF(AND(I53&lt;&gt;"",U53=0),1,0)</f>
        <v/>
      </c>
      <c r="Y53" s="31">
        <f>IF(X53=0,"",IF(ISNUMBER(R53),R53,100000)+0.5+ROW()/1000000)</f>
        <v/>
      </c>
      <c r="Z53" s="31">
        <f>IF(ISNUMBER(Y53),SUMPRODUCT(ISNUMBER('Responses'!$AU$2:$AU$501)*('Responses'!$AU$2:$AU$501&lt;Y53)) + SUMPRODUCT(ISNUMBER('Paper sign-ups'!$Y$2:$Y$101)*('Paper sign-ups'!$Y$2:$Y$101&lt;Y53))+1,"")</f>
        <v/>
      </c>
    </row>
    <row r="54">
      <c r="A54" s="30" t="n"/>
      <c r="B54" s="30" t="n"/>
      <c r="C54" s="30" t="n"/>
      <c r="D54" s="37" t="n"/>
      <c r="E54" s="38" t="n"/>
      <c r="F54" s="30" t="n"/>
      <c r="G54" s="30" t="n"/>
      <c r="H54" s="29" t="n"/>
      <c r="I54" s="31">
        <f>TRIM(A54&amp;"")</f>
        <v/>
      </c>
      <c r="J54" s="31">
        <f>TRIM(B54&amp;"")</f>
        <v/>
      </c>
      <c r="K54" s="31">
        <f>IF(I54="","",LOWER(IF(J54&lt;&gt;"",J54,I54)))</f>
        <v/>
      </c>
      <c r="L54" s="31">
        <f>TRIM(C54&amp;"")</f>
        <v/>
      </c>
      <c r="M54" s="31">
        <f>IF(I54="","",IF(UPPER(TRIM(F54&amp;""))="Y","Paid another way","Unpaid"))</f>
        <v/>
      </c>
      <c r="N54" s="31">
        <f>IF(I54="",0,IF(IFERROR(INDEX(Settings!$J$4:$J$14,MATCH(M54,Settings!$I$4:$I$14,0)),"N")="Y",1,0))</f>
        <v/>
      </c>
      <c r="O54" s="32">
        <f>IF(AND(I54&lt;&gt;"",ISNUMBER(D54)),INT(D54),"")</f>
        <v/>
      </c>
      <c r="P54" s="32">
        <f>O54</f>
        <v/>
      </c>
      <c r="Q54" s="31">
        <f>IF(I54="","",IF(ISNUMBER(IFERROR(INDEX(Settings!$G$4:$G$11,MATCH(L54,Settings!$F$4:$F$11,0)),"")),INDEX(Settings!$G$4:$G$11,MATCH(L54,Settings!$F$4:$F$11,0)),Settings!$D$5))</f>
        <v/>
      </c>
      <c r="R54" s="32">
        <f>IF(OR(I54="",NOT(ISNUMBER(P54)),NOT(ISNUMBER(Q54))),"",IF(Q54&lt;=0,"",IF(ISNUMBER(Settings!$D$8),DATE(YEAR(P54)+IF(DATE(YEAR(P54),MONTH(Settings!$D$8),DAY(Settings!$D$8))&gt;P54,0,1),MONTH(Settings!$D$8),DAY(Settings!$D$8)),MIN(DATE(YEAR(P54),MONTH(P54)+Q54,DAY(P54)),DATE(YEAR(P54),MONTH(P54)+Q54+1,0)))))</f>
        <v/>
      </c>
      <c r="S54" s="31">
        <f>IF(ISNUMBER(R54),R54-Settings!$D$4,"")</f>
        <v/>
      </c>
      <c r="T54" s="31">
        <f>IF(ISNUMBER(P54),P54+0.5+ROW()/100000,"")</f>
        <v/>
      </c>
      <c r="U54" s="31">
        <f>IF(OR(K54="",NOT(ISNUMBER(T54))),0,IF(SUMPRODUCT(('Responses'!$AG$2:$AG$501=K54)*('Responses'!$AJ$2:$AJ$501=1)*ISNUMBER('Responses'!$AP$2:$AP$501)*('Responses'!$AP$2:$AP$501&gt;T54)) + SUMPRODUCT(('Paper sign-ups'!$K$2:$K$101=K54)*('Paper sign-ups'!$N$2:$N$101=1)*ISNUMBER('Paper sign-ups'!$T$2:$T$101)*('Paper sign-ups'!$T$2:$T$101&gt;T54))&gt;0,1,0))</f>
        <v/>
      </c>
      <c r="V54" s="31">
        <f>IF(I54="","",IF(U54=1,"Joined again",IF(N54=0,"Unpaid",IF(NOT(ISNUMBER(P54)),"Add a join date",IF(R54="","No reminder",IF(S54&lt;0,"Lapsed",IF(S54&lt;=Settings!$D$6,"Remind soon","Current")))))))</f>
        <v/>
      </c>
      <c r="W54" s="33">
        <f>IF(N54=1,IF(ISNUMBER(E54),E54,0),0)</f>
        <v/>
      </c>
      <c r="X54" s="31">
        <f>IF(AND(I54&lt;&gt;"",U54=0),1,0)</f>
        <v/>
      </c>
      <c r="Y54" s="31">
        <f>IF(X54=0,"",IF(ISNUMBER(R54),R54,100000)+0.5+ROW()/1000000)</f>
        <v/>
      </c>
      <c r="Z54" s="31">
        <f>IF(ISNUMBER(Y54),SUMPRODUCT(ISNUMBER('Responses'!$AU$2:$AU$501)*('Responses'!$AU$2:$AU$501&lt;Y54)) + SUMPRODUCT(ISNUMBER('Paper sign-ups'!$Y$2:$Y$101)*('Paper sign-ups'!$Y$2:$Y$101&lt;Y54))+1,"")</f>
        <v/>
      </c>
    </row>
    <row r="55">
      <c r="A55" s="30" t="n"/>
      <c r="B55" s="30" t="n"/>
      <c r="C55" s="30" t="n"/>
      <c r="D55" s="37" t="n"/>
      <c r="E55" s="38" t="n"/>
      <c r="F55" s="30" t="n"/>
      <c r="G55" s="30" t="n"/>
      <c r="H55" s="29" t="n"/>
      <c r="I55" s="31">
        <f>TRIM(A55&amp;"")</f>
        <v/>
      </c>
      <c r="J55" s="31">
        <f>TRIM(B55&amp;"")</f>
        <v/>
      </c>
      <c r="K55" s="31">
        <f>IF(I55="","",LOWER(IF(J55&lt;&gt;"",J55,I55)))</f>
        <v/>
      </c>
      <c r="L55" s="31">
        <f>TRIM(C55&amp;"")</f>
        <v/>
      </c>
      <c r="M55" s="31">
        <f>IF(I55="","",IF(UPPER(TRIM(F55&amp;""))="Y","Paid another way","Unpaid"))</f>
        <v/>
      </c>
      <c r="N55" s="31">
        <f>IF(I55="",0,IF(IFERROR(INDEX(Settings!$J$4:$J$14,MATCH(M55,Settings!$I$4:$I$14,0)),"N")="Y",1,0))</f>
        <v/>
      </c>
      <c r="O55" s="32">
        <f>IF(AND(I55&lt;&gt;"",ISNUMBER(D55)),INT(D55),"")</f>
        <v/>
      </c>
      <c r="P55" s="32">
        <f>O55</f>
        <v/>
      </c>
      <c r="Q55" s="31">
        <f>IF(I55="","",IF(ISNUMBER(IFERROR(INDEX(Settings!$G$4:$G$11,MATCH(L55,Settings!$F$4:$F$11,0)),"")),INDEX(Settings!$G$4:$G$11,MATCH(L55,Settings!$F$4:$F$11,0)),Settings!$D$5))</f>
        <v/>
      </c>
      <c r="R55" s="32">
        <f>IF(OR(I55="",NOT(ISNUMBER(P55)),NOT(ISNUMBER(Q55))),"",IF(Q55&lt;=0,"",IF(ISNUMBER(Settings!$D$8),DATE(YEAR(P55)+IF(DATE(YEAR(P55),MONTH(Settings!$D$8),DAY(Settings!$D$8))&gt;P55,0,1),MONTH(Settings!$D$8),DAY(Settings!$D$8)),MIN(DATE(YEAR(P55),MONTH(P55)+Q55,DAY(P55)),DATE(YEAR(P55),MONTH(P55)+Q55+1,0)))))</f>
        <v/>
      </c>
      <c r="S55" s="31">
        <f>IF(ISNUMBER(R55),R55-Settings!$D$4,"")</f>
        <v/>
      </c>
      <c r="T55" s="31">
        <f>IF(ISNUMBER(P55),P55+0.5+ROW()/100000,"")</f>
        <v/>
      </c>
      <c r="U55" s="31">
        <f>IF(OR(K55="",NOT(ISNUMBER(T55))),0,IF(SUMPRODUCT(('Responses'!$AG$2:$AG$501=K55)*('Responses'!$AJ$2:$AJ$501=1)*ISNUMBER('Responses'!$AP$2:$AP$501)*('Responses'!$AP$2:$AP$501&gt;T55)) + SUMPRODUCT(('Paper sign-ups'!$K$2:$K$101=K55)*('Paper sign-ups'!$N$2:$N$101=1)*ISNUMBER('Paper sign-ups'!$T$2:$T$101)*('Paper sign-ups'!$T$2:$T$101&gt;T55))&gt;0,1,0))</f>
        <v/>
      </c>
      <c r="V55" s="31">
        <f>IF(I55="","",IF(U55=1,"Joined again",IF(N55=0,"Unpaid",IF(NOT(ISNUMBER(P55)),"Add a join date",IF(R55="","No reminder",IF(S55&lt;0,"Lapsed",IF(S55&lt;=Settings!$D$6,"Remind soon","Current")))))))</f>
        <v/>
      </c>
      <c r="W55" s="33">
        <f>IF(N55=1,IF(ISNUMBER(E55),E55,0),0)</f>
        <v/>
      </c>
      <c r="X55" s="31">
        <f>IF(AND(I55&lt;&gt;"",U55=0),1,0)</f>
        <v/>
      </c>
      <c r="Y55" s="31">
        <f>IF(X55=0,"",IF(ISNUMBER(R55),R55,100000)+0.5+ROW()/1000000)</f>
        <v/>
      </c>
      <c r="Z55" s="31">
        <f>IF(ISNUMBER(Y55),SUMPRODUCT(ISNUMBER('Responses'!$AU$2:$AU$501)*('Responses'!$AU$2:$AU$501&lt;Y55)) + SUMPRODUCT(ISNUMBER('Paper sign-ups'!$Y$2:$Y$101)*('Paper sign-ups'!$Y$2:$Y$101&lt;Y55))+1,"")</f>
        <v/>
      </c>
    </row>
    <row r="56">
      <c r="A56" s="30" t="n"/>
      <c r="B56" s="30" t="n"/>
      <c r="C56" s="30" t="n"/>
      <c r="D56" s="37" t="n"/>
      <c r="E56" s="38" t="n"/>
      <c r="F56" s="30" t="n"/>
      <c r="G56" s="30" t="n"/>
      <c r="H56" s="29" t="n"/>
      <c r="I56" s="31">
        <f>TRIM(A56&amp;"")</f>
        <v/>
      </c>
      <c r="J56" s="31">
        <f>TRIM(B56&amp;"")</f>
        <v/>
      </c>
      <c r="K56" s="31">
        <f>IF(I56="","",LOWER(IF(J56&lt;&gt;"",J56,I56)))</f>
        <v/>
      </c>
      <c r="L56" s="31">
        <f>TRIM(C56&amp;"")</f>
        <v/>
      </c>
      <c r="M56" s="31">
        <f>IF(I56="","",IF(UPPER(TRIM(F56&amp;""))="Y","Paid another way","Unpaid"))</f>
        <v/>
      </c>
      <c r="N56" s="31">
        <f>IF(I56="",0,IF(IFERROR(INDEX(Settings!$J$4:$J$14,MATCH(M56,Settings!$I$4:$I$14,0)),"N")="Y",1,0))</f>
        <v/>
      </c>
      <c r="O56" s="32">
        <f>IF(AND(I56&lt;&gt;"",ISNUMBER(D56)),INT(D56),"")</f>
        <v/>
      </c>
      <c r="P56" s="32">
        <f>O56</f>
        <v/>
      </c>
      <c r="Q56" s="31">
        <f>IF(I56="","",IF(ISNUMBER(IFERROR(INDEX(Settings!$G$4:$G$11,MATCH(L56,Settings!$F$4:$F$11,0)),"")),INDEX(Settings!$G$4:$G$11,MATCH(L56,Settings!$F$4:$F$11,0)),Settings!$D$5))</f>
        <v/>
      </c>
      <c r="R56" s="32">
        <f>IF(OR(I56="",NOT(ISNUMBER(P56)),NOT(ISNUMBER(Q56))),"",IF(Q56&lt;=0,"",IF(ISNUMBER(Settings!$D$8),DATE(YEAR(P56)+IF(DATE(YEAR(P56),MONTH(Settings!$D$8),DAY(Settings!$D$8))&gt;P56,0,1),MONTH(Settings!$D$8),DAY(Settings!$D$8)),MIN(DATE(YEAR(P56),MONTH(P56)+Q56,DAY(P56)),DATE(YEAR(P56),MONTH(P56)+Q56+1,0)))))</f>
        <v/>
      </c>
      <c r="S56" s="31">
        <f>IF(ISNUMBER(R56),R56-Settings!$D$4,"")</f>
        <v/>
      </c>
      <c r="T56" s="31">
        <f>IF(ISNUMBER(P56),P56+0.5+ROW()/100000,"")</f>
        <v/>
      </c>
      <c r="U56" s="31">
        <f>IF(OR(K56="",NOT(ISNUMBER(T56))),0,IF(SUMPRODUCT(('Responses'!$AG$2:$AG$501=K56)*('Responses'!$AJ$2:$AJ$501=1)*ISNUMBER('Responses'!$AP$2:$AP$501)*('Responses'!$AP$2:$AP$501&gt;T56)) + SUMPRODUCT(('Paper sign-ups'!$K$2:$K$101=K56)*('Paper sign-ups'!$N$2:$N$101=1)*ISNUMBER('Paper sign-ups'!$T$2:$T$101)*('Paper sign-ups'!$T$2:$T$101&gt;T56))&gt;0,1,0))</f>
        <v/>
      </c>
      <c r="V56" s="31">
        <f>IF(I56="","",IF(U56=1,"Joined again",IF(N56=0,"Unpaid",IF(NOT(ISNUMBER(P56)),"Add a join date",IF(R56="","No reminder",IF(S56&lt;0,"Lapsed",IF(S56&lt;=Settings!$D$6,"Remind soon","Current")))))))</f>
        <v/>
      </c>
      <c r="W56" s="33">
        <f>IF(N56=1,IF(ISNUMBER(E56),E56,0),0)</f>
        <v/>
      </c>
      <c r="X56" s="31">
        <f>IF(AND(I56&lt;&gt;"",U56=0),1,0)</f>
        <v/>
      </c>
      <c r="Y56" s="31">
        <f>IF(X56=0,"",IF(ISNUMBER(R56),R56,100000)+0.5+ROW()/1000000)</f>
        <v/>
      </c>
      <c r="Z56" s="31">
        <f>IF(ISNUMBER(Y56),SUMPRODUCT(ISNUMBER('Responses'!$AU$2:$AU$501)*('Responses'!$AU$2:$AU$501&lt;Y56)) + SUMPRODUCT(ISNUMBER('Paper sign-ups'!$Y$2:$Y$101)*('Paper sign-ups'!$Y$2:$Y$101&lt;Y56))+1,"")</f>
        <v/>
      </c>
    </row>
    <row r="57">
      <c r="A57" s="30" t="n"/>
      <c r="B57" s="30" t="n"/>
      <c r="C57" s="30" t="n"/>
      <c r="D57" s="37" t="n"/>
      <c r="E57" s="38" t="n"/>
      <c r="F57" s="30" t="n"/>
      <c r="G57" s="30" t="n"/>
      <c r="H57" s="29" t="n"/>
      <c r="I57" s="31">
        <f>TRIM(A57&amp;"")</f>
        <v/>
      </c>
      <c r="J57" s="31">
        <f>TRIM(B57&amp;"")</f>
        <v/>
      </c>
      <c r="K57" s="31">
        <f>IF(I57="","",LOWER(IF(J57&lt;&gt;"",J57,I57)))</f>
        <v/>
      </c>
      <c r="L57" s="31">
        <f>TRIM(C57&amp;"")</f>
        <v/>
      </c>
      <c r="M57" s="31">
        <f>IF(I57="","",IF(UPPER(TRIM(F57&amp;""))="Y","Paid another way","Unpaid"))</f>
        <v/>
      </c>
      <c r="N57" s="31">
        <f>IF(I57="",0,IF(IFERROR(INDEX(Settings!$J$4:$J$14,MATCH(M57,Settings!$I$4:$I$14,0)),"N")="Y",1,0))</f>
        <v/>
      </c>
      <c r="O57" s="32">
        <f>IF(AND(I57&lt;&gt;"",ISNUMBER(D57)),INT(D57),"")</f>
        <v/>
      </c>
      <c r="P57" s="32">
        <f>O57</f>
        <v/>
      </c>
      <c r="Q57" s="31">
        <f>IF(I57="","",IF(ISNUMBER(IFERROR(INDEX(Settings!$G$4:$G$11,MATCH(L57,Settings!$F$4:$F$11,0)),"")),INDEX(Settings!$G$4:$G$11,MATCH(L57,Settings!$F$4:$F$11,0)),Settings!$D$5))</f>
        <v/>
      </c>
      <c r="R57" s="32">
        <f>IF(OR(I57="",NOT(ISNUMBER(P57)),NOT(ISNUMBER(Q57))),"",IF(Q57&lt;=0,"",IF(ISNUMBER(Settings!$D$8),DATE(YEAR(P57)+IF(DATE(YEAR(P57),MONTH(Settings!$D$8),DAY(Settings!$D$8))&gt;P57,0,1),MONTH(Settings!$D$8),DAY(Settings!$D$8)),MIN(DATE(YEAR(P57),MONTH(P57)+Q57,DAY(P57)),DATE(YEAR(P57),MONTH(P57)+Q57+1,0)))))</f>
        <v/>
      </c>
      <c r="S57" s="31">
        <f>IF(ISNUMBER(R57),R57-Settings!$D$4,"")</f>
        <v/>
      </c>
      <c r="T57" s="31">
        <f>IF(ISNUMBER(P57),P57+0.5+ROW()/100000,"")</f>
        <v/>
      </c>
      <c r="U57" s="31">
        <f>IF(OR(K57="",NOT(ISNUMBER(T57))),0,IF(SUMPRODUCT(('Responses'!$AG$2:$AG$501=K57)*('Responses'!$AJ$2:$AJ$501=1)*ISNUMBER('Responses'!$AP$2:$AP$501)*('Responses'!$AP$2:$AP$501&gt;T57)) + SUMPRODUCT(('Paper sign-ups'!$K$2:$K$101=K57)*('Paper sign-ups'!$N$2:$N$101=1)*ISNUMBER('Paper sign-ups'!$T$2:$T$101)*('Paper sign-ups'!$T$2:$T$101&gt;T57))&gt;0,1,0))</f>
        <v/>
      </c>
      <c r="V57" s="31">
        <f>IF(I57="","",IF(U57=1,"Joined again",IF(N57=0,"Unpaid",IF(NOT(ISNUMBER(P57)),"Add a join date",IF(R57="","No reminder",IF(S57&lt;0,"Lapsed",IF(S57&lt;=Settings!$D$6,"Remind soon","Current")))))))</f>
        <v/>
      </c>
      <c r="W57" s="33">
        <f>IF(N57=1,IF(ISNUMBER(E57),E57,0),0)</f>
        <v/>
      </c>
      <c r="X57" s="31">
        <f>IF(AND(I57&lt;&gt;"",U57=0),1,0)</f>
        <v/>
      </c>
      <c r="Y57" s="31">
        <f>IF(X57=0,"",IF(ISNUMBER(R57),R57,100000)+0.5+ROW()/1000000)</f>
        <v/>
      </c>
      <c r="Z57" s="31">
        <f>IF(ISNUMBER(Y57),SUMPRODUCT(ISNUMBER('Responses'!$AU$2:$AU$501)*('Responses'!$AU$2:$AU$501&lt;Y57)) + SUMPRODUCT(ISNUMBER('Paper sign-ups'!$Y$2:$Y$101)*('Paper sign-ups'!$Y$2:$Y$101&lt;Y57))+1,"")</f>
        <v/>
      </c>
    </row>
    <row r="58">
      <c r="A58" s="30" t="n"/>
      <c r="B58" s="30" t="n"/>
      <c r="C58" s="30" t="n"/>
      <c r="D58" s="37" t="n"/>
      <c r="E58" s="38" t="n"/>
      <c r="F58" s="30" t="n"/>
      <c r="G58" s="30" t="n"/>
      <c r="H58" s="29" t="n"/>
      <c r="I58" s="31">
        <f>TRIM(A58&amp;"")</f>
        <v/>
      </c>
      <c r="J58" s="31">
        <f>TRIM(B58&amp;"")</f>
        <v/>
      </c>
      <c r="K58" s="31">
        <f>IF(I58="","",LOWER(IF(J58&lt;&gt;"",J58,I58)))</f>
        <v/>
      </c>
      <c r="L58" s="31">
        <f>TRIM(C58&amp;"")</f>
        <v/>
      </c>
      <c r="M58" s="31">
        <f>IF(I58="","",IF(UPPER(TRIM(F58&amp;""))="Y","Paid another way","Unpaid"))</f>
        <v/>
      </c>
      <c r="N58" s="31">
        <f>IF(I58="",0,IF(IFERROR(INDEX(Settings!$J$4:$J$14,MATCH(M58,Settings!$I$4:$I$14,0)),"N")="Y",1,0))</f>
        <v/>
      </c>
      <c r="O58" s="32">
        <f>IF(AND(I58&lt;&gt;"",ISNUMBER(D58)),INT(D58),"")</f>
        <v/>
      </c>
      <c r="P58" s="32">
        <f>O58</f>
        <v/>
      </c>
      <c r="Q58" s="31">
        <f>IF(I58="","",IF(ISNUMBER(IFERROR(INDEX(Settings!$G$4:$G$11,MATCH(L58,Settings!$F$4:$F$11,0)),"")),INDEX(Settings!$G$4:$G$11,MATCH(L58,Settings!$F$4:$F$11,0)),Settings!$D$5))</f>
        <v/>
      </c>
      <c r="R58" s="32">
        <f>IF(OR(I58="",NOT(ISNUMBER(P58)),NOT(ISNUMBER(Q58))),"",IF(Q58&lt;=0,"",IF(ISNUMBER(Settings!$D$8),DATE(YEAR(P58)+IF(DATE(YEAR(P58),MONTH(Settings!$D$8),DAY(Settings!$D$8))&gt;P58,0,1),MONTH(Settings!$D$8),DAY(Settings!$D$8)),MIN(DATE(YEAR(P58),MONTH(P58)+Q58,DAY(P58)),DATE(YEAR(P58),MONTH(P58)+Q58+1,0)))))</f>
        <v/>
      </c>
      <c r="S58" s="31">
        <f>IF(ISNUMBER(R58),R58-Settings!$D$4,"")</f>
        <v/>
      </c>
      <c r="T58" s="31">
        <f>IF(ISNUMBER(P58),P58+0.5+ROW()/100000,"")</f>
        <v/>
      </c>
      <c r="U58" s="31">
        <f>IF(OR(K58="",NOT(ISNUMBER(T58))),0,IF(SUMPRODUCT(('Responses'!$AG$2:$AG$501=K58)*('Responses'!$AJ$2:$AJ$501=1)*ISNUMBER('Responses'!$AP$2:$AP$501)*('Responses'!$AP$2:$AP$501&gt;T58)) + SUMPRODUCT(('Paper sign-ups'!$K$2:$K$101=K58)*('Paper sign-ups'!$N$2:$N$101=1)*ISNUMBER('Paper sign-ups'!$T$2:$T$101)*('Paper sign-ups'!$T$2:$T$101&gt;T58))&gt;0,1,0))</f>
        <v/>
      </c>
      <c r="V58" s="31">
        <f>IF(I58="","",IF(U58=1,"Joined again",IF(N58=0,"Unpaid",IF(NOT(ISNUMBER(P58)),"Add a join date",IF(R58="","No reminder",IF(S58&lt;0,"Lapsed",IF(S58&lt;=Settings!$D$6,"Remind soon","Current")))))))</f>
        <v/>
      </c>
      <c r="W58" s="33">
        <f>IF(N58=1,IF(ISNUMBER(E58),E58,0),0)</f>
        <v/>
      </c>
      <c r="X58" s="31">
        <f>IF(AND(I58&lt;&gt;"",U58=0),1,0)</f>
        <v/>
      </c>
      <c r="Y58" s="31">
        <f>IF(X58=0,"",IF(ISNUMBER(R58),R58,100000)+0.5+ROW()/1000000)</f>
        <v/>
      </c>
      <c r="Z58" s="31">
        <f>IF(ISNUMBER(Y58),SUMPRODUCT(ISNUMBER('Responses'!$AU$2:$AU$501)*('Responses'!$AU$2:$AU$501&lt;Y58)) + SUMPRODUCT(ISNUMBER('Paper sign-ups'!$Y$2:$Y$101)*('Paper sign-ups'!$Y$2:$Y$101&lt;Y58))+1,"")</f>
        <v/>
      </c>
    </row>
    <row r="59">
      <c r="A59" s="30" t="n"/>
      <c r="B59" s="30" t="n"/>
      <c r="C59" s="30" t="n"/>
      <c r="D59" s="37" t="n"/>
      <c r="E59" s="38" t="n"/>
      <c r="F59" s="30" t="n"/>
      <c r="G59" s="30" t="n"/>
      <c r="H59" s="29" t="n"/>
      <c r="I59" s="31">
        <f>TRIM(A59&amp;"")</f>
        <v/>
      </c>
      <c r="J59" s="31">
        <f>TRIM(B59&amp;"")</f>
        <v/>
      </c>
      <c r="K59" s="31">
        <f>IF(I59="","",LOWER(IF(J59&lt;&gt;"",J59,I59)))</f>
        <v/>
      </c>
      <c r="L59" s="31">
        <f>TRIM(C59&amp;"")</f>
        <v/>
      </c>
      <c r="M59" s="31">
        <f>IF(I59="","",IF(UPPER(TRIM(F59&amp;""))="Y","Paid another way","Unpaid"))</f>
        <v/>
      </c>
      <c r="N59" s="31">
        <f>IF(I59="",0,IF(IFERROR(INDEX(Settings!$J$4:$J$14,MATCH(M59,Settings!$I$4:$I$14,0)),"N")="Y",1,0))</f>
        <v/>
      </c>
      <c r="O59" s="32">
        <f>IF(AND(I59&lt;&gt;"",ISNUMBER(D59)),INT(D59),"")</f>
        <v/>
      </c>
      <c r="P59" s="32">
        <f>O59</f>
        <v/>
      </c>
      <c r="Q59" s="31">
        <f>IF(I59="","",IF(ISNUMBER(IFERROR(INDEX(Settings!$G$4:$G$11,MATCH(L59,Settings!$F$4:$F$11,0)),"")),INDEX(Settings!$G$4:$G$11,MATCH(L59,Settings!$F$4:$F$11,0)),Settings!$D$5))</f>
        <v/>
      </c>
      <c r="R59" s="32">
        <f>IF(OR(I59="",NOT(ISNUMBER(P59)),NOT(ISNUMBER(Q59))),"",IF(Q59&lt;=0,"",IF(ISNUMBER(Settings!$D$8),DATE(YEAR(P59)+IF(DATE(YEAR(P59),MONTH(Settings!$D$8),DAY(Settings!$D$8))&gt;P59,0,1),MONTH(Settings!$D$8),DAY(Settings!$D$8)),MIN(DATE(YEAR(P59),MONTH(P59)+Q59,DAY(P59)),DATE(YEAR(P59),MONTH(P59)+Q59+1,0)))))</f>
        <v/>
      </c>
      <c r="S59" s="31">
        <f>IF(ISNUMBER(R59),R59-Settings!$D$4,"")</f>
        <v/>
      </c>
      <c r="T59" s="31">
        <f>IF(ISNUMBER(P59),P59+0.5+ROW()/100000,"")</f>
        <v/>
      </c>
      <c r="U59" s="31">
        <f>IF(OR(K59="",NOT(ISNUMBER(T59))),0,IF(SUMPRODUCT(('Responses'!$AG$2:$AG$501=K59)*('Responses'!$AJ$2:$AJ$501=1)*ISNUMBER('Responses'!$AP$2:$AP$501)*('Responses'!$AP$2:$AP$501&gt;T59)) + SUMPRODUCT(('Paper sign-ups'!$K$2:$K$101=K59)*('Paper sign-ups'!$N$2:$N$101=1)*ISNUMBER('Paper sign-ups'!$T$2:$T$101)*('Paper sign-ups'!$T$2:$T$101&gt;T59))&gt;0,1,0))</f>
        <v/>
      </c>
      <c r="V59" s="31">
        <f>IF(I59="","",IF(U59=1,"Joined again",IF(N59=0,"Unpaid",IF(NOT(ISNUMBER(P59)),"Add a join date",IF(R59="","No reminder",IF(S59&lt;0,"Lapsed",IF(S59&lt;=Settings!$D$6,"Remind soon","Current")))))))</f>
        <v/>
      </c>
      <c r="W59" s="33">
        <f>IF(N59=1,IF(ISNUMBER(E59),E59,0),0)</f>
        <v/>
      </c>
      <c r="X59" s="31">
        <f>IF(AND(I59&lt;&gt;"",U59=0),1,0)</f>
        <v/>
      </c>
      <c r="Y59" s="31">
        <f>IF(X59=0,"",IF(ISNUMBER(R59),R59,100000)+0.5+ROW()/1000000)</f>
        <v/>
      </c>
      <c r="Z59" s="31">
        <f>IF(ISNUMBER(Y59),SUMPRODUCT(ISNUMBER('Responses'!$AU$2:$AU$501)*('Responses'!$AU$2:$AU$501&lt;Y59)) + SUMPRODUCT(ISNUMBER('Paper sign-ups'!$Y$2:$Y$101)*('Paper sign-ups'!$Y$2:$Y$101&lt;Y59))+1,"")</f>
        <v/>
      </c>
    </row>
    <row r="60">
      <c r="A60" s="30" t="n"/>
      <c r="B60" s="30" t="n"/>
      <c r="C60" s="30" t="n"/>
      <c r="D60" s="37" t="n"/>
      <c r="E60" s="38" t="n"/>
      <c r="F60" s="30" t="n"/>
      <c r="G60" s="30" t="n"/>
      <c r="H60" s="29" t="n"/>
      <c r="I60" s="31">
        <f>TRIM(A60&amp;"")</f>
        <v/>
      </c>
      <c r="J60" s="31">
        <f>TRIM(B60&amp;"")</f>
        <v/>
      </c>
      <c r="K60" s="31">
        <f>IF(I60="","",LOWER(IF(J60&lt;&gt;"",J60,I60)))</f>
        <v/>
      </c>
      <c r="L60" s="31">
        <f>TRIM(C60&amp;"")</f>
        <v/>
      </c>
      <c r="M60" s="31">
        <f>IF(I60="","",IF(UPPER(TRIM(F60&amp;""))="Y","Paid another way","Unpaid"))</f>
        <v/>
      </c>
      <c r="N60" s="31">
        <f>IF(I60="",0,IF(IFERROR(INDEX(Settings!$J$4:$J$14,MATCH(M60,Settings!$I$4:$I$14,0)),"N")="Y",1,0))</f>
        <v/>
      </c>
      <c r="O60" s="32">
        <f>IF(AND(I60&lt;&gt;"",ISNUMBER(D60)),INT(D60),"")</f>
        <v/>
      </c>
      <c r="P60" s="32">
        <f>O60</f>
        <v/>
      </c>
      <c r="Q60" s="31">
        <f>IF(I60="","",IF(ISNUMBER(IFERROR(INDEX(Settings!$G$4:$G$11,MATCH(L60,Settings!$F$4:$F$11,0)),"")),INDEX(Settings!$G$4:$G$11,MATCH(L60,Settings!$F$4:$F$11,0)),Settings!$D$5))</f>
        <v/>
      </c>
      <c r="R60" s="32">
        <f>IF(OR(I60="",NOT(ISNUMBER(P60)),NOT(ISNUMBER(Q60))),"",IF(Q60&lt;=0,"",IF(ISNUMBER(Settings!$D$8),DATE(YEAR(P60)+IF(DATE(YEAR(P60),MONTH(Settings!$D$8),DAY(Settings!$D$8))&gt;P60,0,1),MONTH(Settings!$D$8),DAY(Settings!$D$8)),MIN(DATE(YEAR(P60),MONTH(P60)+Q60,DAY(P60)),DATE(YEAR(P60),MONTH(P60)+Q60+1,0)))))</f>
        <v/>
      </c>
      <c r="S60" s="31">
        <f>IF(ISNUMBER(R60),R60-Settings!$D$4,"")</f>
        <v/>
      </c>
      <c r="T60" s="31">
        <f>IF(ISNUMBER(P60),P60+0.5+ROW()/100000,"")</f>
        <v/>
      </c>
      <c r="U60" s="31">
        <f>IF(OR(K60="",NOT(ISNUMBER(T60))),0,IF(SUMPRODUCT(('Responses'!$AG$2:$AG$501=K60)*('Responses'!$AJ$2:$AJ$501=1)*ISNUMBER('Responses'!$AP$2:$AP$501)*('Responses'!$AP$2:$AP$501&gt;T60)) + SUMPRODUCT(('Paper sign-ups'!$K$2:$K$101=K60)*('Paper sign-ups'!$N$2:$N$101=1)*ISNUMBER('Paper sign-ups'!$T$2:$T$101)*('Paper sign-ups'!$T$2:$T$101&gt;T60))&gt;0,1,0))</f>
        <v/>
      </c>
      <c r="V60" s="31">
        <f>IF(I60="","",IF(U60=1,"Joined again",IF(N60=0,"Unpaid",IF(NOT(ISNUMBER(P60)),"Add a join date",IF(R60="","No reminder",IF(S60&lt;0,"Lapsed",IF(S60&lt;=Settings!$D$6,"Remind soon","Current")))))))</f>
        <v/>
      </c>
      <c r="W60" s="33">
        <f>IF(N60=1,IF(ISNUMBER(E60),E60,0),0)</f>
        <v/>
      </c>
      <c r="X60" s="31">
        <f>IF(AND(I60&lt;&gt;"",U60=0),1,0)</f>
        <v/>
      </c>
      <c r="Y60" s="31">
        <f>IF(X60=0,"",IF(ISNUMBER(R60),R60,100000)+0.5+ROW()/1000000)</f>
        <v/>
      </c>
      <c r="Z60" s="31">
        <f>IF(ISNUMBER(Y60),SUMPRODUCT(ISNUMBER('Responses'!$AU$2:$AU$501)*('Responses'!$AU$2:$AU$501&lt;Y60)) + SUMPRODUCT(ISNUMBER('Paper sign-ups'!$Y$2:$Y$101)*('Paper sign-ups'!$Y$2:$Y$101&lt;Y60))+1,"")</f>
        <v/>
      </c>
    </row>
    <row r="61">
      <c r="A61" s="30" t="n"/>
      <c r="B61" s="30" t="n"/>
      <c r="C61" s="30" t="n"/>
      <c r="D61" s="37" t="n"/>
      <c r="E61" s="38" t="n"/>
      <c r="F61" s="30" t="n"/>
      <c r="G61" s="30" t="n"/>
      <c r="H61" s="29" t="n"/>
      <c r="I61" s="31">
        <f>TRIM(A61&amp;"")</f>
        <v/>
      </c>
      <c r="J61" s="31">
        <f>TRIM(B61&amp;"")</f>
        <v/>
      </c>
      <c r="K61" s="31">
        <f>IF(I61="","",LOWER(IF(J61&lt;&gt;"",J61,I61)))</f>
        <v/>
      </c>
      <c r="L61" s="31">
        <f>TRIM(C61&amp;"")</f>
        <v/>
      </c>
      <c r="M61" s="31">
        <f>IF(I61="","",IF(UPPER(TRIM(F61&amp;""))="Y","Paid another way","Unpaid"))</f>
        <v/>
      </c>
      <c r="N61" s="31">
        <f>IF(I61="",0,IF(IFERROR(INDEX(Settings!$J$4:$J$14,MATCH(M61,Settings!$I$4:$I$14,0)),"N")="Y",1,0))</f>
        <v/>
      </c>
      <c r="O61" s="32">
        <f>IF(AND(I61&lt;&gt;"",ISNUMBER(D61)),INT(D61),"")</f>
        <v/>
      </c>
      <c r="P61" s="32">
        <f>O61</f>
        <v/>
      </c>
      <c r="Q61" s="31">
        <f>IF(I61="","",IF(ISNUMBER(IFERROR(INDEX(Settings!$G$4:$G$11,MATCH(L61,Settings!$F$4:$F$11,0)),"")),INDEX(Settings!$G$4:$G$11,MATCH(L61,Settings!$F$4:$F$11,0)),Settings!$D$5))</f>
        <v/>
      </c>
      <c r="R61" s="32">
        <f>IF(OR(I61="",NOT(ISNUMBER(P61)),NOT(ISNUMBER(Q61))),"",IF(Q61&lt;=0,"",IF(ISNUMBER(Settings!$D$8),DATE(YEAR(P61)+IF(DATE(YEAR(P61),MONTH(Settings!$D$8),DAY(Settings!$D$8))&gt;P61,0,1),MONTH(Settings!$D$8),DAY(Settings!$D$8)),MIN(DATE(YEAR(P61),MONTH(P61)+Q61,DAY(P61)),DATE(YEAR(P61),MONTH(P61)+Q61+1,0)))))</f>
        <v/>
      </c>
      <c r="S61" s="31">
        <f>IF(ISNUMBER(R61),R61-Settings!$D$4,"")</f>
        <v/>
      </c>
      <c r="T61" s="31">
        <f>IF(ISNUMBER(P61),P61+0.5+ROW()/100000,"")</f>
        <v/>
      </c>
      <c r="U61" s="31">
        <f>IF(OR(K61="",NOT(ISNUMBER(T61))),0,IF(SUMPRODUCT(('Responses'!$AG$2:$AG$501=K61)*('Responses'!$AJ$2:$AJ$501=1)*ISNUMBER('Responses'!$AP$2:$AP$501)*('Responses'!$AP$2:$AP$501&gt;T61)) + SUMPRODUCT(('Paper sign-ups'!$K$2:$K$101=K61)*('Paper sign-ups'!$N$2:$N$101=1)*ISNUMBER('Paper sign-ups'!$T$2:$T$101)*('Paper sign-ups'!$T$2:$T$101&gt;T61))&gt;0,1,0))</f>
        <v/>
      </c>
      <c r="V61" s="31">
        <f>IF(I61="","",IF(U61=1,"Joined again",IF(N61=0,"Unpaid",IF(NOT(ISNUMBER(P61)),"Add a join date",IF(R61="","No reminder",IF(S61&lt;0,"Lapsed",IF(S61&lt;=Settings!$D$6,"Remind soon","Current")))))))</f>
        <v/>
      </c>
      <c r="W61" s="33">
        <f>IF(N61=1,IF(ISNUMBER(E61),E61,0),0)</f>
        <v/>
      </c>
      <c r="X61" s="31">
        <f>IF(AND(I61&lt;&gt;"",U61=0),1,0)</f>
        <v/>
      </c>
      <c r="Y61" s="31">
        <f>IF(X61=0,"",IF(ISNUMBER(R61),R61,100000)+0.5+ROW()/1000000)</f>
        <v/>
      </c>
      <c r="Z61" s="31">
        <f>IF(ISNUMBER(Y61),SUMPRODUCT(ISNUMBER('Responses'!$AU$2:$AU$501)*('Responses'!$AU$2:$AU$501&lt;Y61)) + SUMPRODUCT(ISNUMBER('Paper sign-ups'!$Y$2:$Y$101)*('Paper sign-ups'!$Y$2:$Y$101&lt;Y61))+1,"")</f>
        <v/>
      </c>
    </row>
    <row r="62">
      <c r="A62" s="30" t="n"/>
      <c r="B62" s="30" t="n"/>
      <c r="C62" s="30" t="n"/>
      <c r="D62" s="37" t="n"/>
      <c r="E62" s="38" t="n"/>
      <c r="F62" s="30" t="n"/>
      <c r="G62" s="30" t="n"/>
      <c r="H62" s="29" t="n"/>
      <c r="I62" s="31">
        <f>TRIM(A62&amp;"")</f>
        <v/>
      </c>
      <c r="J62" s="31">
        <f>TRIM(B62&amp;"")</f>
        <v/>
      </c>
      <c r="K62" s="31">
        <f>IF(I62="","",LOWER(IF(J62&lt;&gt;"",J62,I62)))</f>
        <v/>
      </c>
      <c r="L62" s="31">
        <f>TRIM(C62&amp;"")</f>
        <v/>
      </c>
      <c r="M62" s="31">
        <f>IF(I62="","",IF(UPPER(TRIM(F62&amp;""))="Y","Paid another way","Unpaid"))</f>
        <v/>
      </c>
      <c r="N62" s="31">
        <f>IF(I62="",0,IF(IFERROR(INDEX(Settings!$J$4:$J$14,MATCH(M62,Settings!$I$4:$I$14,0)),"N")="Y",1,0))</f>
        <v/>
      </c>
      <c r="O62" s="32">
        <f>IF(AND(I62&lt;&gt;"",ISNUMBER(D62)),INT(D62),"")</f>
        <v/>
      </c>
      <c r="P62" s="32">
        <f>O62</f>
        <v/>
      </c>
      <c r="Q62" s="31">
        <f>IF(I62="","",IF(ISNUMBER(IFERROR(INDEX(Settings!$G$4:$G$11,MATCH(L62,Settings!$F$4:$F$11,0)),"")),INDEX(Settings!$G$4:$G$11,MATCH(L62,Settings!$F$4:$F$11,0)),Settings!$D$5))</f>
        <v/>
      </c>
      <c r="R62" s="32">
        <f>IF(OR(I62="",NOT(ISNUMBER(P62)),NOT(ISNUMBER(Q62))),"",IF(Q62&lt;=0,"",IF(ISNUMBER(Settings!$D$8),DATE(YEAR(P62)+IF(DATE(YEAR(P62),MONTH(Settings!$D$8),DAY(Settings!$D$8))&gt;P62,0,1),MONTH(Settings!$D$8),DAY(Settings!$D$8)),MIN(DATE(YEAR(P62),MONTH(P62)+Q62,DAY(P62)),DATE(YEAR(P62),MONTH(P62)+Q62+1,0)))))</f>
        <v/>
      </c>
      <c r="S62" s="31">
        <f>IF(ISNUMBER(R62),R62-Settings!$D$4,"")</f>
        <v/>
      </c>
      <c r="T62" s="31">
        <f>IF(ISNUMBER(P62),P62+0.5+ROW()/100000,"")</f>
        <v/>
      </c>
      <c r="U62" s="31">
        <f>IF(OR(K62="",NOT(ISNUMBER(T62))),0,IF(SUMPRODUCT(('Responses'!$AG$2:$AG$501=K62)*('Responses'!$AJ$2:$AJ$501=1)*ISNUMBER('Responses'!$AP$2:$AP$501)*('Responses'!$AP$2:$AP$501&gt;T62)) + SUMPRODUCT(('Paper sign-ups'!$K$2:$K$101=K62)*('Paper sign-ups'!$N$2:$N$101=1)*ISNUMBER('Paper sign-ups'!$T$2:$T$101)*('Paper sign-ups'!$T$2:$T$101&gt;T62))&gt;0,1,0))</f>
        <v/>
      </c>
      <c r="V62" s="31">
        <f>IF(I62="","",IF(U62=1,"Joined again",IF(N62=0,"Unpaid",IF(NOT(ISNUMBER(P62)),"Add a join date",IF(R62="","No reminder",IF(S62&lt;0,"Lapsed",IF(S62&lt;=Settings!$D$6,"Remind soon","Current")))))))</f>
        <v/>
      </c>
      <c r="W62" s="33">
        <f>IF(N62=1,IF(ISNUMBER(E62),E62,0),0)</f>
        <v/>
      </c>
      <c r="X62" s="31">
        <f>IF(AND(I62&lt;&gt;"",U62=0),1,0)</f>
        <v/>
      </c>
      <c r="Y62" s="31">
        <f>IF(X62=0,"",IF(ISNUMBER(R62),R62,100000)+0.5+ROW()/1000000)</f>
        <v/>
      </c>
      <c r="Z62" s="31">
        <f>IF(ISNUMBER(Y62),SUMPRODUCT(ISNUMBER('Responses'!$AU$2:$AU$501)*('Responses'!$AU$2:$AU$501&lt;Y62)) + SUMPRODUCT(ISNUMBER('Paper sign-ups'!$Y$2:$Y$101)*('Paper sign-ups'!$Y$2:$Y$101&lt;Y62))+1,"")</f>
        <v/>
      </c>
    </row>
    <row r="63">
      <c r="A63" s="30" t="n"/>
      <c r="B63" s="30" t="n"/>
      <c r="C63" s="30" t="n"/>
      <c r="D63" s="37" t="n"/>
      <c r="E63" s="38" t="n"/>
      <c r="F63" s="30" t="n"/>
      <c r="G63" s="30" t="n"/>
      <c r="H63" s="29" t="n"/>
      <c r="I63" s="31">
        <f>TRIM(A63&amp;"")</f>
        <v/>
      </c>
      <c r="J63" s="31">
        <f>TRIM(B63&amp;"")</f>
        <v/>
      </c>
      <c r="K63" s="31">
        <f>IF(I63="","",LOWER(IF(J63&lt;&gt;"",J63,I63)))</f>
        <v/>
      </c>
      <c r="L63" s="31">
        <f>TRIM(C63&amp;"")</f>
        <v/>
      </c>
      <c r="M63" s="31">
        <f>IF(I63="","",IF(UPPER(TRIM(F63&amp;""))="Y","Paid another way","Unpaid"))</f>
        <v/>
      </c>
      <c r="N63" s="31">
        <f>IF(I63="",0,IF(IFERROR(INDEX(Settings!$J$4:$J$14,MATCH(M63,Settings!$I$4:$I$14,0)),"N")="Y",1,0))</f>
        <v/>
      </c>
      <c r="O63" s="32">
        <f>IF(AND(I63&lt;&gt;"",ISNUMBER(D63)),INT(D63),"")</f>
        <v/>
      </c>
      <c r="P63" s="32">
        <f>O63</f>
        <v/>
      </c>
      <c r="Q63" s="31">
        <f>IF(I63="","",IF(ISNUMBER(IFERROR(INDEX(Settings!$G$4:$G$11,MATCH(L63,Settings!$F$4:$F$11,0)),"")),INDEX(Settings!$G$4:$G$11,MATCH(L63,Settings!$F$4:$F$11,0)),Settings!$D$5))</f>
        <v/>
      </c>
      <c r="R63" s="32">
        <f>IF(OR(I63="",NOT(ISNUMBER(P63)),NOT(ISNUMBER(Q63))),"",IF(Q63&lt;=0,"",IF(ISNUMBER(Settings!$D$8),DATE(YEAR(P63)+IF(DATE(YEAR(P63),MONTH(Settings!$D$8),DAY(Settings!$D$8))&gt;P63,0,1),MONTH(Settings!$D$8),DAY(Settings!$D$8)),MIN(DATE(YEAR(P63),MONTH(P63)+Q63,DAY(P63)),DATE(YEAR(P63),MONTH(P63)+Q63+1,0)))))</f>
        <v/>
      </c>
      <c r="S63" s="31">
        <f>IF(ISNUMBER(R63),R63-Settings!$D$4,"")</f>
        <v/>
      </c>
      <c r="T63" s="31">
        <f>IF(ISNUMBER(P63),P63+0.5+ROW()/100000,"")</f>
        <v/>
      </c>
      <c r="U63" s="31">
        <f>IF(OR(K63="",NOT(ISNUMBER(T63))),0,IF(SUMPRODUCT(('Responses'!$AG$2:$AG$501=K63)*('Responses'!$AJ$2:$AJ$501=1)*ISNUMBER('Responses'!$AP$2:$AP$501)*('Responses'!$AP$2:$AP$501&gt;T63)) + SUMPRODUCT(('Paper sign-ups'!$K$2:$K$101=K63)*('Paper sign-ups'!$N$2:$N$101=1)*ISNUMBER('Paper sign-ups'!$T$2:$T$101)*('Paper sign-ups'!$T$2:$T$101&gt;T63))&gt;0,1,0))</f>
        <v/>
      </c>
      <c r="V63" s="31">
        <f>IF(I63="","",IF(U63=1,"Joined again",IF(N63=0,"Unpaid",IF(NOT(ISNUMBER(P63)),"Add a join date",IF(R63="","No reminder",IF(S63&lt;0,"Lapsed",IF(S63&lt;=Settings!$D$6,"Remind soon","Current")))))))</f>
        <v/>
      </c>
      <c r="W63" s="33">
        <f>IF(N63=1,IF(ISNUMBER(E63),E63,0),0)</f>
        <v/>
      </c>
      <c r="X63" s="31">
        <f>IF(AND(I63&lt;&gt;"",U63=0),1,0)</f>
        <v/>
      </c>
      <c r="Y63" s="31">
        <f>IF(X63=0,"",IF(ISNUMBER(R63),R63,100000)+0.5+ROW()/1000000)</f>
        <v/>
      </c>
      <c r="Z63" s="31">
        <f>IF(ISNUMBER(Y63),SUMPRODUCT(ISNUMBER('Responses'!$AU$2:$AU$501)*('Responses'!$AU$2:$AU$501&lt;Y63)) + SUMPRODUCT(ISNUMBER('Paper sign-ups'!$Y$2:$Y$101)*('Paper sign-ups'!$Y$2:$Y$101&lt;Y63))+1,"")</f>
        <v/>
      </c>
    </row>
    <row r="64">
      <c r="A64" s="30" t="n"/>
      <c r="B64" s="30" t="n"/>
      <c r="C64" s="30" t="n"/>
      <c r="D64" s="37" t="n"/>
      <c r="E64" s="38" t="n"/>
      <c r="F64" s="30" t="n"/>
      <c r="G64" s="30" t="n"/>
      <c r="H64" s="29" t="n"/>
      <c r="I64" s="31">
        <f>TRIM(A64&amp;"")</f>
        <v/>
      </c>
      <c r="J64" s="31">
        <f>TRIM(B64&amp;"")</f>
        <v/>
      </c>
      <c r="K64" s="31">
        <f>IF(I64="","",LOWER(IF(J64&lt;&gt;"",J64,I64)))</f>
        <v/>
      </c>
      <c r="L64" s="31">
        <f>TRIM(C64&amp;"")</f>
        <v/>
      </c>
      <c r="M64" s="31">
        <f>IF(I64="","",IF(UPPER(TRIM(F64&amp;""))="Y","Paid another way","Unpaid"))</f>
        <v/>
      </c>
      <c r="N64" s="31">
        <f>IF(I64="",0,IF(IFERROR(INDEX(Settings!$J$4:$J$14,MATCH(M64,Settings!$I$4:$I$14,0)),"N")="Y",1,0))</f>
        <v/>
      </c>
      <c r="O64" s="32">
        <f>IF(AND(I64&lt;&gt;"",ISNUMBER(D64)),INT(D64),"")</f>
        <v/>
      </c>
      <c r="P64" s="32">
        <f>O64</f>
        <v/>
      </c>
      <c r="Q64" s="31">
        <f>IF(I64="","",IF(ISNUMBER(IFERROR(INDEX(Settings!$G$4:$G$11,MATCH(L64,Settings!$F$4:$F$11,0)),"")),INDEX(Settings!$G$4:$G$11,MATCH(L64,Settings!$F$4:$F$11,0)),Settings!$D$5))</f>
        <v/>
      </c>
      <c r="R64" s="32">
        <f>IF(OR(I64="",NOT(ISNUMBER(P64)),NOT(ISNUMBER(Q64))),"",IF(Q64&lt;=0,"",IF(ISNUMBER(Settings!$D$8),DATE(YEAR(P64)+IF(DATE(YEAR(P64),MONTH(Settings!$D$8),DAY(Settings!$D$8))&gt;P64,0,1),MONTH(Settings!$D$8),DAY(Settings!$D$8)),MIN(DATE(YEAR(P64),MONTH(P64)+Q64,DAY(P64)),DATE(YEAR(P64),MONTH(P64)+Q64+1,0)))))</f>
        <v/>
      </c>
      <c r="S64" s="31">
        <f>IF(ISNUMBER(R64),R64-Settings!$D$4,"")</f>
        <v/>
      </c>
      <c r="T64" s="31">
        <f>IF(ISNUMBER(P64),P64+0.5+ROW()/100000,"")</f>
        <v/>
      </c>
      <c r="U64" s="31">
        <f>IF(OR(K64="",NOT(ISNUMBER(T64))),0,IF(SUMPRODUCT(('Responses'!$AG$2:$AG$501=K64)*('Responses'!$AJ$2:$AJ$501=1)*ISNUMBER('Responses'!$AP$2:$AP$501)*('Responses'!$AP$2:$AP$501&gt;T64)) + SUMPRODUCT(('Paper sign-ups'!$K$2:$K$101=K64)*('Paper sign-ups'!$N$2:$N$101=1)*ISNUMBER('Paper sign-ups'!$T$2:$T$101)*('Paper sign-ups'!$T$2:$T$101&gt;T64))&gt;0,1,0))</f>
        <v/>
      </c>
      <c r="V64" s="31">
        <f>IF(I64="","",IF(U64=1,"Joined again",IF(N64=0,"Unpaid",IF(NOT(ISNUMBER(P64)),"Add a join date",IF(R64="","No reminder",IF(S64&lt;0,"Lapsed",IF(S64&lt;=Settings!$D$6,"Remind soon","Current")))))))</f>
        <v/>
      </c>
      <c r="W64" s="33">
        <f>IF(N64=1,IF(ISNUMBER(E64),E64,0),0)</f>
        <v/>
      </c>
      <c r="X64" s="31">
        <f>IF(AND(I64&lt;&gt;"",U64=0),1,0)</f>
        <v/>
      </c>
      <c r="Y64" s="31">
        <f>IF(X64=0,"",IF(ISNUMBER(R64),R64,100000)+0.5+ROW()/1000000)</f>
        <v/>
      </c>
      <c r="Z64" s="31">
        <f>IF(ISNUMBER(Y64),SUMPRODUCT(ISNUMBER('Responses'!$AU$2:$AU$501)*('Responses'!$AU$2:$AU$501&lt;Y64)) + SUMPRODUCT(ISNUMBER('Paper sign-ups'!$Y$2:$Y$101)*('Paper sign-ups'!$Y$2:$Y$101&lt;Y64))+1,"")</f>
        <v/>
      </c>
    </row>
    <row r="65">
      <c r="A65" s="30" t="n"/>
      <c r="B65" s="30" t="n"/>
      <c r="C65" s="30" t="n"/>
      <c r="D65" s="37" t="n"/>
      <c r="E65" s="38" t="n"/>
      <c r="F65" s="30" t="n"/>
      <c r="G65" s="30" t="n"/>
      <c r="H65" s="29" t="n"/>
      <c r="I65" s="31">
        <f>TRIM(A65&amp;"")</f>
        <v/>
      </c>
      <c r="J65" s="31">
        <f>TRIM(B65&amp;"")</f>
        <v/>
      </c>
      <c r="K65" s="31">
        <f>IF(I65="","",LOWER(IF(J65&lt;&gt;"",J65,I65)))</f>
        <v/>
      </c>
      <c r="L65" s="31">
        <f>TRIM(C65&amp;"")</f>
        <v/>
      </c>
      <c r="M65" s="31">
        <f>IF(I65="","",IF(UPPER(TRIM(F65&amp;""))="Y","Paid another way","Unpaid"))</f>
        <v/>
      </c>
      <c r="N65" s="31">
        <f>IF(I65="",0,IF(IFERROR(INDEX(Settings!$J$4:$J$14,MATCH(M65,Settings!$I$4:$I$14,0)),"N")="Y",1,0))</f>
        <v/>
      </c>
      <c r="O65" s="32">
        <f>IF(AND(I65&lt;&gt;"",ISNUMBER(D65)),INT(D65),"")</f>
        <v/>
      </c>
      <c r="P65" s="32">
        <f>O65</f>
        <v/>
      </c>
      <c r="Q65" s="31">
        <f>IF(I65="","",IF(ISNUMBER(IFERROR(INDEX(Settings!$G$4:$G$11,MATCH(L65,Settings!$F$4:$F$11,0)),"")),INDEX(Settings!$G$4:$G$11,MATCH(L65,Settings!$F$4:$F$11,0)),Settings!$D$5))</f>
        <v/>
      </c>
      <c r="R65" s="32">
        <f>IF(OR(I65="",NOT(ISNUMBER(P65)),NOT(ISNUMBER(Q65))),"",IF(Q65&lt;=0,"",IF(ISNUMBER(Settings!$D$8),DATE(YEAR(P65)+IF(DATE(YEAR(P65),MONTH(Settings!$D$8),DAY(Settings!$D$8))&gt;P65,0,1),MONTH(Settings!$D$8),DAY(Settings!$D$8)),MIN(DATE(YEAR(P65),MONTH(P65)+Q65,DAY(P65)),DATE(YEAR(P65),MONTH(P65)+Q65+1,0)))))</f>
        <v/>
      </c>
      <c r="S65" s="31">
        <f>IF(ISNUMBER(R65),R65-Settings!$D$4,"")</f>
        <v/>
      </c>
      <c r="T65" s="31">
        <f>IF(ISNUMBER(P65),P65+0.5+ROW()/100000,"")</f>
        <v/>
      </c>
      <c r="U65" s="31">
        <f>IF(OR(K65="",NOT(ISNUMBER(T65))),0,IF(SUMPRODUCT(('Responses'!$AG$2:$AG$501=K65)*('Responses'!$AJ$2:$AJ$501=1)*ISNUMBER('Responses'!$AP$2:$AP$501)*('Responses'!$AP$2:$AP$501&gt;T65)) + SUMPRODUCT(('Paper sign-ups'!$K$2:$K$101=K65)*('Paper sign-ups'!$N$2:$N$101=1)*ISNUMBER('Paper sign-ups'!$T$2:$T$101)*('Paper sign-ups'!$T$2:$T$101&gt;T65))&gt;0,1,0))</f>
        <v/>
      </c>
      <c r="V65" s="31">
        <f>IF(I65="","",IF(U65=1,"Joined again",IF(N65=0,"Unpaid",IF(NOT(ISNUMBER(P65)),"Add a join date",IF(R65="","No reminder",IF(S65&lt;0,"Lapsed",IF(S65&lt;=Settings!$D$6,"Remind soon","Current")))))))</f>
        <v/>
      </c>
      <c r="W65" s="33">
        <f>IF(N65=1,IF(ISNUMBER(E65),E65,0),0)</f>
        <v/>
      </c>
      <c r="X65" s="31">
        <f>IF(AND(I65&lt;&gt;"",U65=0),1,0)</f>
        <v/>
      </c>
      <c r="Y65" s="31">
        <f>IF(X65=0,"",IF(ISNUMBER(R65),R65,100000)+0.5+ROW()/1000000)</f>
        <v/>
      </c>
      <c r="Z65" s="31">
        <f>IF(ISNUMBER(Y65),SUMPRODUCT(ISNUMBER('Responses'!$AU$2:$AU$501)*('Responses'!$AU$2:$AU$501&lt;Y65)) + SUMPRODUCT(ISNUMBER('Paper sign-ups'!$Y$2:$Y$101)*('Paper sign-ups'!$Y$2:$Y$101&lt;Y65))+1,"")</f>
        <v/>
      </c>
    </row>
    <row r="66">
      <c r="A66" s="30" t="n"/>
      <c r="B66" s="30" t="n"/>
      <c r="C66" s="30" t="n"/>
      <c r="D66" s="37" t="n"/>
      <c r="E66" s="38" t="n"/>
      <c r="F66" s="30" t="n"/>
      <c r="G66" s="30" t="n"/>
      <c r="H66" s="29" t="n"/>
      <c r="I66" s="31">
        <f>TRIM(A66&amp;"")</f>
        <v/>
      </c>
      <c r="J66" s="31">
        <f>TRIM(B66&amp;"")</f>
        <v/>
      </c>
      <c r="K66" s="31">
        <f>IF(I66="","",LOWER(IF(J66&lt;&gt;"",J66,I66)))</f>
        <v/>
      </c>
      <c r="L66" s="31">
        <f>TRIM(C66&amp;"")</f>
        <v/>
      </c>
      <c r="M66" s="31">
        <f>IF(I66="","",IF(UPPER(TRIM(F66&amp;""))="Y","Paid another way","Unpaid"))</f>
        <v/>
      </c>
      <c r="N66" s="31">
        <f>IF(I66="",0,IF(IFERROR(INDEX(Settings!$J$4:$J$14,MATCH(M66,Settings!$I$4:$I$14,0)),"N")="Y",1,0))</f>
        <v/>
      </c>
      <c r="O66" s="32">
        <f>IF(AND(I66&lt;&gt;"",ISNUMBER(D66)),INT(D66),"")</f>
        <v/>
      </c>
      <c r="P66" s="32">
        <f>O66</f>
        <v/>
      </c>
      <c r="Q66" s="31">
        <f>IF(I66="","",IF(ISNUMBER(IFERROR(INDEX(Settings!$G$4:$G$11,MATCH(L66,Settings!$F$4:$F$11,0)),"")),INDEX(Settings!$G$4:$G$11,MATCH(L66,Settings!$F$4:$F$11,0)),Settings!$D$5))</f>
        <v/>
      </c>
      <c r="R66" s="32">
        <f>IF(OR(I66="",NOT(ISNUMBER(P66)),NOT(ISNUMBER(Q66))),"",IF(Q66&lt;=0,"",IF(ISNUMBER(Settings!$D$8),DATE(YEAR(P66)+IF(DATE(YEAR(P66),MONTH(Settings!$D$8),DAY(Settings!$D$8))&gt;P66,0,1),MONTH(Settings!$D$8),DAY(Settings!$D$8)),MIN(DATE(YEAR(P66),MONTH(P66)+Q66,DAY(P66)),DATE(YEAR(P66),MONTH(P66)+Q66+1,0)))))</f>
        <v/>
      </c>
      <c r="S66" s="31">
        <f>IF(ISNUMBER(R66),R66-Settings!$D$4,"")</f>
        <v/>
      </c>
      <c r="T66" s="31">
        <f>IF(ISNUMBER(P66),P66+0.5+ROW()/100000,"")</f>
        <v/>
      </c>
      <c r="U66" s="31">
        <f>IF(OR(K66="",NOT(ISNUMBER(T66))),0,IF(SUMPRODUCT(('Responses'!$AG$2:$AG$501=K66)*('Responses'!$AJ$2:$AJ$501=1)*ISNUMBER('Responses'!$AP$2:$AP$501)*('Responses'!$AP$2:$AP$501&gt;T66)) + SUMPRODUCT(('Paper sign-ups'!$K$2:$K$101=K66)*('Paper sign-ups'!$N$2:$N$101=1)*ISNUMBER('Paper sign-ups'!$T$2:$T$101)*('Paper sign-ups'!$T$2:$T$101&gt;T66))&gt;0,1,0))</f>
        <v/>
      </c>
      <c r="V66" s="31">
        <f>IF(I66="","",IF(U66=1,"Joined again",IF(N66=0,"Unpaid",IF(NOT(ISNUMBER(P66)),"Add a join date",IF(R66="","No reminder",IF(S66&lt;0,"Lapsed",IF(S66&lt;=Settings!$D$6,"Remind soon","Current")))))))</f>
        <v/>
      </c>
      <c r="W66" s="33">
        <f>IF(N66=1,IF(ISNUMBER(E66),E66,0),0)</f>
        <v/>
      </c>
      <c r="X66" s="31">
        <f>IF(AND(I66&lt;&gt;"",U66=0),1,0)</f>
        <v/>
      </c>
      <c r="Y66" s="31">
        <f>IF(X66=0,"",IF(ISNUMBER(R66),R66,100000)+0.5+ROW()/1000000)</f>
        <v/>
      </c>
      <c r="Z66" s="31">
        <f>IF(ISNUMBER(Y66),SUMPRODUCT(ISNUMBER('Responses'!$AU$2:$AU$501)*('Responses'!$AU$2:$AU$501&lt;Y66)) + SUMPRODUCT(ISNUMBER('Paper sign-ups'!$Y$2:$Y$101)*('Paper sign-ups'!$Y$2:$Y$101&lt;Y66))+1,"")</f>
        <v/>
      </c>
    </row>
    <row r="67">
      <c r="A67" s="30" t="n"/>
      <c r="B67" s="30" t="n"/>
      <c r="C67" s="30" t="n"/>
      <c r="D67" s="37" t="n"/>
      <c r="E67" s="38" t="n"/>
      <c r="F67" s="30" t="n"/>
      <c r="G67" s="30" t="n"/>
      <c r="H67" s="29" t="n"/>
      <c r="I67" s="31">
        <f>TRIM(A67&amp;"")</f>
        <v/>
      </c>
      <c r="J67" s="31">
        <f>TRIM(B67&amp;"")</f>
        <v/>
      </c>
      <c r="K67" s="31">
        <f>IF(I67="","",LOWER(IF(J67&lt;&gt;"",J67,I67)))</f>
        <v/>
      </c>
      <c r="L67" s="31">
        <f>TRIM(C67&amp;"")</f>
        <v/>
      </c>
      <c r="M67" s="31">
        <f>IF(I67="","",IF(UPPER(TRIM(F67&amp;""))="Y","Paid another way","Unpaid"))</f>
        <v/>
      </c>
      <c r="N67" s="31">
        <f>IF(I67="",0,IF(IFERROR(INDEX(Settings!$J$4:$J$14,MATCH(M67,Settings!$I$4:$I$14,0)),"N")="Y",1,0))</f>
        <v/>
      </c>
      <c r="O67" s="32">
        <f>IF(AND(I67&lt;&gt;"",ISNUMBER(D67)),INT(D67),"")</f>
        <v/>
      </c>
      <c r="P67" s="32">
        <f>O67</f>
        <v/>
      </c>
      <c r="Q67" s="31">
        <f>IF(I67="","",IF(ISNUMBER(IFERROR(INDEX(Settings!$G$4:$G$11,MATCH(L67,Settings!$F$4:$F$11,0)),"")),INDEX(Settings!$G$4:$G$11,MATCH(L67,Settings!$F$4:$F$11,0)),Settings!$D$5))</f>
        <v/>
      </c>
      <c r="R67" s="32">
        <f>IF(OR(I67="",NOT(ISNUMBER(P67)),NOT(ISNUMBER(Q67))),"",IF(Q67&lt;=0,"",IF(ISNUMBER(Settings!$D$8),DATE(YEAR(P67)+IF(DATE(YEAR(P67),MONTH(Settings!$D$8),DAY(Settings!$D$8))&gt;P67,0,1),MONTH(Settings!$D$8),DAY(Settings!$D$8)),MIN(DATE(YEAR(P67),MONTH(P67)+Q67,DAY(P67)),DATE(YEAR(P67),MONTH(P67)+Q67+1,0)))))</f>
        <v/>
      </c>
      <c r="S67" s="31">
        <f>IF(ISNUMBER(R67),R67-Settings!$D$4,"")</f>
        <v/>
      </c>
      <c r="T67" s="31">
        <f>IF(ISNUMBER(P67),P67+0.5+ROW()/100000,"")</f>
        <v/>
      </c>
      <c r="U67" s="31">
        <f>IF(OR(K67="",NOT(ISNUMBER(T67))),0,IF(SUMPRODUCT(('Responses'!$AG$2:$AG$501=K67)*('Responses'!$AJ$2:$AJ$501=1)*ISNUMBER('Responses'!$AP$2:$AP$501)*('Responses'!$AP$2:$AP$501&gt;T67)) + SUMPRODUCT(('Paper sign-ups'!$K$2:$K$101=K67)*('Paper sign-ups'!$N$2:$N$101=1)*ISNUMBER('Paper sign-ups'!$T$2:$T$101)*('Paper sign-ups'!$T$2:$T$101&gt;T67))&gt;0,1,0))</f>
        <v/>
      </c>
      <c r="V67" s="31">
        <f>IF(I67="","",IF(U67=1,"Joined again",IF(N67=0,"Unpaid",IF(NOT(ISNUMBER(P67)),"Add a join date",IF(R67="","No reminder",IF(S67&lt;0,"Lapsed",IF(S67&lt;=Settings!$D$6,"Remind soon","Current")))))))</f>
        <v/>
      </c>
      <c r="W67" s="33">
        <f>IF(N67=1,IF(ISNUMBER(E67),E67,0),0)</f>
        <v/>
      </c>
      <c r="X67" s="31">
        <f>IF(AND(I67&lt;&gt;"",U67=0),1,0)</f>
        <v/>
      </c>
      <c r="Y67" s="31">
        <f>IF(X67=0,"",IF(ISNUMBER(R67),R67,100000)+0.5+ROW()/1000000)</f>
        <v/>
      </c>
      <c r="Z67" s="31">
        <f>IF(ISNUMBER(Y67),SUMPRODUCT(ISNUMBER('Responses'!$AU$2:$AU$501)*('Responses'!$AU$2:$AU$501&lt;Y67)) + SUMPRODUCT(ISNUMBER('Paper sign-ups'!$Y$2:$Y$101)*('Paper sign-ups'!$Y$2:$Y$101&lt;Y67))+1,"")</f>
        <v/>
      </c>
    </row>
    <row r="68">
      <c r="A68" s="30" t="n"/>
      <c r="B68" s="30" t="n"/>
      <c r="C68" s="30" t="n"/>
      <c r="D68" s="37" t="n"/>
      <c r="E68" s="38" t="n"/>
      <c r="F68" s="30" t="n"/>
      <c r="G68" s="30" t="n"/>
      <c r="H68" s="29" t="n"/>
      <c r="I68" s="31">
        <f>TRIM(A68&amp;"")</f>
        <v/>
      </c>
      <c r="J68" s="31">
        <f>TRIM(B68&amp;"")</f>
        <v/>
      </c>
      <c r="K68" s="31">
        <f>IF(I68="","",LOWER(IF(J68&lt;&gt;"",J68,I68)))</f>
        <v/>
      </c>
      <c r="L68" s="31">
        <f>TRIM(C68&amp;"")</f>
        <v/>
      </c>
      <c r="M68" s="31">
        <f>IF(I68="","",IF(UPPER(TRIM(F68&amp;""))="Y","Paid another way","Unpaid"))</f>
        <v/>
      </c>
      <c r="N68" s="31">
        <f>IF(I68="",0,IF(IFERROR(INDEX(Settings!$J$4:$J$14,MATCH(M68,Settings!$I$4:$I$14,0)),"N")="Y",1,0))</f>
        <v/>
      </c>
      <c r="O68" s="32">
        <f>IF(AND(I68&lt;&gt;"",ISNUMBER(D68)),INT(D68),"")</f>
        <v/>
      </c>
      <c r="P68" s="32">
        <f>O68</f>
        <v/>
      </c>
      <c r="Q68" s="31">
        <f>IF(I68="","",IF(ISNUMBER(IFERROR(INDEX(Settings!$G$4:$G$11,MATCH(L68,Settings!$F$4:$F$11,0)),"")),INDEX(Settings!$G$4:$G$11,MATCH(L68,Settings!$F$4:$F$11,0)),Settings!$D$5))</f>
        <v/>
      </c>
      <c r="R68" s="32">
        <f>IF(OR(I68="",NOT(ISNUMBER(P68)),NOT(ISNUMBER(Q68))),"",IF(Q68&lt;=0,"",IF(ISNUMBER(Settings!$D$8),DATE(YEAR(P68)+IF(DATE(YEAR(P68),MONTH(Settings!$D$8),DAY(Settings!$D$8))&gt;P68,0,1),MONTH(Settings!$D$8),DAY(Settings!$D$8)),MIN(DATE(YEAR(P68),MONTH(P68)+Q68,DAY(P68)),DATE(YEAR(P68),MONTH(P68)+Q68+1,0)))))</f>
        <v/>
      </c>
      <c r="S68" s="31">
        <f>IF(ISNUMBER(R68),R68-Settings!$D$4,"")</f>
        <v/>
      </c>
      <c r="T68" s="31">
        <f>IF(ISNUMBER(P68),P68+0.5+ROW()/100000,"")</f>
        <v/>
      </c>
      <c r="U68" s="31">
        <f>IF(OR(K68="",NOT(ISNUMBER(T68))),0,IF(SUMPRODUCT(('Responses'!$AG$2:$AG$501=K68)*('Responses'!$AJ$2:$AJ$501=1)*ISNUMBER('Responses'!$AP$2:$AP$501)*('Responses'!$AP$2:$AP$501&gt;T68)) + SUMPRODUCT(('Paper sign-ups'!$K$2:$K$101=K68)*('Paper sign-ups'!$N$2:$N$101=1)*ISNUMBER('Paper sign-ups'!$T$2:$T$101)*('Paper sign-ups'!$T$2:$T$101&gt;T68))&gt;0,1,0))</f>
        <v/>
      </c>
      <c r="V68" s="31">
        <f>IF(I68="","",IF(U68=1,"Joined again",IF(N68=0,"Unpaid",IF(NOT(ISNUMBER(P68)),"Add a join date",IF(R68="","No reminder",IF(S68&lt;0,"Lapsed",IF(S68&lt;=Settings!$D$6,"Remind soon","Current")))))))</f>
        <v/>
      </c>
      <c r="W68" s="33">
        <f>IF(N68=1,IF(ISNUMBER(E68),E68,0),0)</f>
        <v/>
      </c>
      <c r="X68" s="31">
        <f>IF(AND(I68&lt;&gt;"",U68=0),1,0)</f>
        <v/>
      </c>
      <c r="Y68" s="31">
        <f>IF(X68=0,"",IF(ISNUMBER(R68),R68,100000)+0.5+ROW()/1000000)</f>
        <v/>
      </c>
      <c r="Z68" s="31">
        <f>IF(ISNUMBER(Y68),SUMPRODUCT(ISNUMBER('Responses'!$AU$2:$AU$501)*('Responses'!$AU$2:$AU$501&lt;Y68)) + SUMPRODUCT(ISNUMBER('Paper sign-ups'!$Y$2:$Y$101)*('Paper sign-ups'!$Y$2:$Y$101&lt;Y68))+1,"")</f>
        <v/>
      </c>
    </row>
    <row r="69">
      <c r="A69" s="30" t="n"/>
      <c r="B69" s="30" t="n"/>
      <c r="C69" s="30" t="n"/>
      <c r="D69" s="37" t="n"/>
      <c r="E69" s="38" t="n"/>
      <c r="F69" s="30" t="n"/>
      <c r="G69" s="30" t="n"/>
      <c r="H69" s="29" t="n"/>
      <c r="I69" s="31">
        <f>TRIM(A69&amp;"")</f>
        <v/>
      </c>
      <c r="J69" s="31">
        <f>TRIM(B69&amp;"")</f>
        <v/>
      </c>
      <c r="K69" s="31">
        <f>IF(I69="","",LOWER(IF(J69&lt;&gt;"",J69,I69)))</f>
        <v/>
      </c>
      <c r="L69" s="31">
        <f>TRIM(C69&amp;"")</f>
        <v/>
      </c>
      <c r="M69" s="31">
        <f>IF(I69="","",IF(UPPER(TRIM(F69&amp;""))="Y","Paid another way","Unpaid"))</f>
        <v/>
      </c>
      <c r="N69" s="31">
        <f>IF(I69="",0,IF(IFERROR(INDEX(Settings!$J$4:$J$14,MATCH(M69,Settings!$I$4:$I$14,0)),"N")="Y",1,0))</f>
        <v/>
      </c>
      <c r="O69" s="32">
        <f>IF(AND(I69&lt;&gt;"",ISNUMBER(D69)),INT(D69),"")</f>
        <v/>
      </c>
      <c r="P69" s="32">
        <f>O69</f>
        <v/>
      </c>
      <c r="Q69" s="31">
        <f>IF(I69="","",IF(ISNUMBER(IFERROR(INDEX(Settings!$G$4:$G$11,MATCH(L69,Settings!$F$4:$F$11,0)),"")),INDEX(Settings!$G$4:$G$11,MATCH(L69,Settings!$F$4:$F$11,0)),Settings!$D$5))</f>
        <v/>
      </c>
      <c r="R69" s="32">
        <f>IF(OR(I69="",NOT(ISNUMBER(P69)),NOT(ISNUMBER(Q69))),"",IF(Q69&lt;=0,"",IF(ISNUMBER(Settings!$D$8),DATE(YEAR(P69)+IF(DATE(YEAR(P69),MONTH(Settings!$D$8),DAY(Settings!$D$8))&gt;P69,0,1),MONTH(Settings!$D$8),DAY(Settings!$D$8)),MIN(DATE(YEAR(P69),MONTH(P69)+Q69,DAY(P69)),DATE(YEAR(P69),MONTH(P69)+Q69+1,0)))))</f>
        <v/>
      </c>
      <c r="S69" s="31">
        <f>IF(ISNUMBER(R69),R69-Settings!$D$4,"")</f>
        <v/>
      </c>
      <c r="T69" s="31">
        <f>IF(ISNUMBER(P69),P69+0.5+ROW()/100000,"")</f>
        <v/>
      </c>
      <c r="U69" s="31">
        <f>IF(OR(K69="",NOT(ISNUMBER(T69))),0,IF(SUMPRODUCT(('Responses'!$AG$2:$AG$501=K69)*('Responses'!$AJ$2:$AJ$501=1)*ISNUMBER('Responses'!$AP$2:$AP$501)*('Responses'!$AP$2:$AP$501&gt;T69)) + SUMPRODUCT(('Paper sign-ups'!$K$2:$K$101=K69)*('Paper sign-ups'!$N$2:$N$101=1)*ISNUMBER('Paper sign-ups'!$T$2:$T$101)*('Paper sign-ups'!$T$2:$T$101&gt;T69))&gt;0,1,0))</f>
        <v/>
      </c>
      <c r="V69" s="31">
        <f>IF(I69="","",IF(U69=1,"Joined again",IF(N69=0,"Unpaid",IF(NOT(ISNUMBER(P69)),"Add a join date",IF(R69="","No reminder",IF(S69&lt;0,"Lapsed",IF(S69&lt;=Settings!$D$6,"Remind soon","Current")))))))</f>
        <v/>
      </c>
      <c r="W69" s="33">
        <f>IF(N69=1,IF(ISNUMBER(E69),E69,0),0)</f>
        <v/>
      </c>
      <c r="X69" s="31">
        <f>IF(AND(I69&lt;&gt;"",U69=0),1,0)</f>
        <v/>
      </c>
      <c r="Y69" s="31">
        <f>IF(X69=0,"",IF(ISNUMBER(R69),R69,100000)+0.5+ROW()/1000000)</f>
        <v/>
      </c>
      <c r="Z69" s="31">
        <f>IF(ISNUMBER(Y69),SUMPRODUCT(ISNUMBER('Responses'!$AU$2:$AU$501)*('Responses'!$AU$2:$AU$501&lt;Y69)) + SUMPRODUCT(ISNUMBER('Paper sign-ups'!$Y$2:$Y$101)*('Paper sign-ups'!$Y$2:$Y$101&lt;Y69))+1,"")</f>
        <v/>
      </c>
    </row>
    <row r="70">
      <c r="A70" s="30" t="n"/>
      <c r="B70" s="30" t="n"/>
      <c r="C70" s="30" t="n"/>
      <c r="D70" s="37" t="n"/>
      <c r="E70" s="38" t="n"/>
      <c r="F70" s="30" t="n"/>
      <c r="G70" s="30" t="n"/>
      <c r="H70" s="29" t="n"/>
      <c r="I70" s="31">
        <f>TRIM(A70&amp;"")</f>
        <v/>
      </c>
      <c r="J70" s="31">
        <f>TRIM(B70&amp;"")</f>
        <v/>
      </c>
      <c r="K70" s="31">
        <f>IF(I70="","",LOWER(IF(J70&lt;&gt;"",J70,I70)))</f>
        <v/>
      </c>
      <c r="L70" s="31">
        <f>TRIM(C70&amp;"")</f>
        <v/>
      </c>
      <c r="M70" s="31">
        <f>IF(I70="","",IF(UPPER(TRIM(F70&amp;""))="Y","Paid another way","Unpaid"))</f>
        <v/>
      </c>
      <c r="N70" s="31">
        <f>IF(I70="",0,IF(IFERROR(INDEX(Settings!$J$4:$J$14,MATCH(M70,Settings!$I$4:$I$14,0)),"N")="Y",1,0))</f>
        <v/>
      </c>
      <c r="O70" s="32">
        <f>IF(AND(I70&lt;&gt;"",ISNUMBER(D70)),INT(D70),"")</f>
        <v/>
      </c>
      <c r="P70" s="32">
        <f>O70</f>
        <v/>
      </c>
      <c r="Q70" s="31">
        <f>IF(I70="","",IF(ISNUMBER(IFERROR(INDEX(Settings!$G$4:$G$11,MATCH(L70,Settings!$F$4:$F$11,0)),"")),INDEX(Settings!$G$4:$G$11,MATCH(L70,Settings!$F$4:$F$11,0)),Settings!$D$5))</f>
        <v/>
      </c>
      <c r="R70" s="32">
        <f>IF(OR(I70="",NOT(ISNUMBER(P70)),NOT(ISNUMBER(Q70))),"",IF(Q70&lt;=0,"",IF(ISNUMBER(Settings!$D$8),DATE(YEAR(P70)+IF(DATE(YEAR(P70),MONTH(Settings!$D$8),DAY(Settings!$D$8))&gt;P70,0,1),MONTH(Settings!$D$8),DAY(Settings!$D$8)),MIN(DATE(YEAR(P70),MONTH(P70)+Q70,DAY(P70)),DATE(YEAR(P70),MONTH(P70)+Q70+1,0)))))</f>
        <v/>
      </c>
      <c r="S70" s="31">
        <f>IF(ISNUMBER(R70),R70-Settings!$D$4,"")</f>
        <v/>
      </c>
      <c r="T70" s="31">
        <f>IF(ISNUMBER(P70),P70+0.5+ROW()/100000,"")</f>
        <v/>
      </c>
      <c r="U70" s="31">
        <f>IF(OR(K70="",NOT(ISNUMBER(T70))),0,IF(SUMPRODUCT(('Responses'!$AG$2:$AG$501=K70)*('Responses'!$AJ$2:$AJ$501=1)*ISNUMBER('Responses'!$AP$2:$AP$501)*('Responses'!$AP$2:$AP$501&gt;T70)) + SUMPRODUCT(('Paper sign-ups'!$K$2:$K$101=K70)*('Paper sign-ups'!$N$2:$N$101=1)*ISNUMBER('Paper sign-ups'!$T$2:$T$101)*('Paper sign-ups'!$T$2:$T$101&gt;T70))&gt;0,1,0))</f>
        <v/>
      </c>
      <c r="V70" s="31">
        <f>IF(I70="","",IF(U70=1,"Joined again",IF(N70=0,"Unpaid",IF(NOT(ISNUMBER(P70)),"Add a join date",IF(R70="","No reminder",IF(S70&lt;0,"Lapsed",IF(S70&lt;=Settings!$D$6,"Remind soon","Current")))))))</f>
        <v/>
      </c>
      <c r="W70" s="33">
        <f>IF(N70=1,IF(ISNUMBER(E70),E70,0),0)</f>
        <v/>
      </c>
      <c r="X70" s="31">
        <f>IF(AND(I70&lt;&gt;"",U70=0),1,0)</f>
        <v/>
      </c>
      <c r="Y70" s="31">
        <f>IF(X70=0,"",IF(ISNUMBER(R70),R70,100000)+0.5+ROW()/1000000)</f>
        <v/>
      </c>
      <c r="Z70" s="31">
        <f>IF(ISNUMBER(Y70),SUMPRODUCT(ISNUMBER('Responses'!$AU$2:$AU$501)*('Responses'!$AU$2:$AU$501&lt;Y70)) + SUMPRODUCT(ISNUMBER('Paper sign-ups'!$Y$2:$Y$101)*('Paper sign-ups'!$Y$2:$Y$101&lt;Y70))+1,"")</f>
        <v/>
      </c>
    </row>
    <row r="71">
      <c r="A71" s="30" t="n"/>
      <c r="B71" s="30" t="n"/>
      <c r="C71" s="30" t="n"/>
      <c r="D71" s="37" t="n"/>
      <c r="E71" s="38" t="n"/>
      <c r="F71" s="30" t="n"/>
      <c r="G71" s="30" t="n"/>
      <c r="H71" s="29" t="n"/>
      <c r="I71" s="31">
        <f>TRIM(A71&amp;"")</f>
        <v/>
      </c>
      <c r="J71" s="31">
        <f>TRIM(B71&amp;"")</f>
        <v/>
      </c>
      <c r="K71" s="31">
        <f>IF(I71="","",LOWER(IF(J71&lt;&gt;"",J71,I71)))</f>
        <v/>
      </c>
      <c r="L71" s="31">
        <f>TRIM(C71&amp;"")</f>
        <v/>
      </c>
      <c r="M71" s="31">
        <f>IF(I71="","",IF(UPPER(TRIM(F71&amp;""))="Y","Paid another way","Unpaid"))</f>
        <v/>
      </c>
      <c r="N71" s="31">
        <f>IF(I71="",0,IF(IFERROR(INDEX(Settings!$J$4:$J$14,MATCH(M71,Settings!$I$4:$I$14,0)),"N")="Y",1,0))</f>
        <v/>
      </c>
      <c r="O71" s="32">
        <f>IF(AND(I71&lt;&gt;"",ISNUMBER(D71)),INT(D71),"")</f>
        <v/>
      </c>
      <c r="P71" s="32">
        <f>O71</f>
        <v/>
      </c>
      <c r="Q71" s="31">
        <f>IF(I71="","",IF(ISNUMBER(IFERROR(INDEX(Settings!$G$4:$G$11,MATCH(L71,Settings!$F$4:$F$11,0)),"")),INDEX(Settings!$G$4:$G$11,MATCH(L71,Settings!$F$4:$F$11,0)),Settings!$D$5))</f>
        <v/>
      </c>
      <c r="R71" s="32">
        <f>IF(OR(I71="",NOT(ISNUMBER(P71)),NOT(ISNUMBER(Q71))),"",IF(Q71&lt;=0,"",IF(ISNUMBER(Settings!$D$8),DATE(YEAR(P71)+IF(DATE(YEAR(P71),MONTH(Settings!$D$8),DAY(Settings!$D$8))&gt;P71,0,1),MONTH(Settings!$D$8),DAY(Settings!$D$8)),MIN(DATE(YEAR(P71),MONTH(P71)+Q71,DAY(P71)),DATE(YEAR(P71),MONTH(P71)+Q71+1,0)))))</f>
        <v/>
      </c>
      <c r="S71" s="31">
        <f>IF(ISNUMBER(R71),R71-Settings!$D$4,"")</f>
        <v/>
      </c>
      <c r="T71" s="31">
        <f>IF(ISNUMBER(P71),P71+0.5+ROW()/100000,"")</f>
        <v/>
      </c>
      <c r="U71" s="31">
        <f>IF(OR(K71="",NOT(ISNUMBER(T71))),0,IF(SUMPRODUCT(('Responses'!$AG$2:$AG$501=K71)*('Responses'!$AJ$2:$AJ$501=1)*ISNUMBER('Responses'!$AP$2:$AP$501)*('Responses'!$AP$2:$AP$501&gt;T71)) + SUMPRODUCT(('Paper sign-ups'!$K$2:$K$101=K71)*('Paper sign-ups'!$N$2:$N$101=1)*ISNUMBER('Paper sign-ups'!$T$2:$T$101)*('Paper sign-ups'!$T$2:$T$101&gt;T71))&gt;0,1,0))</f>
        <v/>
      </c>
      <c r="V71" s="31">
        <f>IF(I71="","",IF(U71=1,"Joined again",IF(N71=0,"Unpaid",IF(NOT(ISNUMBER(P71)),"Add a join date",IF(R71="","No reminder",IF(S71&lt;0,"Lapsed",IF(S71&lt;=Settings!$D$6,"Remind soon","Current")))))))</f>
        <v/>
      </c>
      <c r="W71" s="33">
        <f>IF(N71=1,IF(ISNUMBER(E71),E71,0),0)</f>
        <v/>
      </c>
      <c r="X71" s="31">
        <f>IF(AND(I71&lt;&gt;"",U71=0),1,0)</f>
        <v/>
      </c>
      <c r="Y71" s="31">
        <f>IF(X71=0,"",IF(ISNUMBER(R71),R71,100000)+0.5+ROW()/1000000)</f>
        <v/>
      </c>
      <c r="Z71" s="31">
        <f>IF(ISNUMBER(Y71),SUMPRODUCT(ISNUMBER('Responses'!$AU$2:$AU$501)*('Responses'!$AU$2:$AU$501&lt;Y71)) + SUMPRODUCT(ISNUMBER('Paper sign-ups'!$Y$2:$Y$101)*('Paper sign-ups'!$Y$2:$Y$101&lt;Y71))+1,"")</f>
        <v/>
      </c>
    </row>
    <row r="72">
      <c r="A72" s="30" t="n"/>
      <c r="B72" s="30" t="n"/>
      <c r="C72" s="30" t="n"/>
      <c r="D72" s="37" t="n"/>
      <c r="E72" s="38" t="n"/>
      <c r="F72" s="30" t="n"/>
      <c r="G72" s="30" t="n"/>
      <c r="H72" s="29" t="n"/>
      <c r="I72" s="31">
        <f>TRIM(A72&amp;"")</f>
        <v/>
      </c>
      <c r="J72" s="31">
        <f>TRIM(B72&amp;"")</f>
        <v/>
      </c>
      <c r="K72" s="31">
        <f>IF(I72="","",LOWER(IF(J72&lt;&gt;"",J72,I72)))</f>
        <v/>
      </c>
      <c r="L72" s="31">
        <f>TRIM(C72&amp;"")</f>
        <v/>
      </c>
      <c r="M72" s="31">
        <f>IF(I72="","",IF(UPPER(TRIM(F72&amp;""))="Y","Paid another way","Unpaid"))</f>
        <v/>
      </c>
      <c r="N72" s="31">
        <f>IF(I72="",0,IF(IFERROR(INDEX(Settings!$J$4:$J$14,MATCH(M72,Settings!$I$4:$I$14,0)),"N")="Y",1,0))</f>
        <v/>
      </c>
      <c r="O72" s="32">
        <f>IF(AND(I72&lt;&gt;"",ISNUMBER(D72)),INT(D72),"")</f>
        <v/>
      </c>
      <c r="P72" s="32">
        <f>O72</f>
        <v/>
      </c>
      <c r="Q72" s="31">
        <f>IF(I72="","",IF(ISNUMBER(IFERROR(INDEX(Settings!$G$4:$G$11,MATCH(L72,Settings!$F$4:$F$11,0)),"")),INDEX(Settings!$G$4:$G$11,MATCH(L72,Settings!$F$4:$F$11,0)),Settings!$D$5))</f>
        <v/>
      </c>
      <c r="R72" s="32">
        <f>IF(OR(I72="",NOT(ISNUMBER(P72)),NOT(ISNUMBER(Q72))),"",IF(Q72&lt;=0,"",IF(ISNUMBER(Settings!$D$8),DATE(YEAR(P72)+IF(DATE(YEAR(P72),MONTH(Settings!$D$8),DAY(Settings!$D$8))&gt;P72,0,1),MONTH(Settings!$D$8),DAY(Settings!$D$8)),MIN(DATE(YEAR(P72),MONTH(P72)+Q72,DAY(P72)),DATE(YEAR(P72),MONTH(P72)+Q72+1,0)))))</f>
        <v/>
      </c>
      <c r="S72" s="31">
        <f>IF(ISNUMBER(R72),R72-Settings!$D$4,"")</f>
        <v/>
      </c>
      <c r="T72" s="31">
        <f>IF(ISNUMBER(P72),P72+0.5+ROW()/100000,"")</f>
        <v/>
      </c>
      <c r="U72" s="31">
        <f>IF(OR(K72="",NOT(ISNUMBER(T72))),0,IF(SUMPRODUCT(('Responses'!$AG$2:$AG$501=K72)*('Responses'!$AJ$2:$AJ$501=1)*ISNUMBER('Responses'!$AP$2:$AP$501)*('Responses'!$AP$2:$AP$501&gt;T72)) + SUMPRODUCT(('Paper sign-ups'!$K$2:$K$101=K72)*('Paper sign-ups'!$N$2:$N$101=1)*ISNUMBER('Paper sign-ups'!$T$2:$T$101)*('Paper sign-ups'!$T$2:$T$101&gt;T72))&gt;0,1,0))</f>
        <v/>
      </c>
      <c r="V72" s="31">
        <f>IF(I72="","",IF(U72=1,"Joined again",IF(N72=0,"Unpaid",IF(NOT(ISNUMBER(P72)),"Add a join date",IF(R72="","No reminder",IF(S72&lt;0,"Lapsed",IF(S72&lt;=Settings!$D$6,"Remind soon","Current")))))))</f>
        <v/>
      </c>
      <c r="W72" s="33">
        <f>IF(N72=1,IF(ISNUMBER(E72),E72,0),0)</f>
        <v/>
      </c>
      <c r="X72" s="31">
        <f>IF(AND(I72&lt;&gt;"",U72=0),1,0)</f>
        <v/>
      </c>
      <c r="Y72" s="31">
        <f>IF(X72=0,"",IF(ISNUMBER(R72),R72,100000)+0.5+ROW()/1000000)</f>
        <v/>
      </c>
      <c r="Z72" s="31">
        <f>IF(ISNUMBER(Y72),SUMPRODUCT(ISNUMBER('Responses'!$AU$2:$AU$501)*('Responses'!$AU$2:$AU$501&lt;Y72)) + SUMPRODUCT(ISNUMBER('Paper sign-ups'!$Y$2:$Y$101)*('Paper sign-ups'!$Y$2:$Y$101&lt;Y72))+1,"")</f>
        <v/>
      </c>
    </row>
    <row r="73">
      <c r="A73" s="30" t="n"/>
      <c r="B73" s="30" t="n"/>
      <c r="C73" s="30" t="n"/>
      <c r="D73" s="37" t="n"/>
      <c r="E73" s="38" t="n"/>
      <c r="F73" s="30" t="n"/>
      <c r="G73" s="30" t="n"/>
      <c r="H73" s="29" t="n"/>
      <c r="I73" s="31">
        <f>TRIM(A73&amp;"")</f>
        <v/>
      </c>
      <c r="J73" s="31">
        <f>TRIM(B73&amp;"")</f>
        <v/>
      </c>
      <c r="K73" s="31">
        <f>IF(I73="","",LOWER(IF(J73&lt;&gt;"",J73,I73)))</f>
        <v/>
      </c>
      <c r="L73" s="31">
        <f>TRIM(C73&amp;"")</f>
        <v/>
      </c>
      <c r="M73" s="31">
        <f>IF(I73="","",IF(UPPER(TRIM(F73&amp;""))="Y","Paid another way","Unpaid"))</f>
        <v/>
      </c>
      <c r="N73" s="31">
        <f>IF(I73="",0,IF(IFERROR(INDEX(Settings!$J$4:$J$14,MATCH(M73,Settings!$I$4:$I$14,0)),"N")="Y",1,0))</f>
        <v/>
      </c>
      <c r="O73" s="32">
        <f>IF(AND(I73&lt;&gt;"",ISNUMBER(D73)),INT(D73),"")</f>
        <v/>
      </c>
      <c r="P73" s="32">
        <f>O73</f>
        <v/>
      </c>
      <c r="Q73" s="31">
        <f>IF(I73="","",IF(ISNUMBER(IFERROR(INDEX(Settings!$G$4:$G$11,MATCH(L73,Settings!$F$4:$F$11,0)),"")),INDEX(Settings!$G$4:$G$11,MATCH(L73,Settings!$F$4:$F$11,0)),Settings!$D$5))</f>
        <v/>
      </c>
      <c r="R73" s="32">
        <f>IF(OR(I73="",NOT(ISNUMBER(P73)),NOT(ISNUMBER(Q73))),"",IF(Q73&lt;=0,"",IF(ISNUMBER(Settings!$D$8),DATE(YEAR(P73)+IF(DATE(YEAR(P73),MONTH(Settings!$D$8),DAY(Settings!$D$8))&gt;P73,0,1),MONTH(Settings!$D$8),DAY(Settings!$D$8)),MIN(DATE(YEAR(P73),MONTH(P73)+Q73,DAY(P73)),DATE(YEAR(P73),MONTH(P73)+Q73+1,0)))))</f>
        <v/>
      </c>
      <c r="S73" s="31">
        <f>IF(ISNUMBER(R73),R73-Settings!$D$4,"")</f>
        <v/>
      </c>
      <c r="T73" s="31">
        <f>IF(ISNUMBER(P73),P73+0.5+ROW()/100000,"")</f>
        <v/>
      </c>
      <c r="U73" s="31">
        <f>IF(OR(K73="",NOT(ISNUMBER(T73))),0,IF(SUMPRODUCT(('Responses'!$AG$2:$AG$501=K73)*('Responses'!$AJ$2:$AJ$501=1)*ISNUMBER('Responses'!$AP$2:$AP$501)*('Responses'!$AP$2:$AP$501&gt;T73)) + SUMPRODUCT(('Paper sign-ups'!$K$2:$K$101=K73)*('Paper sign-ups'!$N$2:$N$101=1)*ISNUMBER('Paper sign-ups'!$T$2:$T$101)*('Paper sign-ups'!$T$2:$T$101&gt;T73))&gt;0,1,0))</f>
        <v/>
      </c>
      <c r="V73" s="31">
        <f>IF(I73="","",IF(U73=1,"Joined again",IF(N73=0,"Unpaid",IF(NOT(ISNUMBER(P73)),"Add a join date",IF(R73="","No reminder",IF(S73&lt;0,"Lapsed",IF(S73&lt;=Settings!$D$6,"Remind soon","Current")))))))</f>
        <v/>
      </c>
      <c r="W73" s="33">
        <f>IF(N73=1,IF(ISNUMBER(E73),E73,0),0)</f>
        <v/>
      </c>
      <c r="X73" s="31">
        <f>IF(AND(I73&lt;&gt;"",U73=0),1,0)</f>
        <v/>
      </c>
      <c r="Y73" s="31">
        <f>IF(X73=0,"",IF(ISNUMBER(R73),R73,100000)+0.5+ROW()/1000000)</f>
        <v/>
      </c>
      <c r="Z73" s="31">
        <f>IF(ISNUMBER(Y73),SUMPRODUCT(ISNUMBER('Responses'!$AU$2:$AU$501)*('Responses'!$AU$2:$AU$501&lt;Y73)) + SUMPRODUCT(ISNUMBER('Paper sign-ups'!$Y$2:$Y$101)*('Paper sign-ups'!$Y$2:$Y$101&lt;Y73))+1,"")</f>
        <v/>
      </c>
    </row>
    <row r="74">
      <c r="A74" s="30" t="n"/>
      <c r="B74" s="30" t="n"/>
      <c r="C74" s="30" t="n"/>
      <c r="D74" s="37" t="n"/>
      <c r="E74" s="38" t="n"/>
      <c r="F74" s="30" t="n"/>
      <c r="G74" s="30" t="n"/>
      <c r="H74" s="29" t="n"/>
      <c r="I74" s="31">
        <f>TRIM(A74&amp;"")</f>
        <v/>
      </c>
      <c r="J74" s="31">
        <f>TRIM(B74&amp;"")</f>
        <v/>
      </c>
      <c r="K74" s="31">
        <f>IF(I74="","",LOWER(IF(J74&lt;&gt;"",J74,I74)))</f>
        <v/>
      </c>
      <c r="L74" s="31">
        <f>TRIM(C74&amp;"")</f>
        <v/>
      </c>
      <c r="M74" s="31">
        <f>IF(I74="","",IF(UPPER(TRIM(F74&amp;""))="Y","Paid another way","Unpaid"))</f>
        <v/>
      </c>
      <c r="N74" s="31">
        <f>IF(I74="",0,IF(IFERROR(INDEX(Settings!$J$4:$J$14,MATCH(M74,Settings!$I$4:$I$14,0)),"N")="Y",1,0))</f>
        <v/>
      </c>
      <c r="O74" s="32">
        <f>IF(AND(I74&lt;&gt;"",ISNUMBER(D74)),INT(D74),"")</f>
        <v/>
      </c>
      <c r="P74" s="32">
        <f>O74</f>
        <v/>
      </c>
      <c r="Q74" s="31">
        <f>IF(I74="","",IF(ISNUMBER(IFERROR(INDEX(Settings!$G$4:$G$11,MATCH(L74,Settings!$F$4:$F$11,0)),"")),INDEX(Settings!$G$4:$G$11,MATCH(L74,Settings!$F$4:$F$11,0)),Settings!$D$5))</f>
        <v/>
      </c>
      <c r="R74" s="32">
        <f>IF(OR(I74="",NOT(ISNUMBER(P74)),NOT(ISNUMBER(Q74))),"",IF(Q74&lt;=0,"",IF(ISNUMBER(Settings!$D$8),DATE(YEAR(P74)+IF(DATE(YEAR(P74),MONTH(Settings!$D$8),DAY(Settings!$D$8))&gt;P74,0,1),MONTH(Settings!$D$8),DAY(Settings!$D$8)),MIN(DATE(YEAR(P74),MONTH(P74)+Q74,DAY(P74)),DATE(YEAR(P74),MONTH(P74)+Q74+1,0)))))</f>
        <v/>
      </c>
      <c r="S74" s="31">
        <f>IF(ISNUMBER(R74),R74-Settings!$D$4,"")</f>
        <v/>
      </c>
      <c r="T74" s="31">
        <f>IF(ISNUMBER(P74),P74+0.5+ROW()/100000,"")</f>
        <v/>
      </c>
      <c r="U74" s="31">
        <f>IF(OR(K74="",NOT(ISNUMBER(T74))),0,IF(SUMPRODUCT(('Responses'!$AG$2:$AG$501=K74)*('Responses'!$AJ$2:$AJ$501=1)*ISNUMBER('Responses'!$AP$2:$AP$501)*('Responses'!$AP$2:$AP$501&gt;T74)) + SUMPRODUCT(('Paper sign-ups'!$K$2:$K$101=K74)*('Paper sign-ups'!$N$2:$N$101=1)*ISNUMBER('Paper sign-ups'!$T$2:$T$101)*('Paper sign-ups'!$T$2:$T$101&gt;T74))&gt;0,1,0))</f>
        <v/>
      </c>
      <c r="V74" s="31">
        <f>IF(I74="","",IF(U74=1,"Joined again",IF(N74=0,"Unpaid",IF(NOT(ISNUMBER(P74)),"Add a join date",IF(R74="","No reminder",IF(S74&lt;0,"Lapsed",IF(S74&lt;=Settings!$D$6,"Remind soon","Current")))))))</f>
        <v/>
      </c>
      <c r="W74" s="33">
        <f>IF(N74=1,IF(ISNUMBER(E74),E74,0),0)</f>
        <v/>
      </c>
      <c r="X74" s="31">
        <f>IF(AND(I74&lt;&gt;"",U74=0),1,0)</f>
        <v/>
      </c>
      <c r="Y74" s="31">
        <f>IF(X74=0,"",IF(ISNUMBER(R74),R74,100000)+0.5+ROW()/1000000)</f>
        <v/>
      </c>
      <c r="Z74" s="31">
        <f>IF(ISNUMBER(Y74),SUMPRODUCT(ISNUMBER('Responses'!$AU$2:$AU$501)*('Responses'!$AU$2:$AU$501&lt;Y74)) + SUMPRODUCT(ISNUMBER('Paper sign-ups'!$Y$2:$Y$101)*('Paper sign-ups'!$Y$2:$Y$101&lt;Y74))+1,"")</f>
        <v/>
      </c>
    </row>
    <row r="75">
      <c r="A75" s="30" t="n"/>
      <c r="B75" s="30" t="n"/>
      <c r="C75" s="30" t="n"/>
      <c r="D75" s="37" t="n"/>
      <c r="E75" s="38" t="n"/>
      <c r="F75" s="30" t="n"/>
      <c r="G75" s="30" t="n"/>
      <c r="H75" s="29" t="n"/>
      <c r="I75" s="31">
        <f>TRIM(A75&amp;"")</f>
        <v/>
      </c>
      <c r="J75" s="31">
        <f>TRIM(B75&amp;"")</f>
        <v/>
      </c>
      <c r="K75" s="31">
        <f>IF(I75="","",LOWER(IF(J75&lt;&gt;"",J75,I75)))</f>
        <v/>
      </c>
      <c r="L75" s="31">
        <f>TRIM(C75&amp;"")</f>
        <v/>
      </c>
      <c r="M75" s="31">
        <f>IF(I75="","",IF(UPPER(TRIM(F75&amp;""))="Y","Paid another way","Unpaid"))</f>
        <v/>
      </c>
      <c r="N75" s="31">
        <f>IF(I75="",0,IF(IFERROR(INDEX(Settings!$J$4:$J$14,MATCH(M75,Settings!$I$4:$I$14,0)),"N")="Y",1,0))</f>
        <v/>
      </c>
      <c r="O75" s="32">
        <f>IF(AND(I75&lt;&gt;"",ISNUMBER(D75)),INT(D75),"")</f>
        <v/>
      </c>
      <c r="P75" s="32">
        <f>O75</f>
        <v/>
      </c>
      <c r="Q75" s="31">
        <f>IF(I75="","",IF(ISNUMBER(IFERROR(INDEX(Settings!$G$4:$G$11,MATCH(L75,Settings!$F$4:$F$11,0)),"")),INDEX(Settings!$G$4:$G$11,MATCH(L75,Settings!$F$4:$F$11,0)),Settings!$D$5))</f>
        <v/>
      </c>
      <c r="R75" s="32">
        <f>IF(OR(I75="",NOT(ISNUMBER(P75)),NOT(ISNUMBER(Q75))),"",IF(Q75&lt;=0,"",IF(ISNUMBER(Settings!$D$8),DATE(YEAR(P75)+IF(DATE(YEAR(P75),MONTH(Settings!$D$8),DAY(Settings!$D$8))&gt;P75,0,1),MONTH(Settings!$D$8),DAY(Settings!$D$8)),MIN(DATE(YEAR(P75),MONTH(P75)+Q75,DAY(P75)),DATE(YEAR(P75),MONTH(P75)+Q75+1,0)))))</f>
        <v/>
      </c>
      <c r="S75" s="31">
        <f>IF(ISNUMBER(R75),R75-Settings!$D$4,"")</f>
        <v/>
      </c>
      <c r="T75" s="31">
        <f>IF(ISNUMBER(P75),P75+0.5+ROW()/100000,"")</f>
        <v/>
      </c>
      <c r="U75" s="31">
        <f>IF(OR(K75="",NOT(ISNUMBER(T75))),0,IF(SUMPRODUCT(('Responses'!$AG$2:$AG$501=K75)*('Responses'!$AJ$2:$AJ$501=1)*ISNUMBER('Responses'!$AP$2:$AP$501)*('Responses'!$AP$2:$AP$501&gt;T75)) + SUMPRODUCT(('Paper sign-ups'!$K$2:$K$101=K75)*('Paper sign-ups'!$N$2:$N$101=1)*ISNUMBER('Paper sign-ups'!$T$2:$T$101)*('Paper sign-ups'!$T$2:$T$101&gt;T75))&gt;0,1,0))</f>
        <v/>
      </c>
      <c r="V75" s="31">
        <f>IF(I75="","",IF(U75=1,"Joined again",IF(N75=0,"Unpaid",IF(NOT(ISNUMBER(P75)),"Add a join date",IF(R75="","No reminder",IF(S75&lt;0,"Lapsed",IF(S75&lt;=Settings!$D$6,"Remind soon","Current")))))))</f>
        <v/>
      </c>
      <c r="W75" s="33">
        <f>IF(N75=1,IF(ISNUMBER(E75),E75,0),0)</f>
        <v/>
      </c>
      <c r="X75" s="31">
        <f>IF(AND(I75&lt;&gt;"",U75=0),1,0)</f>
        <v/>
      </c>
      <c r="Y75" s="31">
        <f>IF(X75=0,"",IF(ISNUMBER(R75),R75,100000)+0.5+ROW()/1000000)</f>
        <v/>
      </c>
      <c r="Z75" s="31">
        <f>IF(ISNUMBER(Y75),SUMPRODUCT(ISNUMBER('Responses'!$AU$2:$AU$501)*('Responses'!$AU$2:$AU$501&lt;Y75)) + SUMPRODUCT(ISNUMBER('Paper sign-ups'!$Y$2:$Y$101)*('Paper sign-ups'!$Y$2:$Y$101&lt;Y75))+1,"")</f>
        <v/>
      </c>
    </row>
    <row r="76">
      <c r="A76" s="30" t="n"/>
      <c r="B76" s="30" t="n"/>
      <c r="C76" s="30" t="n"/>
      <c r="D76" s="37" t="n"/>
      <c r="E76" s="38" t="n"/>
      <c r="F76" s="30" t="n"/>
      <c r="G76" s="30" t="n"/>
      <c r="H76" s="29" t="n"/>
      <c r="I76" s="31">
        <f>TRIM(A76&amp;"")</f>
        <v/>
      </c>
      <c r="J76" s="31">
        <f>TRIM(B76&amp;"")</f>
        <v/>
      </c>
      <c r="K76" s="31">
        <f>IF(I76="","",LOWER(IF(J76&lt;&gt;"",J76,I76)))</f>
        <v/>
      </c>
      <c r="L76" s="31">
        <f>TRIM(C76&amp;"")</f>
        <v/>
      </c>
      <c r="M76" s="31">
        <f>IF(I76="","",IF(UPPER(TRIM(F76&amp;""))="Y","Paid another way","Unpaid"))</f>
        <v/>
      </c>
      <c r="N76" s="31">
        <f>IF(I76="",0,IF(IFERROR(INDEX(Settings!$J$4:$J$14,MATCH(M76,Settings!$I$4:$I$14,0)),"N")="Y",1,0))</f>
        <v/>
      </c>
      <c r="O76" s="32">
        <f>IF(AND(I76&lt;&gt;"",ISNUMBER(D76)),INT(D76),"")</f>
        <v/>
      </c>
      <c r="P76" s="32">
        <f>O76</f>
        <v/>
      </c>
      <c r="Q76" s="31">
        <f>IF(I76="","",IF(ISNUMBER(IFERROR(INDEX(Settings!$G$4:$G$11,MATCH(L76,Settings!$F$4:$F$11,0)),"")),INDEX(Settings!$G$4:$G$11,MATCH(L76,Settings!$F$4:$F$11,0)),Settings!$D$5))</f>
        <v/>
      </c>
      <c r="R76" s="32">
        <f>IF(OR(I76="",NOT(ISNUMBER(P76)),NOT(ISNUMBER(Q76))),"",IF(Q76&lt;=0,"",IF(ISNUMBER(Settings!$D$8),DATE(YEAR(P76)+IF(DATE(YEAR(P76),MONTH(Settings!$D$8),DAY(Settings!$D$8))&gt;P76,0,1),MONTH(Settings!$D$8),DAY(Settings!$D$8)),MIN(DATE(YEAR(P76),MONTH(P76)+Q76,DAY(P76)),DATE(YEAR(P76),MONTH(P76)+Q76+1,0)))))</f>
        <v/>
      </c>
      <c r="S76" s="31">
        <f>IF(ISNUMBER(R76),R76-Settings!$D$4,"")</f>
        <v/>
      </c>
      <c r="T76" s="31">
        <f>IF(ISNUMBER(P76),P76+0.5+ROW()/100000,"")</f>
        <v/>
      </c>
      <c r="U76" s="31">
        <f>IF(OR(K76="",NOT(ISNUMBER(T76))),0,IF(SUMPRODUCT(('Responses'!$AG$2:$AG$501=K76)*('Responses'!$AJ$2:$AJ$501=1)*ISNUMBER('Responses'!$AP$2:$AP$501)*('Responses'!$AP$2:$AP$501&gt;T76)) + SUMPRODUCT(('Paper sign-ups'!$K$2:$K$101=K76)*('Paper sign-ups'!$N$2:$N$101=1)*ISNUMBER('Paper sign-ups'!$T$2:$T$101)*('Paper sign-ups'!$T$2:$T$101&gt;T76))&gt;0,1,0))</f>
        <v/>
      </c>
      <c r="V76" s="31">
        <f>IF(I76="","",IF(U76=1,"Joined again",IF(N76=0,"Unpaid",IF(NOT(ISNUMBER(P76)),"Add a join date",IF(R76="","No reminder",IF(S76&lt;0,"Lapsed",IF(S76&lt;=Settings!$D$6,"Remind soon","Current")))))))</f>
        <v/>
      </c>
      <c r="W76" s="33">
        <f>IF(N76=1,IF(ISNUMBER(E76),E76,0),0)</f>
        <v/>
      </c>
      <c r="X76" s="31">
        <f>IF(AND(I76&lt;&gt;"",U76=0),1,0)</f>
        <v/>
      </c>
      <c r="Y76" s="31">
        <f>IF(X76=0,"",IF(ISNUMBER(R76),R76,100000)+0.5+ROW()/1000000)</f>
        <v/>
      </c>
      <c r="Z76" s="31">
        <f>IF(ISNUMBER(Y76),SUMPRODUCT(ISNUMBER('Responses'!$AU$2:$AU$501)*('Responses'!$AU$2:$AU$501&lt;Y76)) + SUMPRODUCT(ISNUMBER('Paper sign-ups'!$Y$2:$Y$101)*('Paper sign-ups'!$Y$2:$Y$101&lt;Y76))+1,"")</f>
        <v/>
      </c>
    </row>
    <row r="77">
      <c r="A77" s="30" t="n"/>
      <c r="B77" s="30" t="n"/>
      <c r="C77" s="30" t="n"/>
      <c r="D77" s="37" t="n"/>
      <c r="E77" s="38" t="n"/>
      <c r="F77" s="30" t="n"/>
      <c r="G77" s="30" t="n"/>
      <c r="H77" s="29" t="n"/>
      <c r="I77" s="31">
        <f>TRIM(A77&amp;"")</f>
        <v/>
      </c>
      <c r="J77" s="31">
        <f>TRIM(B77&amp;"")</f>
        <v/>
      </c>
      <c r="K77" s="31">
        <f>IF(I77="","",LOWER(IF(J77&lt;&gt;"",J77,I77)))</f>
        <v/>
      </c>
      <c r="L77" s="31">
        <f>TRIM(C77&amp;"")</f>
        <v/>
      </c>
      <c r="M77" s="31">
        <f>IF(I77="","",IF(UPPER(TRIM(F77&amp;""))="Y","Paid another way","Unpaid"))</f>
        <v/>
      </c>
      <c r="N77" s="31">
        <f>IF(I77="",0,IF(IFERROR(INDEX(Settings!$J$4:$J$14,MATCH(M77,Settings!$I$4:$I$14,0)),"N")="Y",1,0))</f>
        <v/>
      </c>
      <c r="O77" s="32">
        <f>IF(AND(I77&lt;&gt;"",ISNUMBER(D77)),INT(D77),"")</f>
        <v/>
      </c>
      <c r="P77" s="32">
        <f>O77</f>
        <v/>
      </c>
      <c r="Q77" s="31">
        <f>IF(I77="","",IF(ISNUMBER(IFERROR(INDEX(Settings!$G$4:$G$11,MATCH(L77,Settings!$F$4:$F$11,0)),"")),INDEX(Settings!$G$4:$G$11,MATCH(L77,Settings!$F$4:$F$11,0)),Settings!$D$5))</f>
        <v/>
      </c>
      <c r="R77" s="32">
        <f>IF(OR(I77="",NOT(ISNUMBER(P77)),NOT(ISNUMBER(Q77))),"",IF(Q77&lt;=0,"",IF(ISNUMBER(Settings!$D$8),DATE(YEAR(P77)+IF(DATE(YEAR(P77),MONTH(Settings!$D$8),DAY(Settings!$D$8))&gt;P77,0,1),MONTH(Settings!$D$8),DAY(Settings!$D$8)),MIN(DATE(YEAR(P77),MONTH(P77)+Q77,DAY(P77)),DATE(YEAR(P77),MONTH(P77)+Q77+1,0)))))</f>
        <v/>
      </c>
      <c r="S77" s="31">
        <f>IF(ISNUMBER(R77),R77-Settings!$D$4,"")</f>
        <v/>
      </c>
      <c r="T77" s="31">
        <f>IF(ISNUMBER(P77),P77+0.5+ROW()/100000,"")</f>
        <v/>
      </c>
      <c r="U77" s="31">
        <f>IF(OR(K77="",NOT(ISNUMBER(T77))),0,IF(SUMPRODUCT(('Responses'!$AG$2:$AG$501=K77)*('Responses'!$AJ$2:$AJ$501=1)*ISNUMBER('Responses'!$AP$2:$AP$501)*('Responses'!$AP$2:$AP$501&gt;T77)) + SUMPRODUCT(('Paper sign-ups'!$K$2:$K$101=K77)*('Paper sign-ups'!$N$2:$N$101=1)*ISNUMBER('Paper sign-ups'!$T$2:$T$101)*('Paper sign-ups'!$T$2:$T$101&gt;T77))&gt;0,1,0))</f>
        <v/>
      </c>
      <c r="V77" s="31">
        <f>IF(I77="","",IF(U77=1,"Joined again",IF(N77=0,"Unpaid",IF(NOT(ISNUMBER(P77)),"Add a join date",IF(R77="","No reminder",IF(S77&lt;0,"Lapsed",IF(S77&lt;=Settings!$D$6,"Remind soon","Current")))))))</f>
        <v/>
      </c>
      <c r="W77" s="33">
        <f>IF(N77=1,IF(ISNUMBER(E77),E77,0),0)</f>
        <v/>
      </c>
      <c r="X77" s="31">
        <f>IF(AND(I77&lt;&gt;"",U77=0),1,0)</f>
        <v/>
      </c>
      <c r="Y77" s="31">
        <f>IF(X77=0,"",IF(ISNUMBER(R77),R77,100000)+0.5+ROW()/1000000)</f>
        <v/>
      </c>
      <c r="Z77" s="31">
        <f>IF(ISNUMBER(Y77),SUMPRODUCT(ISNUMBER('Responses'!$AU$2:$AU$501)*('Responses'!$AU$2:$AU$501&lt;Y77)) + SUMPRODUCT(ISNUMBER('Paper sign-ups'!$Y$2:$Y$101)*('Paper sign-ups'!$Y$2:$Y$101&lt;Y77))+1,"")</f>
        <v/>
      </c>
    </row>
    <row r="78">
      <c r="A78" s="30" t="n"/>
      <c r="B78" s="30" t="n"/>
      <c r="C78" s="30" t="n"/>
      <c r="D78" s="37" t="n"/>
      <c r="E78" s="38" t="n"/>
      <c r="F78" s="30" t="n"/>
      <c r="G78" s="30" t="n"/>
      <c r="H78" s="29" t="n"/>
      <c r="I78" s="31">
        <f>TRIM(A78&amp;"")</f>
        <v/>
      </c>
      <c r="J78" s="31">
        <f>TRIM(B78&amp;"")</f>
        <v/>
      </c>
      <c r="K78" s="31">
        <f>IF(I78="","",LOWER(IF(J78&lt;&gt;"",J78,I78)))</f>
        <v/>
      </c>
      <c r="L78" s="31">
        <f>TRIM(C78&amp;"")</f>
        <v/>
      </c>
      <c r="M78" s="31">
        <f>IF(I78="","",IF(UPPER(TRIM(F78&amp;""))="Y","Paid another way","Unpaid"))</f>
        <v/>
      </c>
      <c r="N78" s="31">
        <f>IF(I78="",0,IF(IFERROR(INDEX(Settings!$J$4:$J$14,MATCH(M78,Settings!$I$4:$I$14,0)),"N")="Y",1,0))</f>
        <v/>
      </c>
      <c r="O78" s="32">
        <f>IF(AND(I78&lt;&gt;"",ISNUMBER(D78)),INT(D78),"")</f>
        <v/>
      </c>
      <c r="P78" s="32">
        <f>O78</f>
        <v/>
      </c>
      <c r="Q78" s="31">
        <f>IF(I78="","",IF(ISNUMBER(IFERROR(INDEX(Settings!$G$4:$G$11,MATCH(L78,Settings!$F$4:$F$11,0)),"")),INDEX(Settings!$G$4:$G$11,MATCH(L78,Settings!$F$4:$F$11,0)),Settings!$D$5))</f>
        <v/>
      </c>
      <c r="R78" s="32">
        <f>IF(OR(I78="",NOT(ISNUMBER(P78)),NOT(ISNUMBER(Q78))),"",IF(Q78&lt;=0,"",IF(ISNUMBER(Settings!$D$8),DATE(YEAR(P78)+IF(DATE(YEAR(P78),MONTH(Settings!$D$8),DAY(Settings!$D$8))&gt;P78,0,1),MONTH(Settings!$D$8),DAY(Settings!$D$8)),MIN(DATE(YEAR(P78),MONTH(P78)+Q78,DAY(P78)),DATE(YEAR(P78),MONTH(P78)+Q78+1,0)))))</f>
        <v/>
      </c>
      <c r="S78" s="31">
        <f>IF(ISNUMBER(R78),R78-Settings!$D$4,"")</f>
        <v/>
      </c>
      <c r="T78" s="31">
        <f>IF(ISNUMBER(P78),P78+0.5+ROW()/100000,"")</f>
        <v/>
      </c>
      <c r="U78" s="31">
        <f>IF(OR(K78="",NOT(ISNUMBER(T78))),0,IF(SUMPRODUCT(('Responses'!$AG$2:$AG$501=K78)*('Responses'!$AJ$2:$AJ$501=1)*ISNUMBER('Responses'!$AP$2:$AP$501)*('Responses'!$AP$2:$AP$501&gt;T78)) + SUMPRODUCT(('Paper sign-ups'!$K$2:$K$101=K78)*('Paper sign-ups'!$N$2:$N$101=1)*ISNUMBER('Paper sign-ups'!$T$2:$T$101)*('Paper sign-ups'!$T$2:$T$101&gt;T78))&gt;0,1,0))</f>
        <v/>
      </c>
      <c r="V78" s="31">
        <f>IF(I78="","",IF(U78=1,"Joined again",IF(N78=0,"Unpaid",IF(NOT(ISNUMBER(P78)),"Add a join date",IF(R78="","No reminder",IF(S78&lt;0,"Lapsed",IF(S78&lt;=Settings!$D$6,"Remind soon","Current")))))))</f>
        <v/>
      </c>
      <c r="W78" s="33">
        <f>IF(N78=1,IF(ISNUMBER(E78),E78,0),0)</f>
        <v/>
      </c>
      <c r="X78" s="31">
        <f>IF(AND(I78&lt;&gt;"",U78=0),1,0)</f>
        <v/>
      </c>
      <c r="Y78" s="31">
        <f>IF(X78=0,"",IF(ISNUMBER(R78),R78,100000)+0.5+ROW()/1000000)</f>
        <v/>
      </c>
      <c r="Z78" s="31">
        <f>IF(ISNUMBER(Y78),SUMPRODUCT(ISNUMBER('Responses'!$AU$2:$AU$501)*('Responses'!$AU$2:$AU$501&lt;Y78)) + SUMPRODUCT(ISNUMBER('Paper sign-ups'!$Y$2:$Y$101)*('Paper sign-ups'!$Y$2:$Y$101&lt;Y78))+1,"")</f>
        <v/>
      </c>
    </row>
    <row r="79">
      <c r="A79" s="30" t="n"/>
      <c r="B79" s="30" t="n"/>
      <c r="C79" s="30" t="n"/>
      <c r="D79" s="37" t="n"/>
      <c r="E79" s="38" t="n"/>
      <c r="F79" s="30" t="n"/>
      <c r="G79" s="30" t="n"/>
      <c r="H79" s="29" t="n"/>
      <c r="I79" s="31">
        <f>TRIM(A79&amp;"")</f>
        <v/>
      </c>
      <c r="J79" s="31">
        <f>TRIM(B79&amp;"")</f>
        <v/>
      </c>
      <c r="K79" s="31">
        <f>IF(I79="","",LOWER(IF(J79&lt;&gt;"",J79,I79)))</f>
        <v/>
      </c>
      <c r="L79" s="31">
        <f>TRIM(C79&amp;"")</f>
        <v/>
      </c>
      <c r="M79" s="31">
        <f>IF(I79="","",IF(UPPER(TRIM(F79&amp;""))="Y","Paid another way","Unpaid"))</f>
        <v/>
      </c>
      <c r="N79" s="31">
        <f>IF(I79="",0,IF(IFERROR(INDEX(Settings!$J$4:$J$14,MATCH(M79,Settings!$I$4:$I$14,0)),"N")="Y",1,0))</f>
        <v/>
      </c>
      <c r="O79" s="32">
        <f>IF(AND(I79&lt;&gt;"",ISNUMBER(D79)),INT(D79),"")</f>
        <v/>
      </c>
      <c r="P79" s="32">
        <f>O79</f>
        <v/>
      </c>
      <c r="Q79" s="31">
        <f>IF(I79="","",IF(ISNUMBER(IFERROR(INDEX(Settings!$G$4:$G$11,MATCH(L79,Settings!$F$4:$F$11,0)),"")),INDEX(Settings!$G$4:$G$11,MATCH(L79,Settings!$F$4:$F$11,0)),Settings!$D$5))</f>
        <v/>
      </c>
      <c r="R79" s="32">
        <f>IF(OR(I79="",NOT(ISNUMBER(P79)),NOT(ISNUMBER(Q79))),"",IF(Q79&lt;=0,"",IF(ISNUMBER(Settings!$D$8),DATE(YEAR(P79)+IF(DATE(YEAR(P79),MONTH(Settings!$D$8),DAY(Settings!$D$8))&gt;P79,0,1),MONTH(Settings!$D$8),DAY(Settings!$D$8)),MIN(DATE(YEAR(P79),MONTH(P79)+Q79,DAY(P79)),DATE(YEAR(P79),MONTH(P79)+Q79+1,0)))))</f>
        <v/>
      </c>
      <c r="S79" s="31">
        <f>IF(ISNUMBER(R79),R79-Settings!$D$4,"")</f>
        <v/>
      </c>
      <c r="T79" s="31">
        <f>IF(ISNUMBER(P79),P79+0.5+ROW()/100000,"")</f>
        <v/>
      </c>
      <c r="U79" s="31">
        <f>IF(OR(K79="",NOT(ISNUMBER(T79))),0,IF(SUMPRODUCT(('Responses'!$AG$2:$AG$501=K79)*('Responses'!$AJ$2:$AJ$501=1)*ISNUMBER('Responses'!$AP$2:$AP$501)*('Responses'!$AP$2:$AP$501&gt;T79)) + SUMPRODUCT(('Paper sign-ups'!$K$2:$K$101=K79)*('Paper sign-ups'!$N$2:$N$101=1)*ISNUMBER('Paper sign-ups'!$T$2:$T$101)*('Paper sign-ups'!$T$2:$T$101&gt;T79))&gt;0,1,0))</f>
        <v/>
      </c>
      <c r="V79" s="31">
        <f>IF(I79="","",IF(U79=1,"Joined again",IF(N79=0,"Unpaid",IF(NOT(ISNUMBER(P79)),"Add a join date",IF(R79="","No reminder",IF(S79&lt;0,"Lapsed",IF(S79&lt;=Settings!$D$6,"Remind soon","Current")))))))</f>
        <v/>
      </c>
      <c r="W79" s="33">
        <f>IF(N79=1,IF(ISNUMBER(E79),E79,0),0)</f>
        <v/>
      </c>
      <c r="X79" s="31">
        <f>IF(AND(I79&lt;&gt;"",U79=0),1,0)</f>
        <v/>
      </c>
      <c r="Y79" s="31">
        <f>IF(X79=0,"",IF(ISNUMBER(R79),R79,100000)+0.5+ROW()/1000000)</f>
        <v/>
      </c>
      <c r="Z79" s="31">
        <f>IF(ISNUMBER(Y79),SUMPRODUCT(ISNUMBER('Responses'!$AU$2:$AU$501)*('Responses'!$AU$2:$AU$501&lt;Y79)) + SUMPRODUCT(ISNUMBER('Paper sign-ups'!$Y$2:$Y$101)*('Paper sign-ups'!$Y$2:$Y$101&lt;Y79))+1,"")</f>
        <v/>
      </c>
    </row>
    <row r="80">
      <c r="A80" s="30" t="n"/>
      <c r="B80" s="30" t="n"/>
      <c r="C80" s="30" t="n"/>
      <c r="D80" s="37" t="n"/>
      <c r="E80" s="38" t="n"/>
      <c r="F80" s="30" t="n"/>
      <c r="G80" s="30" t="n"/>
      <c r="H80" s="29" t="n"/>
      <c r="I80" s="31">
        <f>TRIM(A80&amp;"")</f>
        <v/>
      </c>
      <c r="J80" s="31">
        <f>TRIM(B80&amp;"")</f>
        <v/>
      </c>
      <c r="K80" s="31">
        <f>IF(I80="","",LOWER(IF(J80&lt;&gt;"",J80,I80)))</f>
        <v/>
      </c>
      <c r="L80" s="31">
        <f>TRIM(C80&amp;"")</f>
        <v/>
      </c>
      <c r="M80" s="31">
        <f>IF(I80="","",IF(UPPER(TRIM(F80&amp;""))="Y","Paid another way","Unpaid"))</f>
        <v/>
      </c>
      <c r="N80" s="31">
        <f>IF(I80="",0,IF(IFERROR(INDEX(Settings!$J$4:$J$14,MATCH(M80,Settings!$I$4:$I$14,0)),"N")="Y",1,0))</f>
        <v/>
      </c>
      <c r="O80" s="32">
        <f>IF(AND(I80&lt;&gt;"",ISNUMBER(D80)),INT(D80),"")</f>
        <v/>
      </c>
      <c r="P80" s="32">
        <f>O80</f>
        <v/>
      </c>
      <c r="Q80" s="31">
        <f>IF(I80="","",IF(ISNUMBER(IFERROR(INDEX(Settings!$G$4:$G$11,MATCH(L80,Settings!$F$4:$F$11,0)),"")),INDEX(Settings!$G$4:$G$11,MATCH(L80,Settings!$F$4:$F$11,0)),Settings!$D$5))</f>
        <v/>
      </c>
      <c r="R80" s="32">
        <f>IF(OR(I80="",NOT(ISNUMBER(P80)),NOT(ISNUMBER(Q80))),"",IF(Q80&lt;=0,"",IF(ISNUMBER(Settings!$D$8),DATE(YEAR(P80)+IF(DATE(YEAR(P80),MONTH(Settings!$D$8),DAY(Settings!$D$8))&gt;P80,0,1),MONTH(Settings!$D$8),DAY(Settings!$D$8)),MIN(DATE(YEAR(P80),MONTH(P80)+Q80,DAY(P80)),DATE(YEAR(P80),MONTH(P80)+Q80+1,0)))))</f>
        <v/>
      </c>
      <c r="S80" s="31">
        <f>IF(ISNUMBER(R80),R80-Settings!$D$4,"")</f>
        <v/>
      </c>
      <c r="T80" s="31">
        <f>IF(ISNUMBER(P80),P80+0.5+ROW()/100000,"")</f>
        <v/>
      </c>
      <c r="U80" s="31">
        <f>IF(OR(K80="",NOT(ISNUMBER(T80))),0,IF(SUMPRODUCT(('Responses'!$AG$2:$AG$501=K80)*('Responses'!$AJ$2:$AJ$501=1)*ISNUMBER('Responses'!$AP$2:$AP$501)*('Responses'!$AP$2:$AP$501&gt;T80)) + SUMPRODUCT(('Paper sign-ups'!$K$2:$K$101=K80)*('Paper sign-ups'!$N$2:$N$101=1)*ISNUMBER('Paper sign-ups'!$T$2:$T$101)*('Paper sign-ups'!$T$2:$T$101&gt;T80))&gt;0,1,0))</f>
        <v/>
      </c>
      <c r="V80" s="31">
        <f>IF(I80="","",IF(U80=1,"Joined again",IF(N80=0,"Unpaid",IF(NOT(ISNUMBER(P80)),"Add a join date",IF(R80="","No reminder",IF(S80&lt;0,"Lapsed",IF(S80&lt;=Settings!$D$6,"Remind soon","Current")))))))</f>
        <v/>
      </c>
      <c r="W80" s="33">
        <f>IF(N80=1,IF(ISNUMBER(E80),E80,0),0)</f>
        <v/>
      </c>
      <c r="X80" s="31">
        <f>IF(AND(I80&lt;&gt;"",U80=0),1,0)</f>
        <v/>
      </c>
      <c r="Y80" s="31">
        <f>IF(X80=0,"",IF(ISNUMBER(R80),R80,100000)+0.5+ROW()/1000000)</f>
        <v/>
      </c>
      <c r="Z80" s="31">
        <f>IF(ISNUMBER(Y80),SUMPRODUCT(ISNUMBER('Responses'!$AU$2:$AU$501)*('Responses'!$AU$2:$AU$501&lt;Y80)) + SUMPRODUCT(ISNUMBER('Paper sign-ups'!$Y$2:$Y$101)*('Paper sign-ups'!$Y$2:$Y$101&lt;Y80))+1,"")</f>
        <v/>
      </c>
    </row>
    <row r="81">
      <c r="A81" s="30" t="n"/>
      <c r="B81" s="30" t="n"/>
      <c r="C81" s="30" t="n"/>
      <c r="D81" s="37" t="n"/>
      <c r="E81" s="38" t="n"/>
      <c r="F81" s="30" t="n"/>
      <c r="G81" s="30" t="n"/>
      <c r="H81" s="29" t="n"/>
      <c r="I81" s="31">
        <f>TRIM(A81&amp;"")</f>
        <v/>
      </c>
      <c r="J81" s="31">
        <f>TRIM(B81&amp;"")</f>
        <v/>
      </c>
      <c r="K81" s="31">
        <f>IF(I81="","",LOWER(IF(J81&lt;&gt;"",J81,I81)))</f>
        <v/>
      </c>
      <c r="L81" s="31">
        <f>TRIM(C81&amp;"")</f>
        <v/>
      </c>
      <c r="M81" s="31">
        <f>IF(I81="","",IF(UPPER(TRIM(F81&amp;""))="Y","Paid another way","Unpaid"))</f>
        <v/>
      </c>
      <c r="N81" s="31">
        <f>IF(I81="",0,IF(IFERROR(INDEX(Settings!$J$4:$J$14,MATCH(M81,Settings!$I$4:$I$14,0)),"N")="Y",1,0))</f>
        <v/>
      </c>
      <c r="O81" s="32">
        <f>IF(AND(I81&lt;&gt;"",ISNUMBER(D81)),INT(D81),"")</f>
        <v/>
      </c>
      <c r="P81" s="32">
        <f>O81</f>
        <v/>
      </c>
      <c r="Q81" s="31">
        <f>IF(I81="","",IF(ISNUMBER(IFERROR(INDEX(Settings!$G$4:$G$11,MATCH(L81,Settings!$F$4:$F$11,0)),"")),INDEX(Settings!$G$4:$G$11,MATCH(L81,Settings!$F$4:$F$11,0)),Settings!$D$5))</f>
        <v/>
      </c>
      <c r="R81" s="32">
        <f>IF(OR(I81="",NOT(ISNUMBER(P81)),NOT(ISNUMBER(Q81))),"",IF(Q81&lt;=0,"",IF(ISNUMBER(Settings!$D$8),DATE(YEAR(P81)+IF(DATE(YEAR(P81),MONTH(Settings!$D$8),DAY(Settings!$D$8))&gt;P81,0,1),MONTH(Settings!$D$8),DAY(Settings!$D$8)),MIN(DATE(YEAR(P81),MONTH(P81)+Q81,DAY(P81)),DATE(YEAR(P81),MONTH(P81)+Q81+1,0)))))</f>
        <v/>
      </c>
      <c r="S81" s="31">
        <f>IF(ISNUMBER(R81),R81-Settings!$D$4,"")</f>
        <v/>
      </c>
      <c r="T81" s="31">
        <f>IF(ISNUMBER(P81),P81+0.5+ROW()/100000,"")</f>
        <v/>
      </c>
      <c r="U81" s="31">
        <f>IF(OR(K81="",NOT(ISNUMBER(T81))),0,IF(SUMPRODUCT(('Responses'!$AG$2:$AG$501=K81)*('Responses'!$AJ$2:$AJ$501=1)*ISNUMBER('Responses'!$AP$2:$AP$501)*('Responses'!$AP$2:$AP$501&gt;T81)) + SUMPRODUCT(('Paper sign-ups'!$K$2:$K$101=K81)*('Paper sign-ups'!$N$2:$N$101=1)*ISNUMBER('Paper sign-ups'!$T$2:$T$101)*('Paper sign-ups'!$T$2:$T$101&gt;T81))&gt;0,1,0))</f>
        <v/>
      </c>
      <c r="V81" s="31">
        <f>IF(I81="","",IF(U81=1,"Joined again",IF(N81=0,"Unpaid",IF(NOT(ISNUMBER(P81)),"Add a join date",IF(R81="","No reminder",IF(S81&lt;0,"Lapsed",IF(S81&lt;=Settings!$D$6,"Remind soon","Current")))))))</f>
        <v/>
      </c>
      <c r="W81" s="33">
        <f>IF(N81=1,IF(ISNUMBER(E81),E81,0),0)</f>
        <v/>
      </c>
      <c r="X81" s="31">
        <f>IF(AND(I81&lt;&gt;"",U81=0),1,0)</f>
        <v/>
      </c>
      <c r="Y81" s="31">
        <f>IF(X81=0,"",IF(ISNUMBER(R81),R81,100000)+0.5+ROW()/1000000)</f>
        <v/>
      </c>
      <c r="Z81" s="31">
        <f>IF(ISNUMBER(Y81),SUMPRODUCT(ISNUMBER('Responses'!$AU$2:$AU$501)*('Responses'!$AU$2:$AU$501&lt;Y81)) + SUMPRODUCT(ISNUMBER('Paper sign-ups'!$Y$2:$Y$101)*('Paper sign-ups'!$Y$2:$Y$101&lt;Y81))+1,"")</f>
        <v/>
      </c>
    </row>
    <row r="82">
      <c r="A82" s="30" t="n"/>
      <c r="B82" s="30" t="n"/>
      <c r="C82" s="30" t="n"/>
      <c r="D82" s="37" t="n"/>
      <c r="E82" s="38" t="n"/>
      <c r="F82" s="30" t="n"/>
      <c r="G82" s="30" t="n"/>
      <c r="H82" s="29" t="n"/>
      <c r="I82" s="31">
        <f>TRIM(A82&amp;"")</f>
        <v/>
      </c>
      <c r="J82" s="31">
        <f>TRIM(B82&amp;"")</f>
        <v/>
      </c>
      <c r="K82" s="31">
        <f>IF(I82="","",LOWER(IF(J82&lt;&gt;"",J82,I82)))</f>
        <v/>
      </c>
      <c r="L82" s="31">
        <f>TRIM(C82&amp;"")</f>
        <v/>
      </c>
      <c r="M82" s="31">
        <f>IF(I82="","",IF(UPPER(TRIM(F82&amp;""))="Y","Paid another way","Unpaid"))</f>
        <v/>
      </c>
      <c r="N82" s="31">
        <f>IF(I82="",0,IF(IFERROR(INDEX(Settings!$J$4:$J$14,MATCH(M82,Settings!$I$4:$I$14,0)),"N")="Y",1,0))</f>
        <v/>
      </c>
      <c r="O82" s="32">
        <f>IF(AND(I82&lt;&gt;"",ISNUMBER(D82)),INT(D82),"")</f>
        <v/>
      </c>
      <c r="P82" s="32">
        <f>O82</f>
        <v/>
      </c>
      <c r="Q82" s="31">
        <f>IF(I82="","",IF(ISNUMBER(IFERROR(INDEX(Settings!$G$4:$G$11,MATCH(L82,Settings!$F$4:$F$11,0)),"")),INDEX(Settings!$G$4:$G$11,MATCH(L82,Settings!$F$4:$F$11,0)),Settings!$D$5))</f>
        <v/>
      </c>
      <c r="R82" s="32">
        <f>IF(OR(I82="",NOT(ISNUMBER(P82)),NOT(ISNUMBER(Q82))),"",IF(Q82&lt;=0,"",IF(ISNUMBER(Settings!$D$8),DATE(YEAR(P82)+IF(DATE(YEAR(P82),MONTH(Settings!$D$8),DAY(Settings!$D$8))&gt;P82,0,1),MONTH(Settings!$D$8),DAY(Settings!$D$8)),MIN(DATE(YEAR(P82),MONTH(P82)+Q82,DAY(P82)),DATE(YEAR(P82),MONTH(P82)+Q82+1,0)))))</f>
        <v/>
      </c>
      <c r="S82" s="31">
        <f>IF(ISNUMBER(R82),R82-Settings!$D$4,"")</f>
        <v/>
      </c>
      <c r="T82" s="31">
        <f>IF(ISNUMBER(P82),P82+0.5+ROW()/100000,"")</f>
        <v/>
      </c>
      <c r="U82" s="31">
        <f>IF(OR(K82="",NOT(ISNUMBER(T82))),0,IF(SUMPRODUCT(('Responses'!$AG$2:$AG$501=K82)*('Responses'!$AJ$2:$AJ$501=1)*ISNUMBER('Responses'!$AP$2:$AP$501)*('Responses'!$AP$2:$AP$501&gt;T82)) + SUMPRODUCT(('Paper sign-ups'!$K$2:$K$101=K82)*('Paper sign-ups'!$N$2:$N$101=1)*ISNUMBER('Paper sign-ups'!$T$2:$T$101)*('Paper sign-ups'!$T$2:$T$101&gt;T82))&gt;0,1,0))</f>
        <v/>
      </c>
      <c r="V82" s="31">
        <f>IF(I82="","",IF(U82=1,"Joined again",IF(N82=0,"Unpaid",IF(NOT(ISNUMBER(P82)),"Add a join date",IF(R82="","No reminder",IF(S82&lt;0,"Lapsed",IF(S82&lt;=Settings!$D$6,"Remind soon","Current")))))))</f>
        <v/>
      </c>
      <c r="W82" s="33">
        <f>IF(N82=1,IF(ISNUMBER(E82),E82,0),0)</f>
        <v/>
      </c>
      <c r="X82" s="31">
        <f>IF(AND(I82&lt;&gt;"",U82=0),1,0)</f>
        <v/>
      </c>
      <c r="Y82" s="31">
        <f>IF(X82=0,"",IF(ISNUMBER(R82),R82,100000)+0.5+ROW()/1000000)</f>
        <v/>
      </c>
      <c r="Z82" s="31">
        <f>IF(ISNUMBER(Y82),SUMPRODUCT(ISNUMBER('Responses'!$AU$2:$AU$501)*('Responses'!$AU$2:$AU$501&lt;Y82)) + SUMPRODUCT(ISNUMBER('Paper sign-ups'!$Y$2:$Y$101)*('Paper sign-ups'!$Y$2:$Y$101&lt;Y82))+1,"")</f>
        <v/>
      </c>
    </row>
    <row r="83">
      <c r="A83" s="30" t="n"/>
      <c r="B83" s="30" t="n"/>
      <c r="C83" s="30" t="n"/>
      <c r="D83" s="37" t="n"/>
      <c r="E83" s="38" t="n"/>
      <c r="F83" s="30" t="n"/>
      <c r="G83" s="30" t="n"/>
      <c r="H83" s="29" t="n"/>
      <c r="I83" s="31">
        <f>TRIM(A83&amp;"")</f>
        <v/>
      </c>
      <c r="J83" s="31">
        <f>TRIM(B83&amp;"")</f>
        <v/>
      </c>
      <c r="K83" s="31">
        <f>IF(I83="","",LOWER(IF(J83&lt;&gt;"",J83,I83)))</f>
        <v/>
      </c>
      <c r="L83" s="31">
        <f>TRIM(C83&amp;"")</f>
        <v/>
      </c>
      <c r="M83" s="31">
        <f>IF(I83="","",IF(UPPER(TRIM(F83&amp;""))="Y","Paid another way","Unpaid"))</f>
        <v/>
      </c>
      <c r="N83" s="31">
        <f>IF(I83="",0,IF(IFERROR(INDEX(Settings!$J$4:$J$14,MATCH(M83,Settings!$I$4:$I$14,0)),"N")="Y",1,0))</f>
        <v/>
      </c>
      <c r="O83" s="32">
        <f>IF(AND(I83&lt;&gt;"",ISNUMBER(D83)),INT(D83),"")</f>
        <v/>
      </c>
      <c r="P83" s="32">
        <f>O83</f>
        <v/>
      </c>
      <c r="Q83" s="31">
        <f>IF(I83="","",IF(ISNUMBER(IFERROR(INDEX(Settings!$G$4:$G$11,MATCH(L83,Settings!$F$4:$F$11,0)),"")),INDEX(Settings!$G$4:$G$11,MATCH(L83,Settings!$F$4:$F$11,0)),Settings!$D$5))</f>
        <v/>
      </c>
      <c r="R83" s="32">
        <f>IF(OR(I83="",NOT(ISNUMBER(P83)),NOT(ISNUMBER(Q83))),"",IF(Q83&lt;=0,"",IF(ISNUMBER(Settings!$D$8),DATE(YEAR(P83)+IF(DATE(YEAR(P83),MONTH(Settings!$D$8),DAY(Settings!$D$8))&gt;P83,0,1),MONTH(Settings!$D$8),DAY(Settings!$D$8)),MIN(DATE(YEAR(P83),MONTH(P83)+Q83,DAY(P83)),DATE(YEAR(P83),MONTH(P83)+Q83+1,0)))))</f>
        <v/>
      </c>
      <c r="S83" s="31">
        <f>IF(ISNUMBER(R83),R83-Settings!$D$4,"")</f>
        <v/>
      </c>
      <c r="T83" s="31">
        <f>IF(ISNUMBER(P83),P83+0.5+ROW()/100000,"")</f>
        <v/>
      </c>
      <c r="U83" s="31">
        <f>IF(OR(K83="",NOT(ISNUMBER(T83))),0,IF(SUMPRODUCT(('Responses'!$AG$2:$AG$501=K83)*('Responses'!$AJ$2:$AJ$501=1)*ISNUMBER('Responses'!$AP$2:$AP$501)*('Responses'!$AP$2:$AP$501&gt;T83)) + SUMPRODUCT(('Paper sign-ups'!$K$2:$K$101=K83)*('Paper sign-ups'!$N$2:$N$101=1)*ISNUMBER('Paper sign-ups'!$T$2:$T$101)*('Paper sign-ups'!$T$2:$T$101&gt;T83))&gt;0,1,0))</f>
        <v/>
      </c>
      <c r="V83" s="31">
        <f>IF(I83="","",IF(U83=1,"Joined again",IF(N83=0,"Unpaid",IF(NOT(ISNUMBER(P83)),"Add a join date",IF(R83="","No reminder",IF(S83&lt;0,"Lapsed",IF(S83&lt;=Settings!$D$6,"Remind soon","Current")))))))</f>
        <v/>
      </c>
      <c r="W83" s="33">
        <f>IF(N83=1,IF(ISNUMBER(E83),E83,0),0)</f>
        <v/>
      </c>
      <c r="X83" s="31">
        <f>IF(AND(I83&lt;&gt;"",U83=0),1,0)</f>
        <v/>
      </c>
      <c r="Y83" s="31">
        <f>IF(X83=0,"",IF(ISNUMBER(R83),R83,100000)+0.5+ROW()/1000000)</f>
        <v/>
      </c>
      <c r="Z83" s="31">
        <f>IF(ISNUMBER(Y83),SUMPRODUCT(ISNUMBER('Responses'!$AU$2:$AU$501)*('Responses'!$AU$2:$AU$501&lt;Y83)) + SUMPRODUCT(ISNUMBER('Paper sign-ups'!$Y$2:$Y$101)*('Paper sign-ups'!$Y$2:$Y$101&lt;Y83))+1,"")</f>
        <v/>
      </c>
    </row>
    <row r="84">
      <c r="A84" s="30" t="n"/>
      <c r="B84" s="30" t="n"/>
      <c r="C84" s="30" t="n"/>
      <c r="D84" s="37" t="n"/>
      <c r="E84" s="38" t="n"/>
      <c r="F84" s="30" t="n"/>
      <c r="G84" s="30" t="n"/>
      <c r="H84" s="29" t="n"/>
      <c r="I84" s="31">
        <f>TRIM(A84&amp;"")</f>
        <v/>
      </c>
      <c r="J84" s="31">
        <f>TRIM(B84&amp;"")</f>
        <v/>
      </c>
      <c r="K84" s="31">
        <f>IF(I84="","",LOWER(IF(J84&lt;&gt;"",J84,I84)))</f>
        <v/>
      </c>
      <c r="L84" s="31">
        <f>TRIM(C84&amp;"")</f>
        <v/>
      </c>
      <c r="M84" s="31">
        <f>IF(I84="","",IF(UPPER(TRIM(F84&amp;""))="Y","Paid another way","Unpaid"))</f>
        <v/>
      </c>
      <c r="N84" s="31">
        <f>IF(I84="",0,IF(IFERROR(INDEX(Settings!$J$4:$J$14,MATCH(M84,Settings!$I$4:$I$14,0)),"N")="Y",1,0))</f>
        <v/>
      </c>
      <c r="O84" s="32">
        <f>IF(AND(I84&lt;&gt;"",ISNUMBER(D84)),INT(D84),"")</f>
        <v/>
      </c>
      <c r="P84" s="32">
        <f>O84</f>
        <v/>
      </c>
      <c r="Q84" s="31">
        <f>IF(I84="","",IF(ISNUMBER(IFERROR(INDEX(Settings!$G$4:$G$11,MATCH(L84,Settings!$F$4:$F$11,0)),"")),INDEX(Settings!$G$4:$G$11,MATCH(L84,Settings!$F$4:$F$11,0)),Settings!$D$5))</f>
        <v/>
      </c>
      <c r="R84" s="32">
        <f>IF(OR(I84="",NOT(ISNUMBER(P84)),NOT(ISNUMBER(Q84))),"",IF(Q84&lt;=0,"",IF(ISNUMBER(Settings!$D$8),DATE(YEAR(P84)+IF(DATE(YEAR(P84),MONTH(Settings!$D$8),DAY(Settings!$D$8))&gt;P84,0,1),MONTH(Settings!$D$8),DAY(Settings!$D$8)),MIN(DATE(YEAR(P84),MONTH(P84)+Q84,DAY(P84)),DATE(YEAR(P84),MONTH(P84)+Q84+1,0)))))</f>
        <v/>
      </c>
      <c r="S84" s="31">
        <f>IF(ISNUMBER(R84),R84-Settings!$D$4,"")</f>
        <v/>
      </c>
      <c r="T84" s="31">
        <f>IF(ISNUMBER(P84),P84+0.5+ROW()/100000,"")</f>
        <v/>
      </c>
      <c r="U84" s="31">
        <f>IF(OR(K84="",NOT(ISNUMBER(T84))),0,IF(SUMPRODUCT(('Responses'!$AG$2:$AG$501=K84)*('Responses'!$AJ$2:$AJ$501=1)*ISNUMBER('Responses'!$AP$2:$AP$501)*('Responses'!$AP$2:$AP$501&gt;T84)) + SUMPRODUCT(('Paper sign-ups'!$K$2:$K$101=K84)*('Paper sign-ups'!$N$2:$N$101=1)*ISNUMBER('Paper sign-ups'!$T$2:$T$101)*('Paper sign-ups'!$T$2:$T$101&gt;T84))&gt;0,1,0))</f>
        <v/>
      </c>
      <c r="V84" s="31">
        <f>IF(I84="","",IF(U84=1,"Joined again",IF(N84=0,"Unpaid",IF(NOT(ISNUMBER(P84)),"Add a join date",IF(R84="","No reminder",IF(S84&lt;0,"Lapsed",IF(S84&lt;=Settings!$D$6,"Remind soon","Current")))))))</f>
        <v/>
      </c>
      <c r="W84" s="33">
        <f>IF(N84=1,IF(ISNUMBER(E84),E84,0),0)</f>
        <v/>
      </c>
      <c r="X84" s="31">
        <f>IF(AND(I84&lt;&gt;"",U84=0),1,0)</f>
        <v/>
      </c>
      <c r="Y84" s="31">
        <f>IF(X84=0,"",IF(ISNUMBER(R84),R84,100000)+0.5+ROW()/1000000)</f>
        <v/>
      </c>
      <c r="Z84" s="31">
        <f>IF(ISNUMBER(Y84),SUMPRODUCT(ISNUMBER('Responses'!$AU$2:$AU$501)*('Responses'!$AU$2:$AU$501&lt;Y84)) + SUMPRODUCT(ISNUMBER('Paper sign-ups'!$Y$2:$Y$101)*('Paper sign-ups'!$Y$2:$Y$101&lt;Y84))+1,"")</f>
        <v/>
      </c>
    </row>
    <row r="85">
      <c r="A85" s="30" t="n"/>
      <c r="B85" s="30" t="n"/>
      <c r="C85" s="30" t="n"/>
      <c r="D85" s="37" t="n"/>
      <c r="E85" s="38" t="n"/>
      <c r="F85" s="30" t="n"/>
      <c r="G85" s="30" t="n"/>
      <c r="H85" s="29" t="n"/>
      <c r="I85" s="31">
        <f>TRIM(A85&amp;"")</f>
        <v/>
      </c>
      <c r="J85" s="31">
        <f>TRIM(B85&amp;"")</f>
        <v/>
      </c>
      <c r="K85" s="31">
        <f>IF(I85="","",LOWER(IF(J85&lt;&gt;"",J85,I85)))</f>
        <v/>
      </c>
      <c r="L85" s="31">
        <f>TRIM(C85&amp;"")</f>
        <v/>
      </c>
      <c r="M85" s="31">
        <f>IF(I85="","",IF(UPPER(TRIM(F85&amp;""))="Y","Paid another way","Unpaid"))</f>
        <v/>
      </c>
      <c r="N85" s="31">
        <f>IF(I85="",0,IF(IFERROR(INDEX(Settings!$J$4:$J$14,MATCH(M85,Settings!$I$4:$I$14,0)),"N")="Y",1,0))</f>
        <v/>
      </c>
      <c r="O85" s="32">
        <f>IF(AND(I85&lt;&gt;"",ISNUMBER(D85)),INT(D85),"")</f>
        <v/>
      </c>
      <c r="P85" s="32">
        <f>O85</f>
        <v/>
      </c>
      <c r="Q85" s="31">
        <f>IF(I85="","",IF(ISNUMBER(IFERROR(INDEX(Settings!$G$4:$G$11,MATCH(L85,Settings!$F$4:$F$11,0)),"")),INDEX(Settings!$G$4:$G$11,MATCH(L85,Settings!$F$4:$F$11,0)),Settings!$D$5))</f>
        <v/>
      </c>
      <c r="R85" s="32">
        <f>IF(OR(I85="",NOT(ISNUMBER(P85)),NOT(ISNUMBER(Q85))),"",IF(Q85&lt;=0,"",IF(ISNUMBER(Settings!$D$8),DATE(YEAR(P85)+IF(DATE(YEAR(P85),MONTH(Settings!$D$8),DAY(Settings!$D$8))&gt;P85,0,1),MONTH(Settings!$D$8),DAY(Settings!$D$8)),MIN(DATE(YEAR(P85),MONTH(P85)+Q85,DAY(P85)),DATE(YEAR(P85),MONTH(P85)+Q85+1,0)))))</f>
        <v/>
      </c>
      <c r="S85" s="31">
        <f>IF(ISNUMBER(R85),R85-Settings!$D$4,"")</f>
        <v/>
      </c>
      <c r="T85" s="31">
        <f>IF(ISNUMBER(P85),P85+0.5+ROW()/100000,"")</f>
        <v/>
      </c>
      <c r="U85" s="31">
        <f>IF(OR(K85="",NOT(ISNUMBER(T85))),0,IF(SUMPRODUCT(('Responses'!$AG$2:$AG$501=K85)*('Responses'!$AJ$2:$AJ$501=1)*ISNUMBER('Responses'!$AP$2:$AP$501)*('Responses'!$AP$2:$AP$501&gt;T85)) + SUMPRODUCT(('Paper sign-ups'!$K$2:$K$101=K85)*('Paper sign-ups'!$N$2:$N$101=1)*ISNUMBER('Paper sign-ups'!$T$2:$T$101)*('Paper sign-ups'!$T$2:$T$101&gt;T85))&gt;0,1,0))</f>
        <v/>
      </c>
      <c r="V85" s="31">
        <f>IF(I85="","",IF(U85=1,"Joined again",IF(N85=0,"Unpaid",IF(NOT(ISNUMBER(P85)),"Add a join date",IF(R85="","No reminder",IF(S85&lt;0,"Lapsed",IF(S85&lt;=Settings!$D$6,"Remind soon","Current")))))))</f>
        <v/>
      </c>
      <c r="W85" s="33">
        <f>IF(N85=1,IF(ISNUMBER(E85),E85,0),0)</f>
        <v/>
      </c>
      <c r="X85" s="31">
        <f>IF(AND(I85&lt;&gt;"",U85=0),1,0)</f>
        <v/>
      </c>
      <c r="Y85" s="31">
        <f>IF(X85=0,"",IF(ISNUMBER(R85),R85,100000)+0.5+ROW()/1000000)</f>
        <v/>
      </c>
      <c r="Z85" s="31">
        <f>IF(ISNUMBER(Y85),SUMPRODUCT(ISNUMBER('Responses'!$AU$2:$AU$501)*('Responses'!$AU$2:$AU$501&lt;Y85)) + SUMPRODUCT(ISNUMBER('Paper sign-ups'!$Y$2:$Y$101)*('Paper sign-ups'!$Y$2:$Y$101&lt;Y85))+1,"")</f>
        <v/>
      </c>
    </row>
    <row r="86">
      <c r="A86" s="30" t="n"/>
      <c r="B86" s="30" t="n"/>
      <c r="C86" s="30" t="n"/>
      <c r="D86" s="37" t="n"/>
      <c r="E86" s="38" t="n"/>
      <c r="F86" s="30" t="n"/>
      <c r="G86" s="30" t="n"/>
      <c r="H86" s="29" t="n"/>
      <c r="I86" s="31">
        <f>TRIM(A86&amp;"")</f>
        <v/>
      </c>
      <c r="J86" s="31">
        <f>TRIM(B86&amp;"")</f>
        <v/>
      </c>
      <c r="K86" s="31">
        <f>IF(I86="","",LOWER(IF(J86&lt;&gt;"",J86,I86)))</f>
        <v/>
      </c>
      <c r="L86" s="31">
        <f>TRIM(C86&amp;"")</f>
        <v/>
      </c>
      <c r="M86" s="31">
        <f>IF(I86="","",IF(UPPER(TRIM(F86&amp;""))="Y","Paid another way","Unpaid"))</f>
        <v/>
      </c>
      <c r="N86" s="31">
        <f>IF(I86="",0,IF(IFERROR(INDEX(Settings!$J$4:$J$14,MATCH(M86,Settings!$I$4:$I$14,0)),"N")="Y",1,0))</f>
        <v/>
      </c>
      <c r="O86" s="32">
        <f>IF(AND(I86&lt;&gt;"",ISNUMBER(D86)),INT(D86),"")</f>
        <v/>
      </c>
      <c r="P86" s="32">
        <f>O86</f>
        <v/>
      </c>
      <c r="Q86" s="31">
        <f>IF(I86="","",IF(ISNUMBER(IFERROR(INDEX(Settings!$G$4:$G$11,MATCH(L86,Settings!$F$4:$F$11,0)),"")),INDEX(Settings!$G$4:$G$11,MATCH(L86,Settings!$F$4:$F$11,0)),Settings!$D$5))</f>
        <v/>
      </c>
      <c r="R86" s="32">
        <f>IF(OR(I86="",NOT(ISNUMBER(P86)),NOT(ISNUMBER(Q86))),"",IF(Q86&lt;=0,"",IF(ISNUMBER(Settings!$D$8),DATE(YEAR(P86)+IF(DATE(YEAR(P86),MONTH(Settings!$D$8),DAY(Settings!$D$8))&gt;P86,0,1),MONTH(Settings!$D$8),DAY(Settings!$D$8)),MIN(DATE(YEAR(P86),MONTH(P86)+Q86,DAY(P86)),DATE(YEAR(P86),MONTH(P86)+Q86+1,0)))))</f>
        <v/>
      </c>
      <c r="S86" s="31">
        <f>IF(ISNUMBER(R86),R86-Settings!$D$4,"")</f>
        <v/>
      </c>
      <c r="T86" s="31">
        <f>IF(ISNUMBER(P86),P86+0.5+ROW()/100000,"")</f>
        <v/>
      </c>
      <c r="U86" s="31">
        <f>IF(OR(K86="",NOT(ISNUMBER(T86))),0,IF(SUMPRODUCT(('Responses'!$AG$2:$AG$501=K86)*('Responses'!$AJ$2:$AJ$501=1)*ISNUMBER('Responses'!$AP$2:$AP$501)*('Responses'!$AP$2:$AP$501&gt;T86)) + SUMPRODUCT(('Paper sign-ups'!$K$2:$K$101=K86)*('Paper sign-ups'!$N$2:$N$101=1)*ISNUMBER('Paper sign-ups'!$T$2:$T$101)*('Paper sign-ups'!$T$2:$T$101&gt;T86))&gt;0,1,0))</f>
        <v/>
      </c>
      <c r="V86" s="31">
        <f>IF(I86="","",IF(U86=1,"Joined again",IF(N86=0,"Unpaid",IF(NOT(ISNUMBER(P86)),"Add a join date",IF(R86="","No reminder",IF(S86&lt;0,"Lapsed",IF(S86&lt;=Settings!$D$6,"Remind soon","Current")))))))</f>
        <v/>
      </c>
      <c r="W86" s="33">
        <f>IF(N86=1,IF(ISNUMBER(E86),E86,0),0)</f>
        <v/>
      </c>
      <c r="X86" s="31">
        <f>IF(AND(I86&lt;&gt;"",U86=0),1,0)</f>
        <v/>
      </c>
      <c r="Y86" s="31">
        <f>IF(X86=0,"",IF(ISNUMBER(R86),R86,100000)+0.5+ROW()/1000000)</f>
        <v/>
      </c>
      <c r="Z86" s="31">
        <f>IF(ISNUMBER(Y86),SUMPRODUCT(ISNUMBER('Responses'!$AU$2:$AU$501)*('Responses'!$AU$2:$AU$501&lt;Y86)) + SUMPRODUCT(ISNUMBER('Paper sign-ups'!$Y$2:$Y$101)*('Paper sign-ups'!$Y$2:$Y$101&lt;Y86))+1,"")</f>
        <v/>
      </c>
    </row>
    <row r="87">
      <c r="A87" s="30" t="n"/>
      <c r="B87" s="30" t="n"/>
      <c r="C87" s="30" t="n"/>
      <c r="D87" s="37" t="n"/>
      <c r="E87" s="38" t="n"/>
      <c r="F87" s="30" t="n"/>
      <c r="G87" s="30" t="n"/>
      <c r="H87" s="29" t="n"/>
      <c r="I87" s="31">
        <f>TRIM(A87&amp;"")</f>
        <v/>
      </c>
      <c r="J87" s="31">
        <f>TRIM(B87&amp;"")</f>
        <v/>
      </c>
      <c r="K87" s="31">
        <f>IF(I87="","",LOWER(IF(J87&lt;&gt;"",J87,I87)))</f>
        <v/>
      </c>
      <c r="L87" s="31">
        <f>TRIM(C87&amp;"")</f>
        <v/>
      </c>
      <c r="M87" s="31">
        <f>IF(I87="","",IF(UPPER(TRIM(F87&amp;""))="Y","Paid another way","Unpaid"))</f>
        <v/>
      </c>
      <c r="N87" s="31">
        <f>IF(I87="",0,IF(IFERROR(INDEX(Settings!$J$4:$J$14,MATCH(M87,Settings!$I$4:$I$14,0)),"N")="Y",1,0))</f>
        <v/>
      </c>
      <c r="O87" s="32">
        <f>IF(AND(I87&lt;&gt;"",ISNUMBER(D87)),INT(D87),"")</f>
        <v/>
      </c>
      <c r="P87" s="32">
        <f>O87</f>
        <v/>
      </c>
      <c r="Q87" s="31">
        <f>IF(I87="","",IF(ISNUMBER(IFERROR(INDEX(Settings!$G$4:$G$11,MATCH(L87,Settings!$F$4:$F$11,0)),"")),INDEX(Settings!$G$4:$G$11,MATCH(L87,Settings!$F$4:$F$11,0)),Settings!$D$5))</f>
        <v/>
      </c>
      <c r="R87" s="32">
        <f>IF(OR(I87="",NOT(ISNUMBER(P87)),NOT(ISNUMBER(Q87))),"",IF(Q87&lt;=0,"",IF(ISNUMBER(Settings!$D$8),DATE(YEAR(P87)+IF(DATE(YEAR(P87),MONTH(Settings!$D$8),DAY(Settings!$D$8))&gt;P87,0,1),MONTH(Settings!$D$8),DAY(Settings!$D$8)),MIN(DATE(YEAR(P87),MONTH(P87)+Q87,DAY(P87)),DATE(YEAR(P87),MONTH(P87)+Q87+1,0)))))</f>
        <v/>
      </c>
      <c r="S87" s="31">
        <f>IF(ISNUMBER(R87),R87-Settings!$D$4,"")</f>
        <v/>
      </c>
      <c r="T87" s="31">
        <f>IF(ISNUMBER(P87),P87+0.5+ROW()/100000,"")</f>
        <v/>
      </c>
      <c r="U87" s="31">
        <f>IF(OR(K87="",NOT(ISNUMBER(T87))),0,IF(SUMPRODUCT(('Responses'!$AG$2:$AG$501=K87)*('Responses'!$AJ$2:$AJ$501=1)*ISNUMBER('Responses'!$AP$2:$AP$501)*('Responses'!$AP$2:$AP$501&gt;T87)) + SUMPRODUCT(('Paper sign-ups'!$K$2:$K$101=K87)*('Paper sign-ups'!$N$2:$N$101=1)*ISNUMBER('Paper sign-ups'!$T$2:$T$101)*('Paper sign-ups'!$T$2:$T$101&gt;T87))&gt;0,1,0))</f>
        <v/>
      </c>
      <c r="V87" s="31">
        <f>IF(I87="","",IF(U87=1,"Joined again",IF(N87=0,"Unpaid",IF(NOT(ISNUMBER(P87)),"Add a join date",IF(R87="","No reminder",IF(S87&lt;0,"Lapsed",IF(S87&lt;=Settings!$D$6,"Remind soon","Current")))))))</f>
        <v/>
      </c>
      <c r="W87" s="33">
        <f>IF(N87=1,IF(ISNUMBER(E87),E87,0),0)</f>
        <v/>
      </c>
      <c r="X87" s="31">
        <f>IF(AND(I87&lt;&gt;"",U87=0),1,0)</f>
        <v/>
      </c>
      <c r="Y87" s="31">
        <f>IF(X87=0,"",IF(ISNUMBER(R87),R87,100000)+0.5+ROW()/1000000)</f>
        <v/>
      </c>
      <c r="Z87" s="31">
        <f>IF(ISNUMBER(Y87),SUMPRODUCT(ISNUMBER('Responses'!$AU$2:$AU$501)*('Responses'!$AU$2:$AU$501&lt;Y87)) + SUMPRODUCT(ISNUMBER('Paper sign-ups'!$Y$2:$Y$101)*('Paper sign-ups'!$Y$2:$Y$101&lt;Y87))+1,"")</f>
        <v/>
      </c>
    </row>
    <row r="88">
      <c r="A88" s="30" t="n"/>
      <c r="B88" s="30" t="n"/>
      <c r="C88" s="30" t="n"/>
      <c r="D88" s="37" t="n"/>
      <c r="E88" s="38" t="n"/>
      <c r="F88" s="30" t="n"/>
      <c r="G88" s="30" t="n"/>
      <c r="H88" s="29" t="n"/>
      <c r="I88" s="31">
        <f>TRIM(A88&amp;"")</f>
        <v/>
      </c>
      <c r="J88" s="31">
        <f>TRIM(B88&amp;"")</f>
        <v/>
      </c>
      <c r="K88" s="31">
        <f>IF(I88="","",LOWER(IF(J88&lt;&gt;"",J88,I88)))</f>
        <v/>
      </c>
      <c r="L88" s="31">
        <f>TRIM(C88&amp;"")</f>
        <v/>
      </c>
      <c r="M88" s="31">
        <f>IF(I88="","",IF(UPPER(TRIM(F88&amp;""))="Y","Paid another way","Unpaid"))</f>
        <v/>
      </c>
      <c r="N88" s="31">
        <f>IF(I88="",0,IF(IFERROR(INDEX(Settings!$J$4:$J$14,MATCH(M88,Settings!$I$4:$I$14,0)),"N")="Y",1,0))</f>
        <v/>
      </c>
      <c r="O88" s="32">
        <f>IF(AND(I88&lt;&gt;"",ISNUMBER(D88)),INT(D88),"")</f>
        <v/>
      </c>
      <c r="P88" s="32">
        <f>O88</f>
        <v/>
      </c>
      <c r="Q88" s="31">
        <f>IF(I88="","",IF(ISNUMBER(IFERROR(INDEX(Settings!$G$4:$G$11,MATCH(L88,Settings!$F$4:$F$11,0)),"")),INDEX(Settings!$G$4:$G$11,MATCH(L88,Settings!$F$4:$F$11,0)),Settings!$D$5))</f>
        <v/>
      </c>
      <c r="R88" s="32">
        <f>IF(OR(I88="",NOT(ISNUMBER(P88)),NOT(ISNUMBER(Q88))),"",IF(Q88&lt;=0,"",IF(ISNUMBER(Settings!$D$8),DATE(YEAR(P88)+IF(DATE(YEAR(P88),MONTH(Settings!$D$8),DAY(Settings!$D$8))&gt;P88,0,1),MONTH(Settings!$D$8),DAY(Settings!$D$8)),MIN(DATE(YEAR(P88),MONTH(P88)+Q88,DAY(P88)),DATE(YEAR(P88),MONTH(P88)+Q88+1,0)))))</f>
        <v/>
      </c>
      <c r="S88" s="31">
        <f>IF(ISNUMBER(R88),R88-Settings!$D$4,"")</f>
        <v/>
      </c>
      <c r="T88" s="31">
        <f>IF(ISNUMBER(P88),P88+0.5+ROW()/100000,"")</f>
        <v/>
      </c>
      <c r="U88" s="31">
        <f>IF(OR(K88="",NOT(ISNUMBER(T88))),0,IF(SUMPRODUCT(('Responses'!$AG$2:$AG$501=K88)*('Responses'!$AJ$2:$AJ$501=1)*ISNUMBER('Responses'!$AP$2:$AP$501)*('Responses'!$AP$2:$AP$501&gt;T88)) + SUMPRODUCT(('Paper sign-ups'!$K$2:$K$101=K88)*('Paper sign-ups'!$N$2:$N$101=1)*ISNUMBER('Paper sign-ups'!$T$2:$T$101)*('Paper sign-ups'!$T$2:$T$101&gt;T88))&gt;0,1,0))</f>
        <v/>
      </c>
      <c r="V88" s="31">
        <f>IF(I88="","",IF(U88=1,"Joined again",IF(N88=0,"Unpaid",IF(NOT(ISNUMBER(P88)),"Add a join date",IF(R88="","No reminder",IF(S88&lt;0,"Lapsed",IF(S88&lt;=Settings!$D$6,"Remind soon","Current")))))))</f>
        <v/>
      </c>
      <c r="W88" s="33">
        <f>IF(N88=1,IF(ISNUMBER(E88),E88,0),0)</f>
        <v/>
      </c>
      <c r="X88" s="31">
        <f>IF(AND(I88&lt;&gt;"",U88=0),1,0)</f>
        <v/>
      </c>
      <c r="Y88" s="31">
        <f>IF(X88=0,"",IF(ISNUMBER(R88),R88,100000)+0.5+ROW()/1000000)</f>
        <v/>
      </c>
      <c r="Z88" s="31">
        <f>IF(ISNUMBER(Y88),SUMPRODUCT(ISNUMBER('Responses'!$AU$2:$AU$501)*('Responses'!$AU$2:$AU$501&lt;Y88)) + SUMPRODUCT(ISNUMBER('Paper sign-ups'!$Y$2:$Y$101)*('Paper sign-ups'!$Y$2:$Y$101&lt;Y88))+1,"")</f>
        <v/>
      </c>
    </row>
    <row r="89">
      <c r="A89" s="30" t="n"/>
      <c r="B89" s="30" t="n"/>
      <c r="C89" s="30" t="n"/>
      <c r="D89" s="37" t="n"/>
      <c r="E89" s="38" t="n"/>
      <c r="F89" s="30" t="n"/>
      <c r="G89" s="30" t="n"/>
      <c r="H89" s="29" t="n"/>
      <c r="I89" s="31">
        <f>TRIM(A89&amp;"")</f>
        <v/>
      </c>
      <c r="J89" s="31">
        <f>TRIM(B89&amp;"")</f>
        <v/>
      </c>
      <c r="K89" s="31">
        <f>IF(I89="","",LOWER(IF(J89&lt;&gt;"",J89,I89)))</f>
        <v/>
      </c>
      <c r="L89" s="31">
        <f>TRIM(C89&amp;"")</f>
        <v/>
      </c>
      <c r="M89" s="31">
        <f>IF(I89="","",IF(UPPER(TRIM(F89&amp;""))="Y","Paid another way","Unpaid"))</f>
        <v/>
      </c>
      <c r="N89" s="31">
        <f>IF(I89="",0,IF(IFERROR(INDEX(Settings!$J$4:$J$14,MATCH(M89,Settings!$I$4:$I$14,0)),"N")="Y",1,0))</f>
        <v/>
      </c>
      <c r="O89" s="32">
        <f>IF(AND(I89&lt;&gt;"",ISNUMBER(D89)),INT(D89),"")</f>
        <v/>
      </c>
      <c r="P89" s="32">
        <f>O89</f>
        <v/>
      </c>
      <c r="Q89" s="31">
        <f>IF(I89="","",IF(ISNUMBER(IFERROR(INDEX(Settings!$G$4:$G$11,MATCH(L89,Settings!$F$4:$F$11,0)),"")),INDEX(Settings!$G$4:$G$11,MATCH(L89,Settings!$F$4:$F$11,0)),Settings!$D$5))</f>
        <v/>
      </c>
      <c r="R89" s="32">
        <f>IF(OR(I89="",NOT(ISNUMBER(P89)),NOT(ISNUMBER(Q89))),"",IF(Q89&lt;=0,"",IF(ISNUMBER(Settings!$D$8),DATE(YEAR(P89)+IF(DATE(YEAR(P89),MONTH(Settings!$D$8),DAY(Settings!$D$8))&gt;P89,0,1),MONTH(Settings!$D$8),DAY(Settings!$D$8)),MIN(DATE(YEAR(P89),MONTH(P89)+Q89,DAY(P89)),DATE(YEAR(P89),MONTH(P89)+Q89+1,0)))))</f>
        <v/>
      </c>
      <c r="S89" s="31">
        <f>IF(ISNUMBER(R89),R89-Settings!$D$4,"")</f>
        <v/>
      </c>
      <c r="T89" s="31">
        <f>IF(ISNUMBER(P89),P89+0.5+ROW()/100000,"")</f>
        <v/>
      </c>
      <c r="U89" s="31">
        <f>IF(OR(K89="",NOT(ISNUMBER(T89))),0,IF(SUMPRODUCT(('Responses'!$AG$2:$AG$501=K89)*('Responses'!$AJ$2:$AJ$501=1)*ISNUMBER('Responses'!$AP$2:$AP$501)*('Responses'!$AP$2:$AP$501&gt;T89)) + SUMPRODUCT(('Paper sign-ups'!$K$2:$K$101=K89)*('Paper sign-ups'!$N$2:$N$101=1)*ISNUMBER('Paper sign-ups'!$T$2:$T$101)*('Paper sign-ups'!$T$2:$T$101&gt;T89))&gt;0,1,0))</f>
        <v/>
      </c>
      <c r="V89" s="31">
        <f>IF(I89="","",IF(U89=1,"Joined again",IF(N89=0,"Unpaid",IF(NOT(ISNUMBER(P89)),"Add a join date",IF(R89="","No reminder",IF(S89&lt;0,"Lapsed",IF(S89&lt;=Settings!$D$6,"Remind soon","Current")))))))</f>
        <v/>
      </c>
      <c r="W89" s="33">
        <f>IF(N89=1,IF(ISNUMBER(E89),E89,0),0)</f>
        <v/>
      </c>
      <c r="X89" s="31">
        <f>IF(AND(I89&lt;&gt;"",U89=0),1,0)</f>
        <v/>
      </c>
      <c r="Y89" s="31">
        <f>IF(X89=0,"",IF(ISNUMBER(R89),R89,100000)+0.5+ROW()/1000000)</f>
        <v/>
      </c>
      <c r="Z89" s="31">
        <f>IF(ISNUMBER(Y89),SUMPRODUCT(ISNUMBER('Responses'!$AU$2:$AU$501)*('Responses'!$AU$2:$AU$501&lt;Y89)) + SUMPRODUCT(ISNUMBER('Paper sign-ups'!$Y$2:$Y$101)*('Paper sign-ups'!$Y$2:$Y$101&lt;Y89))+1,"")</f>
        <v/>
      </c>
    </row>
    <row r="90">
      <c r="A90" s="30" t="n"/>
      <c r="B90" s="30" t="n"/>
      <c r="C90" s="30" t="n"/>
      <c r="D90" s="37" t="n"/>
      <c r="E90" s="38" t="n"/>
      <c r="F90" s="30" t="n"/>
      <c r="G90" s="30" t="n"/>
      <c r="H90" s="29" t="n"/>
      <c r="I90" s="31">
        <f>TRIM(A90&amp;"")</f>
        <v/>
      </c>
      <c r="J90" s="31">
        <f>TRIM(B90&amp;"")</f>
        <v/>
      </c>
      <c r="K90" s="31">
        <f>IF(I90="","",LOWER(IF(J90&lt;&gt;"",J90,I90)))</f>
        <v/>
      </c>
      <c r="L90" s="31">
        <f>TRIM(C90&amp;"")</f>
        <v/>
      </c>
      <c r="M90" s="31">
        <f>IF(I90="","",IF(UPPER(TRIM(F90&amp;""))="Y","Paid another way","Unpaid"))</f>
        <v/>
      </c>
      <c r="N90" s="31">
        <f>IF(I90="",0,IF(IFERROR(INDEX(Settings!$J$4:$J$14,MATCH(M90,Settings!$I$4:$I$14,0)),"N")="Y",1,0))</f>
        <v/>
      </c>
      <c r="O90" s="32">
        <f>IF(AND(I90&lt;&gt;"",ISNUMBER(D90)),INT(D90),"")</f>
        <v/>
      </c>
      <c r="P90" s="32">
        <f>O90</f>
        <v/>
      </c>
      <c r="Q90" s="31">
        <f>IF(I90="","",IF(ISNUMBER(IFERROR(INDEX(Settings!$G$4:$G$11,MATCH(L90,Settings!$F$4:$F$11,0)),"")),INDEX(Settings!$G$4:$G$11,MATCH(L90,Settings!$F$4:$F$11,0)),Settings!$D$5))</f>
        <v/>
      </c>
      <c r="R90" s="32">
        <f>IF(OR(I90="",NOT(ISNUMBER(P90)),NOT(ISNUMBER(Q90))),"",IF(Q90&lt;=0,"",IF(ISNUMBER(Settings!$D$8),DATE(YEAR(P90)+IF(DATE(YEAR(P90),MONTH(Settings!$D$8),DAY(Settings!$D$8))&gt;P90,0,1),MONTH(Settings!$D$8),DAY(Settings!$D$8)),MIN(DATE(YEAR(P90),MONTH(P90)+Q90,DAY(P90)),DATE(YEAR(P90),MONTH(P90)+Q90+1,0)))))</f>
        <v/>
      </c>
      <c r="S90" s="31">
        <f>IF(ISNUMBER(R90),R90-Settings!$D$4,"")</f>
        <v/>
      </c>
      <c r="T90" s="31">
        <f>IF(ISNUMBER(P90),P90+0.5+ROW()/100000,"")</f>
        <v/>
      </c>
      <c r="U90" s="31">
        <f>IF(OR(K90="",NOT(ISNUMBER(T90))),0,IF(SUMPRODUCT(('Responses'!$AG$2:$AG$501=K90)*('Responses'!$AJ$2:$AJ$501=1)*ISNUMBER('Responses'!$AP$2:$AP$501)*('Responses'!$AP$2:$AP$501&gt;T90)) + SUMPRODUCT(('Paper sign-ups'!$K$2:$K$101=K90)*('Paper sign-ups'!$N$2:$N$101=1)*ISNUMBER('Paper sign-ups'!$T$2:$T$101)*('Paper sign-ups'!$T$2:$T$101&gt;T90))&gt;0,1,0))</f>
        <v/>
      </c>
      <c r="V90" s="31">
        <f>IF(I90="","",IF(U90=1,"Joined again",IF(N90=0,"Unpaid",IF(NOT(ISNUMBER(P90)),"Add a join date",IF(R90="","No reminder",IF(S90&lt;0,"Lapsed",IF(S90&lt;=Settings!$D$6,"Remind soon","Current")))))))</f>
        <v/>
      </c>
      <c r="W90" s="33">
        <f>IF(N90=1,IF(ISNUMBER(E90),E90,0),0)</f>
        <v/>
      </c>
      <c r="X90" s="31">
        <f>IF(AND(I90&lt;&gt;"",U90=0),1,0)</f>
        <v/>
      </c>
      <c r="Y90" s="31">
        <f>IF(X90=0,"",IF(ISNUMBER(R90),R90,100000)+0.5+ROW()/1000000)</f>
        <v/>
      </c>
      <c r="Z90" s="31">
        <f>IF(ISNUMBER(Y90),SUMPRODUCT(ISNUMBER('Responses'!$AU$2:$AU$501)*('Responses'!$AU$2:$AU$501&lt;Y90)) + SUMPRODUCT(ISNUMBER('Paper sign-ups'!$Y$2:$Y$101)*('Paper sign-ups'!$Y$2:$Y$101&lt;Y90))+1,"")</f>
        <v/>
      </c>
    </row>
    <row r="91">
      <c r="A91" s="30" t="n"/>
      <c r="B91" s="30" t="n"/>
      <c r="C91" s="30" t="n"/>
      <c r="D91" s="37" t="n"/>
      <c r="E91" s="38" t="n"/>
      <c r="F91" s="30" t="n"/>
      <c r="G91" s="30" t="n"/>
      <c r="H91" s="29" t="n"/>
      <c r="I91" s="31">
        <f>TRIM(A91&amp;"")</f>
        <v/>
      </c>
      <c r="J91" s="31">
        <f>TRIM(B91&amp;"")</f>
        <v/>
      </c>
      <c r="K91" s="31">
        <f>IF(I91="","",LOWER(IF(J91&lt;&gt;"",J91,I91)))</f>
        <v/>
      </c>
      <c r="L91" s="31">
        <f>TRIM(C91&amp;"")</f>
        <v/>
      </c>
      <c r="M91" s="31">
        <f>IF(I91="","",IF(UPPER(TRIM(F91&amp;""))="Y","Paid another way","Unpaid"))</f>
        <v/>
      </c>
      <c r="N91" s="31">
        <f>IF(I91="",0,IF(IFERROR(INDEX(Settings!$J$4:$J$14,MATCH(M91,Settings!$I$4:$I$14,0)),"N")="Y",1,0))</f>
        <v/>
      </c>
      <c r="O91" s="32">
        <f>IF(AND(I91&lt;&gt;"",ISNUMBER(D91)),INT(D91),"")</f>
        <v/>
      </c>
      <c r="P91" s="32">
        <f>O91</f>
        <v/>
      </c>
      <c r="Q91" s="31">
        <f>IF(I91="","",IF(ISNUMBER(IFERROR(INDEX(Settings!$G$4:$G$11,MATCH(L91,Settings!$F$4:$F$11,0)),"")),INDEX(Settings!$G$4:$G$11,MATCH(L91,Settings!$F$4:$F$11,0)),Settings!$D$5))</f>
        <v/>
      </c>
      <c r="R91" s="32">
        <f>IF(OR(I91="",NOT(ISNUMBER(P91)),NOT(ISNUMBER(Q91))),"",IF(Q91&lt;=0,"",IF(ISNUMBER(Settings!$D$8),DATE(YEAR(P91)+IF(DATE(YEAR(P91),MONTH(Settings!$D$8),DAY(Settings!$D$8))&gt;P91,0,1),MONTH(Settings!$D$8),DAY(Settings!$D$8)),MIN(DATE(YEAR(P91),MONTH(P91)+Q91,DAY(P91)),DATE(YEAR(P91),MONTH(P91)+Q91+1,0)))))</f>
        <v/>
      </c>
      <c r="S91" s="31">
        <f>IF(ISNUMBER(R91),R91-Settings!$D$4,"")</f>
        <v/>
      </c>
      <c r="T91" s="31">
        <f>IF(ISNUMBER(P91),P91+0.5+ROW()/100000,"")</f>
        <v/>
      </c>
      <c r="U91" s="31">
        <f>IF(OR(K91="",NOT(ISNUMBER(T91))),0,IF(SUMPRODUCT(('Responses'!$AG$2:$AG$501=K91)*('Responses'!$AJ$2:$AJ$501=1)*ISNUMBER('Responses'!$AP$2:$AP$501)*('Responses'!$AP$2:$AP$501&gt;T91)) + SUMPRODUCT(('Paper sign-ups'!$K$2:$K$101=K91)*('Paper sign-ups'!$N$2:$N$101=1)*ISNUMBER('Paper sign-ups'!$T$2:$T$101)*('Paper sign-ups'!$T$2:$T$101&gt;T91))&gt;0,1,0))</f>
        <v/>
      </c>
      <c r="V91" s="31">
        <f>IF(I91="","",IF(U91=1,"Joined again",IF(N91=0,"Unpaid",IF(NOT(ISNUMBER(P91)),"Add a join date",IF(R91="","No reminder",IF(S91&lt;0,"Lapsed",IF(S91&lt;=Settings!$D$6,"Remind soon","Current")))))))</f>
        <v/>
      </c>
      <c r="W91" s="33">
        <f>IF(N91=1,IF(ISNUMBER(E91),E91,0),0)</f>
        <v/>
      </c>
      <c r="X91" s="31">
        <f>IF(AND(I91&lt;&gt;"",U91=0),1,0)</f>
        <v/>
      </c>
      <c r="Y91" s="31">
        <f>IF(X91=0,"",IF(ISNUMBER(R91),R91,100000)+0.5+ROW()/1000000)</f>
        <v/>
      </c>
      <c r="Z91" s="31">
        <f>IF(ISNUMBER(Y91),SUMPRODUCT(ISNUMBER('Responses'!$AU$2:$AU$501)*('Responses'!$AU$2:$AU$501&lt;Y91)) + SUMPRODUCT(ISNUMBER('Paper sign-ups'!$Y$2:$Y$101)*('Paper sign-ups'!$Y$2:$Y$101&lt;Y91))+1,"")</f>
        <v/>
      </c>
    </row>
    <row r="92">
      <c r="A92" s="30" t="n"/>
      <c r="B92" s="30" t="n"/>
      <c r="C92" s="30" t="n"/>
      <c r="D92" s="37" t="n"/>
      <c r="E92" s="38" t="n"/>
      <c r="F92" s="30" t="n"/>
      <c r="G92" s="30" t="n"/>
      <c r="H92" s="29" t="n"/>
      <c r="I92" s="31">
        <f>TRIM(A92&amp;"")</f>
        <v/>
      </c>
      <c r="J92" s="31">
        <f>TRIM(B92&amp;"")</f>
        <v/>
      </c>
      <c r="K92" s="31">
        <f>IF(I92="","",LOWER(IF(J92&lt;&gt;"",J92,I92)))</f>
        <v/>
      </c>
      <c r="L92" s="31">
        <f>TRIM(C92&amp;"")</f>
        <v/>
      </c>
      <c r="M92" s="31">
        <f>IF(I92="","",IF(UPPER(TRIM(F92&amp;""))="Y","Paid another way","Unpaid"))</f>
        <v/>
      </c>
      <c r="N92" s="31">
        <f>IF(I92="",0,IF(IFERROR(INDEX(Settings!$J$4:$J$14,MATCH(M92,Settings!$I$4:$I$14,0)),"N")="Y",1,0))</f>
        <v/>
      </c>
      <c r="O92" s="32">
        <f>IF(AND(I92&lt;&gt;"",ISNUMBER(D92)),INT(D92),"")</f>
        <v/>
      </c>
      <c r="P92" s="32">
        <f>O92</f>
        <v/>
      </c>
      <c r="Q92" s="31">
        <f>IF(I92="","",IF(ISNUMBER(IFERROR(INDEX(Settings!$G$4:$G$11,MATCH(L92,Settings!$F$4:$F$11,0)),"")),INDEX(Settings!$G$4:$G$11,MATCH(L92,Settings!$F$4:$F$11,0)),Settings!$D$5))</f>
        <v/>
      </c>
      <c r="R92" s="32">
        <f>IF(OR(I92="",NOT(ISNUMBER(P92)),NOT(ISNUMBER(Q92))),"",IF(Q92&lt;=0,"",IF(ISNUMBER(Settings!$D$8),DATE(YEAR(P92)+IF(DATE(YEAR(P92),MONTH(Settings!$D$8),DAY(Settings!$D$8))&gt;P92,0,1),MONTH(Settings!$D$8),DAY(Settings!$D$8)),MIN(DATE(YEAR(P92),MONTH(P92)+Q92,DAY(P92)),DATE(YEAR(P92),MONTH(P92)+Q92+1,0)))))</f>
        <v/>
      </c>
      <c r="S92" s="31">
        <f>IF(ISNUMBER(R92),R92-Settings!$D$4,"")</f>
        <v/>
      </c>
      <c r="T92" s="31">
        <f>IF(ISNUMBER(P92),P92+0.5+ROW()/100000,"")</f>
        <v/>
      </c>
      <c r="U92" s="31">
        <f>IF(OR(K92="",NOT(ISNUMBER(T92))),0,IF(SUMPRODUCT(('Responses'!$AG$2:$AG$501=K92)*('Responses'!$AJ$2:$AJ$501=1)*ISNUMBER('Responses'!$AP$2:$AP$501)*('Responses'!$AP$2:$AP$501&gt;T92)) + SUMPRODUCT(('Paper sign-ups'!$K$2:$K$101=K92)*('Paper sign-ups'!$N$2:$N$101=1)*ISNUMBER('Paper sign-ups'!$T$2:$T$101)*('Paper sign-ups'!$T$2:$T$101&gt;T92))&gt;0,1,0))</f>
        <v/>
      </c>
      <c r="V92" s="31">
        <f>IF(I92="","",IF(U92=1,"Joined again",IF(N92=0,"Unpaid",IF(NOT(ISNUMBER(P92)),"Add a join date",IF(R92="","No reminder",IF(S92&lt;0,"Lapsed",IF(S92&lt;=Settings!$D$6,"Remind soon","Current")))))))</f>
        <v/>
      </c>
      <c r="W92" s="33">
        <f>IF(N92=1,IF(ISNUMBER(E92),E92,0),0)</f>
        <v/>
      </c>
      <c r="X92" s="31">
        <f>IF(AND(I92&lt;&gt;"",U92=0),1,0)</f>
        <v/>
      </c>
      <c r="Y92" s="31">
        <f>IF(X92=0,"",IF(ISNUMBER(R92),R92,100000)+0.5+ROW()/1000000)</f>
        <v/>
      </c>
      <c r="Z92" s="31">
        <f>IF(ISNUMBER(Y92),SUMPRODUCT(ISNUMBER('Responses'!$AU$2:$AU$501)*('Responses'!$AU$2:$AU$501&lt;Y92)) + SUMPRODUCT(ISNUMBER('Paper sign-ups'!$Y$2:$Y$101)*('Paper sign-ups'!$Y$2:$Y$101&lt;Y92))+1,"")</f>
        <v/>
      </c>
    </row>
    <row r="93">
      <c r="A93" s="30" t="n"/>
      <c r="B93" s="30" t="n"/>
      <c r="C93" s="30" t="n"/>
      <c r="D93" s="37" t="n"/>
      <c r="E93" s="38" t="n"/>
      <c r="F93" s="30" t="n"/>
      <c r="G93" s="30" t="n"/>
      <c r="H93" s="29" t="n"/>
      <c r="I93" s="31">
        <f>TRIM(A93&amp;"")</f>
        <v/>
      </c>
      <c r="J93" s="31">
        <f>TRIM(B93&amp;"")</f>
        <v/>
      </c>
      <c r="K93" s="31">
        <f>IF(I93="","",LOWER(IF(J93&lt;&gt;"",J93,I93)))</f>
        <v/>
      </c>
      <c r="L93" s="31">
        <f>TRIM(C93&amp;"")</f>
        <v/>
      </c>
      <c r="M93" s="31">
        <f>IF(I93="","",IF(UPPER(TRIM(F93&amp;""))="Y","Paid another way","Unpaid"))</f>
        <v/>
      </c>
      <c r="N93" s="31">
        <f>IF(I93="",0,IF(IFERROR(INDEX(Settings!$J$4:$J$14,MATCH(M93,Settings!$I$4:$I$14,0)),"N")="Y",1,0))</f>
        <v/>
      </c>
      <c r="O93" s="32">
        <f>IF(AND(I93&lt;&gt;"",ISNUMBER(D93)),INT(D93),"")</f>
        <v/>
      </c>
      <c r="P93" s="32">
        <f>O93</f>
        <v/>
      </c>
      <c r="Q93" s="31">
        <f>IF(I93="","",IF(ISNUMBER(IFERROR(INDEX(Settings!$G$4:$G$11,MATCH(L93,Settings!$F$4:$F$11,0)),"")),INDEX(Settings!$G$4:$G$11,MATCH(L93,Settings!$F$4:$F$11,0)),Settings!$D$5))</f>
        <v/>
      </c>
      <c r="R93" s="32">
        <f>IF(OR(I93="",NOT(ISNUMBER(P93)),NOT(ISNUMBER(Q93))),"",IF(Q93&lt;=0,"",IF(ISNUMBER(Settings!$D$8),DATE(YEAR(P93)+IF(DATE(YEAR(P93),MONTH(Settings!$D$8),DAY(Settings!$D$8))&gt;P93,0,1),MONTH(Settings!$D$8),DAY(Settings!$D$8)),MIN(DATE(YEAR(P93),MONTH(P93)+Q93,DAY(P93)),DATE(YEAR(P93),MONTH(P93)+Q93+1,0)))))</f>
        <v/>
      </c>
      <c r="S93" s="31">
        <f>IF(ISNUMBER(R93),R93-Settings!$D$4,"")</f>
        <v/>
      </c>
      <c r="T93" s="31">
        <f>IF(ISNUMBER(P93),P93+0.5+ROW()/100000,"")</f>
        <v/>
      </c>
      <c r="U93" s="31">
        <f>IF(OR(K93="",NOT(ISNUMBER(T93))),0,IF(SUMPRODUCT(('Responses'!$AG$2:$AG$501=K93)*('Responses'!$AJ$2:$AJ$501=1)*ISNUMBER('Responses'!$AP$2:$AP$501)*('Responses'!$AP$2:$AP$501&gt;T93)) + SUMPRODUCT(('Paper sign-ups'!$K$2:$K$101=K93)*('Paper sign-ups'!$N$2:$N$101=1)*ISNUMBER('Paper sign-ups'!$T$2:$T$101)*('Paper sign-ups'!$T$2:$T$101&gt;T93))&gt;0,1,0))</f>
        <v/>
      </c>
      <c r="V93" s="31">
        <f>IF(I93="","",IF(U93=1,"Joined again",IF(N93=0,"Unpaid",IF(NOT(ISNUMBER(P93)),"Add a join date",IF(R93="","No reminder",IF(S93&lt;0,"Lapsed",IF(S93&lt;=Settings!$D$6,"Remind soon","Current")))))))</f>
        <v/>
      </c>
      <c r="W93" s="33">
        <f>IF(N93=1,IF(ISNUMBER(E93),E93,0),0)</f>
        <v/>
      </c>
      <c r="X93" s="31">
        <f>IF(AND(I93&lt;&gt;"",U93=0),1,0)</f>
        <v/>
      </c>
      <c r="Y93" s="31">
        <f>IF(X93=0,"",IF(ISNUMBER(R93),R93,100000)+0.5+ROW()/1000000)</f>
        <v/>
      </c>
      <c r="Z93" s="31">
        <f>IF(ISNUMBER(Y93),SUMPRODUCT(ISNUMBER('Responses'!$AU$2:$AU$501)*('Responses'!$AU$2:$AU$501&lt;Y93)) + SUMPRODUCT(ISNUMBER('Paper sign-ups'!$Y$2:$Y$101)*('Paper sign-ups'!$Y$2:$Y$101&lt;Y93))+1,"")</f>
        <v/>
      </c>
    </row>
    <row r="94">
      <c r="A94" s="30" t="n"/>
      <c r="B94" s="30" t="n"/>
      <c r="C94" s="30" t="n"/>
      <c r="D94" s="37" t="n"/>
      <c r="E94" s="38" t="n"/>
      <c r="F94" s="30" t="n"/>
      <c r="G94" s="30" t="n"/>
      <c r="H94" s="29" t="n"/>
      <c r="I94" s="31">
        <f>TRIM(A94&amp;"")</f>
        <v/>
      </c>
      <c r="J94" s="31">
        <f>TRIM(B94&amp;"")</f>
        <v/>
      </c>
      <c r="K94" s="31">
        <f>IF(I94="","",LOWER(IF(J94&lt;&gt;"",J94,I94)))</f>
        <v/>
      </c>
      <c r="L94" s="31">
        <f>TRIM(C94&amp;"")</f>
        <v/>
      </c>
      <c r="M94" s="31">
        <f>IF(I94="","",IF(UPPER(TRIM(F94&amp;""))="Y","Paid another way","Unpaid"))</f>
        <v/>
      </c>
      <c r="N94" s="31">
        <f>IF(I94="",0,IF(IFERROR(INDEX(Settings!$J$4:$J$14,MATCH(M94,Settings!$I$4:$I$14,0)),"N")="Y",1,0))</f>
        <v/>
      </c>
      <c r="O94" s="32">
        <f>IF(AND(I94&lt;&gt;"",ISNUMBER(D94)),INT(D94),"")</f>
        <v/>
      </c>
      <c r="P94" s="32">
        <f>O94</f>
        <v/>
      </c>
      <c r="Q94" s="31">
        <f>IF(I94="","",IF(ISNUMBER(IFERROR(INDEX(Settings!$G$4:$G$11,MATCH(L94,Settings!$F$4:$F$11,0)),"")),INDEX(Settings!$G$4:$G$11,MATCH(L94,Settings!$F$4:$F$11,0)),Settings!$D$5))</f>
        <v/>
      </c>
      <c r="R94" s="32">
        <f>IF(OR(I94="",NOT(ISNUMBER(P94)),NOT(ISNUMBER(Q94))),"",IF(Q94&lt;=0,"",IF(ISNUMBER(Settings!$D$8),DATE(YEAR(P94)+IF(DATE(YEAR(P94),MONTH(Settings!$D$8),DAY(Settings!$D$8))&gt;P94,0,1),MONTH(Settings!$D$8),DAY(Settings!$D$8)),MIN(DATE(YEAR(P94),MONTH(P94)+Q94,DAY(P94)),DATE(YEAR(P94),MONTH(P94)+Q94+1,0)))))</f>
        <v/>
      </c>
      <c r="S94" s="31">
        <f>IF(ISNUMBER(R94),R94-Settings!$D$4,"")</f>
        <v/>
      </c>
      <c r="T94" s="31">
        <f>IF(ISNUMBER(P94),P94+0.5+ROW()/100000,"")</f>
        <v/>
      </c>
      <c r="U94" s="31">
        <f>IF(OR(K94="",NOT(ISNUMBER(T94))),0,IF(SUMPRODUCT(('Responses'!$AG$2:$AG$501=K94)*('Responses'!$AJ$2:$AJ$501=1)*ISNUMBER('Responses'!$AP$2:$AP$501)*('Responses'!$AP$2:$AP$501&gt;T94)) + SUMPRODUCT(('Paper sign-ups'!$K$2:$K$101=K94)*('Paper sign-ups'!$N$2:$N$101=1)*ISNUMBER('Paper sign-ups'!$T$2:$T$101)*('Paper sign-ups'!$T$2:$T$101&gt;T94))&gt;0,1,0))</f>
        <v/>
      </c>
      <c r="V94" s="31">
        <f>IF(I94="","",IF(U94=1,"Joined again",IF(N94=0,"Unpaid",IF(NOT(ISNUMBER(P94)),"Add a join date",IF(R94="","No reminder",IF(S94&lt;0,"Lapsed",IF(S94&lt;=Settings!$D$6,"Remind soon","Current")))))))</f>
        <v/>
      </c>
      <c r="W94" s="33">
        <f>IF(N94=1,IF(ISNUMBER(E94),E94,0),0)</f>
        <v/>
      </c>
      <c r="X94" s="31">
        <f>IF(AND(I94&lt;&gt;"",U94=0),1,0)</f>
        <v/>
      </c>
      <c r="Y94" s="31">
        <f>IF(X94=0,"",IF(ISNUMBER(R94),R94,100000)+0.5+ROW()/1000000)</f>
        <v/>
      </c>
      <c r="Z94" s="31">
        <f>IF(ISNUMBER(Y94),SUMPRODUCT(ISNUMBER('Responses'!$AU$2:$AU$501)*('Responses'!$AU$2:$AU$501&lt;Y94)) + SUMPRODUCT(ISNUMBER('Paper sign-ups'!$Y$2:$Y$101)*('Paper sign-ups'!$Y$2:$Y$101&lt;Y94))+1,"")</f>
        <v/>
      </c>
    </row>
    <row r="95">
      <c r="A95" s="30" t="n"/>
      <c r="B95" s="30" t="n"/>
      <c r="C95" s="30" t="n"/>
      <c r="D95" s="37" t="n"/>
      <c r="E95" s="38" t="n"/>
      <c r="F95" s="30" t="n"/>
      <c r="G95" s="30" t="n"/>
      <c r="H95" s="29" t="n"/>
      <c r="I95" s="31">
        <f>TRIM(A95&amp;"")</f>
        <v/>
      </c>
      <c r="J95" s="31">
        <f>TRIM(B95&amp;"")</f>
        <v/>
      </c>
      <c r="K95" s="31">
        <f>IF(I95="","",LOWER(IF(J95&lt;&gt;"",J95,I95)))</f>
        <v/>
      </c>
      <c r="L95" s="31">
        <f>TRIM(C95&amp;"")</f>
        <v/>
      </c>
      <c r="M95" s="31">
        <f>IF(I95="","",IF(UPPER(TRIM(F95&amp;""))="Y","Paid another way","Unpaid"))</f>
        <v/>
      </c>
      <c r="N95" s="31">
        <f>IF(I95="",0,IF(IFERROR(INDEX(Settings!$J$4:$J$14,MATCH(M95,Settings!$I$4:$I$14,0)),"N")="Y",1,0))</f>
        <v/>
      </c>
      <c r="O95" s="32">
        <f>IF(AND(I95&lt;&gt;"",ISNUMBER(D95)),INT(D95),"")</f>
        <v/>
      </c>
      <c r="P95" s="32">
        <f>O95</f>
        <v/>
      </c>
      <c r="Q95" s="31">
        <f>IF(I95="","",IF(ISNUMBER(IFERROR(INDEX(Settings!$G$4:$G$11,MATCH(L95,Settings!$F$4:$F$11,0)),"")),INDEX(Settings!$G$4:$G$11,MATCH(L95,Settings!$F$4:$F$11,0)),Settings!$D$5))</f>
        <v/>
      </c>
      <c r="R95" s="32">
        <f>IF(OR(I95="",NOT(ISNUMBER(P95)),NOT(ISNUMBER(Q95))),"",IF(Q95&lt;=0,"",IF(ISNUMBER(Settings!$D$8),DATE(YEAR(P95)+IF(DATE(YEAR(P95),MONTH(Settings!$D$8),DAY(Settings!$D$8))&gt;P95,0,1),MONTH(Settings!$D$8),DAY(Settings!$D$8)),MIN(DATE(YEAR(P95),MONTH(P95)+Q95,DAY(P95)),DATE(YEAR(P95),MONTH(P95)+Q95+1,0)))))</f>
        <v/>
      </c>
      <c r="S95" s="31">
        <f>IF(ISNUMBER(R95),R95-Settings!$D$4,"")</f>
        <v/>
      </c>
      <c r="T95" s="31">
        <f>IF(ISNUMBER(P95),P95+0.5+ROW()/100000,"")</f>
        <v/>
      </c>
      <c r="U95" s="31">
        <f>IF(OR(K95="",NOT(ISNUMBER(T95))),0,IF(SUMPRODUCT(('Responses'!$AG$2:$AG$501=K95)*('Responses'!$AJ$2:$AJ$501=1)*ISNUMBER('Responses'!$AP$2:$AP$501)*('Responses'!$AP$2:$AP$501&gt;T95)) + SUMPRODUCT(('Paper sign-ups'!$K$2:$K$101=K95)*('Paper sign-ups'!$N$2:$N$101=1)*ISNUMBER('Paper sign-ups'!$T$2:$T$101)*('Paper sign-ups'!$T$2:$T$101&gt;T95))&gt;0,1,0))</f>
        <v/>
      </c>
      <c r="V95" s="31">
        <f>IF(I95="","",IF(U95=1,"Joined again",IF(N95=0,"Unpaid",IF(NOT(ISNUMBER(P95)),"Add a join date",IF(R95="","No reminder",IF(S95&lt;0,"Lapsed",IF(S95&lt;=Settings!$D$6,"Remind soon","Current")))))))</f>
        <v/>
      </c>
      <c r="W95" s="33">
        <f>IF(N95=1,IF(ISNUMBER(E95),E95,0),0)</f>
        <v/>
      </c>
      <c r="X95" s="31">
        <f>IF(AND(I95&lt;&gt;"",U95=0),1,0)</f>
        <v/>
      </c>
      <c r="Y95" s="31">
        <f>IF(X95=0,"",IF(ISNUMBER(R95),R95,100000)+0.5+ROW()/1000000)</f>
        <v/>
      </c>
      <c r="Z95" s="31">
        <f>IF(ISNUMBER(Y95),SUMPRODUCT(ISNUMBER('Responses'!$AU$2:$AU$501)*('Responses'!$AU$2:$AU$501&lt;Y95)) + SUMPRODUCT(ISNUMBER('Paper sign-ups'!$Y$2:$Y$101)*('Paper sign-ups'!$Y$2:$Y$101&lt;Y95))+1,"")</f>
        <v/>
      </c>
    </row>
    <row r="96">
      <c r="A96" s="30" t="n"/>
      <c r="B96" s="30" t="n"/>
      <c r="C96" s="30" t="n"/>
      <c r="D96" s="37" t="n"/>
      <c r="E96" s="38" t="n"/>
      <c r="F96" s="30" t="n"/>
      <c r="G96" s="30" t="n"/>
      <c r="H96" s="29" t="n"/>
      <c r="I96" s="31">
        <f>TRIM(A96&amp;"")</f>
        <v/>
      </c>
      <c r="J96" s="31">
        <f>TRIM(B96&amp;"")</f>
        <v/>
      </c>
      <c r="K96" s="31">
        <f>IF(I96="","",LOWER(IF(J96&lt;&gt;"",J96,I96)))</f>
        <v/>
      </c>
      <c r="L96" s="31">
        <f>TRIM(C96&amp;"")</f>
        <v/>
      </c>
      <c r="M96" s="31">
        <f>IF(I96="","",IF(UPPER(TRIM(F96&amp;""))="Y","Paid another way","Unpaid"))</f>
        <v/>
      </c>
      <c r="N96" s="31">
        <f>IF(I96="",0,IF(IFERROR(INDEX(Settings!$J$4:$J$14,MATCH(M96,Settings!$I$4:$I$14,0)),"N")="Y",1,0))</f>
        <v/>
      </c>
      <c r="O96" s="32">
        <f>IF(AND(I96&lt;&gt;"",ISNUMBER(D96)),INT(D96),"")</f>
        <v/>
      </c>
      <c r="P96" s="32">
        <f>O96</f>
        <v/>
      </c>
      <c r="Q96" s="31">
        <f>IF(I96="","",IF(ISNUMBER(IFERROR(INDEX(Settings!$G$4:$G$11,MATCH(L96,Settings!$F$4:$F$11,0)),"")),INDEX(Settings!$G$4:$G$11,MATCH(L96,Settings!$F$4:$F$11,0)),Settings!$D$5))</f>
        <v/>
      </c>
      <c r="R96" s="32">
        <f>IF(OR(I96="",NOT(ISNUMBER(P96)),NOT(ISNUMBER(Q96))),"",IF(Q96&lt;=0,"",IF(ISNUMBER(Settings!$D$8),DATE(YEAR(P96)+IF(DATE(YEAR(P96),MONTH(Settings!$D$8),DAY(Settings!$D$8))&gt;P96,0,1),MONTH(Settings!$D$8),DAY(Settings!$D$8)),MIN(DATE(YEAR(P96),MONTH(P96)+Q96,DAY(P96)),DATE(YEAR(P96),MONTH(P96)+Q96+1,0)))))</f>
        <v/>
      </c>
      <c r="S96" s="31">
        <f>IF(ISNUMBER(R96),R96-Settings!$D$4,"")</f>
        <v/>
      </c>
      <c r="T96" s="31">
        <f>IF(ISNUMBER(P96),P96+0.5+ROW()/100000,"")</f>
        <v/>
      </c>
      <c r="U96" s="31">
        <f>IF(OR(K96="",NOT(ISNUMBER(T96))),0,IF(SUMPRODUCT(('Responses'!$AG$2:$AG$501=K96)*('Responses'!$AJ$2:$AJ$501=1)*ISNUMBER('Responses'!$AP$2:$AP$501)*('Responses'!$AP$2:$AP$501&gt;T96)) + SUMPRODUCT(('Paper sign-ups'!$K$2:$K$101=K96)*('Paper sign-ups'!$N$2:$N$101=1)*ISNUMBER('Paper sign-ups'!$T$2:$T$101)*('Paper sign-ups'!$T$2:$T$101&gt;T96))&gt;0,1,0))</f>
        <v/>
      </c>
      <c r="V96" s="31">
        <f>IF(I96="","",IF(U96=1,"Joined again",IF(N96=0,"Unpaid",IF(NOT(ISNUMBER(P96)),"Add a join date",IF(R96="","No reminder",IF(S96&lt;0,"Lapsed",IF(S96&lt;=Settings!$D$6,"Remind soon","Current")))))))</f>
        <v/>
      </c>
      <c r="W96" s="33">
        <f>IF(N96=1,IF(ISNUMBER(E96),E96,0),0)</f>
        <v/>
      </c>
      <c r="X96" s="31">
        <f>IF(AND(I96&lt;&gt;"",U96=0),1,0)</f>
        <v/>
      </c>
      <c r="Y96" s="31">
        <f>IF(X96=0,"",IF(ISNUMBER(R96),R96,100000)+0.5+ROW()/1000000)</f>
        <v/>
      </c>
      <c r="Z96" s="31">
        <f>IF(ISNUMBER(Y96),SUMPRODUCT(ISNUMBER('Responses'!$AU$2:$AU$501)*('Responses'!$AU$2:$AU$501&lt;Y96)) + SUMPRODUCT(ISNUMBER('Paper sign-ups'!$Y$2:$Y$101)*('Paper sign-ups'!$Y$2:$Y$101&lt;Y96))+1,"")</f>
        <v/>
      </c>
    </row>
    <row r="97">
      <c r="A97" s="30" t="n"/>
      <c r="B97" s="30" t="n"/>
      <c r="C97" s="30" t="n"/>
      <c r="D97" s="37" t="n"/>
      <c r="E97" s="38" t="n"/>
      <c r="F97" s="30" t="n"/>
      <c r="G97" s="30" t="n"/>
      <c r="H97" s="29" t="n"/>
      <c r="I97" s="31">
        <f>TRIM(A97&amp;"")</f>
        <v/>
      </c>
      <c r="J97" s="31">
        <f>TRIM(B97&amp;"")</f>
        <v/>
      </c>
      <c r="K97" s="31">
        <f>IF(I97="","",LOWER(IF(J97&lt;&gt;"",J97,I97)))</f>
        <v/>
      </c>
      <c r="L97" s="31">
        <f>TRIM(C97&amp;"")</f>
        <v/>
      </c>
      <c r="M97" s="31">
        <f>IF(I97="","",IF(UPPER(TRIM(F97&amp;""))="Y","Paid another way","Unpaid"))</f>
        <v/>
      </c>
      <c r="N97" s="31">
        <f>IF(I97="",0,IF(IFERROR(INDEX(Settings!$J$4:$J$14,MATCH(M97,Settings!$I$4:$I$14,0)),"N")="Y",1,0))</f>
        <v/>
      </c>
      <c r="O97" s="32">
        <f>IF(AND(I97&lt;&gt;"",ISNUMBER(D97)),INT(D97),"")</f>
        <v/>
      </c>
      <c r="P97" s="32">
        <f>O97</f>
        <v/>
      </c>
      <c r="Q97" s="31">
        <f>IF(I97="","",IF(ISNUMBER(IFERROR(INDEX(Settings!$G$4:$G$11,MATCH(L97,Settings!$F$4:$F$11,0)),"")),INDEX(Settings!$G$4:$G$11,MATCH(L97,Settings!$F$4:$F$11,0)),Settings!$D$5))</f>
        <v/>
      </c>
      <c r="R97" s="32">
        <f>IF(OR(I97="",NOT(ISNUMBER(P97)),NOT(ISNUMBER(Q97))),"",IF(Q97&lt;=0,"",IF(ISNUMBER(Settings!$D$8),DATE(YEAR(P97)+IF(DATE(YEAR(P97),MONTH(Settings!$D$8),DAY(Settings!$D$8))&gt;P97,0,1),MONTH(Settings!$D$8),DAY(Settings!$D$8)),MIN(DATE(YEAR(P97),MONTH(P97)+Q97,DAY(P97)),DATE(YEAR(P97),MONTH(P97)+Q97+1,0)))))</f>
        <v/>
      </c>
      <c r="S97" s="31">
        <f>IF(ISNUMBER(R97),R97-Settings!$D$4,"")</f>
        <v/>
      </c>
      <c r="T97" s="31">
        <f>IF(ISNUMBER(P97),P97+0.5+ROW()/100000,"")</f>
        <v/>
      </c>
      <c r="U97" s="31">
        <f>IF(OR(K97="",NOT(ISNUMBER(T97))),0,IF(SUMPRODUCT(('Responses'!$AG$2:$AG$501=K97)*('Responses'!$AJ$2:$AJ$501=1)*ISNUMBER('Responses'!$AP$2:$AP$501)*('Responses'!$AP$2:$AP$501&gt;T97)) + SUMPRODUCT(('Paper sign-ups'!$K$2:$K$101=K97)*('Paper sign-ups'!$N$2:$N$101=1)*ISNUMBER('Paper sign-ups'!$T$2:$T$101)*('Paper sign-ups'!$T$2:$T$101&gt;T97))&gt;0,1,0))</f>
        <v/>
      </c>
      <c r="V97" s="31">
        <f>IF(I97="","",IF(U97=1,"Joined again",IF(N97=0,"Unpaid",IF(NOT(ISNUMBER(P97)),"Add a join date",IF(R97="","No reminder",IF(S97&lt;0,"Lapsed",IF(S97&lt;=Settings!$D$6,"Remind soon","Current")))))))</f>
        <v/>
      </c>
      <c r="W97" s="33">
        <f>IF(N97=1,IF(ISNUMBER(E97),E97,0),0)</f>
        <v/>
      </c>
      <c r="X97" s="31">
        <f>IF(AND(I97&lt;&gt;"",U97=0),1,0)</f>
        <v/>
      </c>
      <c r="Y97" s="31">
        <f>IF(X97=0,"",IF(ISNUMBER(R97),R97,100000)+0.5+ROW()/1000000)</f>
        <v/>
      </c>
      <c r="Z97" s="31">
        <f>IF(ISNUMBER(Y97),SUMPRODUCT(ISNUMBER('Responses'!$AU$2:$AU$501)*('Responses'!$AU$2:$AU$501&lt;Y97)) + SUMPRODUCT(ISNUMBER('Paper sign-ups'!$Y$2:$Y$101)*('Paper sign-ups'!$Y$2:$Y$101&lt;Y97))+1,"")</f>
        <v/>
      </c>
    </row>
    <row r="98">
      <c r="A98" s="30" t="n"/>
      <c r="B98" s="30" t="n"/>
      <c r="C98" s="30" t="n"/>
      <c r="D98" s="37" t="n"/>
      <c r="E98" s="38" t="n"/>
      <c r="F98" s="30" t="n"/>
      <c r="G98" s="30" t="n"/>
      <c r="H98" s="29" t="n"/>
      <c r="I98" s="31">
        <f>TRIM(A98&amp;"")</f>
        <v/>
      </c>
      <c r="J98" s="31">
        <f>TRIM(B98&amp;"")</f>
        <v/>
      </c>
      <c r="K98" s="31">
        <f>IF(I98="","",LOWER(IF(J98&lt;&gt;"",J98,I98)))</f>
        <v/>
      </c>
      <c r="L98" s="31">
        <f>TRIM(C98&amp;"")</f>
        <v/>
      </c>
      <c r="M98" s="31">
        <f>IF(I98="","",IF(UPPER(TRIM(F98&amp;""))="Y","Paid another way","Unpaid"))</f>
        <v/>
      </c>
      <c r="N98" s="31">
        <f>IF(I98="",0,IF(IFERROR(INDEX(Settings!$J$4:$J$14,MATCH(M98,Settings!$I$4:$I$14,0)),"N")="Y",1,0))</f>
        <v/>
      </c>
      <c r="O98" s="32">
        <f>IF(AND(I98&lt;&gt;"",ISNUMBER(D98)),INT(D98),"")</f>
        <v/>
      </c>
      <c r="P98" s="32">
        <f>O98</f>
        <v/>
      </c>
      <c r="Q98" s="31">
        <f>IF(I98="","",IF(ISNUMBER(IFERROR(INDEX(Settings!$G$4:$G$11,MATCH(L98,Settings!$F$4:$F$11,0)),"")),INDEX(Settings!$G$4:$G$11,MATCH(L98,Settings!$F$4:$F$11,0)),Settings!$D$5))</f>
        <v/>
      </c>
      <c r="R98" s="32">
        <f>IF(OR(I98="",NOT(ISNUMBER(P98)),NOT(ISNUMBER(Q98))),"",IF(Q98&lt;=0,"",IF(ISNUMBER(Settings!$D$8),DATE(YEAR(P98)+IF(DATE(YEAR(P98),MONTH(Settings!$D$8),DAY(Settings!$D$8))&gt;P98,0,1),MONTH(Settings!$D$8),DAY(Settings!$D$8)),MIN(DATE(YEAR(P98),MONTH(P98)+Q98,DAY(P98)),DATE(YEAR(P98),MONTH(P98)+Q98+1,0)))))</f>
        <v/>
      </c>
      <c r="S98" s="31">
        <f>IF(ISNUMBER(R98),R98-Settings!$D$4,"")</f>
        <v/>
      </c>
      <c r="T98" s="31">
        <f>IF(ISNUMBER(P98),P98+0.5+ROW()/100000,"")</f>
        <v/>
      </c>
      <c r="U98" s="31">
        <f>IF(OR(K98="",NOT(ISNUMBER(T98))),0,IF(SUMPRODUCT(('Responses'!$AG$2:$AG$501=K98)*('Responses'!$AJ$2:$AJ$501=1)*ISNUMBER('Responses'!$AP$2:$AP$501)*('Responses'!$AP$2:$AP$501&gt;T98)) + SUMPRODUCT(('Paper sign-ups'!$K$2:$K$101=K98)*('Paper sign-ups'!$N$2:$N$101=1)*ISNUMBER('Paper sign-ups'!$T$2:$T$101)*('Paper sign-ups'!$T$2:$T$101&gt;T98))&gt;0,1,0))</f>
        <v/>
      </c>
      <c r="V98" s="31">
        <f>IF(I98="","",IF(U98=1,"Joined again",IF(N98=0,"Unpaid",IF(NOT(ISNUMBER(P98)),"Add a join date",IF(R98="","No reminder",IF(S98&lt;0,"Lapsed",IF(S98&lt;=Settings!$D$6,"Remind soon","Current")))))))</f>
        <v/>
      </c>
      <c r="W98" s="33">
        <f>IF(N98=1,IF(ISNUMBER(E98),E98,0),0)</f>
        <v/>
      </c>
      <c r="X98" s="31">
        <f>IF(AND(I98&lt;&gt;"",U98=0),1,0)</f>
        <v/>
      </c>
      <c r="Y98" s="31">
        <f>IF(X98=0,"",IF(ISNUMBER(R98),R98,100000)+0.5+ROW()/1000000)</f>
        <v/>
      </c>
      <c r="Z98" s="31">
        <f>IF(ISNUMBER(Y98),SUMPRODUCT(ISNUMBER('Responses'!$AU$2:$AU$501)*('Responses'!$AU$2:$AU$501&lt;Y98)) + SUMPRODUCT(ISNUMBER('Paper sign-ups'!$Y$2:$Y$101)*('Paper sign-ups'!$Y$2:$Y$101&lt;Y98))+1,"")</f>
        <v/>
      </c>
    </row>
    <row r="99">
      <c r="A99" s="30" t="n"/>
      <c r="B99" s="30" t="n"/>
      <c r="C99" s="30" t="n"/>
      <c r="D99" s="37" t="n"/>
      <c r="E99" s="38" t="n"/>
      <c r="F99" s="30" t="n"/>
      <c r="G99" s="30" t="n"/>
      <c r="H99" s="29" t="n"/>
      <c r="I99" s="31">
        <f>TRIM(A99&amp;"")</f>
        <v/>
      </c>
      <c r="J99" s="31">
        <f>TRIM(B99&amp;"")</f>
        <v/>
      </c>
      <c r="K99" s="31">
        <f>IF(I99="","",LOWER(IF(J99&lt;&gt;"",J99,I99)))</f>
        <v/>
      </c>
      <c r="L99" s="31">
        <f>TRIM(C99&amp;"")</f>
        <v/>
      </c>
      <c r="M99" s="31">
        <f>IF(I99="","",IF(UPPER(TRIM(F99&amp;""))="Y","Paid another way","Unpaid"))</f>
        <v/>
      </c>
      <c r="N99" s="31">
        <f>IF(I99="",0,IF(IFERROR(INDEX(Settings!$J$4:$J$14,MATCH(M99,Settings!$I$4:$I$14,0)),"N")="Y",1,0))</f>
        <v/>
      </c>
      <c r="O99" s="32">
        <f>IF(AND(I99&lt;&gt;"",ISNUMBER(D99)),INT(D99),"")</f>
        <v/>
      </c>
      <c r="P99" s="32">
        <f>O99</f>
        <v/>
      </c>
      <c r="Q99" s="31">
        <f>IF(I99="","",IF(ISNUMBER(IFERROR(INDEX(Settings!$G$4:$G$11,MATCH(L99,Settings!$F$4:$F$11,0)),"")),INDEX(Settings!$G$4:$G$11,MATCH(L99,Settings!$F$4:$F$11,0)),Settings!$D$5))</f>
        <v/>
      </c>
      <c r="R99" s="32">
        <f>IF(OR(I99="",NOT(ISNUMBER(P99)),NOT(ISNUMBER(Q99))),"",IF(Q99&lt;=0,"",IF(ISNUMBER(Settings!$D$8),DATE(YEAR(P99)+IF(DATE(YEAR(P99),MONTH(Settings!$D$8),DAY(Settings!$D$8))&gt;P99,0,1),MONTH(Settings!$D$8),DAY(Settings!$D$8)),MIN(DATE(YEAR(P99),MONTH(P99)+Q99,DAY(P99)),DATE(YEAR(P99),MONTH(P99)+Q99+1,0)))))</f>
        <v/>
      </c>
      <c r="S99" s="31">
        <f>IF(ISNUMBER(R99),R99-Settings!$D$4,"")</f>
        <v/>
      </c>
      <c r="T99" s="31">
        <f>IF(ISNUMBER(P99),P99+0.5+ROW()/100000,"")</f>
        <v/>
      </c>
      <c r="U99" s="31">
        <f>IF(OR(K99="",NOT(ISNUMBER(T99))),0,IF(SUMPRODUCT(('Responses'!$AG$2:$AG$501=K99)*('Responses'!$AJ$2:$AJ$501=1)*ISNUMBER('Responses'!$AP$2:$AP$501)*('Responses'!$AP$2:$AP$501&gt;T99)) + SUMPRODUCT(('Paper sign-ups'!$K$2:$K$101=K99)*('Paper sign-ups'!$N$2:$N$101=1)*ISNUMBER('Paper sign-ups'!$T$2:$T$101)*('Paper sign-ups'!$T$2:$T$101&gt;T99))&gt;0,1,0))</f>
        <v/>
      </c>
      <c r="V99" s="31">
        <f>IF(I99="","",IF(U99=1,"Joined again",IF(N99=0,"Unpaid",IF(NOT(ISNUMBER(P99)),"Add a join date",IF(R99="","No reminder",IF(S99&lt;0,"Lapsed",IF(S99&lt;=Settings!$D$6,"Remind soon","Current")))))))</f>
        <v/>
      </c>
      <c r="W99" s="33">
        <f>IF(N99=1,IF(ISNUMBER(E99),E99,0),0)</f>
        <v/>
      </c>
      <c r="X99" s="31">
        <f>IF(AND(I99&lt;&gt;"",U99=0),1,0)</f>
        <v/>
      </c>
      <c r="Y99" s="31">
        <f>IF(X99=0,"",IF(ISNUMBER(R99),R99,100000)+0.5+ROW()/1000000)</f>
        <v/>
      </c>
      <c r="Z99" s="31">
        <f>IF(ISNUMBER(Y99),SUMPRODUCT(ISNUMBER('Responses'!$AU$2:$AU$501)*('Responses'!$AU$2:$AU$501&lt;Y99)) + SUMPRODUCT(ISNUMBER('Paper sign-ups'!$Y$2:$Y$101)*('Paper sign-ups'!$Y$2:$Y$101&lt;Y99))+1,"")</f>
        <v/>
      </c>
    </row>
    <row r="100">
      <c r="A100" s="30" t="n"/>
      <c r="B100" s="30" t="n"/>
      <c r="C100" s="30" t="n"/>
      <c r="D100" s="37" t="n"/>
      <c r="E100" s="38" t="n"/>
      <c r="F100" s="30" t="n"/>
      <c r="G100" s="30" t="n"/>
      <c r="H100" s="29" t="n"/>
      <c r="I100" s="31">
        <f>TRIM(A100&amp;"")</f>
        <v/>
      </c>
      <c r="J100" s="31">
        <f>TRIM(B100&amp;"")</f>
        <v/>
      </c>
      <c r="K100" s="31">
        <f>IF(I100="","",LOWER(IF(J100&lt;&gt;"",J100,I100)))</f>
        <v/>
      </c>
      <c r="L100" s="31">
        <f>TRIM(C100&amp;"")</f>
        <v/>
      </c>
      <c r="M100" s="31">
        <f>IF(I100="","",IF(UPPER(TRIM(F100&amp;""))="Y","Paid another way","Unpaid"))</f>
        <v/>
      </c>
      <c r="N100" s="31">
        <f>IF(I100="",0,IF(IFERROR(INDEX(Settings!$J$4:$J$14,MATCH(M100,Settings!$I$4:$I$14,0)),"N")="Y",1,0))</f>
        <v/>
      </c>
      <c r="O100" s="32">
        <f>IF(AND(I100&lt;&gt;"",ISNUMBER(D100)),INT(D100),"")</f>
        <v/>
      </c>
      <c r="P100" s="32">
        <f>O100</f>
        <v/>
      </c>
      <c r="Q100" s="31">
        <f>IF(I100="","",IF(ISNUMBER(IFERROR(INDEX(Settings!$G$4:$G$11,MATCH(L100,Settings!$F$4:$F$11,0)),"")),INDEX(Settings!$G$4:$G$11,MATCH(L100,Settings!$F$4:$F$11,0)),Settings!$D$5))</f>
        <v/>
      </c>
      <c r="R100" s="32">
        <f>IF(OR(I100="",NOT(ISNUMBER(P100)),NOT(ISNUMBER(Q100))),"",IF(Q100&lt;=0,"",IF(ISNUMBER(Settings!$D$8),DATE(YEAR(P100)+IF(DATE(YEAR(P100),MONTH(Settings!$D$8),DAY(Settings!$D$8))&gt;P100,0,1),MONTH(Settings!$D$8),DAY(Settings!$D$8)),MIN(DATE(YEAR(P100),MONTH(P100)+Q100,DAY(P100)),DATE(YEAR(P100),MONTH(P100)+Q100+1,0)))))</f>
        <v/>
      </c>
      <c r="S100" s="31">
        <f>IF(ISNUMBER(R100),R100-Settings!$D$4,"")</f>
        <v/>
      </c>
      <c r="T100" s="31">
        <f>IF(ISNUMBER(P100),P100+0.5+ROW()/100000,"")</f>
        <v/>
      </c>
      <c r="U100" s="31">
        <f>IF(OR(K100="",NOT(ISNUMBER(T100))),0,IF(SUMPRODUCT(('Responses'!$AG$2:$AG$501=K100)*('Responses'!$AJ$2:$AJ$501=1)*ISNUMBER('Responses'!$AP$2:$AP$501)*('Responses'!$AP$2:$AP$501&gt;T100)) + SUMPRODUCT(('Paper sign-ups'!$K$2:$K$101=K100)*('Paper sign-ups'!$N$2:$N$101=1)*ISNUMBER('Paper sign-ups'!$T$2:$T$101)*('Paper sign-ups'!$T$2:$T$101&gt;T100))&gt;0,1,0))</f>
        <v/>
      </c>
      <c r="V100" s="31">
        <f>IF(I100="","",IF(U100=1,"Joined again",IF(N100=0,"Unpaid",IF(NOT(ISNUMBER(P100)),"Add a join date",IF(R100="","No reminder",IF(S100&lt;0,"Lapsed",IF(S100&lt;=Settings!$D$6,"Remind soon","Current")))))))</f>
        <v/>
      </c>
      <c r="W100" s="33">
        <f>IF(N100=1,IF(ISNUMBER(E100),E100,0),0)</f>
        <v/>
      </c>
      <c r="X100" s="31">
        <f>IF(AND(I100&lt;&gt;"",U100=0),1,0)</f>
        <v/>
      </c>
      <c r="Y100" s="31">
        <f>IF(X100=0,"",IF(ISNUMBER(R100),R100,100000)+0.5+ROW()/1000000)</f>
        <v/>
      </c>
      <c r="Z100" s="31">
        <f>IF(ISNUMBER(Y100),SUMPRODUCT(ISNUMBER('Responses'!$AU$2:$AU$501)*('Responses'!$AU$2:$AU$501&lt;Y100)) + SUMPRODUCT(ISNUMBER('Paper sign-ups'!$Y$2:$Y$101)*('Paper sign-ups'!$Y$2:$Y$101&lt;Y100))+1,"")</f>
        <v/>
      </c>
    </row>
    <row r="101">
      <c r="A101" s="30" t="n"/>
      <c r="B101" s="30" t="n"/>
      <c r="C101" s="30" t="n"/>
      <c r="D101" s="37" t="n"/>
      <c r="E101" s="38" t="n"/>
      <c r="F101" s="30" t="n"/>
      <c r="G101" s="30" t="n"/>
      <c r="H101" s="29" t="n"/>
      <c r="I101" s="31">
        <f>TRIM(A101&amp;"")</f>
        <v/>
      </c>
      <c r="J101" s="31">
        <f>TRIM(B101&amp;"")</f>
        <v/>
      </c>
      <c r="K101" s="31">
        <f>IF(I101="","",LOWER(IF(J101&lt;&gt;"",J101,I101)))</f>
        <v/>
      </c>
      <c r="L101" s="31">
        <f>TRIM(C101&amp;"")</f>
        <v/>
      </c>
      <c r="M101" s="31">
        <f>IF(I101="","",IF(UPPER(TRIM(F101&amp;""))="Y","Paid another way","Unpaid"))</f>
        <v/>
      </c>
      <c r="N101" s="31">
        <f>IF(I101="",0,IF(IFERROR(INDEX(Settings!$J$4:$J$14,MATCH(M101,Settings!$I$4:$I$14,0)),"N")="Y",1,0))</f>
        <v/>
      </c>
      <c r="O101" s="32">
        <f>IF(AND(I101&lt;&gt;"",ISNUMBER(D101)),INT(D101),"")</f>
        <v/>
      </c>
      <c r="P101" s="32">
        <f>O101</f>
        <v/>
      </c>
      <c r="Q101" s="31">
        <f>IF(I101="","",IF(ISNUMBER(IFERROR(INDEX(Settings!$G$4:$G$11,MATCH(L101,Settings!$F$4:$F$11,0)),"")),INDEX(Settings!$G$4:$G$11,MATCH(L101,Settings!$F$4:$F$11,0)),Settings!$D$5))</f>
        <v/>
      </c>
      <c r="R101" s="32">
        <f>IF(OR(I101="",NOT(ISNUMBER(P101)),NOT(ISNUMBER(Q101))),"",IF(Q101&lt;=0,"",IF(ISNUMBER(Settings!$D$8),DATE(YEAR(P101)+IF(DATE(YEAR(P101),MONTH(Settings!$D$8),DAY(Settings!$D$8))&gt;P101,0,1),MONTH(Settings!$D$8),DAY(Settings!$D$8)),MIN(DATE(YEAR(P101),MONTH(P101)+Q101,DAY(P101)),DATE(YEAR(P101),MONTH(P101)+Q101+1,0)))))</f>
        <v/>
      </c>
      <c r="S101" s="31">
        <f>IF(ISNUMBER(R101),R101-Settings!$D$4,"")</f>
        <v/>
      </c>
      <c r="T101" s="31">
        <f>IF(ISNUMBER(P101),P101+0.5+ROW()/100000,"")</f>
        <v/>
      </c>
      <c r="U101" s="31">
        <f>IF(OR(K101="",NOT(ISNUMBER(T101))),0,IF(SUMPRODUCT(('Responses'!$AG$2:$AG$501=K101)*('Responses'!$AJ$2:$AJ$501=1)*ISNUMBER('Responses'!$AP$2:$AP$501)*('Responses'!$AP$2:$AP$501&gt;T101)) + SUMPRODUCT(('Paper sign-ups'!$K$2:$K$101=K101)*('Paper sign-ups'!$N$2:$N$101=1)*ISNUMBER('Paper sign-ups'!$T$2:$T$101)*('Paper sign-ups'!$T$2:$T$101&gt;T101))&gt;0,1,0))</f>
        <v/>
      </c>
      <c r="V101" s="31">
        <f>IF(I101="","",IF(U101=1,"Joined again",IF(N101=0,"Unpaid",IF(NOT(ISNUMBER(P101)),"Add a join date",IF(R101="","No reminder",IF(S101&lt;0,"Lapsed",IF(S101&lt;=Settings!$D$6,"Remind soon","Current")))))))</f>
        <v/>
      </c>
      <c r="W101" s="33">
        <f>IF(N101=1,IF(ISNUMBER(E101),E101,0),0)</f>
        <v/>
      </c>
      <c r="X101" s="31">
        <f>IF(AND(I101&lt;&gt;"",U101=0),1,0)</f>
        <v/>
      </c>
      <c r="Y101" s="31">
        <f>IF(X101=0,"",IF(ISNUMBER(R101),R101,100000)+0.5+ROW()/1000000)</f>
        <v/>
      </c>
      <c r="Z101" s="31">
        <f>IF(ISNUMBER(Y101),SUMPRODUCT(ISNUMBER('Responses'!$AU$2:$AU$501)*('Responses'!$AU$2:$AU$501&lt;Y101)) + SUMPRODUCT(ISNUMBER('Paper sign-ups'!$Y$2:$Y$101)*('Paper sign-ups'!$Y$2:$Y$101&lt;Y101))+1,"")</f>
        <v/>
      </c>
    </row>
  </sheetData>
  <dataValidations count="2">
    <dataValidation sqref="F2:F101" showDropDown="0" showInputMessage="1" showErrorMessage="1" allowBlank="1" errorTitle="Paid" error="Pick a value from the list. Y once the dues are in." promptTitle="Paid" prompt="Y once the dues are in." type="list" errorStyle="warning">
      <formula1>"Y"</formula1>
    </dataValidation>
    <dataValidation sqref="C2:C101" showDropDown="0" showInputMessage="1" showErrorMessage="1" allowBlank="1" errorTitle="Membership type" error="Pick a value from the list. Pick a type from the Settings tab." promptTitle="Membership type" prompt="Pick a type from the Settings tab." type="list" errorStyle="warning">
      <formula1>Settings!$F$4:$F$11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4" customWidth="1" min="4" max="4"/>
    <col width="3" customWidth="1" min="5" max="5"/>
    <col width="24" customWidth="1" min="6" max="6"/>
    <col width="18" customWidth="1" min="7" max="7"/>
    <col width="3" customWidth="1" min="8" max="8"/>
    <col width="22" customWidth="1" min="9" max="9"/>
    <col width="18" customWidth="1" min="10" max="10"/>
    <col width="3" customWidth="1" min="11" max="11"/>
    <col width="34" customWidth="1" min="12" max="12"/>
    <col width="46" customWidth="1" min="13" max="13"/>
  </cols>
  <sheetData>
    <row r="1">
      <c r="A1" s="39" t="inlineStr">
        <is>
          <t>Settings: your terms, types and column names</t>
        </is>
      </c>
    </row>
    <row r="3" ht="44" customHeight="1">
      <c r="A3" s="3" t="inlineStr">
        <is>
          <t>Setting</t>
        </is>
      </c>
      <c r="B3" s="3" t="inlineStr">
        <is>
          <t>Your number</t>
        </is>
      </c>
      <c r="C3" s="3" t="inlineStr">
        <is>
          <t>Template default</t>
        </is>
      </c>
      <c r="D3" s="3" t="inlineStr">
        <is>
          <t>In use</t>
        </is>
      </c>
      <c r="F3" s="3" t="inlineStr">
        <is>
          <t>Membership type (edit me)</t>
        </is>
      </c>
      <c r="G3" s="3" t="inlineStr">
        <is>
          <t>Term in months (0 = no reminder)</t>
        </is>
      </c>
      <c r="I3" s="3" t="inlineStr">
        <is>
          <t>Payment status</t>
        </is>
      </c>
      <c r="J3" s="3" t="inlineStr">
        <is>
          <t>Counts as paid? (Y/N, edit me)</t>
        </is>
      </c>
      <c r="L3" s="3" t="inlineStr">
        <is>
          <t>Header in your export (edit if you renamed a question)</t>
        </is>
      </c>
      <c r="M3" s="3" t="inlineStr">
        <is>
          <t>What it is</t>
        </is>
      </c>
    </row>
    <row r="4">
      <c r="A4" s="40" t="inlineStr">
        <is>
          <t>As of date (empty = today)</t>
        </is>
      </c>
      <c r="B4" s="41" t="n"/>
      <c r="C4" s="42">
        <f>TODAY()</f>
        <v/>
      </c>
      <c r="D4" s="43">
        <f>IF(ISNUMBER(B4),B4,C4)</f>
        <v/>
      </c>
      <c r="F4" s="30" t="inlineStr">
        <is>
          <t>Individual</t>
        </is>
      </c>
      <c r="G4" s="44" t="n">
        <v>12</v>
      </c>
      <c r="I4" s="45" t="inlineStr">
        <is>
          <t>Paid</t>
        </is>
      </c>
      <c r="J4" s="44" t="inlineStr">
        <is>
          <t>Y</t>
        </is>
      </c>
      <c r="L4" s="30" t="inlineStr">
        <is>
          <t>Full name</t>
        </is>
      </c>
      <c r="M4" s="45" t="inlineStr">
        <is>
          <t>Member's name</t>
        </is>
      </c>
    </row>
    <row r="5">
      <c r="A5" s="40" t="inlineStr">
        <is>
          <t>Default term in months</t>
        </is>
      </c>
      <c r="B5" s="46" t="n"/>
      <c r="C5" s="47" t="n">
        <v>12</v>
      </c>
      <c r="D5" s="21">
        <f>IF(ISNUMBER(B5),B5,C5)</f>
        <v/>
      </c>
      <c r="F5" s="30" t="inlineStr">
        <is>
          <t>Family</t>
        </is>
      </c>
      <c r="G5" s="44" t="n">
        <v>12</v>
      </c>
      <c r="I5" s="45" t="inlineStr">
        <is>
          <t>Partially refunded</t>
        </is>
      </c>
      <c r="J5" s="44" t="inlineStr">
        <is>
          <t>Y</t>
        </is>
      </c>
      <c r="L5" s="30" t="inlineStr">
        <is>
          <t>Email</t>
        </is>
      </c>
      <c r="M5" s="45" t="inlineStr">
        <is>
          <t>Email address (also how the sheet spots a member who joins again)</t>
        </is>
      </c>
    </row>
    <row r="6">
      <c r="A6" s="40" t="inlineStr">
        <is>
          <t>Remind soon window (days)</t>
        </is>
      </c>
      <c r="B6" s="46" t="n"/>
      <c r="C6" s="47" t="n">
        <v>30</v>
      </c>
      <c r="D6" s="21">
        <f>IF(ISNUMBER(B6),B6,C6)</f>
        <v/>
      </c>
      <c r="F6" s="30" t="inlineStr">
        <is>
          <t>Student</t>
        </is>
      </c>
      <c r="G6" s="44" t="n">
        <v>12</v>
      </c>
      <c r="I6" s="45" t="inlineStr">
        <is>
          <t>Check in Stripe</t>
        </is>
      </c>
      <c r="J6" s="44" t="inlineStr">
        <is>
          <t>N</t>
        </is>
      </c>
      <c r="L6" s="30" t="inlineStr">
        <is>
          <t>Membership type</t>
        </is>
      </c>
      <c r="M6" s="45" t="inlineStr">
        <is>
          <t>Membership type question</t>
        </is>
      </c>
    </row>
    <row r="7">
      <c r="F7" s="30" t="inlineStr">
        <is>
          <t>Life member</t>
        </is>
      </c>
      <c r="G7" s="44" t="n">
        <v>0</v>
      </c>
      <c r="I7" s="45" t="inlineStr">
        <is>
          <t>Awaiting payment</t>
        </is>
      </c>
      <c r="J7" s="44" t="inlineStr">
        <is>
          <t>N</t>
        </is>
      </c>
      <c r="L7" s="30" t="inlineStr">
        <is>
          <t>Payment status</t>
        </is>
      </c>
      <c r="M7" s="45" t="inlineStr">
        <is>
          <t>Payment status (only with a Payment block)</t>
        </is>
      </c>
    </row>
    <row r="8">
      <c r="A8" s="40" t="inlineStr">
        <is>
          <t>Remind everyone on (optional date)</t>
        </is>
      </c>
      <c r="B8" s="48" t="n"/>
      <c r="D8" s="49">
        <f>IF(ISNUMBER(B8),B8,"")</f>
        <v/>
      </c>
      <c r="F8" s="30" t="n"/>
      <c r="G8" s="44" t="n"/>
      <c r="I8" s="45" t="inlineStr">
        <is>
          <t>Payment expired</t>
        </is>
      </c>
      <c r="J8" s="44" t="inlineStr">
        <is>
          <t>N</t>
        </is>
      </c>
      <c r="L8" s="30" t="inlineStr">
        <is>
          <t>Payment amount</t>
        </is>
      </c>
      <c r="M8" s="45" t="inlineStr">
        <is>
          <t>Payment amount</t>
        </is>
      </c>
    </row>
    <row r="9">
      <c r="F9" s="30" t="n"/>
      <c r="G9" s="44" t="n"/>
      <c r="I9" s="45" t="inlineStr">
        <is>
          <t>Payment failed</t>
        </is>
      </c>
      <c r="J9" s="44" t="inlineStr">
        <is>
          <t>N</t>
        </is>
      </c>
      <c r="L9" s="30" t="inlineStr">
        <is>
          <t>Refunded amount</t>
        </is>
      </c>
      <c r="M9" s="45" t="inlineStr">
        <is>
          <t>Refunded amount</t>
        </is>
      </c>
    </row>
    <row r="10">
      <c r="F10" s="30" t="n"/>
      <c r="G10" s="44" t="n"/>
      <c r="I10" s="45" t="inlineStr">
        <is>
          <t>Refunded</t>
        </is>
      </c>
      <c r="J10" s="44" t="inlineStr">
        <is>
          <t>N</t>
        </is>
      </c>
      <c r="L10" s="30" t="inlineStr">
        <is>
          <t>Payment paid at</t>
        </is>
      </c>
      <c r="M10" s="45" t="inlineStr">
        <is>
          <t>When the payment went through</t>
        </is>
      </c>
    </row>
    <row r="11">
      <c r="F11" s="30" t="n"/>
      <c r="G11" s="44" t="n"/>
      <c r="I11" s="45" t="inlineStr">
        <is>
          <t>Disputed</t>
        </is>
      </c>
      <c r="J11" s="44" t="inlineStr">
        <is>
          <t>N</t>
        </is>
      </c>
      <c r="L11" s="30" t="inlineStr">
        <is>
          <t>Submitted at</t>
        </is>
      </c>
      <c r="M11" s="45" t="inlineStr">
        <is>
          <t>When the response was submitted</t>
        </is>
      </c>
    </row>
    <row r="12">
      <c r="I12" s="45" t="inlineStr">
        <is>
          <t>No payment status</t>
        </is>
      </c>
      <c r="J12" s="44" t="inlineStr">
        <is>
          <t>Y</t>
        </is>
      </c>
    </row>
    <row r="13">
      <c r="F13" s="14" t="inlineStr">
        <is>
          <t>A type not listed here uses the default term.</t>
        </is>
      </c>
      <c r="I13" s="45" t="inlineStr">
        <is>
          <t>Paid another way</t>
        </is>
      </c>
      <c r="J13" s="44" t="inlineStr">
        <is>
          <t>Y</t>
        </is>
      </c>
      <c r="L13" s="14" t="inlineStr">
        <is>
          <t>The sheet finds columns by these names, so column order does not matter.</t>
        </is>
      </c>
    </row>
    <row r="14">
      <c r="I14" s="45" t="inlineStr">
        <is>
          <t>Unpaid</t>
        </is>
      </c>
      <c r="J14" s="44" t="inlineStr">
        <is>
          <t>N</t>
        </is>
      </c>
    </row>
    <row r="15">
      <c r="I15" s="14" t="inlineStr">
        <is>
          <t>The first eight come from your export. No payment status: a row with no payment columns, such as a Google Sheets row or a price of 0.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2026-10-28T15:44:38Z</dcterms:created>
  <dcterms:modified xmlns:dcterms="http://purl.org/dc/terms/" xmlns:xsi="http://www.w3.org/2001/XMLSchema-instance" xsi:type="dcterms:W3CDTF">2026-10-28T15:44:40Z</dcterms:modified>
</cp:coreProperties>
</file>