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ubric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Applications" sheetId="4" state="visible" r:id="rId4"/>
    <sheet xmlns:r="http://schemas.openxmlformats.org/officeDocument/2006/relationships" name="Scores" sheetId="5" state="visible" r:id="rId5"/>
    <sheet xmlns:r="http://schemas.openxmlformats.org/officeDocument/2006/relationships" name="Gaps" sheetId="6" state="visible" r:id="rId6"/>
    <sheet xmlns:r="http://schemas.openxmlformats.org/officeDocument/2006/relationships" name="Summary" sheetId="7" state="visible" r:id="rId7"/>
    <sheet xmlns:r="http://schemas.openxmlformats.org/officeDocument/2006/relationships" name="Rankin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"/>
  </numFmts>
  <fonts count="15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i val="1"/>
      <color rgb="005E5468"/>
      <sz val="10"/>
    </font>
    <font>
      <name val="Arial"/>
      <b val="1"/>
      <color rgb="005E5468"/>
      <sz val="10"/>
    </font>
    <font>
      <name val="Arial"/>
      <color rgb="005E5468"/>
      <sz val="9"/>
    </font>
    <font>
      <name val="Arial"/>
      <b val="1"/>
      <color rgb="008A1C12"/>
      <sz val="11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0" pivotButton="0" quotePrefix="0" xfId="0"/>
    <xf numFmtId="0" fontId="5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9" fontId="5" fillId="4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3" fillId="7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/>
    </xf>
    <xf numFmtId="0" fontId="11" fillId="0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3" fontId="5" fillId="3" borderId="1" applyAlignment="1" pivotButton="0" quotePrefix="0" xfId="0">
      <alignment horizontal="center"/>
    </xf>
    <xf numFmtId="3" fontId="11" fillId="0" borderId="1" applyAlignment="1" pivotButton="0" quotePrefix="0" xfId="0">
      <alignment horizontal="center"/>
    </xf>
    <xf numFmtId="3" fontId="5" fillId="4" borderId="1" applyAlignment="1" pivotButton="0" quotePrefix="0" xfId="0">
      <alignment horizontal="center"/>
    </xf>
    <xf numFmtId="0" fontId="3" fillId="6" borderId="1" applyAlignment="1" pivotButton="0" quotePrefix="0" xfId="0">
      <alignment vertical="center" wrapText="1"/>
    </xf>
    <xf numFmtId="0" fontId="6" fillId="0" borderId="1" pivotButton="0" quotePrefix="0" xfId="0"/>
    <xf numFmtId="0" fontId="11" fillId="3" borderId="1" pivotButton="0" quotePrefix="0" xfId="0"/>
    <xf numFmtId="3" fontId="11" fillId="3" borderId="1" pivotButton="0" quotePrefix="0" xfId="0"/>
    <xf numFmtId="0" fontId="6" fillId="3" borderId="1" pivotButton="0" quotePrefix="0" xfId="0"/>
    <xf numFmtId="3" fontId="6" fillId="3" borderId="1" pivotButton="0" quotePrefix="0" xfId="0"/>
    <xf numFmtId="0" fontId="12" fillId="4" borderId="1" pivotButton="0" quotePrefix="0" xfId="0"/>
    <xf numFmtId="0" fontId="0" fillId="4" borderId="1" pivotButton="0" quotePrefix="0" xfId="0"/>
    <xf numFmtId="0" fontId="11" fillId="3" borderId="1" applyAlignment="1" pivotButton="0" quotePrefix="0" xfId="0">
      <alignment horizontal="center"/>
    </xf>
    <xf numFmtId="0" fontId="6" fillId="4" borderId="1" pivotButton="0" quotePrefix="0" xfId="0"/>
    <xf numFmtId="0" fontId="6" fillId="4" borderId="1" applyAlignment="1" pivotButton="0" quotePrefix="0" xfId="0">
      <alignment horizontal="center"/>
    </xf>
    <xf numFmtId="164" fontId="5" fillId="4" borderId="1" applyAlignment="1" pivotButton="0" quotePrefix="0" xfId="0">
      <alignment horizontal="center"/>
    </xf>
    <xf numFmtId="0" fontId="13" fillId="4" borderId="1" applyAlignment="1" pivotButton="0" quotePrefix="0" xfId="0">
      <alignment horizontal="center"/>
    </xf>
    <xf numFmtId="0" fontId="14" fillId="0" borderId="0" pivotButton="0" quotePrefix="0" xfId="0"/>
    <xf numFmtId="0" fontId="6" fillId="4" borderId="1" applyAlignment="1" pivotButton="0" quotePrefix="0" xfId="0">
      <alignment horizontal="left"/>
    </xf>
    <xf numFmtId="3" fontId="6" fillId="4" borderId="1" applyAlignment="1" pivotButton="0" quotePrefix="0" xfId="0">
      <alignment horizontal="center"/>
    </xf>
    <xf numFmtId="164" fontId="6" fillId="4" borderId="1" applyAlignment="1" pivotButton="0" quotePrefix="0" xfId="0">
      <alignment horizontal="center"/>
    </xf>
    <xf numFmtId="165" fontId="13" fillId="4" borderId="1" pivotButton="0" quotePrefix="0" xfId="0"/>
    <xf numFmtId="0" fontId="5" fillId="0" borderId="1" pivotButton="0" quotePrefix="0" xfId="0"/>
    <xf numFmtId="3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HornetForms</author>
  </authors>
  <commentList>
    <comment ref="C4" authorId="0" shapeId="0">
      <text>
        <t>Any positive number. The sheet turns weights into shares, so 25, 20, 20, 15, 10, 10 and 5, 4, 4, 3, 2, 2 give the same result. Leave it empty to switch the criterion off.</t>
      </text>
    </comment>
    <comment ref="F4" authorId="0" shapeId="0">
      <text>
        <t>Score 0 when the application does not address the criterion at all.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C5" authorId="0" shapeId="0">
      <text>
        <t>How many reviewers should score each application before you decide. Leave empty to use the example in the next column.</t>
      </text>
    </comment>
    <comment ref="C6" authorId="0" shapeId="0">
      <text>
        <t>Flag an application when its highest and lowest reviewer scores are this far apart, or further. Leave empty to use the example in the next column.</t>
      </text>
    </comment>
    <comment ref="C7" authorId="0" shapeId="0">
      <text>
        <t>Flag an application when two reviewers are this far apart on any one criterion, or further. Leave empty to use the example in the next column.</t>
      </text>
    </comment>
    <comment ref="C8" authorId="0" shapeId="0">
      <text>
        <t>The total you can give out this round. The Ranking tab checks the running total against it. Leave empty to use the example in the next column.</t>
      </text>
    </comment>
    <comment ref="C12" authorId="0" shapeId="0">
      <text>
        <t>Up to six names. Each name must be different. The example names Ana, Ben and Chris go with the example scores: replace them with your own.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A1" authorId="0" shapeId="0">
      <text>
        <t>A short, unique ID such as G-001. Reviewers pick it on the Scores tab. Example IDs start with EXAMPLE.</t>
      </text>
    </comment>
    <comment ref="D1" authorId="0" shapeId="0">
      <text>
        <t>A plain number, such as 2500. Text such as $2,500 is skipped in totals.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C1" authorId="0" shapeId="0">
      <text>
        <t>Pick "Yes, I step out" if you, your family or your employer has a link to this applicant. Leave the scores blank. The row then never counts.</t>
      </text>
    </comment>
    <comment ref="O1" authorId="0" shapeId="0">
      <text>
        <t>Counted, or the reason a row does not count: Check ID (not on Applications), Check reviewer (not on Settings), Conflict, not counted, Duplicate, not counted, Check scores (a number outside 0 to 4), Incomplete (a weighted criterion has no score) or Add weights on Rubric.</t>
      </text>
    </comment>
    <comment ref="P1" authorId="0" shapeId="0">
      <text>
        <t>Sum of score x weight, divided by 4 x the sum of the weights, times 100. Rounded to one decimal place.</t>
      </text>
    </comment>
  </commentList>
</comments>
</file>

<file path=xl/comments/comment5.xml><?xml version="1.0" encoding="utf-8"?>
<comments xmlns="http://schemas.openxmlformats.org/spreadsheetml/2006/main">
  <authors>
    <author>HornetForms</author>
  </authors>
  <commentList>
    <comment ref="C1" authorId="0" shapeId="0">
      <text>
        <t>Highest minus lowest score (0 to 4) that counted reviewers gave this criterion. Empty until two reviewers count, or when the criterion has no weight.</t>
      </text>
    </comment>
  </commentList>
</comments>
</file>

<file path=xl/comments/comment6.xml><?xml version="1.0" encoding="utf-8"?>
<comments xmlns="http://schemas.openxmlformats.org/spreadsheetml/2006/main">
  <authors>
    <author>HornetForms</author>
  </authors>
  <commentList>
    <comment ref="F2" authorId="0" shapeId="0">
      <text>
        <t>Each reviewer's weighted score out of 100 for this application. Empty when the reviewer has no counted row for it.</t>
      </text>
    </comment>
    <comment ref="Q2" authorId="0" shapeId="0">
      <text>
        <t>Ready: enough counted reviews and no big disagreement. Talk it through: the spread or a one-criterion gap reached your numbers on Settings. Needs more reviews: fewer counted reviews than you asked for.</t>
      </text>
    </comment>
  </commentList>
</comments>
</file>

<file path=xl/comments/comment7.xml><?xml version="1.0" encoding="utf-8"?>
<comments xmlns="http://schemas.openxmlformats.org/spreadsheetml/2006/main">
  <authors>
    <author>HornetForms</author>
  </authors>
  <commentList>
    <comment ref="G8" authorId="0" shapeId="0">
      <text>
        <t>The amount requested by this application and every one above it. Compare it with the money available to see where the line falls.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Grant scoring rubric</t>
        </is>
      </c>
    </row>
    <row r="3">
      <c r="B3" s="2" t="inlineStr">
        <is>
          <t>Score grant applications against one rubric, compare reviewers and rank the results.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Set the rubric</t>
        </is>
      </c>
      <c r="D6" s="6" t="inlineStr">
        <is>
          <t>On Rubric, change the criteria, weights and the 0 to 4 descriptions to match your fund. Weights are shares, so they do not have to add up to 100. Give a criterion no weight to switch it off. Share this tab with applicants before they apply.</t>
        </is>
      </c>
    </row>
    <row r="7" ht="44" customHeight="1">
      <c r="B7" s="4" t="n">
        <v>2</v>
      </c>
      <c r="C7" s="5" t="inlineStr">
        <is>
          <t>Add your numbers and reviewers</t>
        </is>
      </c>
      <c r="D7" s="6" t="inlineStr">
        <is>
          <t>On Settings, type your own numbers in the yellow column (or keep the examples) and list up to six reviewer names.</t>
        </is>
      </c>
    </row>
    <row r="8" ht="44" customHeight="1">
      <c r="B8" s="4" t="n">
        <v>3</v>
      </c>
      <c r="C8" s="5" t="inlineStr">
        <is>
          <t>List the applications</t>
        </is>
      </c>
      <c r="D8" s="6" t="inlineStr">
        <is>
          <t>On Applications, give each application a short ID and type the organisation, project and amount requested. Copy them from your form responses or your Google Sheets rows.</t>
        </is>
      </c>
    </row>
    <row r="9" ht="51" customHeight="1">
      <c r="B9" s="4" t="n">
        <v>4</v>
      </c>
      <c r="C9" s="5" t="inlineStr">
        <is>
          <t>Score</t>
        </is>
      </c>
      <c r="D9" s="6" t="inlineStr">
        <is>
          <t>On Scores, each reviewer adds one row per application: pick the ID and their name, say whether they have a conflict of interest, then score each criterion 0 to 4. Someone with a conflict picks "Yes, I step out" and leaves the scores blank.</t>
        </is>
      </c>
    </row>
    <row r="10" ht="51" customHeight="1">
      <c r="B10" s="4" t="n">
        <v>5</v>
      </c>
      <c r="C10" s="5" t="inlineStr">
        <is>
          <t>Compare</t>
        </is>
      </c>
      <c r="D10" s="6" t="inlineStr">
        <is>
          <t>Summary shows each reviewer's score, the average, the spread and the biggest gap on one criterion. "Talk it through" means reviewers disagree by your set gap or more: talk before you decide. Gaps shows which criterion they disagree on.</t>
        </is>
      </c>
    </row>
    <row r="11" ht="51" customHeight="1">
      <c r="B11" s="4" t="n">
        <v>6</v>
      </c>
      <c r="C11" s="5" t="inlineStr">
        <is>
          <t>Decide</t>
        </is>
      </c>
      <c r="D11" s="6" t="inlineStr">
        <is>
          <t>Ranking lists applications by average score, with a running total of the money requested. Type your decision and the amount awarded on Summary. The scores guide you; your panel makes the call.</t>
        </is>
      </c>
    </row>
    <row r="12"/>
    <row r="13">
      <c r="B13" s="7" t="inlineStr">
        <is>
          <t>Colour key</t>
        </is>
      </c>
    </row>
    <row r="14">
      <c r="C14" s="8" t="inlineStr">
        <is>
          <t>Yellow</t>
        </is>
      </c>
      <c r="D14" s="9" t="inlineStr">
        <is>
          <t>You type or pick here.</t>
        </is>
      </c>
    </row>
    <row r="15">
      <c r="C15" s="10" t="inlineStr">
        <is>
          <t>Grey</t>
        </is>
      </c>
      <c r="D15" s="9" t="inlineStr">
        <is>
          <t>Worked out for you. Please do not type here.</t>
        </is>
      </c>
    </row>
    <row r="16">
      <c r="C16" s="11" t="inlineStr">
        <is>
          <t>Dark</t>
        </is>
      </c>
      <c r="D16" s="9" t="inlineStr">
        <is>
          <t>Column names. Please keep them as they are.</t>
        </is>
      </c>
    </row>
    <row r="17"/>
    <row r="18">
      <c r="B18" s="7" t="inlineStr">
        <is>
          <t>Good to know</t>
        </is>
      </c>
    </row>
    <row r="19" ht="34" customHeight="1">
      <c r="C19" s="12" t="inlineStr">
        <is>
          <t>Scores are 0 to 4 on every criterion. A weighted score turns them into a number out of 100: the sum of score x weight, divided by 4 x the sum of the weights, times 100.</t>
        </is>
      </c>
    </row>
    <row r="20" ht="48" customHeight="1">
      <c r="C20" s="12" t="inlineStr">
        <is>
          <t>A reviewer's row counts only when every criterion with a weight has a score. The Status column on Scores tells you why a row does not count: Check ID, Check reviewer, Conflict, not counted, Duplicate, not counted, Check scores, Incomplete or Add weights on Rubric.</t>
        </is>
      </c>
    </row>
    <row r="21" ht="28" customHeight="1">
      <c r="C21" s="12" t="inlineStr">
        <is>
          <t>A second row for the same reviewer and application does not count. Fix the first row instead.</t>
        </is>
      </c>
    </row>
    <row r="22" ht="28" customHeight="1">
      <c r="C22" s="12" t="inlineStr">
        <is>
          <t>Ties share a rank on Summary. On Ranking, a tie goes to the application listed first.</t>
        </is>
      </c>
    </row>
    <row r="23" ht="34" customHeight="1">
      <c r="C23" s="12" t="inlineStr">
        <is>
          <t>Only Excel 2007-era functions are used, so the file works in Excel and Google Sheets. Dropdowns use warning mode: Excel lets you keep a value that is not in the list.</t>
        </is>
      </c>
    </row>
    <row r="24"/>
    <row r="25">
      <c r="B25" s="7" t="inlineStr">
        <is>
          <t>Example data</t>
        </is>
      </c>
    </row>
    <row r="26" ht="32" customHeight="1">
      <c r="C26" s="13" t="inlineStr">
        <is>
          <t>Rows marked EXAMPLE are made up. Delete the example applications, scores and reviewer names, then add your own. The red warning on Summary disappears when no EXAMPLE IDs are left.</t>
        </is>
      </c>
    </row>
    <row r="27"/>
    <row r="28" ht="26" customHeight="1">
      <c r="C28" s="14" t="inlineStr">
        <is>
          <t>The rubric and how to use it: https://hornetforms.com/blog/grant-application-questions</t>
        </is>
      </c>
    </row>
    <row r="29">
      <c r="C29" s="15" t="inlineStr">
        <is>
          <t>Made by HornetForms, https://hornetforms.com/blog/grant-application-questions</t>
        </is>
      </c>
    </row>
  </sheetData>
  <mergeCells count="7">
    <mergeCell ref="C20:D20"/>
    <mergeCell ref="C21:D21"/>
    <mergeCell ref="C19:D19"/>
    <mergeCell ref="C26:D26"/>
    <mergeCell ref="C28:D28"/>
    <mergeCell ref="C22:D22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A4A00"/>
    <outlinePr summaryBelow="1" summaryRight="1"/>
    <pageSetUpPr/>
  </sheetPr>
  <dimension ref="A1:J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9" customWidth="1" min="3" max="3"/>
    <col width="11" customWidth="1" min="4" max="4"/>
    <col width="30" customWidth="1" min="5" max="5"/>
    <col width="22" customWidth="1" min="6" max="6"/>
    <col width="22" customWidth="1" min="7" max="7"/>
    <col width="22" customWidth="1" min="8" max="8"/>
    <col width="22" customWidth="1" min="9" max="9"/>
    <col width="24" customWidth="1" min="10" max="10"/>
  </cols>
  <sheetData>
    <row r="1">
      <c r="A1" s="16" t="inlineStr">
        <is>
          <t>Rubric: criteria, weights and what each score means</t>
        </is>
      </c>
    </row>
    <row r="2">
      <c r="A2" s="17" t="inlineStr">
        <is>
          <t>Yellow cells are yours. Weights are shares of the total. A criterion with no weight is switched off. Show this tab to applicants so they know how you score.</t>
        </is>
      </c>
    </row>
    <row r="3">
      <c r="A3" s="18">
        <f>"Criteria in use: "&amp;COUNTIF(C5:C12,"&gt;0")&amp;". Weights add up to "&amp;SUM(C5:C12)&amp;"."</f>
        <v/>
      </c>
    </row>
    <row r="4" ht="30" customHeight="1">
      <c r="A4" s="3" t="inlineStr">
        <is>
          <t>#</t>
        </is>
      </c>
      <c r="B4" s="3" t="inlineStr">
        <is>
          <t>Criterion</t>
        </is>
      </c>
      <c r="C4" s="3" t="inlineStr">
        <is>
          <t>Weight</t>
        </is>
      </c>
      <c r="D4" s="3" t="inlineStr">
        <is>
          <t>Share of the score</t>
        </is>
      </c>
      <c r="E4" s="3" t="inlineStr">
        <is>
          <t>What reviewers look for</t>
        </is>
      </c>
      <c r="F4" s="3" t="inlineStr">
        <is>
          <t>0 Not shown</t>
        </is>
      </c>
      <c r="G4" s="3" t="inlineStr">
        <is>
          <t>1 Weak</t>
        </is>
      </c>
      <c r="H4" s="3" t="inlineStr">
        <is>
          <t>2 Fair</t>
        </is>
      </c>
      <c r="I4" s="3" t="inlineStr">
        <is>
          <t>3 Good</t>
        </is>
      </c>
      <c r="J4" s="3" t="inlineStr">
        <is>
          <t>4 Strong</t>
        </is>
      </c>
    </row>
    <row r="5" ht="62" customHeight="1">
      <c r="A5" s="19" t="n">
        <v>1</v>
      </c>
      <c r="B5" s="20" t="inlineStr">
        <is>
          <t>Need</t>
        </is>
      </c>
      <c r="C5" s="20" t="n">
        <v>25</v>
      </c>
      <c r="D5" s="21">
        <f>IF(AND(ISNUMBER(C5),SUM($C$5:$C$12)&gt;0),C5/SUM($C$5:$C$12),"")</f>
        <v/>
      </c>
      <c r="E5" s="22" t="inlineStr">
        <is>
          <t>Who the project serves, and how the applicant knows the need is real.</t>
        </is>
      </c>
      <c r="F5" s="22" t="inlineStr">
        <is>
          <t>No need is described.</t>
        </is>
      </c>
      <c r="G5" s="22" t="inlineStr">
        <is>
          <t>The need is stated but not explained.</t>
        </is>
      </c>
      <c r="H5" s="22" t="inlineStr">
        <is>
          <t>The need is described, with little evidence.</t>
        </is>
      </c>
      <c r="I5" s="22" t="inlineStr">
        <is>
          <t>A clear need, with some local evidence such as numbers, a waiting list or quotes.</t>
        </is>
      </c>
      <c r="J5" s="22" t="inlineStr">
        <is>
          <t>A clear, specific need, backed by local evidence and the words of the people affected.</t>
        </is>
      </c>
    </row>
    <row r="6" ht="62" customHeight="1">
      <c r="A6" s="19" t="n">
        <v>2</v>
      </c>
      <c r="B6" s="20" t="inlineStr">
        <is>
          <t>Plan</t>
        </is>
      </c>
      <c r="C6" s="20" t="n">
        <v>20</v>
      </c>
      <c r="D6" s="21">
        <f>IF(AND(ISNUMBER(C6),SUM($C$5:$C$12)&gt;0),C6/SUM($C$5:$C$12),"")</f>
        <v/>
      </c>
      <c r="E6" s="22" t="inlineStr">
        <is>
          <t>The activities, the timeline and who does the work.</t>
        </is>
      </c>
      <c r="F6" s="22" t="inlineStr">
        <is>
          <t>No plan is given.</t>
        </is>
      </c>
      <c r="G6" s="22" t="inlineStr">
        <is>
          <t>Activities are listed, with no timeline or roles.</t>
        </is>
      </c>
      <c r="H6" s="22" t="inlineStr">
        <is>
          <t>A plan is there, but it has gaps or looks hard to finish in time.</t>
        </is>
      </c>
      <c r="I6" s="22" t="inlineStr">
        <is>
          <t>A realistic plan with a timeline and named roles.</t>
        </is>
      </c>
      <c r="J6" s="22" t="inlineStr">
        <is>
          <t>A realistic, detailed plan with clear roles, and the risks are thought through.</t>
        </is>
      </c>
    </row>
    <row r="7" ht="62" customHeight="1">
      <c r="A7" s="19" t="n">
        <v>3</v>
      </c>
      <c r="B7" s="20" t="inlineStr">
        <is>
          <t>Outcomes</t>
        </is>
      </c>
      <c r="C7" s="20" t="n">
        <v>20</v>
      </c>
      <c r="D7" s="21">
        <f>IF(AND(ISNUMBER(C7),SUM($C$5:$C$12)&gt;0),C7/SUM($C$5:$C$12),"")</f>
        <v/>
      </c>
      <c r="E7" s="22" t="inlineStr">
        <is>
          <t>What will change, for how many people, and how the applicant will know.</t>
        </is>
      </c>
      <c r="F7" s="22" t="inlineStr">
        <is>
          <t>No outcomes are given.</t>
        </is>
      </c>
      <c r="G7" s="22" t="inlineStr">
        <is>
          <t>Outcomes are vague, such as "help the community".</t>
        </is>
      </c>
      <c r="H7" s="22" t="inlineStr">
        <is>
          <t>Outcomes are named, but there is no way to tell if they happened.</t>
        </is>
      </c>
      <c r="I7" s="22" t="inlineStr">
        <is>
          <t>Clear outcomes with a simple way to count or check them.</t>
        </is>
      </c>
      <c r="J7" s="22" t="inlineStr">
        <is>
          <t>Clear, realistic outcomes with numbers, and a plan to check and report them.</t>
        </is>
      </c>
    </row>
    <row r="8" ht="62" customHeight="1">
      <c r="A8" s="19" t="n">
        <v>4</v>
      </c>
      <c r="B8" s="20" t="inlineStr">
        <is>
          <t>Budget</t>
        </is>
      </c>
      <c r="C8" s="20" t="n">
        <v>15</v>
      </c>
      <c r="D8" s="21">
        <f>IF(AND(ISNUMBER(C8),SUM($C$5:$C$12)&gt;0),C8/SUM($C$5:$C$12),"")</f>
        <v/>
      </c>
      <c r="E8" s="22" t="inlineStr">
        <is>
          <t>Costs are reasonable and tied to the activities.</t>
        </is>
      </c>
      <c r="F8" s="22" t="inlineStr">
        <is>
          <t>No budget is attached.</t>
        </is>
      </c>
      <c r="G8" s="22" t="inlineStr">
        <is>
          <t>A total only, or costs that do not match the plan.</t>
        </is>
      </c>
      <c r="H8" s="22" t="inlineStr">
        <is>
          <t>Costs are listed, but some look high, low or unexplained.</t>
        </is>
      </c>
      <c r="I8" s="22" t="inlineStr">
        <is>
          <t>Costs are reasonable and match the plan.</t>
        </is>
      </c>
      <c r="J8" s="22" t="inlineStr">
        <is>
          <t>Costs are reasonable, match the plan, and show other funding or in-kind help.</t>
        </is>
      </c>
    </row>
    <row r="9" ht="62" customHeight="1">
      <c r="A9" s="19" t="n">
        <v>5</v>
      </c>
      <c r="B9" s="20" t="inlineStr">
        <is>
          <t>Capacity</t>
        </is>
      </c>
      <c r="C9" s="20" t="n">
        <v>10</v>
      </c>
      <c r="D9" s="21">
        <f>IF(AND(ISNUMBER(C9),SUM($C$5:$C$12)&gt;0),C9/SUM($C$5:$C$12),"")</f>
        <v/>
      </c>
      <c r="E9" s="22" t="inlineStr">
        <is>
          <t>The group can deliver: experience, partners, volunteers.</t>
        </is>
      </c>
      <c r="F9" s="22" t="inlineStr">
        <is>
          <t>Nothing shows the group can deliver.</t>
        </is>
      </c>
      <c r="G9" s="22" t="inlineStr">
        <is>
          <t>Little experience, and no partners named.</t>
        </is>
      </c>
      <c r="H9" s="22" t="inlineStr">
        <is>
          <t>Some experience, or a partner, but gaps remain.</t>
        </is>
      </c>
      <c r="I9" s="22" t="inlineStr">
        <is>
          <t>Relevant experience and the people to do the work.</t>
        </is>
      </c>
      <c r="J9" s="22" t="inlineStr">
        <is>
          <t>A track record of similar work, with named partners and volunteers.</t>
        </is>
      </c>
    </row>
    <row r="10" ht="62" customHeight="1">
      <c r="A10" s="19" t="n">
        <v>6</v>
      </c>
      <c r="B10" s="20" t="inlineStr">
        <is>
          <t>Sustainability</t>
        </is>
      </c>
      <c r="C10" s="20" t="n">
        <v>10</v>
      </c>
      <c r="D10" s="21">
        <f>IF(AND(ISNUMBER(C10),SUM($C$5:$C$12)&gt;0),C10/SUM($C$5:$C$12),"")</f>
        <v/>
      </c>
      <c r="E10" s="22" t="inlineStr">
        <is>
          <t>What happens after the grant money is spent.</t>
        </is>
      </c>
      <c r="F10" s="22" t="inlineStr">
        <is>
          <t>Not addressed.</t>
        </is>
      </c>
      <c r="G10" s="22" t="inlineStr">
        <is>
          <t>"We will look for more funding" and nothing more.</t>
        </is>
      </c>
      <c r="H10" s="22" t="inlineStr">
        <is>
          <t>One idea for keeping it going, with no detail.</t>
        </is>
      </c>
      <c r="I10" s="22" t="inlineStr">
        <is>
          <t>A believable plan to keep it going or wrap it up well.</t>
        </is>
      </c>
      <c r="J10" s="22" t="inlineStr">
        <is>
          <t>A clear plan with named sources of support, or a one-off project that leaves something lasting.</t>
        </is>
      </c>
    </row>
    <row r="11" ht="62" customHeight="1">
      <c r="A11" s="19" t="n">
        <v>7</v>
      </c>
      <c r="B11" s="20" t="n"/>
      <c r="C11" s="20" t="n"/>
      <c r="D11" s="21">
        <f>IF(AND(ISNUMBER(C11),SUM($C$5:$C$12)&gt;0),C11/SUM($C$5:$C$12),"")</f>
        <v/>
      </c>
      <c r="E11" s="22" t="n"/>
      <c r="F11" s="22" t="n"/>
      <c r="G11" s="22" t="n"/>
      <c r="H11" s="22" t="n"/>
      <c r="I11" s="22" t="n"/>
      <c r="J11" s="22" t="n"/>
    </row>
    <row r="12" ht="62" customHeight="1">
      <c r="A12" s="19" t="n">
        <v>8</v>
      </c>
      <c r="B12" s="20" t="n"/>
      <c r="C12" s="20" t="n"/>
      <c r="D12" s="21">
        <f>IF(AND(ISNUMBER(C12),SUM($C$5:$C$12)&gt;0),C12/SUM($C$5:$C$12),"")</f>
        <v/>
      </c>
      <c r="E12" s="22" t="n"/>
      <c r="F12" s="22" t="n"/>
      <c r="G12" s="22" t="n"/>
      <c r="H12" s="22" t="n"/>
      <c r="I12" s="22" t="n"/>
      <c r="J12" s="22" t="n"/>
    </row>
  </sheetData>
  <dataValidations count="1">
    <dataValidation sqref="C5:C12" showDropDown="0" showInputMessage="1" showErrorMessage="1" allowBlank="1" errorTitle="Weight" error="Type a whole number from 0 to 1000." promptTitle="Weight" prompt="A whole number. Empty or 0 switches the criterion off." type="whole" errorStyle="warning" operator="between">
      <formula1>0</formula1>
      <formula2>1000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30" customWidth="1" min="3" max="3"/>
    <col width="22" customWidth="1" min="4" max="4"/>
    <col width="12" customWidth="1" min="5" max="5"/>
    <col width="3" customWidth="1" min="6" max="6"/>
    <col width="18" customWidth="1" min="7" max="7"/>
    <col width="14" customWidth="1" min="8" max="8"/>
  </cols>
  <sheetData>
    <row r="1">
      <c r="A1" s="16" t="inlineStr">
        <is>
          <t>Settings and reviewers</t>
        </is>
      </c>
    </row>
    <row r="2">
      <c r="A2" s="17" t="inlineStr">
        <is>
          <t>Type your own number in the yellow column, or leave it empty to use the example.</t>
        </is>
      </c>
    </row>
    <row r="3">
      <c r="G3" s="23" t="inlineStr">
        <is>
          <t>Conflict options</t>
        </is>
      </c>
      <c r="H3" s="23" t="inlineStr">
        <is>
          <t>Decisions</t>
        </is>
      </c>
    </row>
    <row r="4" ht="32" customHeight="1">
      <c r="B4" s="3" t="inlineStr">
        <is>
          <t>Setting</t>
        </is>
      </c>
      <c r="C4" s="3" t="inlineStr">
        <is>
          <t>Your number</t>
        </is>
      </c>
      <c r="D4" s="3" t="inlineStr">
        <is>
          <t>Template default (example)</t>
        </is>
      </c>
      <c r="E4" s="3" t="inlineStr">
        <is>
          <t>In use</t>
        </is>
      </c>
      <c r="G4" s="9" t="inlineStr">
        <is>
          <t>No</t>
        </is>
      </c>
      <c r="H4" s="9" t="inlineStr">
        <is>
          <t>Fund</t>
        </is>
      </c>
    </row>
    <row r="5">
      <c r="B5" s="24" t="inlineStr">
        <is>
          <t>Reviews needed per application</t>
        </is>
      </c>
      <c r="C5" s="25" t="n"/>
      <c r="D5" s="26" t="n">
        <v>3</v>
      </c>
      <c r="E5" s="27">
        <f>IF(ISNUMBER(C5),C5,D5)</f>
        <v/>
      </c>
      <c r="G5" s="9" t="inlineStr">
        <is>
          <t>Yes, I step out</t>
        </is>
      </c>
      <c r="H5" s="9" t="inlineStr">
        <is>
          <t>Part fund</t>
        </is>
      </c>
    </row>
    <row r="6">
      <c r="B6" s="24" t="inlineStr">
        <is>
          <t>Spread that needs a talk (points out of 100)</t>
        </is>
      </c>
      <c r="C6" s="25" t="n"/>
      <c r="D6" s="26" t="n">
        <v>20</v>
      </c>
      <c r="E6" s="27">
        <f>IF(ISNUMBER(C6),C6,D6)</f>
        <v/>
      </c>
      <c r="H6" s="9" t="inlineStr">
        <is>
          <t>Hold</t>
        </is>
      </c>
    </row>
    <row r="7">
      <c r="B7" s="24" t="inlineStr">
        <is>
          <t>Gap on one criterion that needs a talk (0 to 4)</t>
        </is>
      </c>
      <c r="C7" s="25" t="n"/>
      <c r="D7" s="26" t="n">
        <v>2</v>
      </c>
      <c r="E7" s="27">
        <f>IF(ISNUMBER(C7),C7,D7)</f>
        <v/>
      </c>
      <c r="H7" s="9" t="inlineStr">
        <is>
          <t>Decline</t>
        </is>
      </c>
    </row>
    <row r="8">
      <c r="B8" s="24" t="inlineStr">
        <is>
          <t>Money available to award</t>
        </is>
      </c>
      <c r="C8" s="28" t="n"/>
      <c r="D8" s="29" t="n">
        <v>10000</v>
      </c>
      <c r="E8" s="30">
        <f>IF(ISNUMBER(C8),C8,D8)</f>
        <v/>
      </c>
    </row>
    <row r="12">
      <c r="B12" s="3" t="inlineStr">
        <is>
          <t>Reviewer</t>
        </is>
      </c>
      <c r="C12" s="31" t="inlineStr">
        <is>
          <t>Name (as reviewers pick it on Scores)</t>
        </is>
      </c>
    </row>
    <row r="13">
      <c r="B13" s="32" t="inlineStr">
        <is>
          <t>Reviewer 1</t>
        </is>
      </c>
      <c r="C13" s="33" t="inlineStr">
        <is>
          <t>Ana</t>
        </is>
      </c>
    </row>
    <row r="14">
      <c r="B14" s="32" t="inlineStr">
        <is>
          <t>Reviewer 2</t>
        </is>
      </c>
      <c r="C14" s="33" t="inlineStr">
        <is>
          <t>Ben</t>
        </is>
      </c>
    </row>
    <row r="15">
      <c r="B15" s="32" t="inlineStr">
        <is>
          <t>Reviewer 3</t>
        </is>
      </c>
      <c r="C15" s="33" t="inlineStr">
        <is>
          <t>Chris</t>
        </is>
      </c>
    </row>
    <row r="16">
      <c r="B16" s="32" t="inlineStr">
        <is>
          <t>Reviewer 4</t>
        </is>
      </c>
      <c r="C16" s="8" t="n"/>
    </row>
    <row r="17">
      <c r="B17" s="32" t="inlineStr">
        <is>
          <t>Reviewer 5</t>
        </is>
      </c>
      <c r="C17" s="8" t="n"/>
    </row>
    <row r="18">
      <c r="B18" s="32" t="inlineStr">
        <is>
          <t>Reviewer 6</t>
        </is>
      </c>
      <c r="C18" s="8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36" customWidth="1" min="3" max="3"/>
    <col width="16" customWidth="1" min="4" max="4"/>
    <col width="40" customWidth="1" min="5" max="5"/>
  </cols>
  <sheetData>
    <row r="1">
      <c r="A1" s="31" t="inlineStr">
        <is>
          <t>Application ID</t>
        </is>
      </c>
      <c r="B1" s="31" t="inlineStr">
        <is>
          <t>Organisation</t>
        </is>
      </c>
      <c r="C1" s="31" t="inlineStr">
        <is>
          <t>Project</t>
        </is>
      </c>
      <c r="D1" s="31" t="inlineStr">
        <is>
          <t>Amount requested</t>
        </is>
      </c>
      <c r="E1" s="31" t="inlineStr">
        <is>
          <t>Notes</t>
        </is>
      </c>
    </row>
    <row r="2">
      <c r="A2" s="33" t="inlineStr">
        <is>
          <t>EXAMPLE-01</t>
        </is>
      </c>
      <c r="B2" s="33" t="inlineStr">
        <is>
          <t>Riverside Food Pantry</t>
        </is>
      </c>
      <c r="C2" s="33" t="inlineStr">
        <is>
          <t>Weekend food bags for 60 families</t>
        </is>
      </c>
      <c r="D2" s="34" t="n">
        <v>4800</v>
      </c>
      <c r="E2" s="35" t="n"/>
    </row>
    <row r="3">
      <c r="A3" s="33" t="inlineStr">
        <is>
          <t>EXAMPLE-02</t>
        </is>
      </c>
      <c r="B3" s="33" t="inlineStr">
        <is>
          <t>Maple Street PTA</t>
        </is>
      </c>
      <c r="C3" s="33" t="inlineStr">
        <is>
          <t>After-school reading club</t>
        </is>
      </c>
      <c r="D3" s="34" t="n">
        <v>2500</v>
      </c>
      <c r="E3" s="35" t="n"/>
    </row>
    <row r="4">
      <c r="A4" s="33" t="inlineStr">
        <is>
          <t>EXAMPLE-03</t>
        </is>
      </c>
      <c r="B4" s="33" t="inlineStr">
        <is>
          <t>Northside Youth Soccer</t>
        </is>
      </c>
      <c r="C4" s="33" t="inlineStr">
        <is>
          <t>Kit and coach training</t>
        </is>
      </c>
      <c r="D4" s="34" t="n">
        <v>6000</v>
      </c>
      <c r="E4" s="35" t="n"/>
    </row>
    <row r="5">
      <c r="A5" s="33" t="inlineStr">
        <is>
          <t>EXAMPLE-04</t>
        </is>
      </c>
      <c r="B5" s="33" t="inlineStr">
        <is>
          <t>Hillview Seniors Club</t>
        </is>
      </c>
      <c r="C5" s="33" t="inlineStr">
        <is>
          <t>Tablet lessons for members</t>
        </is>
      </c>
      <c r="D5" s="34" t="n">
        <v>3200</v>
      </c>
      <c r="E5" s="35" t="n"/>
    </row>
    <row r="6">
      <c r="A6" s="33" t="inlineStr">
        <is>
          <t>EXAMPLE-05</t>
        </is>
      </c>
      <c r="B6" s="33" t="inlineStr">
        <is>
          <t>Eastside Community Garden</t>
        </is>
      </c>
      <c r="C6" s="33" t="inlineStr">
        <is>
          <t>Raised beds and tools</t>
        </is>
      </c>
      <c r="D6" s="34" t="n">
        <v>1800</v>
      </c>
      <c r="E6" s="35" t="n"/>
    </row>
    <row r="7">
      <c r="A7" s="33" t="inlineStr">
        <is>
          <t>EXAMPLE-06</t>
        </is>
      </c>
      <c r="B7" s="33" t="inlineStr">
        <is>
          <t>Friends of the Library</t>
        </is>
      </c>
      <c r="C7" s="33" t="inlineStr">
        <is>
          <t>Summer reading prizes</t>
        </is>
      </c>
      <c r="D7" s="34" t="n">
        <v>1200</v>
      </c>
      <c r="E7" s="35" t="n"/>
    </row>
    <row r="8">
      <c r="A8" s="35" t="n"/>
      <c r="B8" s="35" t="n"/>
      <c r="C8" s="35" t="n"/>
      <c r="D8" s="36" t="n"/>
      <c r="E8" s="35" t="n"/>
    </row>
    <row r="9">
      <c r="A9" s="35" t="n"/>
      <c r="B9" s="35" t="n"/>
      <c r="C9" s="35" t="n"/>
      <c r="D9" s="36" t="n"/>
      <c r="E9" s="35" t="n"/>
    </row>
    <row r="10">
      <c r="A10" s="35" t="n"/>
      <c r="B10" s="35" t="n"/>
      <c r="C10" s="35" t="n"/>
      <c r="D10" s="36" t="n"/>
      <c r="E10" s="35" t="n"/>
    </row>
    <row r="11">
      <c r="A11" s="35" t="n"/>
      <c r="B11" s="35" t="n"/>
      <c r="C11" s="35" t="n"/>
      <c r="D11" s="36" t="n"/>
      <c r="E11" s="35" t="n"/>
    </row>
    <row r="12">
      <c r="A12" s="35" t="n"/>
      <c r="B12" s="35" t="n"/>
      <c r="C12" s="35" t="n"/>
      <c r="D12" s="36" t="n"/>
      <c r="E12" s="35" t="n"/>
    </row>
    <row r="13">
      <c r="A13" s="35" t="n"/>
      <c r="B13" s="35" t="n"/>
      <c r="C13" s="35" t="n"/>
      <c r="D13" s="36" t="n"/>
      <c r="E13" s="35" t="n"/>
    </row>
    <row r="14">
      <c r="A14" s="35" t="n"/>
      <c r="B14" s="35" t="n"/>
      <c r="C14" s="35" t="n"/>
      <c r="D14" s="36" t="n"/>
      <c r="E14" s="35" t="n"/>
    </row>
    <row r="15">
      <c r="A15" s="35" t="n"/>
      <c r="B15" s="35" t="n"/>
      <c r="C15" s="35" t="n"/>
      <c r="D15" s="36" t="n"/>
      <c r="E15" s="35" t="n"/>
    </row>
    <row r="16">
      <c r="A16" s="35" t="n"/>
      <c r="B16" s="35" t="n"/>
      <c r="C16" s="35" t="n"/>
      <c r="D16" s="36" t="n"/>
      <c r="E16" s="35" t="n"/>
    </row>
    <row r="17">
      <c r="A17" s="35" t="n"/>
      <c r="B17" s="35" t="n"/>
      <c r="C17" s="35" t="n"/>
      <c r="D17" s="36" t="n"/>
      <c r="E17" s="35" t="n"/>
    </row>
    <row r="18">
      <c r="A18" s="35" t="n"/>
      <c r="B18" s="35" t="n"/>
      <c r="C18" s="35" t="n"/>
      <c r="D18" s="36" t="n"/>
      <c r="E18" s="35" t="n"/>
    </row>
    <row r="19">
      <c r="A19" s="35" t="n"/>
      <c r="B19" s="35" t="n"/>
      <c r="C19" s="35" t="n"/>
      <c r="D19" s="36" t="n"/>
      <c r="E19" s="35" t="n"/>
    </row>
    <row r="20">
      <c r="A20" s="35" t="n"/>
      <c r="B20" s="35" t="n"/>
      <c r="C20" s="35" t="n"/>
      <c r="D20" s="36" t="n"/>
      <c r="E20" s="35" t="n"/>
    </row>
    <row r="21">
      <c r="A21" s="35" t="n"/>
      <c r="B21" s="35" t="n"/>
      <c r="C21" s="35" t="n"/>
      <c r="D21" s="36" t="n"/>
      <c r="E21" s="35" t="n"/>
    </row>
    <row r="22">
      <c r="A22" s="35" t="n"/>
      <c r="B22" s="35" t="n"/>
      <c r="C22" s="35" t="n"/>
      <c r="D22" s="36" t="n"/>
      <c r="E22" s="35" t="n"/>
    </row>
    <row r="23">
      <c r="A23" s="35" t="n"/>
      <c r="B23" s="35" t="n"/>
      <c r="C23" s="35" t="n"/>
      <c r="D23" s="36" t="n"/>
      <c r="E23" s="35" t="n"/>
    </row>
    <row r="24">
      <c r="A24" s="35" t="n"/>
      <c r="B24" s="35" t="n"/>
      <c r="C24" s="35" t="n"/>
      <c r="D24" s="36" t="n"/>
      <c r="E24" s="35" t="n"/>
    </row>
    <row r="25">
      <c r="A25" s="35" t="n"/>
      <c r="B25" s="35" t="n"/>
      <c r="C25" s="35" t="n"/>
      <c r="D25" s="36" t="n"/>
      <c r="E25" s="35" t="n"/>
    </row>
    <row r="26">
      <c r="A26" s="35" t="n"/>
      <c r="B26" s="35" t="n"/>
      <c r="C26" s="35" t="n"/>
      <c r="D26" s="36" t="n"/>
      <c r="E26" s="35" t="n"/>
    </row>
    <row r="27">
      <c r="A27" s="35" t="n"/>
      <c r="B27" s="35" t="n"/>
      <c r="C27" s="35" t="n"/>
      <c r="D27" s="36" t="n"/>
      <c r="E27" s="35" t="n"/>
    </row>
    <row r="28">
      <c r="A28" s="35" t="n"/>
      <c r="B28" s="35" t="n"/>
      <c r="C28" s="35" t="n"/>
      <c r="D28" s="36" t="n"/>
      <c r="E28" s="35" t="n"/>
    </row>
    <row r="29">
      <c r="A29" s="35" t="n"/>
      <c r="B29" s="35" t="n"/>
      <c r="C29" s="35" t="n"/>
      <c r="D29" s="36" t="n"/>
      <c r="E29" s="35" t="n"/>
    </row>
    <row r="30">
      <c r="A30" s="35" t="n"/>
      <c r="B30" s="35" t="n"/>
      <c r="C30" s="35" t="n"/>
      <c r="D30" s="36" t="n"/>
      <c r="E30" s="35" t="n"/>
    </row>
    <row r="31">
      <c r="A31" s="35" t="n"/>
      <c r="B31" s="35" t="n"/>
      <c r="C31" s="35" t="n"/>
      <c r="D31" s="36" t="n"/>
      <c r="E31" s="35" t="n"/>
    </row>
    <row r="32">
      <c r="A32" s="35" t="n"/>
      <c r="B32" s="35" t="n"/>
      <c r="C32" s="35" t="n"/>
      <c r="D32" s="36" t="n"/>
      <c r="E32" s="35" t="n"/>
    </row>
    <row r="33">
      <c r="A33" s="35" t="n"/>
      <c r="B33" s="35" t="n"/>
      <c r="C33" s="35" t="n"/>
      <c r="D33" s="36" t="n"/>
      <c r="E33" s="35" t="n"/>
    </row>
    <row r="34">
      <c r="A34" s="35" t="n"/>
      <c r="B34" s="35" t="n"/>
      <c r="C34" s="35" t="n"/>
      <c r="D34" s="36" t="n"/>
      <c r="E34" s="35" t="n"/>
    </row>
    <row r="35">
      <c r="A35" s="35" t="n"/>
      <c r="B35" s="35" t="n"/>
      <c r="C35" s="35" t="n"/>
      <c r="D35" s="36" t="n"/>
      <c r="E35" s="35" t="n"/>
    </row>
    <row r="36">
      <c r="A36" s="35" t="n"/>
      <c r="B36" s="35" t="n"/>
      <c r="C36" s="35" t="n"/>
      <c r="D36" s="36" t="n"/>
      <c r="E36" s="35" t="n"/>
    </row>
    <row r="37">
      <c r="A37" s="35" t="n"/>
      <c r="B37" s="35" t="n"/>
      <c r="C37" s="35" t="n"/>
      <c r="D37" s="36" t="n"/>
      <c r="E37" s="35" t="n"/>
    </row>
    <row r="38">
      <c r="A38" s="35" t="n"/>
      <c r="B38" s="35" t="n"/>
      <c r="C38" s="35" t="n"/>
      <c r="D38" s="36" t="n"/>
      <c r="E38" s="35" t="n"/>
    </row>
    <row r="39">
      <c r="A39" s="35" t="n"/>
      <c r="B39" s="35" t="n"/>
      <c r="C39" s="35" t="n"/>
      <c r="D39" s="36" t="n"/>
      <c r="E39" s="35" t="n"/>
    </row>
    <row r="40">
      <c r="A40" s="35" t="n"/>
      <c r="B40" s="35" t="n"/>
      <c r="C40" s="35" t="n"/>
      <c r="D40" s="36" t="n"/>
      <c r="E40" s="35" t="n"/>
    </row>
    <row r="41">
      <c r="A41" s="35" t="n"/>
      <c r="B41" s="35" t="n"/>
      <c r="C41" s="35" t="n"/>
      <c r="D41" s="36" t="n"/>
      <c r="E41" s="35" t="n"/>
    </row>
    <row r="42">
      <c r="A42" s="35" t="n"/>
      <c r="B42" s="35" t="n"/>
      <c r="C42" s="35" t="n"/>
      <c r="D42" s="36" t="n"/>
      <c r="E42" s="35" t="n"/>
    </row>
    <row r="43">
      <c r="A43" s="35" t="n"/>
      <c r="B43" s="35" t="n"/>
      <c r="C43" s="35" t="n"/>
      <c r="D43" s="36" t="n"/>
      <c r="E43" s="35" t="n"/>
    </row>
    <row r="44">
      <c r="A44" s="35" t="n"/>
      <c r="B44" s="35" t="n"/>
      <c r="C44" s="35" t="n"/>
      <c r="D44" s="36" t="n"/>
      <c r="E44" s="35" t="n"/>
    </row>
    <row r="45">
      <c r="A45" s="35" t="n"/>
      <c r="B45" s="35" t="n"/>
      <c r="C45" s="35" t="n"/>
      <c r="D45" s="36" t="n"/>
      <c r="E45" s="35" t="n"/>
    </row>
    <row r="46">
      <c r="A46" s="35" t="n"/>
      <c r="B46" s="35" t="n"/>
      <c r="C46" s="35" t="n"/>
      <c r="D46" s="36" t="n"/>
      <c r="E46" s="35" t="n"/>
    </row>
    <row r="47">
      <c r="A47" s="35" t="n"/>
      <c r="B47" s="35" t="n"/>
      <c r="C47" s="35" t="n"/>
      <c r="D47" s="36" t="n"/>
      <c r="E47" s="35" t="n"/>
    </row>
    <row r="48">
      <c r="A48" s="35" t="n"/>
      <c r="B48" s="35" t="n"/>
      <c r="C48" s="35" t="n"/>
      <c r="D48" s="36" t="n"/>
      <c r="E48" s="35" t="n"/>
    </row>
    <row r="49">
      <c r="A49" s="35" t="n"/>
      <c r="B49" s="35" t="n"/>
      <c r="C49" s="35" t="n"/>
      <c r="D49" s="36" t="n"/>
      <c r="E49" s="35" t="n"/>
    </row>
    <row r="50">
      <c r="A50" s="35" t="n"/>
      <c r="B50" s="35" t="n"/>
      <c r="C50" s="35" t="n"/>
      <c r="D50" s="36" t="n"/>
      <c r="E50" s="35" t="n"/>
    </row>
    <row r="51">
      <c r="A51" s="35" t="n"/>
      <c r="B51" s="35" t="n"/>
      <c r="C51" s="35" t="n"/>
      <c r="D51" s="36" t="n"/>
      <c r="E51" s="35" t="n"/>
    </row>
    <row r="52">
      <c r="A52" s="35" t="n"/>
      <c r="B52" s="35" t="n"/>
      <c r="C52" s="35" t="n"/>
      <c r="D52" s="36" t="n"/>
      <c r="E52" s="35" t="n"/>
    </row>
    <row r="53">
      <c r="A53" s="35" t="n"/>
      <c r="B53" s="35" t="n"/>
      <c r="C53" s="35" t="n"/>
      <c r="D53" s="36" t="n"/>
      <c r="E53" s="35" t="n"/>
    </row>
    <row r="54">
      <c r="A54" s="35" t="n"/>
      <c r="B54" s="35" t="n"/>
      <c r="C54" s="35" t="n"/>
      <c r="D54" s="36" t="n"/>
      <c r="E54" s="35" t="n"/>
    </row>
    <row r="55">
      <c r="A55" s="35" t="n"/>
      <c r="B55" s="35" t="n"/>
      <c r="C55" s="35" t="n"/>
      <c r="D55" s="36" t="n"/>
      <c r="E55" s="35" t="n"/>
    </row>
    <row r="56">
      <c r="A56" s="35" t="n"/>
      <c r="B56" s="35" t="n"/>
      <c r="C56" s="35" t="n"/>
      <c r="D56" s="36" t="n"/>
      <c r="E56" s="35" t="n"/>
    </row>
    <row r="57">
      <c r="A57" s="35" t="n"/>
      <c r="B57" s="35" t="n"/>
      <c r="C57" s="35" t="n"/>
      <c r="D57" s="36" t="n"/>
      <c r="E57" s="35" t="n"/>
    </row>
    <row r="58">
      <c r="A58" s="35" t="n"/>
      <c r="B58" s="35" t="n"/>
      <c r="C58" s="35" t="n"/>
      <c r="D58" s="36" t="n"/>
      <c r="E58" s="35" t="n"/>
    </row>
    <row r="59">
      <c r="A59" s="35" t="n"/>
      <c r="B59" s="35" t="n"/>
      <c r="C59" s="35" t="n"/>
      <c r="D59" s="36" t="n"/>
      <c r="E59" s="35" t="n"/>
    </row>
    <row r="60">
      <c r="A60" s="35" t="n"/>
      <c r="B60" s="35" t="n"/>
      <c r="C60" s="35" t="n"/>
      <c r="D60" s="36" t="n"/>
      <c r="E60" s="35" t="n"/>
    </row>
    <row r="61">
      <c r="A61" s="35" t="n"/>
      <c r="B61" s="35" t="n"/>
      <c r="C61" s="35" t="n"/>
      <c r="D61" s="36" t="n"/>
      <c r="E61" s="35" t="n"/>
    </row>
    <row r="62">
      <c r="A62" s="35" t="n"/>
      <c r="B62" s="35" t="n"/>
      <c r="C62" s="35" t="n"/>
      <c r="D62" s="36" t="n"/>
      <c r="E62" s="35" t="n"/>
    </row>
    <row r="63">
      <c r="A63" s="35" t="n"/>
      <c r="B63" s="35" t="n"/>
      <c r="C63" s="35" t="n"/>
      <c r="D63" s="36" t="n"/>
      <c r="E63" s="35" t="n"/>
    </row>
    <row r="64">
      <c r="A64" s="35" t="n"/>
      <c r="B64" s="35" t="n"/>
      <c r="C64" s="35" t="n"/>
      <c r="D64" s="36" t="n"/>
      <c r="E64" s="35" t="n"/>
    </row>
    <row r="65">
      <c r="A65" s="35" t="n"/>
      <c r="B65" s="35" t="n"/>
      <c r="C65" s="35" t="n"/>
      <c r="D65" s="36" t="n"/>
      <c r="E65" s="35" t="n"/>
    </row>
    <row r="66">
      <c r="A66" s="35" t="n"/>
      <c r="B66" s="35" t="n"/>
      <c r="C66" s="35" t="n"/>
      <c r="D66" s="36" t="n"/>
      <c r="E66" s="35" t="n"/>
    </row>
    <row r="67">
      <c r="A67" s="35" t="n"/>
      <c r="B67" s="35" t="n"/>
      <c r="C67" s="35" t="n"/>
      <c r="D67" s="36" t="n"/>
      <c r="E67" s="35" t="n"/>
    </row>
    <row r="68">
      <c r="A68" s="35" t="n"/>
      <c r="B68" s="35" t="n"/>
      <c r="C68" s="35" t="n"/>
      <c r="D68" s="36" t="n"/>
      <c r="E68" s="35" t="n"/>
    </row>
    <row r="69">
      <c r="A69" s="35" t="n"/>
      <c r="B69" s="35" t="n"/>
      <c r="C69" s="35" t="n"/>
      <c r="D69" s="36" t="n"/>
      <c r="E69" s="35" t="n"/>
    </row>
    <row r="70">
      <c r="A70" s="35" t="n"/>
      <c r="B70" s="35" t="n"/>
      <c r="C70" s="35" t="n"/>
      <c r="D70" s="36" t="n"/>
      <c r="E70" s="35" t="n"/>
    </row>
    <row r="71">
      <c r="A71" s="35" t="n"/>
      <c r="B71" s="35" t="n"/>
      <c r="C71" s="35" t="n"/>
      <c r="D71" s="36" t="n"/>
      <c r="E71" s="35" t="n"/>
    </row>
    <row r="72">
      <c r="A72" s="35" t="n"/>
      <c r="B72" s="35" t="n"/>
      <c r="C72" s="35" t="n"/>
      <c r="D72" s="36" t="n"/>
      <c r="E72" s="35" t="n"/>
    </row>
    <row r="73">
      <c r="A73" s="35" t="n"/>
      <c r="B73" s="35" t="n"/>
      <c r="C73" s="35" t="n"/>
      <c r="D73" s="36" t="n"/>
      <c r="E73" s="35" t="n"/>
    </row>
    <row r="74">
      <c r="A74" s="35" t="n"/>
      <c r="B74" s="35" t="n"/>
      <c r="C74" s="35" t="n"/>
      <c r="D74" s="36" t="n"/>
      <c r="E74" s="35" t="n"/>
    </row>
    <row r="75">
      <c r="A75" s="35" t="n"/>
      <c r="B75" s="35" t="n"/>
      <c r="C75" s="35" t="n"/>
      <c r="D75" s="36" t="n"/>
      <c r="E75" s="35" t="n"/>
    </row>
    <row r="76">
      <c r="A76" s="35" t="n"/>
      <c r="B76" s="35" t="n"/>
      <c r="C76" s="35" t="n"/>
      <c r="D76" s="36" t="n"/>
      <c r="E76" s="35" t="n"/>
    </row>
    <row r="77">
      <c r="A77" s="35" t="n"/>
      <c r="B77" s="35" t="n"/>
      <c r="C77" s="35" t="n"/>
      <c r="D77" s="36" t="n"/>
      <c r="E77" s="35" t="n"/>
    </row>
    <row r="78">
      <c r="A78" s="35" t="n"/>
      <c r="B78" s="35" t="n"/>
      <c r="C78" s="35" t="n"/>
      <c r="D78" s="36" t="n"/>
      <c r="E78" s="35" t="n"/>
    </row>
    <row r="79">
      <c r="A79" s="35" t="n"/>
      <c r="B79" s="35" t="n"/>
      <c r="C79" s="35" t="n"/>
      <c r="D79" s="36" t="n"/>
      <c r="E79" s="35" t="n"/>
    </row>
    <row r="80">
      <c r="A80" s="35" t="n"/>
      <c r="B80" s="35" t="n"/>
      <c r="C80" s="35" t="n"/>
      <c r="D80" s="36" t="n"/>
      <c r="E80" s="35" t="n"/>
    </row>
    <row r="81">
      <c r="A81" s="35" t="n"/>
      <c r="B81" s="35" t="n"/>
      <c r="C81" s="35" t="n"/>
      <c r="D81" s="36" t="n"/>
      <c r="E81" s="35" t="n"/>
    </row>
    <row r="82">
      <c r="A82" s="35" t="n"/>
      <c r="B82" s="35" t="n"/>
      <c r="C82" s="35" t="n"/>
      <c r="D82" s="36" t="n"/>
      <c r="E82" s="35" t="n"/>
    </row>
    <row r="83">
      <c r="A83" s="35" t="n"/>
      <c r="B83" s="35" t="n"/>
      <c r="C83" s="35" t="n"/>
      <c r="D83" s="36" t="n"/>
      <c r="E83" s="35" t="n"/>
    </row>
    <row r="84">
      <c r="A84" s="35" t="n"/>
      <c r="B84" s="35" t="n"/>
      <c r="C84" s="35" t="n"/>
      <c r="D84" s="36" t="n"/>
      <c r="E84" s="35" t="n"/>
    </row>
    <row r="85">
      <c r="A85" s="35" t="n"/>
      <c r="B85" s="35" t="n"/>
      <c r="C85" s="35" t="n"/>
      <c r="D85" s="36" t="n"/>
      <c r="E85" s="35" t="n"/>
    </row>
    <row r="86">
      <c r="A86" s="35" t="n"/>
      <c r="B86" s="35" t="n"/>
      <c r="C86" s="35" t="n"/>
      <c r="D86" s="36" t="n"/>
      <c r="E86" s="35" t="n"/>
    </row>
    <row r="87">
      <c r="A87" s="35" t="n"/>
      <c r="B87" s="35" t="n"/>
      <c r="C87" s="35" t="n"/>
      <c r="D87" s="36" t="n"/>
      <c r="E87" s="35" t="n"/>
    </row>
    <row r="88">
      <c r="A88" s="35" t="n"/>
      <c r="B88" s="35" t="n"/>
      <c r="C88" s="35" t="n"/>
      <c r="D88" s="36" t="n"/>
      <c r="E88" s="35" t="n"/>
    </row>
    <row r="89">
      <c r="A89" s="35" t="n"/>
      <c r="B89" s="35" t="n"/>
      <c r="C89" s="35" t="n"/>
      <c r="D89" s="36" t="n"/>
      <c r="E89" s="35" t="n"/>
    </row>
    <row r="90">
      <c r="A90" s="35" t="n"/>
      <c r="B90" s="35" t="n"/>
      <c r="C90" s="35" t="n"/>
      <c r="D90" s="36" t="n"/>
      <c r="E90" s="35" t="n"/>
    </row>
    <row r="91">
      <c r="A91" s="35" t="n"/>
      <c r="B91" s="35" t="n"/>
      <c r="C91" s="35" t="n"/>
      <c r="D91" s="36" t="n"/>
      <c r="E91" s="35" t="n"/>
    </row>
    <row r="92">
      <c r="A92" s="35" t="n"/>
      <c r="B92" s="35" t="n"/>
      <c r="C92" s="35" t="n"/>
      <c r="D92" s="36" t="n"/>
      <c r="E92" s="35" t="n"/>
    </row>
    <row r="93">
      <c r="A93" s="35" t="n"/>
      <c r="B93" s="35" t="n"/>
      <c r="C93" s="35" t="n"/>
      <c r="D93" s="36" t="n"/>
      <c r="E93" s="35" t="n"/>
    </row>
    <row r="94">
      <c r="A94" s="35" t="n"/>
      <c r="B94" s="35" t="n"/>
      <c r="C94" s="35" t="n"/>
      <c r="D94" s="36" t="n"/>
      <c r="E94" s="35" t="n"/>
    </row>
    <row r="95">
      <c r="A95" s="35" t="n"/>
      <c r="B95" s="35" t="n"/>
      <c r="C95" s="35" t="n"/>
      <c r="D95" s="36" t="n"/>
      <c r="E95" s="35" t="n"/>
    </row>
    <row r="96">
      <c r="A96" s="35" t="n"/>
      <c r="B96" s="35" t="n"/>
      <c r="C96" s="35" t="n"/>
      <c r="D96" s="36" t="n"/>
      <c r="E96" s="35" t="n"/>
    </row>
    <row r="97">
      <c r="A97" s="35" t="n"/>
      <c r="B97" s="35" t="n"/>
      <c r="C97" s="35" t="n"/>
      <c r="D97" s="36" t="n"/>
      <c r="E97" s="35" t="n"/>
    </row>
    <row r="98">
      <c r="A98" s="35" t="n"/>
      <c r="B98" s="35" t="n"/>
      <c r="C98" s="35" t="n"/>
      <c r="D98" s="36" t="n"/>
      <c r="E98" s="35" t="n"/>
    </row>
    <row r="99">
      <c r="A99" s="35" t="n"/>
      <c r="B99" s="35" t="n"/>
      <c r="C99" s="35" t="n"/>
      <c r="D99" s="36" t="n"/>
      <c r="E99" s="35" t="n"/>
    </row>
    <row r="100">
      <c r="A100" s="35" t="n"/>
      <c r="B100" s="35" t="n"/>
      <c r="C100" s="35" t="n"/>
      <c r="D100" s="36" t="n"/>
      <c r="E100" s="35" t="n"/>
    </row>
    <row r="101">
      <c r="A101" s="35" t="n"/>
      <c r="B101" s="35" t="n"/>
      <c r="C101" s="35" t="n"/>
      <c r="D101" s="36" t="n"/>
      <c r="E101" s="35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7A4A00"/>
    <outlinePr summaryBelow="1" summaryRight="1"/>
    <pageSetUpPr/>
  </sheetPr>
  <dimension ref="A1:Y502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3" customWidth="1" min="2" max="2"/>
    <col width="17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30" customWidth="1" min="12" max="12"/>
    <col width="26" customWidth="1" min="13" max="13"/>
    <col width="10" customWidth="1" min="14" max="14"/>
    <col width="22" customWidth="1" min="15" max="15"/>
    <col width="13" customWidth="1" min="16" max="16"/>
    <col width="9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</cols>
  <sheetData>
    <row r="1" ht="44" customHeight="1">
      <c r="A1" s="31" t="inlineStr">
        <is>
          <t>Application ID</t>
        </is>
      </c>
      <c r="B1" s="31" t="inlineStr">
        <is>
          <t>Reviewer</t>
        </is>
      </c>
      <c r="C1" s="31" t="inlineStr">
        <is>
          <t>Conflict of interest?</t>
        </is>
      </c>
      <c r="D1" s="31">
        <f>IF(Rubric!$B$5="","Criterion 1 (not used)",Rubric!$B$5)</f>
        <v/>
      </c>
      <c r="E1" s="31">
        <f>IF(Rubric!$B$6="","Criterion 2 (not used)",Rubric!$B$6)</f>
        <v/>
      </c>
      <c r="F1" s="31">
        <f>IF(Rubric!$B$7="","Criterion 3 (not used)",Rubric!$B$7)</f>
        <v/>
      </c>
      <c r="G1" s="31">
        <f>IF(Rubric!$B$8="","Criterion 4 (not used)",Rubric!$B$8)</f>
        <v/>
      </c>
      <c r="H1" s="31">
        <f>IF(Rubric!$B$9="","Criterion 5 (not used)",Rubric!$B$9)</f>
        <v/>
      </c>
      <c r="I1" s="31">
        <f>IF(Rubric!$B$10="","Criterion 6 (not used)",Rubric!$B$10)</f>
        <v/>
      </c>
      <c r="J1" s="31">
        <f>IF(Rubric!$B$11="","Criterion 7 (not used)",Rubric!$B$11)</f>
        <v/>
      </c>
      <c r="K1" s="31">
        <f>IF(Rubric!$B$12="","Criterion 8 (not used)",Rubric!$B$12)</f>
        <v/>
      </c>
      <c r="L1" s="31" t="inlineStr">
        <is>
          <t>Comment</t>
        </is>
      </c>
      <c r="M1" s="3" t="inlineStr">
        <is>
          <t>Organisation</t>
        </is>
      </c>
      <c r="N1" s="3" t="inlineStr">
        <is>
          <t>Criteria scored</t>
        </is>
      </c>
      <c r="O1" s="3" t="inlineStr">
        <is>
          <t>Status</t>
        </is>
      </c>
      <c r="P1" s="3" t="inlineStr">
        <is>
          <t>Weighted score (0 to 100)</t>
        </is>
      </c>
      <c r="Q1" s="3" t="inlineStr">
        <is>
          <t>Counts (1 or 0)</t>
        </is>
      </c>
      <c r="R1" s="23" t="inlineStr">
        <is>
          <t>Helper: criterion 1 score as a number</t>
        </is>
      </c>
      <c r="S1" s="23" t="inlineStr">
        <is>
          <t>Helper: criterion 2 score as a number</t>
        </is>
      </c>
      <c r="T1" s="23" t="inlineStr">
        <is>
          <t>Helper: criterion 3 score as a number</t>
        </is>
      </c>
      <c r="U1" s="23" t="inlineStr">
        <is>
          <t>Helper: criterion 4 score as a number</t>
        </is>
      </c>
      <c r="V1" s="23" t="inlineStr">
        <is>
          <t>Helper: criterion 5 score as a number</t>
        </is>
      </c>
      <c r="W1" s="23" t="inlineStr">
        <is>
          <t>Helper: criterion 6 score as a number</t>
        </is>
      </c>
      <c r="X1" s="23" t="inlineStr">
        <is>
          <t>Helper: criterion 7 score as a number</t>
        </is>
      </c>
      <c r="Y1" s="23" t="inlineStr">
        <is>
          <t>Helper: criterion 8 score as a number</t>
        </is>
      </c>
    </row>
    <row r="2">
      <c r="A2" s="37" t="inlineStr">
        <is>
          <t>Weight from the Rubric tab</t>
        </is>
      </c>
      <c r="B2" s="37" t="n"/>
      <c r="C2" s="37" t="n"/>
      <c r="D2" s="27">
        <f>IF(ISNUMBER(Rubric!$C$5),Rubric!$C$5,0)</f>
        <v/>
      </c>
      <c r="E2" s="27">
        <f>IF(ISNUMBER(Rubric!$C$6),Rubric!$C$6,0)</f>
        <v/>
      </c>
      <c r="F2" s="27">
        <f>IF(ISNUMBER(Rubric!$C$7),Rubric!$C$7,0)</f>
        <v/>
      </c>
      <c r="G2" s="27">
        <f>IF(ISNUMBER(Rubric!$C$8),Rubric!$C$8,0)</f>
        <v/>
      </c>
      <c r="H2" s="27">
        <f>IF(ISNUMBER(Rubric!$C$9),Rubric!$C$9,0)</f>
        <v/>
      </c>
      <c r="I2" s="27">
        <f>IF(ISNUMBER(Rubric!$C$10),Rubric!$C$10,0)</f>
        <v/>
      </c>
      <c r="J2" s="27">
        <f>IF(ISNUMBER(Rubric!$C$11),Rubric!$C$11,0)</f>
        <v/>
      </c>
      <c r="K2" s="27">
        <f>IF(ISNUMBER(Rubric!$C$12),Rubric!$C$12,0)</f>
        <v/>
      </c>
      <c r="L2" s="38" t="n"/>
      <c r="M2" s="38" t="n"/>
      <c r="N2" s="38" t="n"/>
      <c r="O2" s="38" t="n"/>
      <c r="P2" s="38" t="n"/>
      <c r="Q2" s="38" t="n"/>
      <c r="R2" s="38" t="n"/>
      <c r="S2" s="38" t="n"/>
      <c r="T2" s="38" t="n"/>
      <c r="U2" s="38" t="n"/>
      <c r="V2" s="38" t="n"/>
      <c r="W2" s="38" t="n"/>
      <c r="X2" s="38" t="n"/>
      <c r="Y2" s="38" t="n"/>
    </row>
    <row r="3">
      <c r="A3" s="33" t="inlineStr">
        <is>
          <t>EXAMPLE-01</t>
        </is>
      </c>
      <c r="B3" s="33" t="inlineStr">
        <is>
          <t>Ana</t>
        </is>
      </c>
      <c r="C3" s="33" t="inlineStr">
        <is>
          <t>No</t>
        </is>
      </c>
      <c r="D3" s="39" t="n">
        <v>4</v>
      </c>
      <c r="E3" s="39" t="n">
        <v>3</v>
      </c>
      <c r="F3" s="39" t="n">
        <v>3</v>
      </c>
      <c r="G3" s="39" t="n">
        <v>4</v>
      </c>
      <c r="H3" s="39" t="n">
        <v>3</v>
      </c>
      <c r="I3" s="39" t="n">
        <v>3</v>
      </c>
      <c r="J3" s="39" t="n"/>
      <c r="K3" s="39" t="n"/>
      <c r="L3" s="33" t="inlineStr">
        <is>
          <t>Strong local numbers.</t>
        </is>
      </c>
      <c r="M3" s="40">
        <f>IF(A3="","",IFERROR(INDEX(Applications!$B$2:$B$101,MATCH(A3,Applications!$A$2:$A$101,0))&amp;"",""))</f>
        <v/>
      </c>
      <c r="N3" s="41">
        <f>IF(A3="","",SUMPRODUCT(ISNUMBER(D3:K3)*($D$2:$K$2&gt;0)))</f>
        <v/>
      </c>
      <c r="O3" s="40">
        <f>IF(A3="","",IF(ISNA(MATCH(A3,Applications!$A$2:$A$101,0)),"Check ID",IF(ISNA(MATCH(B3,Settings!$C$13:$C$18,0)),"Check reviewer",IF(LEFT(C3,3)="Yes","Conflict, not counted",IF(COUNTIFS($A$3:A3,A3,$B$3:B3,B3)&gt;1,"Duplicate, not counted",IF(SUM($D$2:$K$2)=0,"Add weights on Rubric",IF(SUMPRODUCT(ISNUMBER(D3:K3)*((D3:K3&gt;4)+(D3:K3&lt;0)))&gt;0,"Check scores",IF(N3&lt;COUNTIF($D$2:$K$2,"&gt;0"),"Incomplete","Counted"))))))))</f>
        <v/>
      </c>
      <c r="P3" s="42">
        <f>IF(O3="Counted",ROUND(SUMPRODUCT(D3:K3,$D$2:$K$2)*100/(4*SUM($D$2:$K$2)),1),"")</f>
        <v/>
      </c>
      <c r="Q3" s="27">
        <f>IF(O3="Counted",1,0)</f>
        <v/>
      </c>
      <c r="R3" s="43">
        <f>IF(ISNUMBER(D3),D3,0)</f>
        <v/>
      </c>
      <c r="S3" s="43">
        <f>IF(ISNUMBER(E3),E3,0)</f>
        <v/>
      </c>
      <c r="T3" s="43">
        <f>IF(ISNUMBER(F3),F3,0)</f>
        <v/>
      </c>
      <c r="U3" s="43">
        <f>IF(ISNUMBER(G3),G3,0)</f>
        <v/>
      </c>
      <c r="V3" s="43">
        <f>IF(ISNUMBER(H3),H3,0)</f>
        <v/>
      </c>
      <c r="W3" s="43">
        <f>IF(ISNUMBER(I3),I3,0)</f>
        <v/>
      </c>
      <c r="X3" s="43">
        <f>IF(ISNUMBER(J3),J3,0)</f>
        <v/>
      </c>
      <c r="Y3" s="43">
        <f>IF(ISNUMBER(K3),K3,0)</f>
        <v/>
      </c>
    </row>
    <row r="4">
      <c r="A4" s="33" t="inlineStr">
        <is>
          <t>EXAMPLE-01</t>
        </is>
      </c>
      <c r="B4" s="33" t="inlineStr">
        <is>
          <t>Ben</t>
        </is>
      </c>
      <c r="C4" s="33" t="inlineStr">
        <is>
          <t>No</t>
        </is>
      </c>
      <c r="D4" s="39" t="n">
        <v>4</v>
      </c>
      <c r="E4" s="39" t="n">
        <v>4</v>
      </c>
      <c r="F4" s="39" t="n">
        <v>3</v>
      </c>
      <c r="G4" s="39" t="n">
        <v>3</v>
      </c>
      <c r="H4" s="39" t="n">
        <v>3</v>
      </c>
      <c r="I4" s="39" t="n">
        <v>2</v>
      </c>
      <c r="J4" s="39" t="n"/>
      <c r="K4" s="39" t="n"/>
      <c r="L4" s="33" t="n"/>
      <c r="M4" s="40">
        <f>IF(A4="","",IFERROR(INDEX(Applications!$B$2:$B$101,MATCH(A4,Applications!$A$2:$A$101,0))&amp;"",""))</f>
        <v/>
      </c>
      <c r="N4" s="41">
        <f>IF(A4="","",SUMPRODUCT(ISNUMBER(D4:K4)*($D$2:$K$2&gt;0)))</f>
        <v/>
      </c>
      <c r="O4" s="40">
        <f>IF(A4="","",IF(ISNA(MATCH(A4,Applications!$A$2:$A$101,0)),"Check ID",IF(ISNA(MATCH(B4,Settings!$C$13:$C$18,0)),"Check reviewer",IF(LEFT(C4,3)="Yes","Conflict, not counted",IF(COUNTIFS($A$3:A4,A4,$B$3:B4,B4)&gt;1,"Duplicate, not counted",IF(SUM($D$2:$K$2)=0,"Add weights on Rubric",IF(SUMPRODUCT(ISNUMBER(D4:K4)*((D4:K4&gt;4)+(D4:K4&lt;0)))&gt;0,"Check scores",IF(N4&lt;COUNTIF($D$2:$K$2,"&gt;0"),"Incomplete","Counted"))))))))</f>
        <v/>
      </c>
      <c r="P4" s="42">
        <f>IF(O4="Counted",ROUND(SUMPRODUCT(D4:K4,$D$2:$K$2)*100/(4*SUM($D$2:$K$2)),1),"")</f>
        <v/>
      </c>
      <c r="Q4" s="27">
        <f>IF(O4="Counted",1,0)</f>
        <v/>
      </c>
      <c r="R4" s="43">
        <f>IF(ISNUMBER(D4),D4,0)</f>
        <v/>
      </c>
      <c r="S4" s="43">
        <f>IF(ISNUMBER(E4),E4,0)</f>
        <v/>
      </c>
      <c r="T4" s="43">
        <f>IF(ISNUMBER(F4),F4,0)</f>
        <v/>
      </c>
      <c r="U4" s="43">
        <f>IF(ISNUMBER(G4),G4,0)</f>
        <v/>
      </c>
      <c r="V4" s="43">
        <f>IF(ISNUMBER(H4),H4,0)</f>
        <v/>
      </c>
      <c r="W4" s="43">
        <f>IF(ISNUMBER(I4),I4,0)</f>
        <v/>
      </c>
      <c r="X4" s="43">
        <f>IF(ISNUMBER(J4),J4,0)</f>
        <v/>
      </c>
      <c r="Y4" s="43">
        <f>IF(ISNUMBER(K4),K4,0)</f>
        <v/>
      </c>
    </row>
    <row r="5">
      <c r="A5" s="33" t="inlineStr">
        <is>
          <t>EXAMPLE-01</t>
        </is>
      </c>
      <c r="B5" s="33" t="inlineStr">
        <is>
          <t>Chris</t>
        </is>
      </c>
      <c r="C5" s="33" t="inlineStr">
        <is>
          <t>No</t>
        </is>
      </c>
      <c r="D5" s="39" t="n">
        <v>3</v>
      </c>
      <c r="E5" s="39" t="n">
        <v>3</v>
      </c>
      <c r="F5" s="39" t="n">
        <v>3</v>
      </c>
      <c r="G5" s="39" t="n">
        <v>4</v>
      </c>
      <c r="H5" s="39" t="n">
        <v>4</v>
      </c>
      <c r="I5" s="39" t="n">
        <v>3</v>
      </c>
      <c r="J5" s="39" t="n"/>
      <c r="K5" s="39" t="n"/>
      <c r="L5" s="33" t="n"/>
      <c r="M5" s="40">
        <f>IF(A5="","",IFERROR(INDEX(Applications!$B$2:$B$101,MATCH(A5,Applications!$A$2:$A$101,0))&amp;"",""))</f>
        <v/>
      </c>
      <c r="N5" s="41">
        <f>IF(A5="","",SUMPRODUCT(ISNUMBER(D5:K5)*($D$2:$K$2&gt;0)))</f>
        <v/>
      </c>
      <c r="O5" s="40">
        <f>IF(A5="","",IF(ISNA(MATCH(A5,Applications!$A$2:$A$101,0)),"Check ID",IF(ISNA(MATCH(B5,Settings!$C$13:$C$18,0)),"Check reviewer",IF(LEFT(C5,3)="Yes","Conflict, not counted",IF(COUNTIFS($A$3:A5,A5,$B$3:B5,B5)&gt;1,"Duplicate, not counted",IF(SUM($D$2:$K$2)=0,"Add weights on Rubric",IF(SUMPRODUCT(ISNUMBER(D5:K5)*((D5:K5&gt;4)+(D5:K5&lt;0)))&gt;0,"Check scores",IF(N5&lt;COUNTIF($D$2:$K$2,"&gt;0"),"Incomplete","Counted"))))))))</f>
        <v/>
      </c>
      <c r="P5" s="42">
        <f>IF(O5="Counted",ROUND(SUMPRODUCT(D5:K5,$D$2:$K$2)*100/(4*SUM($D$2:$K$2)),1),"")</f>
        <v/>
      </c>
      <c r="Q5" s="27">
        <f>IF(O5="Counted",1,0)</f>
        <v/>
      </c>
      <c r="R5" s="43">
        <f>IF(ISNUMBER(D5),D5,0)</f>
        <v/>
      </c>
      <c r="S5" s="43">
        <f>IF(ISNUMBER(E5),E5,0)</f>
        <v/>
      </c>
      <c r="T5" s="43">
        <f>IF(ISNUMBER(F5),F5,0)</f>
        <v/>
      </c>
      <c r="U5" s="43">
        <f>IF(ISNUMBER(G5),G5,0)</f>
        <v/>
      </c>
      <c r="V5" s="43">
        <f>IF(ISNUMBER(H5),H5,0)</f>
        <v/>
      </c>
      <c r="W5" s="43">
        <f>IF(ISNUMBER(I5),I5,0)</f>
        <v/>
      </c>
      <c r="X5" s="43">
        <f>IF(ISNUMBER(J5),J5,0)</f>
        <v/>
      </c>
      <c r="Y5" s="43">
        <f>IF(ISNUMBER(K5),K5,0)</f>
        <v/>
      </c>
    </row>
    <row r="6">
      <c r="A6" s="33" t="inlineStr">
        <is>
          <t>EXAMPLE-02</t>
        </is>
      </c>
      <c r="B6" s="33" t="inlineStr">
        <is>
          <t>Ana</t>
        </is>
      </c>
      <c r="C6" s="33" t="inlineStr">
        <is>
          <t>No</t>
        </is>
      </c>
      <c r="D6" s="39" t="n">
        <v>3</v>
      </c>
      <c r="E6" s="39" t="n">
        <v>3</v>
      </c>
      <c r="F6" s="39" t="n">
        <v>2</v>
      </c>
      <c r="G6" s="39" t="n">
        <v>3</v>
      </c>
      <c r="H6" s="39" t="n">
        <v>2</v>
      </c>
      <c r="I6" s="39" t="n">
        <v>2</v>
      </c>
      <c r="J6" s="39" t="n"/>
      <c r="K6" s="39" t="n"/>
      <c r="L6" s="33" t="n"/>
      <c r="M6" s="40">
        <f>IF(A6="","",IFERROR(INDEX(Applications!$B$2:$B$101,MATCH(A6,Applications!$A$2:$A$101,0))&amp;"",""))</f>
        <v/>
      </c>
      <c r="N6" s="41">
        <f>IF(A6="","",SUMPRODUCT(ISNUMBER(D6:K6)*($D$2:$K$2&gt;0)))</f>
        <v/>
      </c>
      <c r="O6" s="40">
        <f>IF(A6="","",IF(ISNA(MATCH(A6,Applications!$A$2:$A$101,0)),"Check ID",IF(ISNA(MATCH(B6,Settings!$C$13:$C$18,0)),"Check reviewer",IF(LEFT(C6,3)="Yes","Conflict, not counted",IF(COUNTIFS($A$3:A6,A6,$B$3:B6,B6)&gt;1,"Duplicate, not counted",IF(SUM($D$2:$K$2)=0,"Add weights on Rubric",IF(SUMPRODUCT(ISNUMBER(D6:K6)*((D6:K6&gt;4)+(D6:K6&lt;0)))&gt;0,"Check scores",IF(N6&lt;COUNTIF($D$2:$K$2,"&gt;0"),"Incomplete","Counted"))))))))</f>
        <v/>
      </c>
      <c r="P6" s="42">
        <f>IF(O6="Counted",ROUND(SUMPRODUCT(D6:K6,$D$2:$K$2)*100/(4*SUM($D$2:$K$2)),1),"")</f>
        <v/>
      </c>
      <c r="Q6" s="27">
        <f>IF(O6="Counted",1,0)</f>
        <v/>
      </c>
      <c r="R6" s="43">
        <f>IF(ISNUMBER(D6),D6,0)</f>
        <v/>
      </c>
      <c r="S6" s="43">
        <f>IF(ISNUMBER(E6),E6,0)</f>
        <v/>
      </c>
      <c r="T6" s="43">
        <f>IF(ISNUMBER(F6),F6,0)</f>
        <v/>
      </c>
      <c r="U6" s="43">
        <f>IF(ISNUMBER(G6),G6,0)</f>
        <v/>
      </c>
      <c r="V6" s="43">
        <f>IF(ISNUMBER(H6),H6,0)</f>
        <v/>
      </c>
      <c r="W6" s="43">
        <f>IF(ISNUMBER(I6),I6,0)</f>
        <v/>
      </c>
      <c r="X6" s="43">
        <f>IF(ISNUMBER(J6),J6,0)</f>
        <v/>
      </c>
      <c r="Y6" s="43">
        <f>IF(ISNUMBER(K6),K6,0)</f>
        <v/>
      </c>
    </row>
    <row r="7">
      <c r="A7" s="33" t="inlineStr">
        <is>
          <t>EXAMPLE-02</t>
        </is>
      </c>
      <c r="B7" s="33" t="inlineStr">
        <is>
          <t>Ben</t>
        </is>
      </c>
      <c r="C7" s="33" t="inlineStr">
        <is>
          <t>No</t>
        </is>
      </c>
      <c r="D7" s="39" t="n">
        <v>4</v>
      </c>
      <c r="E7" s="39" t="n">
        <v>3</v>
      </c>
      <c r="F7" s="39" t="n">
        <v>3</v>
      </c>
      <c r="G7" s="39" t="n">
        <v>3</v>
      </c>
      <c r="H7" s="39" t="n">
        <v>2</v>
      </c>
      <c r="I7" s="39" t="n">
        <v>2</v>
      </c>
      <c r="J7" s="39" t="n"/>
      <c r="K7" s="39" t="n"/>
      <c r="L7" s="33" t="inlineStr">
        <is>
          <t>Teachers back it.</t>
        </is>
      </c>
      <c r="M7" s="40">
        <f>IF(A7="","",IFERROR(INDEX(Applications!$B$2:$B$101,MATCH(A7,Applications!$A$2:$A$101,0))&amp;"",""))</f>
        <v/>
      </c>
      <c r="N7" s="41">
        <f>IF(A7="","",SUMPRODUCT(ISNUMBER(D7:K7)*($D$2:$K$2&gt;0)))</f>
        <v/>
      </c>
      <c r="O7" s="40">
        <f>IF(A7="","",IF(ISNA(MATCH(A7,Applications!$A$2:$A$101,0)),"Check ID",IF(ISNA(MATCH(B7,Settings!$C$13:$C$18,0)),"Check reviewer",IF(LEFT(C7,3)="Yes","Conflict, not counted",IF(COUNTIFS($A$3:A7,A7,$B$3:B7,B7)&gt;1,"Duplicate, not counted",IF(SUM($D$2:$K$2)=0,"Add weights on Rubric",IF(SUMPRODUCT(ISNUMBER(D7:K7)*((D7:K7&gt;4)+(D7:K7&lt;0)))&gt;0,"Check scores",IF(N7&lt;COUNTIF($D$2:$K$2,"&gt;0"),"Incomplete","Counted"))))))))</f>
        <v/>
      </c>
      <c r="P7" s="42">
        <f>IF(O7="Counted",ROUND(SUMPRODUCT(D7:K7,$D$2:$K$2)*100/(4*SUM($D$2:$K$2)),1),"")</f>
        <v/>
      </c>
      <c r="Q7" s="27">
        <f>IF(O7="Counted",1,0)</f>
        <v/>
      </c>
      <c r="R7" s="43">
        <f>IF(ISNUMBER(D7),D7,0)</f>
        <v/>
      </c>
      <c r="S7" s="43">
        <f>IF(ISNUMBER(E7),E7,0)</f>
        <v/>
      </c>
      <c r="T7" s="43">
        <f>IF(ISNUMBER(F7),F7,0)</f>
        <v/>
      </c>
      <c r="U7" s="43">
        <f>IF(ISNUMBER(G7),G7,0)</f>
        <v/>
      </c>
      <c r="V7" s="43">
        <f>IF(ISNUMBER(H7),H7,0)</f>
        <v/>
      </c>
      <c r="W7" s="43">
        <f>IF(ISNUMBER(I7),I7,0)</f>
        <v/>
      </c>
      <c r="X7" s="43">
        <f>IF(ISNUMBER(J7),J7,0)</f>
        <v/>
      </c>
      <c r="Y7" s="43">
        <f>IF(ISNUMBER(K7),K7,0)</f>
        <v/>
      </c>
    </row>
    <row r="8">
      <c r="A8" s="33" t="inlineStr">
        <is>
          <t>EXAMPLE-02</t>
        </is>
      </c>
      <c r="B8" s="33" t="inlineStr">
        <is>
          <t>Chris</t>
        </is>
      </c>
      <c r="C8" s="33" t="inlineStr">
        <is>
          <t>No</t>
        </is>
      </c>
      <c r="D8" s="39" t="n">
        <v>2</v>
      </c>
      <c r="E8" s="39" t="n">
        <v>2</v>
      </c>
      <c r="F8" s="39" t="n">
        <v>2</v>
      </c>
      <c r="G8" s="39" t="n">
        <v>3</v>
      </c>
      <c r="H8" s="39" t="n">
        <v>2</v>
      </c>
      <c r="I8" s="39" t="n">
        <v>1</v>
      </c>
      <c r="J8" s="39" t="n"/>
      <c r="K8" s="39" t="n"/>
      <c r="L8" s="33" t="inlineStr">
        <is>
          <t>Need feels thin to me.</t>
        </is>
      </c>
      <c r="M8" s="40">
        <f>IF(A8="","",IFERROR(INDEX(Applications!$B$2:$B$101,MATCH(A8,Applications!$A$2:$A$101,0))&amp;"",""))</f>
        <v/>
      </c>
      <c r="N8" s="41">
        <f>IF(A8="","",SUMPRODUCT(ISNUMBER(D8:K8)*($D$2:$K$2&gt;0)))</f>
        <v/>
      </c>
      <c r="O8" s="40">
        <f>IF(A8="","",IF(ISNA(MATCH(A8,Applications!$A$2:$A$101,0)),"Check ID",IF(ISNA(MATCH(B8,Settings!$C$13:$C$18,0)),"Check reviewer",IF(LEFT(C8,3)="Yes","Conflict, not counted",IF(COUNTIFS($A$3:A8,A8,$B$3:B8,B8)&gt;1,"Duplicate, not counted",IF(SUM($D$2:$K$2)=0,"Add weights on Rubric",IF(SUMPRODUCT(ISNUMBER(D8:K8)*((D8:K8&gt;4)+(D8:K8&lt;0)))&gt;0,"Check scores",IF(N8&lt;COUNTIF($D$2:$K$2,"&gt;0"),"Incomplete","Counted"))))))))</f>
        <v/>
      </c>
      <c r="P8" s="42">
        <f>IF(O8="Counted",ROUND(SUMPRODUCT(D8:K8,$D$2:$K$2)*100/(4*SUM($D$2:$K$2)),1),"")</f>
        <v/>
      </c>
      <c r="Q8" s="27">
        <f>IF(O8="Counted",1,0)</f>
        <v/>
      </c>
      <c r="R8" s="43">
        <f>IF(ISNUMBER(D8),D8,0)</f>
        <v/>
      </c>
      <c r="S8" s="43">
        <f>IF(ISNUMBER(E8),E8,0)</f>
        <v/>
      </c>
      <c r="T8" s="43">
        <f>IF(ISNUMBER(F8),F8,0)</f>
        <v/>
      </c>
      <c r="U8" s="43">
        <f>IF(ISNUMBER(G8),G8,0)</f>
        <v/>
      </c>
      <c r="V8" s="43">
        <f>IF(ISNUMBER(H8),H8,0)</f>
        <v/>
      </c>
      <c r="W8" s="43">
        <f>IF(ISNUMBER(I8),I8,0)</f>
        <v/>
      </c>
      <c r="X8" s="43">
        <f>IF(ISNUMBER(J8),J8,0)</f>
        <v/>
      </c>
      <c r="Y8" s="43">
        <f>IF(ISNUMBER(K8),K8,0)</f>
        <v/>
      </c>
    </row>
    <row r="9">
      <c r="A9" s="33" t="inlineStr">
        <is>
          <t>EXAMPLE-03</t>
        </is>
      </c>
      <c r="B9" s="33" t="inlineStr">
        <is>
          <t>Ana</t>
        </is>
      </c>
      <c r="C9" s="33" t="inlineStr">
        <is>
          <t>No</t>
        </is>
      </c>
      <c r="D9" s="39" t="n">
        <v>2</v>
      </c>
      <c r="E9" s="39" t="n">
        <v>2</v>
      </c>
      <c r="F9" s="39" t="n">
        <v>2</v>
      </c>
      <c r="G9" s="39" t="n">
        <v>1</v>
      </c>
      <c r="H9" s="39" t="n">
        <v>3</v>
      </c>
      <c r="I9" s="39" t="n">
        <v>2</v>
      </c>
      <c r="J9" s="39" t="n"/>
      <c r="K9" s="39" t="n"/>
      <c r="L9" s="33" t="inlineStr">
        <is>
          <t>Budget has no quotes.</t>
        </is>
      </c>
      <c r="M9" s="40">
        <f>IF(A9="","",IFERROR(INDEX(Applications!$B$2:$B$101,MATCH(A9,Applications!$A$2:$A$101,0))&amp;"",""))</f>
        <v/>
      </c>
      <c r="N9" s="41">
        <f>IF(A9="","",SUMPRODUCT(ISNUMBER(D9:K9)*($D$2:$K$2&gt;0)))</f>
        <v/>
      </c>
      <c r="O9" s="40">
        <f>IF(A9="","",IF(ISNA(MATCH(A9,Applications!$A$2:$A$101,0)),"Check ID",IF(ISNA(MATCH(B9,Settings!$C$13:$C$18,0)),"Check reviewer",IF(LEFT(C9,3)="Yes","Conflict, not counted",IF(COUNTIFS($A$3:A9,A9,$B$3:B9,B9)&gt;1,"Duplicate, not counted",IF(SUM($D$2:$K$2)=0,"Add weights on Rubric",IF(SUMPRODUCT(ISNUMBER(D9:K9)*((D9:K9&gt;4)+(D9:K9&lt;0)))&gt;0,"Check scores",IF(N9&lt;COUNTIF($D$2:$K$2,"&gt;0"),"Incomplete","Counted"))))))))</f>
        <v/>
      </c>
      <c r="P9" s="42">
        <f>IF(O9="Counted",ROUND(SUMPRODUCT(D9:K9,$D$2:$K$2)*100/(4*SUM($D$2:$K$2)),1),"")</f>
        <v/>
      </c>
      <c r="Q9" s="27">
        <f>IF(O9="Counted",1,0)</f>
        <v/>
      </c>
      <c r="R9" s="43">
        <f>IF(ISNUMBER(D9),D9,0)</f>
        <v/>
      </c>
      <c r="S9" s="43">
        <f>IF(ISNUMBER(E9),E9,0)</f>
        <v/>
      </c>
      <c r="T9" s="43">
        <f>IF(ISNUMBER(F9),F9,0)</f>
        <v/>
      </c>
      <c r="U9" s="43">
        <f>IF(ISNUMBER(G9),G9,0)</f>
        <v/>
      </c>
      <c r="V9" s="43">
        <f>IF(ISNUMBER(H9),H9,0)</f>
        <v/>
      </c>
      <c r="W9" s="43">
        <f>IF(ISNUMBER(I9),I9,0)</f>
        <v/>
      </c>
      <c r="X9" s="43">
        <f>IF(ISNUMBER(J9),J9,0)</f>
        <v/>
      </c>
      <c r="Y9" s="43">
        <f>IF(ISNUMBER(K9),K9,0)</f>
        <v/>
      </c>
    </row>
    <row r="10">
      <c r="A10" s="33" t="inlineStr">
        <is>
          <t>EXAMPLE-03</t>
        </is>
      </c>
      <c r="B10" s="33" t="inlineStr">
        <is>
          <t>Ben</t>
        </is>
      </c>
      <c r="C10" s="33" t="inlineStr">
        <is>
          <t>No</t>
        </is>
      </c>
      <c r="D10" s="39" t="n">
        <v>2</v>
      </c>
      <c r="E10" s="39" t="n">
        <v>2</v>
      </c>
      <c r="F10" s="39" t="n">
        <v>1</v>
      </c>
      <c r="G10" s="39" t="n">
        <v>2</v>
      </c>
      <c r="H10" s="39" t="n">
        <v>3</v>
      </c>
      <c r="I10" s="39" t="n">
        <v>2</v>
      </c>
      <c r="J10" s="39" t="n"/>
      <c r="K10" s="39" t="n"/>
      <c r="L10" s="33" t="n"/>
      <c r="M10" s="40">
        <f>IF(A10="","",IFERROR(INDEX(Applications!$B$2:$B$101,MATCH(A10,Applications!$A$2:$A$101,0))&amp;"",""))</f>
        <v/>
      </c>
      <c r="N10" s="41">
        <f>IF(A10="","",SUMPRODUCT(ISNUMBER(D10:K10)*($D$2:$K$2&gt;0)))</f>
        <v/>
      </c>
      <c r="O10" s="40">
        <f>IF(A10="","",IF(ISNA(MATCH(A10,Applications!$A$2:$A$101,0)),"Check ID",IF(ISNA(MATCH(B10,Settings!$C$13:$C$18,0)),"Check reviewer",IF(LEFT(C10,3)="Yes","Conflict, not counted",IF(COUNTIFS($A$3:A10,A10,$B$3:B10,B10)&gt;1,"Duplicate, not counted",IF(SUM($D$2:$K$2)=0,"Add weights on Rubric",IF(SUMPRODUCT(ISNUMBER(D10:K10)*((D10:K10&gt;4)+(D10:K10&lt;0)))&gt;0,"Check scores",IF(N10&lt;COUNTIF($D$2:$K$2,"&gt;0"),"Incomplete","Counted"))))))))</f>
        <v/>
      </c>
      <c r="P10" s="42">
        <f>IF(O10="Counted",ROUND(SUMPRODUCT(D10:K10,$D$2:$K$2)*100/(4*SUM($D$2:$K$2)),1),"")</f>
        <v/>
      </c>
      <c r="Q10" s="27">
        <f>IF(O10="Counted",1,0)</f>
        <v/>
      </c>
      <c r="R10" s="43">
        <f>IF(ISNUMBER(D10),D10,0)</f>
        <v/>
      </c>
      <c r="S10" s="43">
        <f>IF(ISNUMBER(E10),E10,0)</f>
        <v/>
      </c>
      <c r="T10" s="43">
        <f>IF(ISNUMBER(F10),F10,0)</f>
        <v/>
      </c>
      <c r="U10" s="43">
        <f>IF(ISNUMBER(G10),G10,0)</f>
        <v/>
      </c>
      <c r="V10" s="43">
        <f>IF(ISNUMBER(H10),H10,0)</f>
        <v/>
      </c>
      <c r="W10" s="43">
        <f>IF(ISNUMBER(I10),I10,0)</f>
        <v/>
      </c>
      <c r="X10" s="43">
        <f>IF(ISNUMBER(J10),J10,0)</f>
        <v/>
      </c>
      <c r="Y10" s="43">
        <f>IF(ISNUMBER(K10),K10,0)</f>
        <v/>
      </c>
    </row>
    <row r="11">
      <c r="A11" s="33" t="inlineStr">
        <is>
          <t>EXAMPLE-03</t>
        </is>
      </c>
      <c r="B11" s="33" t="inlineStr">
        <is>
          <t>Chris</t>
        </is>
      </c>
      <c r="C11" s="33" t="inlineStr">
        <is>
          <t>No</t>
        </is>
      </c>
      <c r="D11" s="39" t="n">
        <v>2</v>
      </c>
      <c r="E11" s="39" t="n">
        <v>3</v>
      </c>
      <c r="F11" s="39" t="n">
        <v>2</v>
      </c>
      <c r="G11" s="39" t="n">
        <v>2</v>
      </c>
      <c r="H11" s="39" t="n">
        <v>3</v>
      </c>
      <c r="I11" s="39" t="n">
        <v>2</v>
      </c>
      <c r="J11" s="39" t="n"/>
      <c r="K11" s="39" t="n"/>
      <c r="L11" s="33" t="n"/>
      <c r="M11" s="40">
        <f>IF(A11="","",IFERROR(INDEX(Applications!$B$2:$B$101,MATCH(A11,Applications!$A$2:$A$101,0))&amp;"",""))</f>
        <v/>
      </c>
      <c r="N11" s="41">
        <f>IF(A11="","",SUMPRODUCT(ISNUMBER(D11:K11)*($D$2:$K$2&gt;0)))</f>
        <v/>
      </c>
      <c r="O11" s="40">
        <f>IF(A11="","",IF(ISNA(MATCH(A11,Applications!$A$2:$A$101,0)),"Check ID",IF(ISNA(MATCH(B11,Settings!$C$13:$C$18,0)),"Check reviewer",IF(LEFT(C11,3)="Yes","Conflict, not counted",IF(COUNTIFS($A$3:A11,A11,$B$3:B11,B11)&gt;1,"Duplicate, not counted",IF(SUM($D$2:$K$2)=0,"Add weights on Rubric",IF(SUMPRODUCT(ISNUMBER(D11:K11)*((D11:K11&gt;4)+(D11:K11&lt;0)))&gt;0,"Check scores",IF(N11&lt;COUNTIF($D$2:$K$2,"&gt;0"),"Incomplete","Counted"))))))))</f>
        <v/>
      </c>
      <c r="P11" s="42">
        <f>IF(O11="Counted",ROUND(SUMPRODUCT(D11:K11,$D$2:$K$2)*100/(4*SUM($D$2:$K$2)),1),"")</f>
        <v/>
      </c>
      <c r="Q11" s="27">
        <f>IF(O11="Counted",1,0)</f>
        <v/>
      </c>
      <c r="R11" s="43">
        <f>IF(ISNUMBER(D11),D11,0)</f>
        <v/>
      </c>
      <c r="S11" s="43">
        <f>IF(ISNUMBER(E11),E11,0)</f>
        <v/>
      </c>
      <c r="T11" s="43">
        <f>IF(ISNUMBER(F11),F11,0)</f>
        <v/>
      </c>
      <c r="U11" s="43">
        <f>IF(ISNUMBER(G11),G11,0)</f>
        <v/>
      </c>
      <c r="V11" s="43">
        <f>IF(ISNUMBER(H11),H11,0)</f>
        <v/>
      </c>
      <c r="W11" s="43">
        <f>IF(ISNUMBER(I11),I11,0)</f>
        <v/>
      </c>
      <c r="X11" s="43">
        <f>IF(ISNUMBER(J11),J11,0)</f>
        <v/>
      </c>
      <c r="Y11" s="43">
        <f>IF(ISNUMBER(K11),K11,0)</f>
        <v/>
      </c>
    </row>
    <row r="12">
      <c r="A12" s="33" t="inlineStr">
        <is>
          <t>EXAMPLE-04</t>
        </is>
      </c>
      <c r="B12" s="33" t="inlineStr">
        <is>
          <t>Ana</t>
        </is>
      </c>
      <c r="C12" s="33" t="inlineStr">
        <is>
          <t>Yes, I step out</t>
        </is>
      </c>
      <c r="D12" s="39" t="n"/>
      <c r="E12" s="39" t="n"/>
      <c r="F12" s="39" t="n"/>
      <c r="G12" s="39" t="n"/>
      <c r="H12" s="39" t="n"/>
      <c r="I12" s="39" t="n"/>
      <c r="J12" s="39" t="n"/>
      <c r="K12" s="39" t="n"/>
      <c r="L12" s="33" t="inlineStr">
        <is>
          <t>I sit on their board.</t>
        </is>
      </c>
      <c r="M12" s="40">
        <f>IF(A12="","",IFERROR(INDEX(Applications!$B$2:$B$101,MATCH(A12,Applications!$A$2:$A$101,0))&amp;"",""))</f>
        <v/>
      </c>
      <c r="N12" s="41">
        <f>IF(A12="","",SUMPRODUCT(ISNUMBER(D12:K12)*($D$2:$K$2&gt;0)))</f>
        <v/>
      </c>
      <c r="O12" s="40">
        <f>IF(A12="","",IF(ISNA(MATCH(A12,Applications!$A$2:$A$101,0)),"Check ID",IF(ISNA(MATCH(B12,Settings!$C$13:$C$18,0)),"Check reviewer",IF(LEFT(C12,3)="Yes","Conflict, not counted",IF(COUNTIFS($A$3:A12,A12,$B$3:B12,B12)&gt;1,"Duplicate, not counted",IF(SUM($D$2:$K$2)=0,"Add weights on Rubric",IF(SUMPRODUCT(ISNUMBER(D12:K12)*((D12:K12&gt;4)+(D12:K12&lt;0)))&gt;0,"Check scores",IF(N12&lt;COUNTIF($D$2:$K$2,"&gt;0"),"Incomplete","Counted"))))))))</f>
        <v/>
      </c>
      <c r="P12" s="42">
        <f>IF(O12="Counted",ROUND(SUMPRODUCT(D12:K12,$D$2:$K$2)*100/(4*SUM($D$2:$K$2)),1),"")</f>
        <v/>
      </c>
      <c r="Q12" s="27">
        <f>IF(O12="Counted",1,0)</f>
        <v/>
      </c>
      <c r="R12" s="43">
        <f>IF(ISNUMBER(D12),D12,0)</f>
        <v/>
      </c>
      <c r="S12" s="43">
        <f>IF(ISNUMBER(E12),E12,0)</f>
        <v/>
      </c>
      <c r="T12" s="43">
        <f>IF(ISNUMBER(F12),F12,0)</f>
        <v/>
      </c>
      <c r="U12" s="43">
        <f>IF(ISNUMBER(G12),G12,0)</f>
        <v/>
      </c>
      <c r="V12" s="43">
        <f>IF(ISNUMBER(H12),H12,0)</f>
        <v/>
      </c>
      <c r="W12" s="43">
        <f>IF(ISNUMBER(I12),I12,0)</f>
        <v/>
      </c>
      <c r="X12" s="43">
        <f>IF(ISNUMBER(J12),J12,0)</f>
        <v/>
      </c>
      <c r="Y12" s="43">
        <f>IF(ISNUMBER(K12),K12,0)</f>
        <v/>
      </c>
    </row>
    <row r="13">
      <c r="A13" s="33" t="inlineStr">
        <is>
          <t>EXAMPLE-04</t>
        </is>
      </c>
      <c r="B13" s="33" t="inlineStr">
        <is>
          <t>Ben</t>
        </is>
      </c>
      <c r="C13" s="33" t="inlineStr">
        <is>
          <t>No</t>
        </is>
      </c>
      <c r="D13" s="39" t="n">
        <v>3</v>
      </c>
      <c r="E13" s="39" t="n">
        <v>3</v>
      </c>
      <c r="F13" s="39" t="n">
        <v>3</v>
      </c>
      <c r="G13" s="39" t="n">
        <v>3</v>
      </c>
      <c r="H13" s="39" t="n">
        <v>3</v>
      </c>
      <c r="I13" s="39" t="n">
        <v>3</v>
      </c>
      <c r="J13" s="39" t="n"/>
      <c r="K13" s="39" t="n"/>
      <c r="L13" s="33" t="n"/>
      <c r="M13" s="40">
        <f>IF(A13="","",IFERROR(INDEX(Applications!$B$2:$B$101,MATCH(A13,Applications!$A$2:$A$101,0))&amp;"",""))</f>
        <v/>
      </c>
      <c r="N13" s="41">
        <f>IF(A13="","",SUMPRODUCT(ISNUMBER(D13:K13)*($D$2:$K$2&gt;0)))</f>
        <v/>
      </c>
      <c r="O13" s="40">
        <f>IF(A13="","",IF(ISNA(MATCH(A13,Applications!$A$2:$A$101,0)),"Check ID",IF(ISNA(MATCH(B13,Settings!$C$13:$C$18,0)),"Check reviewer",IF(LEFT(C13,3)="Yes","Conflict, not counted",IF(COUNTIFS($A$3:A13,A13,$B$3:B13,B13)&gt;1,"Duplicate, not counted",IF(SUM($D$2:$K$2)=0,"Add weights on Rubric",IF(SUMPRODUCT(ISNUMBER(D13:K13)*((D13:K13&gt;4)+(D13:K13&lt;0)))&gt;0,"Check scores",IF(N13&lt;COUNTIF($D$2:$K$2,"&gt;0"),"Incomplete","Counted"))))))))</f>
        <v/>
      </c>
      <c r="P13" s="42">
        <f>IF(O13="Counted",ROUND(SUMPRODUCT(D13:K13,$D$2:$K$2)*100/(4*SUM($D$2:$K$2)),1),"")</f>
        <v/>
      </c>
      <c r="Q13" s="27">
        <f>IF(O13="Counted",1,0)</f>
        <v/>
      </c>
      <c r="R13" s="43">
        <f>IF(ISNUMBER(D13),D13,0)</f>
        <v/>
      </c>
      <c r="S13" s="43">
        <f>IF(ISNUMBER(E13),E13,0)</f>
        <v/>
      </c>
      <c r="T13" s="43">
        <f>IF(ISNUMBER(F13),F13,0)</f>
        <v/>
      </c>
      <c r="U13" s="43">
        <f>IF(ISNUMBER(G13),G13,0)</f>
        <v/>
      </c>
      <c r="V13" s="43">
        <f>IF(ISNUMBER(H13),H13,0)</f>
        <v/>
      </c>
      <c r="W13" s="43">
        <f>IF(ISNUMBER(I13),I13,0)</f>
        <v/>
      </c>
      <c r="X13" s="43">
        <f>IF(ISNUMBER(J13),J13,0)</f>
        <v/>
      </c>
      <c r="Y13" s="43">
        <f>IF(ISNUMBER(K13),K13,0)</f>
        <v/>
      </c>
    </row>
    <row r="14">
      <c r="A14" s="33" t="inlineStr">
        <is>
          <t>EXAMPLE-04</t>
        </is>
      </c>
      <c r="B14" s="33" t="inlineStr">
        <is>
          <t>Chris</t>
        </is>
      </c>
      <c r="C14" s="33" t="inlineStr">
        <is>
          <t>No</t>
        </is>
      </c>
      <c r="D14" s="39" t="n">
        <v>3</v>
      </c>
      <c r="E14" s="39" t="n">
        <v>4</v>
      </c>
      <c r="F14" s="39" t="n">
        <v>3</v>
      </c>
      <c r="G14" s="39" t="n">
        <v>3</v>
      </c>
      <c r="H14" s="39" t="n">
        <v>3</v>
      </c>
      <c r="I14" s="39" t="n">
        <v>4</v>
      </c>
      <c r="J14" s="39" t="n"/>
      <c r="K14" s="39" t="n"/>
      <c r="L14" s="33" t="n"/>
      <c r="M14" s="40">
        <f>IF(A14="","",IFERROR(INDEX(Applications!$B$2:$B$101,MATCH(A14,Applications!$A$2:$A$101,0))&amp;"",""))</f>
        <v/>
      </c>
      <c r="N14" s="41">
        <f>IF(A14="","",SUMPRODUCT(ISNUMBER(D14:K14)*($D$2:$K$2&gt;0)))</f>
        <v/>
      </c>
      <c r="O14" s="40">
        <f>IF(A14="","",IF(ISNA(MATCH(A14,Applications!$A$2:$A$101,0)),"Check ID",IF(ISNA(MATCH(B14,Settings!$C$13:$C$18,0)),"Check reviewer",IF(LEFT(C14,3)="Yes","Conflict, not counted",IF(COUNTIFS($A$3:A14,A14,$B$3:B14,B14)&gt;1,"Duplicate, not counted",IF(SUM($D$2:$K$2)=0,"Add weights on Rubric",IF(SUMPRODUCT(ISNUMBER(D14:K14)*((D14:K14&gt;4)+(D14:K14&lt;0)))&gt;0,"Check scores",IF(N14&lt;COUNTIF($D$2:$K$2,"&gt;0"),"Incomplete","Counted"))))))))</f>
        <v/>
      </c>
      <c r="P14" s="42">
        <f>IF(O14="Counted",ROUND(SUMPRODUCT(D14:K14,$D$2:$K$2)*100/(4*SUM($D$2:$K$2)),1),"")</f>
        <v/>
      </c>
      <c r="Q14" s="27">
        <f>IF(O14="Counted",1,0)</f>
        <v/>
      </c>
      <c r="R14" s="43">
        <f>IF(ISNUMBER(D14),D14,0)</f>
        <v/>
      </c>
      <c r="S14" s="43">
        <f>IF(ISNUMBER(E14),E14,0)</f>
        <v/>
      </c>
      <c r="T14" s="43">
        <f>IF(ISNUMBER(F14),F14,0)</f>
        <v/>
      </c>
      <c r="U14" s="43">
        <f>IF(ISNUMBER(G14),G14,0)</f>
        <v/>
      </c>
      <c r="V14" s="43">
        <f>IF(ISNUMBER(H14),H14,0)</f>
        <v/>
      </c>
      <c r="W14" s="43">
        <f>IF(ISNUMBER(I14),I14,0)</f>
        <v/>
      </c>
      <c r="X14" s="43">
        <f>IF(ISNUMBER(J14),J14,0)</f>
        <v/>
      </c>
      <c r="Y14" s="43">
        <f>IF(ISNUMBER(K14),K14,0)</f>
        <v/>
      </c>
    </row>
    <row r="15">
      <c r="A15" s="33" t="inlineStr">
        <is>
          <t>EXAMPLE-05</t>
        </is>
      </c>
      <c r="B15" s="33" t="inlineStr">
        <is>
          <t>Ana</t>
        </is>
      </c>
      <c r="C15" s="33" t="inlineStr">
        <is>
          <t>No</t>
        </is>
      </c>
      <c r="D15" s="39" t="n">
        <v>3</v>
      </c>
      <c r="E15" s="39" t="n">
        <v>3</v>
      </c>
      <c r="F15" s="39" t="n">
        <v>4</v>
      </c>
      <c r="G15" s="39" t="n">
        <v>3</v>
      </c>
      <c r="H15" s="39" t="n">
        <v>3</v>
      </c>
      <c r="I15" s="39" t="n">
        <v>4</v>
      </c>
      <c r="J15" s="39" t="n"/>
      <c r="K15" s="39" t="n"/>
      <c r="L15" s="33" t="n"/>
      <c r="M15" s="40">
        <f>IF(A15="","",IFERROR(INDEX(Applications!$B$2:$B$101,MATCH(A15,Applications!$A$2:$A$101,0))&amp;"",""))</f>
        <v/>
      </c>
      <c r="N15" s="41">
        <f>IF(A15="","",SUMPRODUCT(ISNUMBER(D15:K15)*($D$2:$K$2&gt;0)))</f>
        <v/>
      </c>
      <c r="O15" s="40">
        <f>IF(A15="","",IF(ISNA(MATCH(A15,Applications!$A$2:$A$101,0)),"Check ID",IF(ISNA(MATCH(B15,Settings!$C$13:$C$18,0)),"Check reviewer",IF(LEFT(C15,3)="Yes","Conflict, not counted",IF(COUNTIFS($A$3:A15,A15,$B$3:B15,B15)&gt;1,"Duplicate, not counted",IF(SUM($D$2:$K$2)=0,"Add weights on Rubric",IF(SUMPRODUCT(ISNUMBER(D15:K15)*((D15:K15&gt;4)+(D15:K15&lt;0)))&gt;0,"Check scores",IF(N15&lt;COUNTIF($D$2:$K$2,"&gt;0"),"Incomplete","Counted"))))))))</f>
        <v/>
      </c>
      <c r="P15" s="42">
        <f>IF(O15="Counted",ROUND(SUMPRODUCT(D15:K15,$D$2:$K$2)*100/(4*SUM($D$2:$K$2)),1),"")</f>
        <v/>
      </c>
      <c r="Q15" s="27">
        <f>IF(O15="Counted",1,0)</f>
        <v/>
      </c>
      <c r="R15" s="43">
        <f>IF(ISNUMBER(D15),D15,0)</f>
        <v/>
      </c>
      <c r="S15" s="43">
        <f>IF(ISNUMBER(E15),E15,0)</f>
        <v/>
      </c>
      <c r="T15" s="43">
        <f>IF(ISNUMBER(F15),F15,0)</f>
        <v/>
      </c>
      <c r="U15" s="43">
        <f>IF(ISNUMBER(G15),G15,0)</f>
        <v/>
      </c>
      <c r="V15" s="43">
        <f>IF(ISNUMBER(H15),H15,0)</f>
        <v/>
      </c>
      <c r="W15" s="43">
        <f>IF(ISNUMBER(I15),I15,0)</f>
        <v/>
      </c>
      <c r="X15" s="43">
        <f>IF(ISNUMBER(J15),J15,0)</f>
        <v/>
      </c>
      <c r="Y15" s="43">
        <f>IF(ISNUMBER(K15),K15,0)</f>
        <v/>
      </c>
    </row>
    <row r="16">
      <c r="A16" s="33" t="inlineStr">
        <is>
          <t>EXAMPLE-05</t>
        </is>
      </c>
      <c r="B16" s="33" t="inlineStr">
        <is>
          <t>Ben</t>
        </is>
      </c>
      <c r="C16" s="33" t="inlineStr">
        <is>
          <t>No</t>
        </is>
      </c>
      <c r="D16" s="39" t="n">
        <v>3</v>
      </c>
      <c r="E16" s="39" t="n">
        <v>4</v>
      </c>
      <c r="F16" s="39" t="n">
        <v>3</v>
      </c>
      <c r="G16" s="39" t="n">
        <v>4</v>
      </c>
      <c r="H16" s="39" t="n">
        <v>3</v>
      </c>
      <c r="I16" s="39" t="n">
        <v>3</v>
      </c>
      <c r="J16" s="39" t="n"/>
      <c r="K16" s="39" t="n"/>
      <c r="L16" s="33" t="n"/>
      <c r="M16" s="40">
        <f>IF(A16="","",IFERROR(INDEX(Applications!$B$2:$B$101,MATCH(A16,Applications!$A$2:$A$101,0))&amp;"",""))</f>
        <v/>
      </c>
      <c r="N16" s="41">
        <f>IF(A16="","",SUMPRODUCT(ISNUMBER(D16:K16)*($D$2:$K$2&gt;0)))</f>
        <v/>
      </c>
      <c r="O16" s="40">
        <f>IF(A16="","",IF(ISNA(MATCH(A16,Applications!$A$2:$A$101,0)),"Check ID",IF(ISNA(MATCH(B16,Settings!$C$13:$C$18,0)),"Check reviewer",IF(LEFT(C16,3)="Yes","Conflict, not counted",IF(COUNTIFS($A$3:A16,A16,$B$3:B16,B16)&gt;1,"Duplicate, not counted",IF(SUM($D$2:$K$2)=0,"Add weights on Rubric",IF(SUMPRODUCT(ISNUMBER(D16:K16)*((D16:K16&gt;4)+(D16:K16&lt;0)))&gt;0,"Check scores",IF(N16&lt;COUNTIF($D$2:$K$2,"&gt;0"),"Incomplete","Counted"))))))))</f>
        <v/>
      </c>
      <c r="P16" s="42">
        <f>IF(O16="Counted",ROUND(SUMPRODUCT(D16:K16,$D$2:$K$2)*100/(4*SUM($D$2:$K$2)),1),"")</f>
        <v/>
      </c>
      <c r="Q16" s="27">
        <f>IF(O16="Counted",1,0)</f>
        <v/>
      </c>
      <c r="R16" s="43">
        <f>IF(ISNUMBER(D16),D16,0)</f>
        <v/>
      </c>
      <c r="S16" s="43">
        <f>IF(ISNUMBER(E16),E16,0)</f>
        <v/>
      </c>
      <c r="T16" s="43">
        <f>IF(ISNUMBER(F16),F16,0)</f>
        <v/>
      </c>
      <c r="U16" s="43">
        <f>IF(ISNUMBER(G16),G16,0)</f>
        <v/>
      </c>
      <c r="V16" s="43">
        <f>IF(ISNUMBER(H16),H16,0)</f>
        <v/>
      </c>
      <c r="W16" s="43">
        <f>IF(ISNUMBER(I16),I16,0)</f>
        <v/>
      </c>
      <c r="X16" s="43">
        <f>IF(ISNUMBER(J16),J16,0)</f>
        <v/>
      </c>
      <c r="Y16" s="43">
        <f>IF(ISNUMBER(K16),K16,0)</f>
        <v/>
      </c>
    </row>
    <row r="17">
      <c r="A17" s="33" t="inlineStr">
        <is>
          <t>EXAMPLE-05</t>
        </is>
      </c>
      <c r="B17" s="33" t="inlineStr">
        <is>
          <t>Chris</t>
        </is>
      </c>
      <c r="C17" s="33" t="inlineStr">
        <is>
          <t>No</t>
        </is>
      </c>
      <c r="D17" s="39" t="n">
        <v>4</v>
      </c>
      <c r="E17" s="39" t="n">
        <v>3</v>
      </c>
      <c r="F17" s="39" t="n">
        <v>3</v>
      </c>
      <c r="G17" s="39" t="n">
        <v>3</v>
      </c>
      <c r="H17" s="39" t="n">
        <v>3</v>
      </c>
      <c r="I17" s="39" t="n">
        <v>3</v>
      </c>
      <c r="J17" s="39" t="n"/>
      <c r="K17" s="39" t="n"/>
      <c r="L17" s="33" t="n"/>
      <c r="M17" s="40">
        <f>IF(A17="","",IFERROR(INDEX(Applications!$B$2:$B$101,MATCH(A17,Applications!$A$2:$A$101,0))&amp;"",""))</f>
        <v/>
      </c>
      <c r="N17" s="41">
        <f>IF(A17="","",SUMPRODUCT(ISNUMBER(D17:K17)*($D$2:$K$2&gt;0)))</f>
        <v/>
      </c>
      <c r="O17" s="40">
        <f>IF(A17="","",IF(ISNA(MATCH(A17,Applications!$A$2:$A$101,0)),"Check ID",IF(ISNA(MATCH(B17,Settings!$C$13:$C$18,0)),"Check reviewer",IF(LEFT(C17,3)="Yes","Conflict, not counted",IF(COUNTIFS($A$3:A17,A17,$B$3:B17,B17)&gt;1,"Duplicate, not counted",IF(SUM($D$2:$K$2)=0,"Add weights on Rubric",IF(SUMPRODUCT(ISNUMBER(D17:K17)*((D17:K17&gt;4)+(D17:K17&lt;0)))&gt;0,"Check scores",IF(N17&lt;COUNTIF($D$2:$K$2,"&gt;0"),"Incomplete","Counted"))))))))</f>
        <v/>
      </c>
      <c r="P17" s="42">
        <f>IF(O17="Counted",ROUND(SUMPRODUCT(D17:K17,$D$2:$K$2)*100/(4*SUM($D$2:$K$2)),1),"")</f>
        <v/>
      </c>
      <c r="Q17" s="27">
        <f>IF(O17="Counted",1,0)</f>
        <v/>
      </c>
      <c r="R17" s="43">
        <f>IF(ISNUMBER(D17),D17,0)</f>
        <v/>
      </c>
      <c r="S17" s="43">
        <f>IF(ISNUMBER(E17),E17,0)</f>
        <v/>
      </c>
      <c r="T17" s="43">
        <f>IF(ISNUMBER(F17),F17,0)</f>
        <v/>
      </c>
      <c r="U17" s="43">
        <f>IF(ISNUMBER(G17),G17,0)</f>
        <v/>
      </c>
      <c r="V17" s="43">
        <f>IF(ISNUMBER(H17),H17,0)</f>
        <v/>
      </c>
      <c r="W17" s="43">
        <f>IF(ISNUMBER(I17),I17,0)</f>
        <v/>
      </c>
      <c r="X17" s="43">
        <f>IF(ISNUMBER(J17),J17,0)</f>
        <v/>
      </c>
      <c r="Y17" s="43">
        <f>IF(ISNUMBER(K17),K17,0)</f>
        <v/>
      </c>
    </row>
    <row r="18">
      <c r="A18" s="33" t="inlineStr">
        <is>
          <t>EXAMPLE-06</t>
        </is>
      </c>
      <c r="B18" s="33" t="inlineStr">
        <is>
          <t>Ana</t>
        </is>
      </c>
      <c r="C18" s="33" t="inlineStr">
        <is>
          <t>No</t>
        </is>
      </c>
      <c r="D18" s="39" t="n">
        <v>3</v>
      </c>
      <c r="E18" s="39" t="n">
        <v>2</v>
      </c>
      <c r="F18" s="39" t="n">
        <v>2</v>
      </c>
      <c r="G18" s="39" t="n">
        <v>3</v>
      </c>
      <c r="H18" s="39" t="n">
        <v>2</v>
      </c>
      <c r="I18" s="39" t="n">
        <v>2</v>
      </c>
      <c r="J18" s="39" t="n"/>
      <c r="K18" s="39" t="n"/>
      <c r="L18" s="33" t="n"/>
      <c r="M18" s="40">
        <f>IF(A18="","",IFERROR(INDEX(Applications!$B$2:$B$101,MATCH(A18,Applications!$A$2:$A$101,0))&amp;"",""))</f>
        <v/>
      </c>
      <c r="N18" s="41">
        <f>IF(A18="","",SUMPRODUCT(ISNUMBER(D18:K18)*($D$2:$K$2&gt;0)))</f>
        <v/>
      </c>
      <c r="O18" s="40">
        <f>IF(A18="","",IF(ISNA(MATCH(A18,Applications!$A$2:$A$101,0)),"Check ID",IF(ISNA(MATCH(B18,Settings!$C$13:$C$18,0)),"Check reviewer",IF(LEFT(C18,3)="Yes","Conflict, not counted",IF(COUNTIFS($A$3:A18,A18,$B$3:B18,B18)&gt;1,"Duplicate, not counted",IF(SUM($D$2:$K$2)=0,"Add weights on Rubric",IF(SUMPRODUCT(ISNUMBER(D18:K18)*((D18:K18&gt;4)+(D18:K18&lt;0)))&gt;0,"Check scores",IF(N18&lt;COUNTIF($D$2:$K$2,"&gt;0"),"Incomplete","Counted"))))))))</f>
        <v/>
      </c>
      <c r="P18" s="42">
        <f>IF(O18="Counted",ROUND(SUMPRODUCT(D18:K18,$D$2:$K$2)*100/(4*SUM($D$2:$K$2)),1),"")</f>
        <v/>
      </c>
      <c r="Q18" s="27">
        <f>IF(O18="Counted",1,0)</f>
        <v/>
      </c>
      <c r="R18" s="43">
        <f>IF(ISNUMBER(D18),D18,0)</f>
        <v/>
      </c>
      <c r="S18" s="43">
        <f>IF(ISNUMBER(E18),E18,0)</f>
        <v/>
      </c>
      <c r="T18" s="43">
        <f>IF(ISNUMBER(F18),F18,0)</f>
        <v/>
      </c>
      <c r="U18" s="43">
        <f>IF(ISNUMBER(G18),G18,0)</f>
        <v/>
      </c>
      <c r="V18" s="43">
        <f>IF(ISNUMBER(H18),H18,0)</f>
        <v/>
      </c>
      <c r="W18" s="43">
        <f>IF(ISNUMBER(I18),I18,0)</f>
        <v/>
      </c>
      <c r="X18" s="43">
        <f>IF(ISNUMBER(J18),J18,0)</f>
        <v/>
      </c>
      <c r="Y18" s="43">
        <f>IF(ISNUMBER(K18),K18,0)</f>
        <v/>
      </c>
    </row>
    <row r="19">
      <c r="A19" s="33" t="inlineStr">
        <is>
          <t>EXAMPLE-06</t>
        </is>
      </c>
      <c r="B19" s="33" t="inlineStr">
        <is>
          <t>Ben</t>
        </is>
      </c>
      <c r="C19" s="33" t="inlineStr">
        <is>
          <t>No</t>
        </is>
      </c>
      <c r="D19" s="39" t="n">
        <v>3</v>
      </c>
      <c r="E19" s="39" t="n">
        <v>2</v>
      </c>
      <c r="F19" s="39" t="n"/>
      <c r="G19" s="39" t="n">
        <v>3</v>
      </c>
      <c r="H19" s="39" t="n">
        <v>2</v>
      </c>
      <c r="I19" s="39" t="n">
        <v>2</v>
      </c>
      <c r="J19" s="39" t="n"/>
      <c r="K19" s="39" t="n"/>
      <c r="L19" s="33" t="inlineStr">
        <is>
          <t>Still reading the outcomes.</t>
        </is>
      </c>
      <c r="M19" s="40">
        <f>IF(A19="","",IFERROR(INDEX(Applications!$B$2:$B$101,MATCH(A19,Applications!$A$2:$A$101,0))&amp;"",""))</f>
        <v/>
      </c>
      <c r="N19" s="41">
        <f>IF(A19="","",SUMPRODUCT(ISNUMBER(D19:K19)*($D$2:$K$2&gt;0)))</f>
        <v/>
      </c>
      <c r="O19" s="40">
        <f>IF(A19="","",IF(ISNA(MATCH(A19,Applications!$A$2:$A$101,0)),"Check ID",IF(ISNA(MATCH(B19,Settings!$C$13:$C$18,0)),"Check reviewer",IF(LEFT(C19,3)="Yes","Conflict, not counted",IF(COUNTIFS($A$3:A19,A19,$B$3:B19,B19)&gt;1,"Duplicate, not counted",IF(SUM($D$2:$K$2)=0,"Add weights on Rubric",IF(SUMPRODUCT(ISNUMBER(D19:K19)*((D19:K19&gt;4)+(D19:K19&lt;0)))&gt;0,"Check scores",IF(N19&lt;COUNTIF($D$2:$K$2,"&gt;0"),"Incomplete","Counted"))))))))</f>
        <v/>
      </c>
      <c r="P19" s="42">
        <f>IF(O19="Counted",ROUND(SUMPRODUCT(D19:K19,$D$2:$K$2)*100/(4*SUM($D$2:$K$2)),1),"")</f>
        <v/>
      </c>
      <c r="Q19" s="27">
        <f>IF(O19="Counted",1,0)</f>
        <v/>
      </c>
      <c r="R19" s="43">
        <f>IF(ISNUMBER(D19),D19,0)</f>
        <v/>
      </c>
      <c r="S19" s="43">
        <f>IF(ISNUMBER(E19),E19,0)</f>
        <v/>
      </c>
      <c r="T19" s="43">
        <f>IF(ISNUMBER(F19),F19,0)</f>
        <v/>
      </c>
      <c r="U19" s="43">
        <f>IF(ISNUMBER(G19),G19,0)</f>
        <v/>
      </c>
      <c r="V19" s="43">
        <f>IF(ISNUMBER(H19),H19,0)</f>
        <v/>
      </c>
      <c r="W19" s="43">
        <f>IF(ISNUMBER(I19),I19,0)</f>
        <v/>
      </c>
      <c r="X19" s="43">
        <f>IF(ISNUMBER(J19),J19,0)</f>
        <v/>
      </c>
      <c r="Y19" s="43">
        <f>IF(ISNUMBER(K19),K19,0)</f>
        <v/>
      </c>
    </row>
    <row r="20">
      <c r="A20" s="35" t="n"/>
      <c r="B20" s="35" t="n"/>
      <c r="C20" s="3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35" t="n"/>
      <c r="M20" s="40">
        <f>IF(A20="","",IFERROR(INDEX(Applications!$B$2:$B$101,MATCH(A20,Applications!$A$2:$A$101,0))&amp;"",""))</f>
        <v/>
      </c>
      <c r="N20" s="41">
        <f>IF(A20="","",SUMPRODUCT(ISNUMBER(D20:K20)*($D$2:$K$2&gt;0)))</f>
        <v/>
      </c>
      <c r="O20" s="40">
        <f>IF(A20="","",IF(ISNA(MATCH(A20,Applications!$A$2:$A$101,0)),"Check ID",IF(ISNA(MATCH(B20,Settings!$C$13:$C$18,0)),"Check reviewer",IF(LEFT(C20,3)="Yes","Conflict, not counted",IF(COUNTIFS($A$3:A20,A20,$B$3:B20,B20)&gt;1,"Duplicate, not counted",IF(SUM($D$2:$K$2)=0,"Add weights on Rubric",IF(SUMPRODUCT(ISNUMBER(D20:K20)*((D20:K20&gt;4)+(D20:K20&lt;0)))&gt;0,"Check scores",IF(N20&lt;COUNTIF($D$2:$K$2,"&gt;0"),"Incomplete","Counted"))))))))</f>
        <v/>
      </c>
      <c r="P20" s="42">
        <f>IF(O20="Counted",ROUND(SUMPRODUCT(D20:K20,$D$2:$K$2)*100/(4*SUM($D$2:$K$2)),1),"")</f>
        <v/>
      </c>
      <c r="Q20" s="27">
        <f>IF(O20="Counted",1,0)</f>
        <v/>
      </c>
      <c r="R20" s="43">
        <f>IF(ISNUMBER(D20),D20,0)</f>
        <v/>
      </c>
      <c r="S20" s="43">
        <f>IF(ISNUMBER(E20),E20,0)</f>
        <v/>
      </c>
      <c r="T20" s="43">
        <f>IF(ISNUMBER(F20),F20,0)</f>
        <v/>
      </c>
      <c r="U20" s="43">
        <f>IF(ISNUMBER(G20),G20,0)</f>
        <v/>
      </c>
      <c r="V20" s="43">
        <f>IF(ISNUMBER(H20),H20,0)</f>
        <v/>
      </c>
      <c r="W20" s="43">
        <f>IF(ISNUMBER(I20),I20,0)</f>
        <v/>
      </c>
      <c r="X20" s="43">
        <f>IF(ISNUMBER(J20),J20,0)</f>
        <v/>
      </c>
      <c r="Y20" s="43">
        <f>IF(ISNUMBER(K20),K20,0)</f>
        <v/>
      </c>
    </row>
    <row r="21">
      <c r="A21" s="35" t="n"/>
      <c r="B21" s="35" t="n"/>
      <c r="C21" s="3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35" t="n"/>
      <c r="M21" s="40">
        <f>IF(A21="","",IFERROR(INDEX(Applications!$B$2:$B$101,MATCH(A21,Applications!$A$2:$A$101,0))&amp;"",""))</f>
        <v/>
      </c>
      <c r="N21" s="41">
        <f>IF(A21="","",SUMPRODUCT(ISNUMBER(D21:K21)*($D$2:$K$2&gt;0)))</f>
        <v/>
      </c>
      <c r="O21" s="40">
        <f>IF(A21="","",IF(ISNA(MATCH(A21,Applications!$A$2:$A$101,0)),"Check ID",IF(ISNA(MATCH(B21,Settings!$C$13:$C$18,0)),"Check reviewer",IF(LEFT(C21,3)="Yes","Conflict, not counted",IF(COUNTIFS($A$3:A21,A21,$B$3:B21,B21)&gt;1,"Duplicate, not counted",IF(SUM($D$2:$K$2)=0,"Add weights on Rubric",IF(SUMPRODUCT(ISNUMBER(D21:K21)*((D21:K21&gt;4)+(D21:K21&lt;0)))&gt;0,"Check scores",IF(N21&lt;COUNTIF($D$2:$K$2,"&gt;0"),"Incomplete","Counted"))))))))</f>
        <v/>
      </c>
      <c r="P21" s="42">
        <f>IF(O21="Counted",ROUND(SUMPRODUCT(D21:K21,$D$2:$K$2)*100/(4*SUM($D$2:$K$2)),1),"")</f>
        <v/>
      </c>
      <c r="Q21" s="27">
        <f>IF(O21="Counted",1,0)</f>
        <v/>
      </c>
      <c r="R21" s="43">
        <f>IF(ISNUMBER(D21),D21,0)</f>
        <v/>
      </c>
      <c r="S21" s="43">
        <f>IF(ISNUMBER(E21),E21,0)</f>
        <v/>
      </c>
      <c r="T21" s="43">
        <f>IF(ISNUMBER(F21),F21,0)</f>
        <v/>
      </c>
      <c r="U21" s="43">
        <f>IF(ISNUMBER(G21),G21,0)</f>
        <v/>
      </c>
      <c r="V21" s="43">
        <f>IF(ISNUMBER(H21),H21,0)</f>
        <v/>
      </c>
      <c r="W21" s="43">
        <f>IF(ISNUMBER(I21),I21,0)</f>
        <v/>
      </c>
      <c r="X21" s="43">
        <f>IF(ISNUMBER(J21),J21,0)</f>
        <v/>
      </c>
      <c r="Y21" s="43">
        <f>IF(ISNUMBER(K21),K21,0)</f>
        <v/>
      </c>
    </row>
    <row r="22">
      <c r="A22" s="35" t="n"/>
      <c r="B22" s="35" t="n"/>
      <c r="C22" s="3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35" t="n"/>
      <c r="M22" s="40">
        <f>IF(A22="","",IFERROR(INDEX(Applications!$B$2:$B$101,MATCH(A22,Applications!$A$2:$A$101,0))&amp;"",""))</f>
        <v/>
      </c>
      <c r="N22" s="41">
        <f>IF(A22="","",SUMPRODUCT(ISNUMBER(D22:K22)*($D$2:$K$2&gt;0)))</f>
        <v/>
      </c>
      <c r="O22" s="40">
        <f>IF(A22="","",IF(ISNA(MATCH(A22,Applications!$A$2:$A$101,0)),"Check ID",IF(ISNA(MATCH(B22,Settings!$C$13:$C$18,0)),"Check reviewer",IF(LEFT(C22,3)="Yes","Conflict, not counted",IF(COUNTIFS($A$3:A22,A22,$B$3:B22,B22)&gt;1,"Duplicate, not counted",IF(SUM($D$2:$K$2)=0,"Add weights on Rubric",IF(SUMPRODUCT(ISNUMBER(D22:K22)*((D22:K22&gt;4)+(D22:K22&lt;0)))&gt;0,"Check scores",IF(N22&lt;COUNTIF($D$2:$K$2,"&gt;0"),"Incomplete","Counted"))))))))</f>
        <v/>
      </c>
      <c r="P22" s="42">
        <f>IF(O22="Counted",ROUND(SUMPRODUCT(D22:K22,$D$2:$K$2)*100/(4*SUM($D$2:$K$2)),1),"")</f>
        <v/>
      </c>
      <c r="Q22" s="27">
        <f>IF(O22="Counted",1,0)</f>
        <v/>
      </c>
      <c r="R22" s="43">
        <f>IF(ISNUMBER(D22),D22,0)</f>
        <v/>
      </c>
      <c r="S22" s="43">
        <f>IF(ISNUMBER(E22),E22,0)</f>
        <v/>
      </c>
      <c r="T22" s="43">
        <f>IF(ISNUMBER(F22),F22,0)</f>
        <v/>
      </c>
      <c r="U22" s="43">
        <f>IF(ISNUMBER(G22),G22,0)</f>
        <v/>
      </c>
      <c r="V22" s="43">
        <f>IF(ISNUMBER(H22),H22,0)</f>
        <v/>
      </c>
      <c r="W22" s="43">
        <f>IF(ISNUMBER(I22),I22,0)</f>
        <v/>
      </c>
      <c r="X22" s="43">
        <f>IF(ISNUMBER(J22),J22,0)</f>
        <v/>
      </c>
      <c r="Y22" s="43">
        <f>IF(ISNUMBER(K22),K22,0)</f>
        <v/>
      </c>
    </row>
    <row r="23">
      <c r="A23" s="35" t="n"/>
      <c r="B23" s="35" t="n"/>
      <c r="C23" s="35" t="n"/>
      <c r="D23" s="25" t="n"/>
      <c r="E23" s="25" t="n"/>
      <c r="F23" s="25" t="n"/>
      <c r="G23" s="25" t="n"/>
      <c r="H23" s="25" t="n"/>
      <c r="I23" s="25" t="n"/>
      <c r="J23" s="25" t="n"/>
      <c r="K23" s="25" t="n"/>
      <c r="L23" s="35" t="n"/>
      <c r="M23" s="40">
        <f>IF(A23="","",IFERROR(INDEX(Applications!$B$2:$B$101,MATCH(A23,Applications!$A$2:$A$101,0))&amp;"",""))</f>
        <v/>
      </c>
      <c r="N23" s="41">
        <f>IF(A23="","",SUMPRODUCT(ISNUMBER(D23:K23)*($D$2:$K$2&gt;0)))</f>
        <v/>
      </c>
      <c r="O23" s="40">
        <f>IF(A23="","",IF(ISNA(MATCH(A23,Applications!$A$2:$A$101,0)),"Check ID",IF(ISNA(MATCH(B23,Settings!$C$13:$C$18,0)),"Check reviewer",IF(LEFT(C23,3)="Yes","Conflict, not counted",IF(COUNTIFS($A$3:A23,A23,$B$3:B23,B23)&gt;1,"Duplicate, not counted",IF(SUM($D$2:$K$2)=0,"Add weights on Rubric",IF(SUMPRODUCT(ISNUMBER(D23:K23)*((D23:K23&gt;4)+(D23:K23&lt;0)))&gt;0,"Check scores",IF(N23&lt;COUNTIF($D$2:$K$2,"&gt;0"),"Incomplete","Counted"))))))))</f>
        <v/>
      </c>
      <c r="P23" s="42">
        <f>IF(O23="Counted",ROUND(SUMPRODUCT(D23:K23,$D$2:$K$2)*100/(4*SUM($D$2:$K$2)),1),"")</f>
        <v/>
      </c>
      <c r="Q23" s="27">
        <f>IF(O23="Counted",1,0)</f>
        <v/>
      </c>
      <c r="R23" s="43">
        <f>IF(ISNUMBER(D23),D23,0)</f>
        <v/>
      </c>
      <c r="S23" s="43">
        <f>IF(ISNUMBER(E23),E23,0)</f>
        <v/>
      </c>
      <c r="T23" s="43">
        <f>IF(ISNUMBER(F23),F23,0)</f>
        <v/>
      </c>
      <c r="U23" s="43">
        <f>IF(ISNUMBER(G23),G23,0)</f>
        <v/>
      </c>
      <c r="V23" s="43">
        <f>IF(ISNUMBER(H23),H23,0)</f>
        <v/>
      </c>
      <c r="W23" s="43">
        <f>IF(ISNUMBER(I23),I23,0)</f>
        <v/>
      </c>
      <c r="X23" s="43">
        <f>IF(ISNUMBER(J23),J23,0)</f>
        <v/>
      </c>
      <c r="Y23" s="43">
        <f>IF(ISNUMBER(K23),K23,0)</f>
        <v/>
      </c>
    </row>
    <row r="24">
      <c r="A24" s="35" t="n"/>
      <c r="B24" s="35" t="n"/>
      <c r="C24" s="35" t="n"/>
      <c r="D24" s="25" t="n"/>
      <c r="E24" s="25" t="n"/>
      <c r="F24" s="25" t="n"/>
      <c r="G24" s="25" t="n"/>
      <c r="H24" s="25" t="n"/>
      <c r="I24" s="25" t="n"/>
      <c r="J24" s="25" t="n"/>
      <c r="K24" s="25" t="n"/>
      <c r="L24" s="35" t="n"/>
      <c r="M24" s="40">
        <f>IF(A24="","",IFERROR(INDEX(Applications!$B$2:$B$101,MATCH(A24,Applications!$A$2:$A$101,0))&amp;"",""))</f>
        <v/>
      </c>
      <c r="N24" s="41">
        <f>IF(A24="","",SUMPRODUCT(ISNUMBER(D24:K24)*($D$2:$K$2&gt;0)))</f>
        <v/>
      </c>
      <c r="O24" s="40">
        <f>IF(A24="","",IF(ISNA(MATCH(A24,Applications!$A$2:$A$101,0)),"Check ID",IF(ISNA(MATCH(B24,Settings!$C$13:$C$18,0)),"Check reviewer",IF(LEFT(C24,3)="Yes","Conflict, not counted",IF(COUNTIFS($A$3:A24,A24,$B$3:B24,B24)&gt;1,"Duplicate, not counted",IF(SUM($D$2:$K$2)=0,"Add weights on Rubric",IF(SUMPRODUCT(ISNUMBER(D24:K24)*((D24:K24&gt;4)+(D24:K24&lt;0)))&gt;0,"Check scores",IF(N24&lt;COUNTIF($D$2:$K$2,"&gt;0"),"Incomplete","Counted"))))))))</f>
        <v/>
      </c>
      <c r="P24" s="42">
        <f>IF(O24="Counted",ROUND(SUMPRODUCT(D24:K24,$D$2:$K$2)*100/(4*SUM($D$2:$K$2)),1),"")</f>
        <v/>
      </c>
      <c r="Q24" s="27">
        <f>IF(O24="Counted",1,0)</f>
        <v/>
      </c>
      <c r="R24" s="43">
        <f>IF(ISNUMBER(D24),D24,0)</f>
        <v/>
      </c>
      <c r="S24" s="43">
        <f>IF(ISNUMBER(E24),E24,0)</f>
        <v/>
      </c>
      <c r="T24" s="43">
        <f>IF(ISNUMBER(F24),F24,0)</f>
        <v/>
      </c>
      <c r="U24" s="43">
        <f>IF(ISNUMBER(G24),G24,0)</f>
        <v/>
      </c>
      <c r="V24" s="43">
        <f>IF(ISNUMBER(H24),H24,0)</f>
        <v/>
      </c>
      <c r="W24" s="43">
        <f>IF(ISNUMBER(I24),I24,0)</f>
        <v/>
      </c>
      <c r="X24" s="43">
        <f>IF(ISNUMBER(J24),J24,0)</f>
        <v/>
      </c>
      <c r="Y24" s="43">
        <f>IF(ISNUMBER(K24),K24,0)</f>
        <v/>
      </c>
    </row>
    <row r="25">
      <c r="A25" s="35" t="n"/>
      <c r="B25" s="35" t="n"/>
      <c r="C25" s="35" t="n"/>
      <c r="D25" s="25" t="n"/>
      <c r="E25" s="25" t="n"/>
      <c r="F25" s="25" t="n"/>
      <c r="G25" s="25" t="n"/>
      <c r="H25" s="25" t="n"/>
      <c r="I25" s="25" t="n"/>
      <c r="J25" s="25" t="n"/>
      <c r="K25" s="25" t="n"/>
      <c r="L25" s="35" t="n"/>
      <c r="M25" s="40">
        <f>IF(A25="","",IFERROR(INDEX(Applications!$B$2:$B$101,MATCH(A25,Applications!$A$2:$A$101,0))&amp;"",""))</f>
        <v/>
      </c>
      <c r="N25" s="41">
        <f>IF(A25="","",SUMPRODUCT(ISNUMBER(D25:K25)*($D$2:$K$2&gt;0)))</f>
        <v/>
      </c>
      <c r="O25" s="40">
        <f>IF(A25="","",IF(ISNA(MATCH(A25,Applications!$A$2:$A$101,0)),"Check ID",IF(ISNA(MATCH(B25,Settings!$C$13:$C$18,0)),"Check reviewer",IF(LEFT(C25,3)="Yes","Conflict, not counted",IF(COUNTIFS($A$3:A25,A25,$B$3:B25,B25)&gt;1,"Duplicate, not counted",IF(SUM($D$2:$K$2)=0,"Add weights on Rubric",IF(SUMPRODUCT(ISNUMBER(D25:K25)*((D25:K25&gt;4)+(D25:K25&lt;0)))&gt;0,"Check scores",IF(N25&lt;COUNTIF($D$2:$K$2,"&gt;0"),"Incomplete","Counted"))))))))</f>
        <v/>
      </c>
      <c r="P25" s="42">
        <f>IF(O25="Counted",ROUND(SUMPRODUCT(D25:K25,$D$2:$K$2)*100/(4*SUM($D$2:$K$2)),1),"")</f>
        <v/>
      </c>
      <c r="Q25" s="27">
        <f>IF(O25="Counted",1,0)</f>
        <v/>
      </c>
      <c r="R25" s="43">
        <f>IF(ISNUMBER(D25),D25,0)</f>
        <v/>
      </c>
      <c r="S25" s="43">
        <f>IF(ISNUMBER(E25),E25,0)</f>
        <v/>
      </c>
      <c r="T25" s="43">
        <f>IF(ISNUMBER(F25),F25,0)</f>
        <v/>
      </c>
      <c r="U25" s="43">
        <f>IF(ISNUMBER(G25),G25,0)</f>
        <v/>
      </c>
      <c r="V25" s="43">
        <f>IF(ISNUMBER(H25),H25,0)</f>
        <v/>
      </c>
      <c r="W25" s="43">
        <f>IF(ISNUMBER(I25),I25,0)</f>
        <v/>
      </c>
      <c r="X25" s="43">
        <f>IF(ISNUMBER(J25),J25,0)</f>
        <v/>
      </c>
      <c r="Y25" s="43">
        <f>IF(ISNUMBER(K25),K25,0)</f>
        <v/>
      </c>
    </row>
    <row r="26">
      <c r="A26" s="35" t="n"/>
      <c r="B26" s="35" t="n"/>
      <c r="C26" s="3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35" t="n"/>
      <c r="M26" s="40">
        <f>IF(A26="","",IFERROR(INDEX(Applications!$B$2:$B$101,MATCH(A26,Applications!$A$2:$A$101,0))&amp;"",""))</f>
        <v/>
      </c>
      <c r="N26" s="41">
        <f>IF(A26="","",SUMPRODUCT(ISNUMBER(D26:K26)*($D$2:$K$2&gt;0)))</f>
        <v/>
      </c>
      <c r="O26" s="40">
        <f>IF(A26="","",IF(ISNA(MATCH(A26,Applications!$A$2:$A$101,0)),"Check ID",IF(ISNA(MATCH(B26,Settings!$C$13:$C$18,0)),"Check reviewer",IF(LEFT(C26,3)="Yes","Conflict, not counted",IF(COUNTIFS($A$3:A26,A26,$B$3:B26,B26)&gt;1,"Duplicate, not counted",IF(SUM($D$2:$K$2)=0,"Add weights on Rubric",IF(SUMPRODUCT(ISNUMBER(D26:K26)*((D26:K26&gt;4)+(D26:K26&lt;0)))&gt;0,"Check scores",IF(N26&lt;COUNTIF($D$2:$K$2,"&gt;0"),"Incomplete","Counted"))))))))</f>
        <v/>
      </c>
      <c r="P26" s="42">
        <f>IF(O26="Counted",ROUND(SUMPRODUCT(D26:K26,$D$2:$K$2)*100/(4*SUM($D$2:$K$2)),1),"")</f>
        <v/>
      </c>
      <c r="Q26" s="27">
        <f>IF(O26="Counted",1,0)</f>
        <v/>
      </c>
      <c r="R26" s="43">
        <f>IF(ISNUMBER(D26),D26,0)</f>
        <v/>
      </c>
      <c r="S26" s="43">
        <f>IF(ISNUMBER(E26),E26,0)</f>
        <v/>
      </c>
      <c r="T26" s="43">
        <f>IF(ISNUMBER(F26),F26,0)</f>
        <v/>
      </c>
      <c r="U26" s="43">
        <f>IF(ISNUMBER(G26),G26,0)</f>
        <v/>
      </c>
      <c r="V26" s="43">
        <f>IF(ISNUMBER(H26),H26,0)</f>
        <v/>
      </c>
      <c r="W26" s="43">
        <f>IF(ISNUMBER(I26),I26,0)</f>
        <v/>
      </c>
      <c r="X26" s="43">
        <f>IF(ISNUMBER(J26),J26,0)</f>
        <v/>
      </c>
      <c r="Y26" s="43">
        <f>IF(ISNUMBER(K26),K26,0)</f>
        <v/>
      </c>
    </row>
    <row r="27">
      <c r="A27" s="35" t="n"/>
      <c r="B27" s="35" t="n"/>
      <c r="C27" s="35" t="n"/>
      <c r="D27" s="25" t="n"/>
      <c r="E27" s="25" t="n"/>
      <c r="F27" s="25" t="n"/>
      <c r="G27" s="25" t="n"/>
      <c r="H27" s="25" t="n"/>
      <c r="I27" s="25" t="n"/>
      <c r="J27" s="25" t="n"/>
      <c r="K27" s="25" t="n"/>
      <c r="L27" s="35" t="n"/>
      <c r="M27" s="40">
        <f>IF(A27="","",IFERROR(INDEX(Applications!$B$2:$B$101,MATCH(A27,Applications!$A$2:$A$101,0))&amp;"",""))</f>
        <v/>
      </c>
      <c r="N27" s="41">
        <f>IF(A27="","",SUMPRODUCT(ISNUMBER(D27:K27)*($D$2:$K$2&gt;0)))</f>
        <v/>
      </c>
      <c r="O27" s="40">
        <f>IF(A27="","",IF(ISNA(MATCH(A27,Applications!$A$2:$A$101,0)),"Check ID",IF(ISNA(MATCH(B27,Settings!$C$13:$C$18,0)),"Check reviewer",IF(LEFT(C27,3)="Yes","Conflict, not counted",IF(COUNTIFS($A$3:A27,A27,$B$3:B27,B27)&gt;1,"Duplicate, not counted",IF(SUM($D$2:$K$2)=0,"Add weights on Rubric",IF(SUMPRODUCT(ISNUMBER(D27:K27)*((D27:K27&gt;4)+(D27:K27&lt;0)))&gt;0,"Check scores",IF(N27&lt;COUNTIF($D$2:$K$2,"&gt;0"),"Incomplete","Counted"))))))))</f>
        <v/>
      </c>
      <c r="P27" s="42">
        <f>IF(O27="Counted",ROUND(SUMPRODUCT(D27:K27,$D$2:$K$2)*100/(4*SUM($D$2:$K$2)),1),"")</f>
        <v/>
      </c>
      <c r="Q27" s="27">
        <f>IF(O27="Counted",1,0)</f>
        <v/>
      </c>
      <c r="R27" s="43">
        <f>IF(ISNUMBER(D27),D27,0)</f>
        <v/>
      </c>
      <c r="S27" s="43">
        <f>IF(ISNUMBER(E27),E27,0)</f>
        <v/>
      </c>
      <c r="T27" s="43">
        <f>IF(ISNUMBER(F27),F27,0)</f>
        <v/>
      </c>
      <c r="U27" s="43">
        <f>IF(ISNUMBER(G27),G27,0)</f>
        <v/>
      </c>
      <c r="V27" s="43">
        <f>IF(ISNUMBER(H27),H27,0)</f>
        <v/>
      </c>
      <c r="W27" s="43">
        <f>IF(ISNUMBER(I27),I27,0)</f>
        <v/>
      </c>
      <c r="X27" s="43">
        <f>IF(ISNUMBER(J27),J27,0)</f>
        <v/>
      </c>
      <c r="Y27" s="43">
        <f>IF(ISNUMBER(K27),K27,0)</f>
        <v/>
      </c>
    </row>
    <row r="28">
      <c r="A28" s="35" t="n"/>
      <c r="B28" s="35" t="n"/>
      <c r="C28" s="35" t="n"/>
      <c r="D28" s="25" t="n"/>
      <c r="E28" s="25" t="n"/>
      <c r="F28" s="25" t="n"/>
      <c r="G28" s="25" t="n"/>
      <c r="H28" s="25" t="n"/>
      <c r="I28" s="25" t="n"/>
      <c r="J28" s="25" t="n"/>
      <c r="K28" s="25" t="n"/>
      <c r="L28" s="35" t="n"/>
      <c r="M28" s="40">
        <f>IF(A28="","",IFERROR(INDEX(Applications!$B$2:$B$101,MATCH(A28,Applications!$A$2:$A$101,0))&amp;"",""))</f>
        <v/>
      </c>
      <c r="N28" s="41">
        <f>IF(A28="","",SUMPRODUCT(ISNUMBER(D28:K28)*($D$2:$K$2&gt;0)))</f>
        <v/>
      </c>
      <c r="O28" s="40">
        <f>IF(A28="","",IF(ISNA(MATCH(A28,Applications!$A$2:$A$101,0)),"Check ID",IF(ISNA(MATCH(B28,Settings!$C$13:$C$18,0)),"Check reviewer",IF(LEFT(C28,3)="Yes","Conflict, not counted",IF(COUNTIFS($A$3:A28,A28,$B$3:B28,B28)&gt;1,"Duplicate, not counted",IF(SUM($D$2:$K$2)=0,"Add weights on Rubric",IF(SUMPRODUCT(ISNUMBER(D28:K28)*((D28:K28&gt;4)+(D28:K28&lt;0)))&gt;0,"Check scores",IF(N28&lt;COUNTIF($D$2:$K$2,"&gt;0"),"Incomplete","Counted"))))))))</f>
        <v/>
      </c>
      <c r="P28" s="42">
        <f>IF(O28="Counted",ROUND(SUMPRODUCT(D28:K28,$D$2:$K$2)*100/(4*SUM($D$2:$K$2)),1),"")</f>
        <v/>
      </c>
      <c r="Q28" s="27">
        <f>IF(O28="Counted",1,0)</f>
        <v/>
      </c>
      <c r="R28" s="43">
        <f>IF(ISNUMBER(D28),D28,0)</f>
        <v/>
      </c>
      <c r="S28" s="43">
        <f>IF(ISNUMBER(E28),E28,0)</f>
        <v/>
      </c>
      <c r="T28" s="43">
        <f>IF(ISNUMBER(F28),F28,0)</f>
        <v/>
      </c>
      <c r="U28" s="43">
        <f>IF(ISNUMBER(G28),G28,0)</f>
        <v/>
      </c>
      <c r="V28" s="43">
        <f>IF(ISNUMBER(H28),H28,0)</f>
        <v/>
      </c>
      <c r="W28" s="43">
        <f>IF(ISNUMBER(I28),I28,0)</f>
        <v/>
      </c>
      <c r="X28" s="43">
        <f>IF(ISNUMBER(J28),J28,0)</f>
        <v/>
      </c>
      <c r="Y28" s="43">
        <f>IF(ISNUMBER(K28),K28,0)</f>
        <v/>
      </c>
    </row>
    <row r="29">
      <c r="A29" s="35" t="n"/>
      <c r="B29" s="35" t="n"/>
      <c r="C29" s="35" t="n"/>
      <c r="D29" s="25" t="n"/>
      <c r="E29" s="25" t="n"/>
      <c r="F29" s="25" t="n"/>
      <c r="G29" s="25" t="n"/>
      <c r="H29" s="25" t="n"/>
      <c r="I29" s="25" t="n"/>
      <c r="J29" s="25" t="n"/>
      <c r="K29" s="25" t="n"/>
      <c r="L29" s="35" t="n"/>
      <c r="M29" s="40">
        <f>IF(A29="","",IFERROR(INDEX(Applications!$B$2:$B$101,MATCH(A29,Applications!$A$2:$A$101,0))&amp;"",""))</f>
        <v/>
      </c>
      <c r="N29" s="41">
        <f>IF(A29="","",SUMPRODUCT(ISNUMBER(D29:K29)*($D$2:$K$2&gt;0)))</f>
        <v/>
      </c>
      <c r="O29" s="40">
        <f>IF(A29="","",IF(ISNA(MATCH(A29,Applications!$A$2:$A$101,0)),"Check ID",IF(ISNA(MATCH(B29,Settings!$C$13:$C$18,0)),"Check reviewer",IF(LEFT(C29,3)="Yes","Conflict, not counted",IF(COUNTIFS($A$3:A29,A29,$B$3:B29,B29)&gt;1,"Duplicate, not counted",IF(SUM($D$2:$K$2)=0,"Add weights on Rubric",IF(SUMPRODUCT(ISNUMBER(D29:K29)*((D29:K29&gt;4)+(D29:K29&lt;0)))&gt;0,"Check scores",IF(N29&lt;COUNTIF($D$2:$K$2,"&gt;0"),"Incomplete","Counted"))))))))</f>
        <v/>
      </c>
      <c r="P29" s="42">
        <f>IF(O29="Counted",ROUND(SUMPRODUCT(D29:K29,$D$2:$K$2)*100/(4*SUM($D$2:$K$2)),1),"")</f>
        <v/>
      </c>
      <c r="Q29" s="27">
        <f>IF(O29="Counted",1,0)</f>
        <v/>
      </c>
      <c r="R29" s="43">
        <f>IF(ISNUMBER(D29),D29,0)</f>
        <v/>
      </c>
      <c r="S29" s="43">
        <f>IF(ISNUMBER(E29),E29,0)</f>
        <v/>
      </c>
      <c r="T29" s="43">
        <f>IF(ISNUMBER(F29),F29,0)</f>
        <v/>
      </c>
      <c r="U29" s="43">
        <f>IF(ISNUMBER(G29),G29,0)</f>
        <v/>
      </c>
      <c r="V29" s="43">
        <f>IF(ISNUMBER(H29),H29,0)</f>
        <v/>
      </c>
      <c r="W29" s="43">
        <f>IF(ISNUMBER(I29),I29,0)</f>
        <v/>
      </c>
      <c r="X29" s="43">
        <f>IF(ISNUMBER(J29),J29,0)</f>
        <v/>
      </c>
      <c r="Y29" s="43">
        <f>IF(ISNUMBER(K29),K29,0)</f>
        <v/>
      </c>
    </row>
    <row r="30">
      <c r="A30" s="35" t="n"/>
      <c r="B30" s="35" t="n"/>
      <c r="C30" s="35" t="n"/>
      <c r="D30" s="25" t="n"/>
      <c r="E30" s="25" t="n"/>
      <c r="F30" s="25" t="n"/>
      <c r="G30" s="25" t="n"/>
      <c r="H30" s="25" t="n"/>
      <c r="I30" s="25" t="n"/>
      <c r="J30" s="25" t="n"/>
      <c r="K30" s="25" t="n"/>
      <c r="L30" s="35" t="n"/>
      <c r="M30" s="40">
        <f>IF(A30="","",IFERROR(INDEX(Applications!$B$2:$B$101,MATCH(A30,Applications!$A$2:$A$101,0))&amp;"",""))</f>
        <v/>
      </c>
      <c r="N30" s="41">
        <f>IF(A30="","",SUMPRODUCT(ISNUMBER(D30:K30)*($D$2:$K$2&gt;0)))</f>
        <v/>
      </c>
      <c r="O30" s="40">
        <f>IF(A30="","",IF(ISNA(MATCH(A30,Applications!$A$2:$A$101,0)),"Check ID",IF(ISNA(MATCH(B30,Settings!$C$13:$C$18,0)),"Check reviewer",IF(LEFT(C30,3)="Yes","Conflict, not counted",IF(COUNTIFS($A$3:A30,A30,$B$3:B30,B30)&gt;1,"Duplicate, not counted",IF(SUM($D$2:$K$2)=0,"Add weights on Rubric",IF(SUMPRODUCT(ISNUMBER(D30:K30)*((D30:K30&gt;4)+(D30:K30&lt;0)))&gt;0,"Check scores",IF(N30&lt;COUNTIF($D$2:$K$2,"&gt;0"),"Incomplete","Counted"))))))))</f>
        <v/>
      </c>
      <c r="P30" s="42">
        <f>IF(O30="Counted",ROUND(SUMPRODUCT(D30:K30,$D$2:$K$2)*100/(4*SUM($D$2:$K$2)),1),"")</f>
        <v/>
      </c>
      <c r="Q30" s="27">
        <f>IF(O30="Counted",1,0)</f>
        <v/>
      </c>
      <c r="R30" s="43">
        <f>IF(ISNUMBER(D30),D30,0)</f>
        <v/>
      </c>
      <c r="S30" s="43">
        <f>IF(ISNUMBER(E30),E30,0)</f>
        <v/>
      </c>
      <c r="T30" s="43">
        <f>IF(ISNUMBER(F30),F30,0)</f>
        <v/>
      </c>
      <c r="U30" s="43">
        <f>IF(ISNUMBER(G30),G30,0)</f>
        <v/>
      </c>
      <c r="V30" s="43">
        <f>IF(ISNUMBER(H30),H30,0)</f>
        <v/>
      </c>
      <c r="W30" s="43">
        <f>IF(ISNUMBER(I30),I30,0)</f>
        <v/>
      </c>
      <c r="X30" s="43">
        <f>IF(ISNUMBER(J30),J30,0)</f>
        <v/>
      </c>
      <c r="Y30" s="43">
        <f>IF(ISNUMBER(K30),K30,0)</f>
        <v/>
      </c>
    </row>
    <row r="31">
      <c r="A31" s="35" t="n"/>
      <c r="B31" s="35" t="n"/>
      <c r="C31" s="35" t="n"/>
      <c r="D31" s="25" t="n"/>
      <c r="E31" s="25" t="n"/>
      <c r="F31" s="25" t="n"/>
      <c r="G31" s="25" t="n"/>
      <c r="H31" s="25" t="n"/>
      <c r="I31" s="25" t="n"/>
      <c r="J31" s="25" t="n"/>
      <c r="K31" s="25" t="n"/>
      <c r="L31" s="35" t="n"/>
      <c r="M31" s="40">
        <f>IF(A31="","",IFERROR(INDEX(Applications!$B$2:$B$101,MATCH(A31,Applications!$A$2:$A$101,0))&amp;"",""))</f>
        <v/>
      </c>
      <c r="N31" s="41">
        <f>IF(A31="","",SUMPRODUCT(ISNUMBER(D31:K31)*($D$2:$K$2&gt;0)))</f>
        <v/>
      </c>
      <c r="O31" s="40">
        <f>IF(A31="","",IF(ISNA(MATCH(A31,Applications!$A$2:$A$101,0)),"Check ID",IF(ISNA(MATCH(B31,Settings!$C$13:$C$18,0)),"Check reviewer",IF(LEFT(C31,3)="Yes","Conflict, not counted",IF(COUNTIFS($A$3:A31,A31,$B$3:B31,B31)&gt;1,"Duplicate, not counted",IF(SUM($D$2:$K$2)=0,"Add weights on Rubric",IF(SUMPRODUCT(ISNUMBER(D31:K31)*((D31:K31&gt;4)+(D31:K31&lt;0)))&gt;0,"Check scores",IF(N31&lt;COUNTIF($D$2:$K$2,"&gt;0"),"Incomplete","Counted"))))))))</f>
        <v/>
      </c>
      <c r="P31" s="42">
        <f>IF(O31="Counted",ROUND(SUMPRODUCT(D31:K31,$D$2:$K$2)*100/(4*SUM($D$2:$K$2)),1),"")</f>
        <v/>
      </c>
      <c r="Q31" s="27">
        <f>IF(O31="Counted",1,0)</f>
        <v/>
      </c>
      <c r="R31" s="43">
        <f>IF(ISNUMBER(D31),D31,0)</f>
        <v/>
      </c>
      <c r="S31" s="43">
        <f>IF(ISNUMBER(E31),E31,0)</f>
        <v/>
      </c>
      <c r="T31" s="43">
        <f>IF(ISNUMBER(F31),F31,0)</f>
        <v/>
      </c>
      <c r="U31" s="43">
        <f>IF(ISNUMBER(G31),G31,0)</f>
        <v/>
      </c>
      <c r="V31" s="43">
        <f>IF(ISNUMBER(H31),H31,0)</f>
        <v/>
      </c>
      <c r="W31" s="43">
        <f>IF(ISNUMBER(I31),I31,0)</f>
        <v/>
      </c>
      <c r="X31" s="43">
        <f>IF(ISNUMBER(J31),J31,0)</f>
        <v/>
      </c>
      <c r="Y31" s="43">
        <f>IF(ISNUMBER(K31),K31,0)</f>
        <v/>
      </c>
    </row>
    <row r="32">
      <c r="A32" s="35" t="n"/>
      <c r="B32" s="35" t="n"/>
      <c r="C32" s="35" t="n"/>
      <c r="D32" s="25" t="n"/>
      <c r="E32" s="25" t="n"/>
      <c r="F32" s="25" t="n"/>
      <c r="G32" s="25" t="n"/>
      <c r="H32" s="25" t="n"/>
      <c r="I32" s="25" t="n"/>
      <c r="J32" s="25" t="n"/>
      <c r="K32" s="25" t="n"/>
      <c r="L32" s="35" t="n"/>
      <c r="M32" s="40">
        <f>IF(A32="","",IFERROR(INDEX(Applications!$B$2:$B$101,MATCH(A32,Applications!$A$2:$A$101,0))&amp;"",""))</f>
        <v/>
      </c>
      <c r="N32" s="41">
        <f>IF(A32="","",SUMPRODUCT(ISNUMBER(D32:K32)*($D$2:$K$2&gt;0)))</f>
        <v/>
      </c>
      <c r="O32" s="40">
        <f>IF(A32="","",IF(ISNA(MATCH(A32,Applications!$A$2:$A$101,0)),"Check ID",IF(ISNA(MATCH(B32,Settings!$C$13:$C$18,0)),"Check reviewer",IF(LEFT(C32,3)="Yes","Conflict, not counted",IF(COUNTIFS($A$3:A32,A32,$B$3:B32,B32)&gt;1,"Duplicate, not counted",IF(SUM($D$2:$K$2)=0,"Add weights on Rubric",IF(SUMPRODUCT(ISNUMBER(D32:K32)*((D32:K32&gt;4)+(D32:K32&lt;0)))&gt;0,"Check scores",IF(N32&lt;COUNTIF($D$2:$K$2,"&gt;0"),"Incomplete","Counted"))))))))</f>
        <v/>
      </c>
      <c r="P32" s="42">
        <f>IF(O32="Counted",ROUND(SUMPRODUCT(D32:K32,$D$2:$K$2)*100/(4*SUM($D$2:$K$2)),1),"")</f>
        <v/>
      </c>
      <c r="Q32" s="27">
        <f>IF(O32="Counted",1,0)</f>
        <v/>
      </c>
      <c r="R32" s="43">
        <f>IF(ISNUMBER(D32),D32,0)</f>
        <v/>
      </c>
      <c r="S32" s="43">
        <f>IF(ISNUMBER(E32),E32,0)</f>
        <v/>
      </c>
      <c r="T32" s="43">
        <f>IF(ISNUMBER(F32),F32,0)</f>
        <v/>
      </c>
      <c r="U32" s="43">
        <f>IF(ISNUMBER(G32),G32,0)</f>
        <v/>
      </c>
      <c r="V32" s="43">
        <f>IF(ISNUMBER(H32),H32,0)</f>
        <v/>
      </c>
      <c r="W32" s="43">
        <f>IF(ISNUMBER(I32),I32,0)</f>
        <v/>
      </c>
      <c r="X32" s="43">
        <f>IF(ISNUMBER(J32),J32,0)</f>
        <v/>
      </c>
      <c r="Y32" s="43">
        <f>IF(ISNUMBER(K32),K32,0)</f>
        <v/>
      </c>
    </row>
    <row r="33">
      <c r="A33" s="35" t="n"/>
      <c r="B33" s="35" t="n"/>
      <c r="C33" s="35" t="n"/>
      <c r="D33" s="25" t="n"/>
      <c r="E33" s="25" t="n"/>
      <c r="F33" s="25" t="n"/>
      <c r="G33" s="25" t="n"/>
      <c r="H33" s="25" t="n"/>
      <c r="I33" s="25" t="n"/>
      <c r="J33" s="25" t="n"/>
      <c r="K33" s="25" t="n"/>
      <c r="L33" s="35" t="n"/>
      <c r="M33" s="40">
        <f>IF(A33="","",IFERROR(INDEX(Applications!$B$2:$B$101,MATCH(A33,Applications!$A$2:$A$101,0))&amp;"",""))</f>
        <v/>
      </c>
      <c r="N33" s="41">
        <f>IF(A33="","",SUMPRODUCT(ISNUMBER(D33:K33)*($D$2:$K$2&gt;0)))</f>
        <v/>
      </c>
      <c r="O33" s="40">
        <f>IF(A33="","",IF(ISNA(MATCH(A33,Applications!$A$2:$A$101,0)),"Check ID",IF(ISNA(MATCH(B33,Settings!$C$13:$C$18,0)),"Check reviewer",IF(LEFT(C33,3)="Yes","Conflict, not counted",IF(COUNTIFS($A$3:A33,A33,$B$3:B33,B33)&gt;1,"Duplicate, not counted",IF(SUM($D$2:$K$2)=0,"Add weights on Rubric",IF(SUMPRODUCT(ISNUMBER(D33:K33)*((D33:K33&gt;4)+(D33:K33&lt;0)))&gt;0,"Check scores",IF(N33&lt;COUNTIF($D$2:$K$2,"&gt;0"),"Incomplete","Counted"))))))))</f>
        <v/>
      </c>
      <c r="P33" s="42">
        <f>IF(O33="Counted",ROUND(SUMPRODUCT(D33:K33,$D$2:$K$2)*100/(4*SUM($D$2:$K$2)),1),"")</f>
        <v/>
      </c>
      <c r="Q33" s="27">
        <f>IF(O33="Counted",1,0)</f>
        <v/>
      </c>
      <c r="R33" s="43">
        <f>IF(ISNUMBER(D33),D33,0)</f>
        <v/>
      </c>
      <c r="S33" s="43">
        <f>IF(ISNUMBER(E33),E33,0)</f>
        <v/>
      </c>
      <c r="T33" s="43">
        <f>IF(ISNUMBER(F33),F33,0)</f>
        <v/>
      </c>
      <c r="U33" s="43">
        <f>IF(ISNUMBER(G33),G33,0)</f>
        <v/>
      </c>
      <c r="V33" s="43">
        <f>IF(ISNUMBER(H33),H33,0)</f>
        <v/>
      </c>
      <c r="W33" s="43">
        <f>IF(ISNUMBER(I33),I33,0)</f>
        <v/>
      </c>
      <c r="X33" s="43">
        <f>IF(ISNUMBER(J33),J33,0)</f>
        <v/>
      </c>
      <c r="Y33" s="43">
        <f>IF(ISNUMBER(K33),K33,0)</f>
        <v/>
      </c>
    </row>
    <row r="34">
      <c r="A34" s="35" t="n"/>
      <c r="B34" s="35" t="n"/>
      <c r="C34" s="35" t="n"/>
      <c r="D34" s="25" t="n"/>
      <c r="E34" s="25" t="n"/>
      <c r="F34" s="25" t="n"/>
      <c r="G34" s="25" t="n"/>
      <c r="H34" s="25" t="n"/>
      <c r="I34" s="25" t="n"/>
      <c r="J34" s="25" t="n"/>
      <c r="K34" s="25" t="n"/>
      <c r="L34" s="35" t="n"/>
      <c r="M34" s="40">
        <f>IF(A34="","",IFERROR(INDEX(Applications!$B$2:$B$101,MATCH(A34,Applications!$A$2:$A$101,0))&amp;"",""))</f>
        <v/>
      </c>
      <c r="N34" s="41">
        <f>IF(A34="","",SUMPRODUCT(ISNUMBER(D34:K34)*($D$2:$K$2&gt;0)))</f>
        <v/>
      </c>
      <c r="O34" s="40">
        <f>IF(A34="","",IF(ISNA(MATCH(A34,Applications!$A$2:$A$101,0)),"Check ID",IF(ISNA(MATCH(B34,Settings!$C$13:$C$18,0)),"Check reviewer",IF(LEFT(C34,3)="Yes","Conflict, not counted",IF(COUNTIFS($A$3:A34,A34,$B$3:B34,B34)&gt;1,"Duplicate, not counted",IF(SUM($D$2:$K$2)=0,"Add weights on Rubric",IF(SUMPRODUCT(ISNUMBER(D34:K34)*((D34:K34&gt;4)+(D34:K34&lt;0)))&gt;0,"Check scores",IF(N34&lt;COUNTIF($D$2:$K$2,"&gt;0"),"Incomplete","Counted"))))))))</f>
        <v/>
      </c>
      <c r="P34" s="42">
        <f>IF(O34="Counted",ROUND(SUMPRODUCT(D34:K34,$D$2:$K$2)*100/(4*SUM($D$2:$K$2)),1),"")</f>
        <v/>
      </c>
      <c r="Q34" s="27">
        <f>IF(O34="Counted",1,0)</f>
        <v/>
      </c>
      <c r="R34" s="43">
        <f>IF(ISNUMBER(D34),D34,0)</f>
        <v/>
      </c>
      <c r="S34" s="43">
        <f>IF(ISNUMBER(E34),E34,0)</f>
        <v/>
      </c>
      <c r="T34" s="43">
        <f>IF(ISNUMBER(F34),F34,0)</f>
        <v/>
      </c>
      <c r="U34" s="43">
        <f>IF(ISNUMBER(G34),G34,0)</f>
        <v/>
      </c>
      <c r="V34" s="43">
        <f>IF(ISNUMBER(H34),H34,0)</f>
        <v/>
      </c>
      <c r="W34" s="43">
        <f>IF(ISNUMBER(I34),I34,0)</f>
        <v/>
      </c>
      <c r="X34" s="43">
        <f>IF(ISNUMBER(J34),J34,0)</f>
        <v/>
      </c>
      <c r="Y34" s="43">
        <f>IF(ISNUMBER(K34),K34,0)</f>
        <v/>
      </c>
    </row>
    <row r="35">
      <c r="A35" s="35" t="n"/>
      <c r="B35" s="35" t="n"/>
      <c r="C35" s="35" t="n"/>
      <c r="D35" s="25" t="n"/>
      <c r="E35" s="25" t="n"/>
      <c r="F35" s="25" t="n"/>
      <c r="G35" s="25" t="n"/>
      <c r="H35" s="25" t="n"/>
      <c r="I35" s="25" t="n"/>
      <c r="J35" s="25" t="n"/>
      <c r="K35" s="25" t="n"/>
      <c r="L35" s="35" t="n"/>
      <c r="M35" s="40">
        <f>IF(A35="","",IFERROR(INDEX(Applications!$B$2:$B$101,MATCH(A35,Applications!$A$2:$A$101,0))&amp;"",""))</f>
        <v/>
      </c>
      <c r="N35" s="41">
        <f>IF(A35="","",SUMPRODUCT(ISNUMBER(D35:K35)*($D$2:$K$2&gt;0)))</f>
        <v/>
      </c>
      <c r="O35" s="40">
        <f>IF(A35="","",IF(ISNA(MATCH(A35,Applications!$A$2:$A$101,0)),"Check ID",IF(ISNA(MATCH(B35,Settings!$C$13:$C$18,0)),"Check reviewer",IF(LEFT(C35,3)="Yes","Conflict, not counted",IF(COUNTIFS($A$3:A35,A35,$B$3:B35,B35)&gt;1,"Duplicate, not counted",IF(SUM($D$2:$K$2)=0,"Add weights on Rubric",IF(SUMPRODUCT(ISNUMBER(D35:K35)*((D35:K35&gt;4)+(D35:K35&lt;0)))&gt;0,"Check scores",IF(N35&lt;COUNTIF($D$2:$K$2,"&gt;0"),"Incomplete","Counted"))))))))</f>
        <v/>
      </c>
      <c r="P35" s="42">
        <f>IF(O35="Counted",ROUND(SUMPRODUCT(D35:K35,$D$2:$K$2)*100/(4*SUM($D$2:$K$2)),1),"")</f>
        <v/>
      </c>
      <c r="Q35" s="27">
        <f>IF(O35="Counted",1,0)</f>
        <v/>
      </c>
      <c r="R35" s="43">
        <f>IF(ISNUMBER(D35),D35,0)</f>
        <v/>
      </c>
      <c r="S35" s="43">
        <f>IF(ISNUMBER(E35),E35,0)</f>
        <v/>
      </c>
      <c r="T35" s="43">
        <f>IF(ISNUMBER(F35),F35,0)</f>
        <v/>
      </c>
      <c r="U35" s="43">
        <f>IF(ISNUMBER(G35),G35,0)</f>
        <v/>
      </c>
      <c r="V35" s="43">
        <f>IF(ISNUMBER(H35),H35,0)</f>
        <v/>
      </c>
      <c r="W35" s="43">
        <f>IF(ISNUMBER(I35),I35,0)</f>
        <v/>
      </c>
      <c r="X35" s="43">
        <f>IF(ISNUMBER(J35),J35,0)</f>
        <v/>
      </c>
      <c r="Y35" s="43">
        <f>IF(ISNUMBER(K35),K35,0)</f>
        <v/>
      </c>
    </row>
    <row r="36">
      <c r="A36" s="35" t="n"/>
      <c r="B36" s="35" t="n"/>
      <c r="C36" s="35" t="n"/>
      <c r="D36" s="25" t="n"/>
      <c r="E36" s="25" t="n"/>
      <c r="F36" s="25" t="n"/>
      <c r="G36" s="25" t="n"/>
      <c r="H36" s="25" t="n"/>
      <c r="I36" s="25" t="n"/>
      <c r="J36" s="25" t="n"/>
      <c r="K36" s="25" t="n"/>
      <c r="L36" s="35" t="n"/>
      <c r="M36" s="40">
        <f>IF(A36="","",IFERROR(INDEX(Applications!$B$2:$B$101,MATCH(A36,Applications!$A$2:$A$101,0))&amp;"",""))</f>
        <v/>
      </c>
      <c r="N36" s="41">
        <f>IF(A36="","",SUMPRODUCT(ISNUMBER(D36:K36)*($D$2:$K$2&gt;0)))</f>
        <v/>
      </c>
      <c r="O36" s="40">
        <f>IF(A36="","",IF(ISNA(MATCH(A36,Applications!$A$2:$A$101,0)),"Check ID",IF(ISNA(MATCH(B36,Settings!$C$13:$C$18,0)),"Check reviewer",IF(LEFT(C36,3)="Yes","Conflict, not counted",IF(COUNTIFS($A$3:A36,A36,$B$3:B36,B36)&gt;1,"Duplicate, not counted",IF(SUM($D$2:$K$2)=0,"Add weights on Rubric",IF(SUMPRODUCT(ISNUMBER(D36:K36)*((D36:K36&gt;4)+(D36:K36&lt;0)))&gt;0,"Check scores",IF(N36&lt;COUNTIF($D$2:$K$2,"&gt;0"),"Incomplete","Counted"))))))))</f>
        <v/>
      </c>
      <c r="P36" s="42">
        <f>IF(O36="Counted",ROUND(SUMPRODUCT(D36:K36,$D$2:$K$2)*100/(4*SUM($D$2:$K$2)),1),"")</f>
        <v/>
      </c>
      <c r="Q36" s="27">
        <f>IF(O36="Counted",1,0)</f>
        <v/>
      </c>
      <c r="R36" s="43">
        <f>IF(ISNUMBER(D36),D36,0)</f>
        <v/>
      </c>
      <c r="S36" s="43">
        <f>IF(ISNUMBER(E36),E36,0)</f>
        <v/>
      </c>
      <c r="T36" s="43">
        <f>IF(ISNUMBER(F36),F36,0)</f>
        <v/>
      </c>
      <c r="U36" s="43">
        <f>IF(ISNUMBER(G36),G36,0)</f>
        <v/>
      </c>
      <c r="V36" s="43">
        <f>IF(ISNUMBER(H36),H36,0)</f>
        <v/>
      </c>
      <c r="W36" s="43">
        <f>IF(ISNUMBER(I36),I36,0)</f>
        <v/>
      </c>
      <c r="X36" s="43">
        <f>IF(ISNUMBER(J36),J36,0)</f>
        <v/>
      </c>
      <c r="Y36" s="43">
        <f>IF(ISNUMBER(K36),K36,0)</f>
        <v/>
      </c>
    </row>
    <row r="37">
      <c r="A37" s="35" t="n"/>
      <c r="B37" s="35" t="n"/>
      <c r="C37" s="35" t="n"/>
      <c r="D37" s="25" t="n"/>
      <c r="E37" s="25" t="n"/>
      <c r="F37" s="25" t="n"/>
      <c r="G37" s="25" t="n"/>
      <c r="H37" s="25" t="n"/>
      <c r="I37" s="25" t="n"/>
      <c r="J37" s="25" t="n"/>
      <c r="K37" s="25" t="n"/>
      <c r="L37" s="35" t="n"/>
      <c r="M37" s="40">
        <f>IF(A37="","",IFERROR(INDEX(Applications!$B$2:$B$101,MATCH(A37,Applications!$A$2:$A$101,0))&amp;"",""))</f>
        <v/>
      </c>
      <c r="N37" s="41">
        <f>IF(A37="","",SUMPRODUCT(ISNUMBER(D37:K37)*($D$2:$K$2&gt;0)))</f>
        <v/>
      </c>
      <c r="O37" s="40">
        <f>IF(A37="","",IF(ISNA(MATCH(A37,Applications!$A$2:$A$101,0)),"Check ID",IF(ISNA(MATCH(B37,Settings!$C$13:$C$18,0)),"Check reviewer",IF(LEFT(C37,3)="Yes","Conflict, not counted",IF(COUNTIFS($A$3:A37,A37,$B$3:B37,B37)&gt;1,"Duplicate, not counted",IF(SUM($D$2:$K$2)=0,"Add weights on Rubric",IF(SUMPRODUCT(ISNUMBER(D37:K37)*((D37:K37&gt;4)+(D37:K37&lt;0)))&gt;0,"Check scores",IF(N37&lt;COUNTIF($D$2:$K$2,"&gt;0"),"Incomplete","Counted"))))))))</f>
        <v/>
      </c>
      <c r="P37" s="42">
        <f>IF(O37="Counted",ROUND(SUMPRODUCT(D37:K37,$D$2:$K$2)*100/(4*SUM($D$2:$K$2)),1),"")</f>
        <v/>
      </c>
      <c r="Q37" s="27">
        <f>IF(O37="Counted",1,0)</f>
        <v/>
      </c>
      <c r="R37" s="43">
        <f>IF(ISNUMBER(D37),D37,0)</f>
        <v/>
      </c>
      <c r="S37" s="43">
        <f>IF(ISNUMBER(E37),E37,0)</f>
        <v/>
      </c>
      <c r="T37" s="43">
        <f>IF(ISNUMBER(F37),F37,0)</f>
        <v/>
      </c>
      <c r="U37" s="43">
        <f>IF(ISNUMBER(G37),G37,0)</f>
        <v/>
      </c>
      <c r="V37" s="43">
        <f>IF(ISNUMBER(H37),H37,0)</f>
        <v/>
      </c>
      <c r="W37" s="43">
        <f>IF(ISNUMBER(I37),I37,0)</f>
        <v/>
      </c>
      <c r="X37" s="43">
        <f>IF(ISNUMBER(J37),J37,0)</f>
        <v/>
      </c>
      <c r="Y37" s="43">
        <f>IF(ISNUMBER(K37),K37,0)</f>
        <v/>
      </c>
    </row>
    <row r="38">
      <c r="A38" s="35" t="n"/>
      <c r="B38" s="35" t="n"/>
      <c r="C38" s="35" t="n"/>
      <c r="D38" s="25" t="n"/>
      <c r="E38" s="25" t="n"/>
      <c r="F38" s="25" t="n"/>
      <c r="G38" s="25" t="n"/>
      <c r="H38" s="25" t="n"/>
      <c r="I38" s="25" t="n"/>
      <c r="J38" s="25" t="n"/>
      <c r="K38" s="25" t="n"/>
      <c r="L38" s="35" t="n"/>
      <c r="M38" s="40">
        <f>IF(A38="","",IFERROR(INDEX(Applications!$B$2:$B$101,MATCH(A38,Applications!$A$2:$A$101,0))&amp;"",""))</f>
        <v/>
      </c>
      <c r="N38" s="41">
        <f>IF(A38="","",SUMPRODUCT(ISNUMBER(D38:K38)*($D$2:$K$2&gt;0)))</f>
        <v/>
      </c>
      <c r="O38" s="40">
        <f>IF(A38="","",IF(ISNA(MATCH(A38,Applications!$A$2:$A$101,0)),"Check ID",IF(ISNA(MATCH(B38,Settings!$C$13:$C$18,0)),"Check reviewer",IF(LEFT(C38,3)="Yes","Conflict, not counted",IF(COUNTIFS($A$3:A38,A38,$B$3:B38,B38)&gt;1,"Duplicate, not counted",IF(SUM($D$2:$K$2)=0,"Add weights on Rubric",IF(SUMPRODUCT(ISNUMBER(D38:K38)*((D38:K38&gt;4)+(D38:K38&lt;0)))&gt;0,"Check scores",IF(N38&lt;COUNTIF($D$2:$K$2,"&gt;0"),"Incomplete","Counted"))))))))</f>
        <v/>
      </c>
      <c r="P38" s="42">
        <f>IF(O38="Counted",ROUND(SUMPRODUCT(D38:K38,$D$2:$K$2)*100/(4*SUM($D$2:$K$2)),1),"")</f>
        <v/>
      </c>
      <c r="Q38" s="27">
        <f>IF(O38="Counted",1,0)</f>
        <v/>
      </c>
      <c r="R38" s="43">
        <f>IF(ISNUMBER(D38),D38,0)</f>
        <v/>
      </c>
      <c r="S38" s="43">
        <f>IF(ISNUMBER(E38),E38,0)</f>
        <v/>
      </c>
      <c r="T38" s="43">
        <f>IF(ISNUMBER(F38),F38,0)</f>
        <v/>
      </c>
      <c r="U38" s="43">
        <f>IF(ISNUMBER(G38),G38,0)</f>
        <v/>
      </c>
      <c r="V38" s="43">
        <f>IF(ISNUMBER(H38),H38,0)</f>
        <v/>
      </c>
      <c r="W38" s="43">
        <f>IF(ISNUMBER(I38),I38,0)</f>
        <v/>
      </c>
      <c r="X38" s="43">
        <f>IF(ISNUMBER(J38),J38,0)</f>
        <v/>
      </c>
      <c r="Y38" s="43">
        <f>IF(ISNUMBER(K38),K38,0)</f>
        <v/>
      </c>
    </row>
    <row r="39">
      <c r="A39" s="35" t="n"/>
      <c r="B39" s="35" t="n"/>
      <c r="C39" s="35" t="n"/>
      <c r="D39" s="25" t="n"/>
      <c r="E39" s="25" t="n"/>
      <c r="F39" s="25" t="n"/>
      <c r="G39" s="25" t="n"/>
      <c r="H39" s="25" t="n"/>
      <c r="I39" s="25" t="n"/>
      <c r="J39" s="25" t="n"/>
      <c r="K39" s="25" t="n"/>
      <c r="L39" s="35" t="n"/>
      <c r="M39" s="40">
        <f>IF(A39="","",IFERROR(INDEX(Applications!$B$2:$B$101,MATCH(A39,Applications!$A$2:$A$101,0))&amp;"",""))</f>
        <v/>
      </c>
      <c r="N39" s="41">
        <f>IF(A39="","",SUMPRODUCT(ISNUMBER(D39:K39)*($D$2:$K$2&gt;0)))</f>
        <v/>
      </c>
      <c r="O39" s="40">
        <f>IF(A39="","",IF(ISNA(MATCH(A39,Applications!$A$2:$A$101,0)),"Check ID",IF(ISNA(MATCH(B39,Settings!$C$13:$C$18,0)),"Check reviewer",IF(LEFT(C39,3)="Yes","Conflict, not counted",IF(COUNTIFS($A$3:A39,A39,$B$3:B39,B39)&gt;1,"Duplicate, not counted",IF(SUM($D$2:$K$2)=0,"Add weights on Rubric",IF(SUMPRODUCT(ISNUMBER(D39:K39)*((D39:K39&gt;4)+(D39:K39&lt;0)))&gt;0,"Check scores",IF(N39&lt;COUNTIF($D$2:$K$2,"&gt;0"),"Incomplete","Counted"))))))))</f>
        <v/>
      </c>
      <c r="P39" s="42">
        <f>IF(O39="Counted",ROUND(SUMPRODUCT(D39:K39,$D$2:$K$2)*100/(4*SUM($D$2:$K$2)),1),"")</f>
        <v/>
      </c>
      <c r="Q39" s="27">
        <f>IF(O39="Counted",1,0)</f>
        <v/>
      </c>
      <c r="R39" s="43">
        <f>IF(ISNUMBER(D39),D39,0)</f>
        <v/>
      </c>
      <c r="S39" s="43">
        <f>IF(ISNUMBER(E39),E39,0)</f>
        <v/>
      </c>
      <c r="T39" s="43">
        <f>IF(ISNUMBER(F39),F39,0)</f>
        <v/>
      </c>
      <c r="U39" s="43">
        <f>IF(ISNUMBER(G39),G39,0)</f>
        <v/>
      </c>
      <c r="V39" s="43">
        <f>IF(ISNUMBER(H39),H39,0)</f>
        <v/>
      </c>
      <c r="W39" s="43">
        <f>IF(ISNUMBER(I39),I39,0)</f>
        <v/>
      </c>
      <c r="X39" s="43">
        <f>IF(ISNUMBER(J39),J39,0)</f>
        <v/>
      </c>
      <c r="Y39" s="43">
        <f>IF(ISNUMBER(K39),K39,0)</f>
        <v/>
      </c>
    </row>
    <row r="40">
      <c r="A40" s="35" t="n"/>
      <c r="B40" s="35" t="n"/>
      <c r="C40" s="35" t="n"/>
      <c r="D40" s="25" t="n"/>
      <c r="E40" s="25" t="n"/>
      <c r="F40" s="25" t="n"/>
      <c r="G40" s="25" t="n"/>
      <c r="H40" s="25" t="n"/>
      <c r="I40" s="25" t="n"/>
      <c r="J40" s="25" t="n"/>
      <c r="K40" s="25" t="n"/>
      <c r="L40" s="35" t="n"/>
      <c r="M40" s="40">
        <f>IF(A40="","",IFERROR(INDEX(Applications!$B$2:$B$101,MATCH(A40,Applications!$A$2:$A$101,0))&amp;"",""))</f>
        <v/>
      </c>
      <c r="N40" s="41">
        <f>IF(A40="","",SUMPRODUCT(ISNUMBER(D40:K40)*($D$2:$K$2&gt;0)))</f>
        <v/>
      </c>
      <c r="O40" s="40">
        <f>IF(A40="","",IF(ISNA(MATCH(A40,Applications!$A$2:$A$101,0)),"Check ID",IF(ISNA(MATCH(B40,Settings!$C$13:$C$18,0)),"Check reviewer",IF(LEFT(C40,3)="Yes","Conflict, not counted",IF(COUNTIFS($A$3:A40,A40,$B$3:B40,B40)&gt;1,"Duplicate, not counted",IF(SUM($D$2:$K$2)=0,"Add weights on Rubric",IF(SUMPRODUCT(ISNUMBER(D40:K40)*((D40:K40&gt;4)+(D40:K40&lt;0)))&gt;0,"Check scores",IF(N40&lt;COUNTIF($D$2:$K$2,"&gt;0"),"Incomplete","Counted"))))))))</f>
        <v/>
      </c>
      <c r="P40" s="42">
        <f>IF(O40="Counted",ROUND(SUMPRODUCT(D40:K40,$D$2:$K$2)*100/(4*SUM($D$2:$K$2)),1),"")</f>
        <v/>
      </c>
      <c r="Q40" s="27">
        <f>IF(O40="Counted",1,0)</f>
        <v/>
      </c>
      <c r="R40" s="43">
        <f>IF(ISNUMBER(D40),D40,0)</f>
        <v/>
      </c>
      <c r="S40" s="43">
        <f>IF(ISNUMBER(E40),E40,0)</f>
        <v/>
      </c>
      <c r="T40" s="43">
        <f>IF(ISNUMBER(F40),F40,0)</f>
        <v/>
      </c>
      <c r="U40" s="43">
        <f>IF(ISNUMBER(G40),G40,0)</f>
        <v/>
      </c>
      <c r="V40" s="43">
        <f>IF(ISNUMBER(H40),H40,0)</f>
        <v/>
      </c>
      <c r="W40" s="43">
        <f>IF(ISNUMBER(I40),I40,0)</f>
        <v/>
      </c>
      <c r="X40" s="43">
        <f>IF(ISNUMBER(J40),J40,0)</f>
        <v/>
      </c>
      <c r="Y40" s="43">
        <f>IF(ISNUMBER(K40),K40,0)</f>
        <v/>
      </c>
    </row>
    <row r="41">
      <c r="A41" s="35" t="n"/>
      <c r="B41" s="35" t="n"/>
      <c r="C41" s="35" t="n"/>
      <c r="D41" s="25" t="n"/>
      <c r="E41" s="25" t="n"/>
      <c r="F41" s="25" t="n"/>
      <c r="G41" s="25" t="n"/>
      <c r="H41" s="25" t="n"/>
      <c r="I41" s="25" t="n"/>
      <c r="J41" s="25" t="n"/>
      <c r="K41" s="25" t="n"/>
      <c r="L41" s="35" t="n"/>
      <c r="M41" s="40">
        <f>IF(A41="","",IFERROR(INDEX(Applications!$B$2:$B$101,MATCH(A41,Applications!$A$2:$A$101,0))&amp;"",""))</f>
        <v/>
      </c>
      <c r="N41" s="41">
        <f>IF(A41="","",SUMPRODUCT(ISNUMBER(D41:K41)*($D$2:$K$2&gt;0)))</f>
        <v/>
      </c>
      <c r="O41" s="40">
        <f>IF(A41="","",IF(ISNA(MATCH(A41,Applications!$A$2:$A$101,0)),"Check ID",IF(ISNA(MATCH(B41,Settings!$C$13:$C$18,0)),"Check reviewer",IF(LEFT(C41,3)="Yes","Conflict, not counted",IF(COUNTIFS($A$3:A41,A41,$B$3:B41,B41)&gt;1,"Duplicate, not counted",IF(SUM($D$2:$K$2)=0,"Add weights on Rubric",IF(SUMPRODUCT(ISNUMBER(D41:K41)*((D41:K41&gt;4)+(D41:K41&lt;0)))&gt;0,"Check scores",IF(N41&lt;COUNTIF($D$2:$K$2,"&gt;0"),"Incomplete","Counted"))))))))</f>
        <v/>
      </c>
      <c r="P41" s="42">
        <f>IF(O41="Counted",ROUND(SUMPRODUCT(D41:K41,$D$2:$K$2)*100/(4*SUM($D$2:$K$2)),1),"")</f>
        <v/>
      </c>
      <c r="Q41" s="27">
        <f>IF(O41="Counted",1,0)</f>
        <v/>
      </c>
      <c r="R41" s="43">
        <f>IF(ISNUMBER(D41),D41,0)</f>
        <v/>
      </c>
      <c r="S41" s="43">
        <f>IF(ISNUMBER(E41),E41,0)</f>
        <v/>
      </c>
      <c r="T41" s="43">
        <f>IF(ISNUMBER(F41),F41,0)</f>
        <v/>
      </c>
      <c r="U41" s="43">
        <f>IF(ISNUMBER(G41),G41,0)</f>
        <v/>
      </c>
      <c r="V41" s="43">
        <f>IF(ISNUMBER(H41),H41,0)</f>
        <v/>
      </c>
      <c r="W41" s="43">
        <f>IF(ISNUMBER(I41),I41,0)</f>
        <v/>
      </c>
      <c r="X41" s="43">
        <f>IF(ISNUMBER(J41),J41,0)</f>
        <v/>
      </c>
      <c r="Y41" s="43">
        <f>IF(ISNUMBER(K41),K41,0)</f>
        <v/>
      </c>
    </row>
    <row r="42">
      <c r="A42" s="35" t="n"/>
      <c r="B42" s="35" t="n"/>
      <c r="C42" s="35" t="n"/>
      <c r="D42" s="25" t="n"/>
      <c r="E42" s="25" t="n"/>
      <c r="F42" s="25" t="n"/>
      <c r="G42" s="25" t="n"/>
      <c r="H42" s="25" t="n"/>
      <c r="I42" s="25" t="n"/>
      <c r="J42" s="25" t="n"/>
      <c r="K42" s="25" t="n"/>
      <c r="L42" s="35" t="n"/>
      <c r="M42" s="40">
        <f>IF(A42="","",IFERROR(INDEX(Applications!$B$2:$B$101,MATCH(A42,Applications!$A$2:$A$101,0))&amp;"",""))</f>
        <v/>
      </c>
      <c r="N42" s="41">
        <f>IF(A42="","",SUMPRODUCT(ISNUMBER(D42:K42)*($D$2:$K$2&gt;0)))</f>
        <v/>
      </c>
      <c r="O42" s="40">
        <f>IF(A42="","",IF(ISNA(MATCH(A42,Applications!$A$2:$A$101,0)),"Check ID",IF(ISNA(MATCH(B42,Settings!$C$13:$C$18,0)),"Check reviewer",IF(LEFT(C42,3)="Yes","Conflict, not counted",IF(COUNTIFS($A$3:A42,A42,$B$3:B42,B42)&gt;1,"Duplicate, not counted",IF(SUM($D$2:$K$2)=0,"Add weights on Rubric",IF(SUMPRODUCT(ISNUMBER(D42:K42)*((D42:K42&gt;4)+(D42:K42&lt;0)))&gt;0,"Check scores",IF(N42&lt;COUNTIF($D$2:$K$2,"&gt;0"),"Incomplete","Counted"))))))))</f>
        <v/>
      </c>
      <c r="P42" s="42">
        <f>IF(O42="Counted",ROUND(SUMPRODUCT(D42:K42,$D$2:$K$2)*100/(4*SUM($D$2:$K$2)),1),"")</f>
        <v/>
      </c>
      <c r="Q42" s="27">
        <f>IF(O42="Counted",1,0)</f>
        <v/>
      </c>
      <c r="R42" s="43">
        <f>IF(ISNUMBER(D42),D42,0)</f>
        <v/>
      </c>
      <c r="S42" s="43">
        <f>IF(ISNUMBER(E42),E42,0)</f>
        <v/>
      </c>
      <c r="T42" s="43">
        <f>IF(ISNUMBER(F42),F42,0)</f>
        <v/>
      </c>
      <c r="U42" s="43">
        <f>IF(ISNUMBER(G42),G42,0)</f>
        <v/>
      </c>
      <c r="V42" s="43">
        <f>IF(ISNUMBER(H42),H42,0)</f>
        <v/>
      </c>
      <c r="W42" s="43">
        <f>IF(ISNUMBER(I42),I42,0)</f>
        <v/>
      </c>
      <c r="X42" s="43">
        <f>IF(ISNUMBER(J42),J42,0)</f>
        <v/>
      </c>
      <c r="Y42" s="43">
        <f>IF(ISNUMBER(K42),K42,0)</f>
        <v/>
      </c>
    </row>
    <row r="43">
      <c r="A43" s="35" t="n"/>
      <c r="B43" s="35" t="n"/>
      <c r="C43" s="35" t="n"/>
      <c r="D43" s="25" t="n"/>
      <c r="E43" s="25" t="n"/>
      <c r="F43" s="25" t="n"/>
      <c r="G43" s="25" t="n"/>
      <c r="H43" s="25" t="n"/>
      <c r="I43" s="25" t="n"/>
      <c r="J43" s="25" t="n"/>
      <c r="K43" s="25" t="n"/>
      <c r="L43" s="35" t="n"/>
      <c r="M43" s="40">
        <f>IF(A43="","",IFERROR(INDEX(Applications!$B$2:$B$101,MATCH(A43,Applications!$A$2:$A$101,0))&amp;"",""))</f>
        <v/>
      </c>
      <c r="N43" s="41">
        <f>IF(A43="","",SUMPRODUCT(ISNUMBER(D43:K43)*($D$2:$K$2&gt;0)))</f>
        <v/>
      </c>
      <c r="O43" s="40">
        <f>IF(A43="","",IF(ISNA(MATCH(A43,Applications!$A$2:$A$101,0)),"Check ID",IF(ISNA(MATCH(B43,Settings!$C$13:$C$18,0)),"Check reviewer",IF(LEFT(C43,3)="Yes","Conflict, not counted",IF(COUNTIFS($A$3:A43,A43,$B$3:B43,B43)&gt;1,"Duplicate, not counted",IF(SUM($D$2:$K$2)=0,"Add weights on Rubric",IF(SUMPRODUCT(ISNUMBER(D43:K43)*((D43:K43&gt;4)+(D43:K43&lt;0)))&gt;0,"Check scores",IF(N43&lt;COUNTIF($D$2:$K$2,"&gt;0"),"Incomplete","Counted"))))))))</f>
        <v/>
      </c>
      <c r="P43" s="42">
        <f>IF(O43="Counted",ROUND(SUMPRODUCT(D43:K43,$D$2:$K$2)*100/(4*SUM($D$2:$K$2)),1),"")</f>
        <v/>
      </c>
      <c r="Q43" s="27">
        <f>IF(O43="Counted",1,0)</f>
        <v/>
      </c>
      <c r="R43" s="43">
        <f>IF(ISNUMBER(D43),D43,0)</f>
        <v/>
      </c>
      <c r="S43" s="43">
        <f>IF(ISNUMBER(E43),E43,0)</f>
        <v/>
      </c>
      <c r="T43" s="43">
        <f>IF(ISNUMBER(F43),F43,0)</f>
        <v/>
      </c>
      <c r="U43" s="43">
        <f>IF(ISNUMBER(G43),G43,0)</f>
        <v/>
      </c>
      <c r="V43" s="43">
        <f>IF(ISNUMBER(H43),H43,0)</f>
        <v/>
      </c>
      <c r="W43" s="43">
        <f>IF(ISNUMBER(I43),I43,0)</f>
        <v/>
      </c>
      <c r="X43" s="43">
        <f>IF(ISNUMBER(J43),J43,0)</f>
        <v/>
      </c>
      <c r="Y43" s="43">
        <f>IF(ISNUMBER(K43),K43,0)</f>
        <v/>
      </c>
    </row>
    <row r="44">
      <c r="A44" s="35" t="n"/>
      <c r="B44" s="35" t="n"/>
      <c r="C44" s="35" t="n"/>
      <c r="D44" s="25" t="n"/>
      <c r="E44" s="25" t="n"/>
      <c r="F44" s="25" t="n"/>
      <c r="G44" s="25" t="n"/>
      <c r="H44" s="25" t="n"/>
      <c r="I44" s="25" t="n"/>
      <c r="J44" s="25" t="n"/>
      <c r="K44" s="25" t="n"/>
      <c r="L44" s="35" t="n"/>
      <c r="M44" s="40">
        <f>IF(A44="","",IFERROR(INDEX(Applications!$B$2:$B$101,MATCH(A44,Applications!$A$2:$A$101,0))&amp;"",""))</f>
        <v/>
      </c>
      <c r="N44" s="41">
        <f>IF(A44="","",SUMPRODUCT(ISNUMBER(D44:K44)*($D$2:$K$2&gt;0)))</f>
        <v/>
      </c>
      <c r="O44" s="40">
        <f>IF(A44="","",IF(ISNA(MATCH(A44,Applications!$A$2:$A$101,0)),"Check ID",IF(ISNA(MATCH(B44,Settings!$C$13:$C$18,0)),"Check reviewer",IF(LEFT(C44,3)="Yes","Conflict, not counted",IF(COUNTIFS($A$3:A44,A44,$B$3:B44,B44)&gt;1,"Duplicate, not counted",IF(SUM($D$2:$K$2)=0,"Add weights on Rubric",IF(SUMPRODUCT(ISNUMBER(D44:K44)*((D44:K44&gt;4)+(D44:K44&lt;0)))&gt;0,"Check scores",IF(N44&lt;COUNTIF($D$2:$K$2,"&gt;0"),"Incomplete","Counted"))))))))</f>
        <v/>
      </c>
      <c r="P44" s="42">
        <f>IF(O44="Counted",ROUND(SUMPRODUCT(D44:K44,$D$2:$K$2)*100/(4*SUM($D$2:$K$2)),1),"")</f>
        <v/>
      </c>
      <c r="Q44" s="27">
        <f>IF(O44="Counted",1,0)</f>
        <v/>
      </c>
      <c r="R44" s="43">
        <f>IF(ISNUMBER(D44),D44,0)</f>
        <v/>
      </c>
      <c r="S44" s="43">
        <f>IF(ISNUMBER(E44),E44,0)</f>
        <v/>
      </c>
      <c r="T44" s="43">
        <f>IF(ISNUMBER(F44),F44,0)</f>
        <v/>
      </c>
      <c r="U44" s="43">
        <f>IF(ISNUMBER(G44),G44,0)</f>
        <v/>
      </c>
      <c r="V44" s="43">
        <f>IF(ISNUMBER(H44),H44,0)</f>
        <v/>
      </c>
      <c r="W44" s="43">
        <f>IF(ISNUMBER(I44),I44,0)</f>
        <v/>
      </c>
      <c r="X44" s="43">
        <f>IF(ISNUMBER(J44),J44,0)</f>
        <v/>
      </c>
      <c r="Y44" s="43">
        <f>IF(ISNUMBER(K44),K44,0)</f>
        <v/>
      </c>
    </row>
    <row r="45">
      <c r="A45" s="35" t="n"/>
      <c r="B45" s="35" t="n"/>
      <c r="C45" s="35" t="n"/>
      <c r="D45" s="25" t="n"/>
      <c r="E45" s="25" t="n"/>
      <c r="F45" s="25" t="n"/>
      <c r="G45" s="25" t="n"/>
      <c r="H45" s="25" t="n"/>
      <c r="I45" s="25" t="n"/>
      <c r="J45" s="25" t="n"/>
      <c r="K45" s="25" t="n"/>
      <c r="L45" s="35" t="n"/>
      <c r="M45" s="40">
        <f>IF(A45="","",IFERROR(INDEX(Applications!$B$2:$B$101,MATCH(A45,Applications!$A$2:$A$101,0))&amp;"",""))</f>
        <v/>
      </c>
      <c r="N45" s="41">
        <f>IF(A45="","",SUMPRODUCT(ISNUMBER(D45:K45)*($D$2:$K$2&gt;0)))</f>
        <v/>
      </c>
      <c r="O45" s="40">
        <f>IF(A45="","",IF(ISNA(MATCH(A45,Applications!$A$2:$A$101,0)),"Check ID",IF(ISNA(MATCH(B45,Settings!$C$13:$C$18,0)),"Check reviewer",IF(LEFT(C45,3)="Yes","Conflict, not counted",IF(COUNTIFS($A$3:A45,A45,$B$3:B45,B45)&gt;1,"Duplicate, not counted",IF(SUM($D$2:$K$2)=0,"Add weights on Rubric",IF(SUMPRODUCT(ISNUMBER(D45:K45)*((D45:K45&gt;4)+(D45:K45&lt;0)))&gt;0,"Check scores",IF(N45&lt;COUNTIF($D$2:$K$2,"&gt;0"),"Incomplete","Counted"))))))))</f>
        <v/>
      </c>
      <c r="P45" s="42">
        <f>IF(O45="Counted",ROUND(SUMPRODUCT(D45:K45,$D$2:$K$2)*100/(4*SUM($D$2:$K$2)),1),"")</f>
        <v/>
      </c>
      <c r="Q45" s="27">
        <f>IF(O45="Counted",1,0)</f>
        <v/>
      </c>
      <c r="R45" s="43">
        <f>IF(ISNUMBER(D45),D45,0)</f>
        <v/>
      </c>
      <c r="S45" s="43">
        <f>IF(ISNUMBER(E45),E45,0)</f>
        <v/>
      </c>
      <c r="T45" s="43">
        <f>IF(ISNUMBER(F45),F45,0)</f>
        <v/>
      </c>
      <c r="U45" s="43">
        <f>IF(ISNUMBER(G45),G45,0)</f>
        <v/>
      </c>
      <c r="V45" s="43">
        <f>IF(ISNUMBER(H45),H45,0)</f>
        <v/>
      </c>
      <c r="W45" s="43">
        <f>IF(ISNUMBER(I45),I45,0)</f>
        <v/>
      </c>
      <c r="X45" s="43">
        <f>IF(ISNUMBER(J45),J45,0)</f>
        <v/>
      </c>
      <c r="Y45" s="43">
        <f>IF(ISNUMBER(K45),K45,0)</f>
        <v/>
      </c>
    </row>
    <row r="46">
      <c r="A46" s="35" t="n"/>
      <c r="B46" s="35" t="n"/>
      <c r="C46" s="35" t="n"/>
      <c r="D46" s="25" t="n"/>
      <c r="E46" s="25" t="n"/>
      <c r="F46" s="25" t="n"/>
      <c r="G46" s="25" t="n"/>
      <c r="H46" s="25" t="n"/>
      <c r="I46" s="25" t="n"/>
      <c r="J46" s="25" t="n"/>
      <c r="K46" s="25" t="n"/>
      <c r="L46" s="35" t="n"/>
      <c r="M46" s="40">
        <f>IF(A46="","",IFERROR(INDEX(Applications!$B$2:$B$101,MATCH(A46,Applications!$A$2:$A$101,0))&amp;"",""))</f>
        <v/>
      </c>
      <c r="N46" s="41">
        <f>IF(A46="","",SUMPRODUCT(ISNUMBER(D46:K46)*($D$2:$K$2&gt;0)))</f>
        <v/>
      </c>
      <c r="O46" s="40">
        <f>IF(A46="","",IF(ISNA(MATCH(A46,Applications!$A$2:$A$101,0)),"Check ID",IF(ISNA(MATCH(B46,Settings!$C$13:$C$18,0)),"Check reviewer",IF(LEFT(C46,3)="Yes","Conflict, not counted",IF(COUNTIFS($A$3:A46,A46,$B$3:B46,B46)&gt;1,"Duplicate, not counted",IF(SUM($D$2:$K$2)=0,"Add weights on Rubric",IF(SUMPRODUCT(ISNUMBER(D46:K46)*((D46:K46&gt;4)+(D46:K46&lt;0)))&gt;0,"Check scores",IF(N46&lt;COUNTIF($D$2:$K$2,"&gt;0"),"Incomplete","Counted"))))))))</f>
        <v/>
      </c>
      <c r="P46" s="42">
        <f>IF(O46="Counted",ROUND(SUMPRODUCT(D46:K46,$D$2:$K$2)*100/(4*SUM($D$2:$K$2)),1),"")</f>
        <v/>
      </c>
      <c r="Q46" s="27">
        <f>IF(O46="Counted",1,0)</f>
        <v/>
      </c>
      <c r="R46" s="43">
        <f>IF(ISNUMBER(D46),D46,0)</f>
        <v/>
      </c>
      <c r="S46" s="43">
        <f>IF(ISNUMBER(E46),E46,0)</f>
        <v/>
      </c>
      <c r="T46" s="43">
        <f>IF(ISNUMBER(F46),F46,0)</f>
        <v/>
      </c>
      <c r="U46" s="43">
        <f>IF(ISNUMBER(G46),G46,0)</f>
        <v/>
      </c>
      <c r="V46" s="43">
        <f>IF(ISNUMBER(H46),H46,0)</f>
        <v/>
      </c>
      <c r="W46" s="43">
        <f>IF(ISNUMBER(I46),I46,0)</f>
        <v/>
      </c>
      <c r="X46" s="43">
        <f>IF(ISNUMBER(J46),J46,0)</f>
        <v/>
      </c>
      <c r="Y46" s="43">
        <f>IF(ISNUMBER(K46),K46,0)</f>
        <v/>
      </c>
    </row>
    <row r="47">
      <c r="A47" s="35" t="n"/>
      <c r="B47" s="35" t="n"/>
      <c r="C47" s="35" t="n"/>
      <c r="D47" s="25" t="n"/>
      <c r="E47" s="25" t="n"/>
      <c r="F47" s="25" t="n"/>
      <c r="G47" s="25" t="n"/>
      <c r="H47" s="25" t="n"/>
      <c r="I47" s="25" t="n"/>
      <c r="J47" s="25" t="n"/>
      <c r="K47" s="25" t="n"/>
      <c r="L47" s="35" t="n"/>
      <c r="M47" s="40">
        <f>IF(A47="","",IFERROR(INDEX(Applications!$B$2:$B$101,MATCH(A47,Applications!$A$2:$A$101,0))&amp;"",""))</f>
        <v/>
      </c>
      <c r="N47" s="41">
        <f>IF(A47="","",SUMPRODUCT(ISNUMBER(D47:K47)*($D$2:$K$2&gt;0)))</f>
        <v/>
      </c>
      <c r="O47" s="40">
        <f>IF(A47="","",IF(ISNA(MATCH(A47,Applications!$A$2:$A$101,0)),"Check ID",IF(ISNA(MATCH(B47,Settings!$C$13:$C$18,0)),"Check reviewer",IF(LEFT(C47,3)="Yes","Conflict, not counted",IF(COUNTIFS($A$3:A47,A47,$B$3:B47,B47)&gt;1,"Duplicate, not counted",IF(SUM($D$2:$K$2)=0,"Add weights on Rubric",IF(SUMPRODUCT(ISNUMBER(D47:K47)*((D47:K47&gt;4)+(D47:K47&lt;0)))&gt;0,"Check scores",IF(N47&lt;COUNTIF($D$2:$K$2,"&gt;0"),"Incomplete","Counted"))))))))</f>
        <v/>
      </c>
      <c r="P47" s="42">
        <f>IF(O47="Counted",ROUND(SUMPRODUCT(D47:K47,$D$2:$K$2)*100/(4*SUM($D$2:$K$2)),1),"")</f>
        <v/>
      </c>
      <c r="Q47" s="27">
        <f>IF(O47="Counted",1,0)</f>
        <v/>
      </c>
      <c r="R47" s="43">
        <f>IF(ISNUMBER(D47),D47,0)</f>
        <v/>
      </c>
      <c r="S47" s="43">
        <f>IF(ISNUMBER(E47),E47,0)</f>
        <v/>
      </c>
      <c r="T47" s="43">
        <f>IF(ISNUMBER(F47),F47,0)</f>
        <v/>
      </c>
      <c r="U47" s="43">
        <f>IF(ISNUMBER(G47),G47,0)</f>
        <v/>
      </c>
      <c r="V47" s="43">
        <f>IF(ISNUMBER(H47),H47,0)</f>
        <v/>
      </c>
      <c r="W47" s="43">
        <f>IF(ISNUMBER(I47),I47,0)</f>
        <v/>
      </c>
      <c r="X47" s="43">
        <f>IF(ISNUMBER(J47),J47,0)</f>
        <v/>
      </c>
      <c r="Y47" s="43">
        <f>IF(ISNUMBER(K47),K47,0)</f>
        <v/>
      </c>
    </row>
    <row r="48">
      <c r="A48" s="35" t="n"/>
      <c r="B48" s="35" t="n"/>
      <c r="C48" s="35" t="n"/>
      <c r="D48" s="25" t="n"/>
      <c r="E48" s="25" t="n"/>
      <c r="F48" s="25" t="n"/>
      <c r="G48" s="25" t="n"/>
      <c r="H48" s="25" t="n"/>
      <c r="I48" s="25" t="n"/>
      <c r="J48" s="25" t="n"/>
      <c r="K48" s="25" t="n"/>
      <c r="L48" s="35" t="n"/>
      <c r="M48" s="40">
        <f>IF(A48="","",IFERROR(INDEX(Applications!$B$2:$B$101,MATCH(A48,Applications!$A$2:$A$101,0))&amp;"",""))</f>
        <v/>
      </c>
      <c r="N48" s="41">
        <f>IF(A48="","",SUMPRODUCT(ISNUMBER(D48:K48)*($D$2:$K$2&gt;0)))</f>
        <v/>
      </c>
      <c r="O48" s="40">
        <f>IF(A48="","",IF(ISNA(MATCH(A48,Applications!$A$2:$A$101,0)),"Check ID",IF(ISNA(MATCH(B48,Settings!$C$13:$C$18,0)),"Check reviewer",IF(LEFT(C48,3)="Yes","Conflict, not counted",IF(COUNTIFS($A$3:A48,A48,$B$3:B48,B48)&gt;1,"Duplicate, not counted",IF(SUM($D$2:$K$2)=0,"Add weights on Rubric",IF(SUMPRODUCT(ISNUMBER(D48:K48)*((D48:K48&gt;4)+(D48:K48&lt;0)))&gt;0,"Check scores",IF(N48&lt;COUNTIF($D$2:$K$2,"&gt;0"),"Incomplete","Counted"))))))))</f>
        <v/>
      </c>
      <c r="P48" s="42">
        <f>IF(O48="Counted",ROUND(SUMPRODUCT(D48:K48,$D$2:$K$2)*100/(4*SUM($D$2:$K$2)),1),"")</f>
        <v/>
      </c>
      <c r="Q48" s="27">
        <f>IF(O48="Counted",1,0)</f>
        <v/>
      </c>
      <c r="R48" s="43">
        <f>IF(ISNUMBER(D48),D48,0)</f>
        <v/>
      </c>
      <c r="S48" s="43">
        <f>IF(ISNUMBER(E48),E48,0)</f>
        <v/>
      </c>
      <c r="T48" s="43">
        <f>IF(ISNUMBER(F48),F48,0)</f>
        <v/>
      </c>
      <c r="U48" s="43">
        <f>IF(ISNUMBER(G48),G48,0)</f>
        <v/>
      </c>
      <c r="V48" s="43">
        <f>IF(ISNUMBER(H48),H48,0)</f>
        <v/>
      </c>
      <c r="W48" s="43">
        <f>IF(ISNUMBER(I48),I48,0)</f>
        <v/>
      </c>
      <c r="X48" s="43">
        <f>IF(ISNUMBER(J48),J48,0)</f>
        <v/>
      </c>
      <c r="Y48" s="43">
        <f>IF(ISNUMBER(K48),K48,0)</f>
        <v/>
      </c>
    </row>
    <row r="49">
      <c r="A49" s="35" t="n"/>
      <c r="B49" s="35" t="n"/>
      <c r="C49" s="35" t="n"/>
      <c r="D49" s="25" t="n"/>
      <c r="E49" s="25" t="n"/>
      <c r="F49" s="25" t="n"/>
      <c r="G49" s="25" t="n"/>
      <c r="H49" s="25" t="n"/>
      <c r="I49" s="25" t="n"/>
      <c r="J49" s="25" t="n"/>
      <c r="K49" s="25" t="n"/>
      <c r="L49" s="35" t="n"/>
      <c r="M49" s="40">
        <f>IF(A49="","",IFERROR(INDEX(Applications!$B$2:$B$101,MATCH(A49,Applications!$A$2:$A$101,0))&amp;"",""))</f>
        <v/>
      </c>
      <c r="N49" s="41">
        <f>IF(A49="","",SUMPRODUCT(ISNUMBER(D49:K49)*($D$2:$K$2&gt;0)))</f>
        <v/>
      </c>
      <c r="O49" s="40">
        <f>IF(A49="","",IF(ISNA(MATCH(A49,Applications!$A$2:$A$101,0)),"Check ID",IF(ISNA(MATCH(B49,Settings!$C$13:$C$18,0)),"Check reviewer",IF(LEFT(C49,3)="Yes","Conflict, not counted",IF(COUNTIFS($A$3:A49,A49,$B$3:B49,B49)&gt;1,"Duplicate, not counted",IF(SUM($D$2:$K$2)=0,"Add weights on Rubric",IF(SUMPRODUCT(ISNUMBER(D49:K49)*((D49:K49&gt;4)+(D49:K49&lt;0)))&gt;0,"Check scores",IF(N49&lt;COUNTIF($D$2:$K$2,"&gt;0"),"Incomplete","Counted"))))))))</f>
        <v/>
      </c>
      <c r="P49" s="42">
        <f>IF(O49="Counted",ROUND(SUMPRODUCT(D49:K49,$D$2:$K$2)*100/(4*SUM($D$2:$K$2)),1),"")</f>
        <v/>
      </c>
      <c r="Q49" s="27">
        <f>IF(O49="Counted",1,0)</f>
        <v/>
      </c>
      <c r="R49" s="43">
        <f>IF(ISNUMBER(D49),D49,0)</f>
        <v/>
      </c>
      <c r="S49" s="43">
        <f>IF(ISNUMBER(E49),E49,0)</f>
        <v/>
      </c>
      <c r="T49" s="43">
        <f>IF(ISNUMBER(F49),F49,0)</f>
        <v/>
      </c>
      <c r="U49" s="43">
        <f>IF(ISNUMBER(G49),G49,0)</f>
        <v/>
      </c>
      <c r="V49" s="43">
        <f>IF(ISNUMBER(H49),H49,0)</f>
        <v/>
      </c>
      <c r="W49" s="43">
        <f>IF(ISNUMBER(I49),I49,0)</f>
        <v/>
      </c>
      <c r="X49" s="43">
        <f>IF(ISNUMBER(J49),J49,0)</f>
        <v/>
      </c>
      <c r="Y49" s="43">
        <f>IF(ISNUMBER(K49),K49,0)</f>
        <v/>
      </c>
    </row>
    <row r="50">
      <c r="A50" s="35" t="n"/>
      <c r="B50" s="35" t="n"/>
      <c r="C50" s="35" t="n"/>
      <c r="D50" s="25" t="n"/>
      <c r="E50" s="25" t="n"/>
      <c r="F50" s="25" t="n"/>
      <c r="G50" s="25" t="n"/>
      <c r="H50" s="25" t="n"/>
      <c r="I50" s="25" t="n"/>
      <c r="J50" s="25" t="n"/>
      <c r="K50" s="25" t="n"/>
      <c r="L50" s="35" t="n"/>
      <c r="M50" s="40">
        <f>IF(A50="","",IFERROR(INDEX(Applications!$B$2:$B$101,MATCH(A50,Applications!$A$2:$A$101,0))&amp;"",""))</f>
        <v/>
      </c>
      <c r="N50" s="41">
        <f>IF(A50="","",SUMPRODUCT(ISNUMBER(D50:K50)*($D$2:$K$2&gt;0)))</f>
        <v/>
      </c>
      <c r="O50" s="40">
        <f>IF(A50="","",IF(ISNA(MATCH(A50,Applications!$A$2:$A$101,0)),"Check ID",IF(ISNA(MATCH(B50,Settings!$C$13:$C$18,0)),"Check reviewer",IF(LEFT(C50,3)="Yes","Conflict, not counted",IF(COUNTIFS($A$3:A50,A50,$B$3:B50,B50)&gt;1,"Duplicate, not counted",IF(SUM($D$2:$K$2)=0,"Add weights on Rubric",IF(SUMPRODUCT(ISNUMBER(D50:K50)*((D50:K50&gt;4)+(D50:K50&lt;0)))&gt;0,"Check scores",IF(N50&lt;COUNTIF($D$2:$K$2,"&gt;0"),"Incomplete","Counted"))))))))</f>
        <v/>
      </c>
      <c r="P50" s="42">
        <f>IF(O50="Counted",ROUND(SUMPRODUCT(D50:K50,$D$2:$K$2)*100/(4*SUM($D$2:$K$2)),1),"")</f>
        <v/>
      </c>
      <c r="Q50" s="27">
        <f>IF(O50="Counted",1,0)</f>
        <v/>
      </c>
      <c r="R50" s="43">
        <f>IF(ISNUMBER(D50),D50,0)</f>
        <v/>
      </c>
      <c r="S50" s="43">
        <f>IF(ISNUMBER(E50),E50,0)</f>
        <v/>
      </c>
      <c r="T50" s="43">
        <f>IF(ISNUMBER(F50),F50,0)</f>
        <v/>
      </c>
      <c r="U50" s="43">
        <f>IF(ISNUMBER(G50),G50,0)</f>
        <v/>
      </c>
      <c r="V50" s="43">
        <f>IF(ISNUMBER(H50),H50,0)</f>
        <v/>
      </c>
      <c r="W50" s="43">
        <f>IF(ISNUMBER(I50),I50,0)</f>
        <v/>
      </c>
      <c r="X50" s="43">
        <f>IF(ISNUMBER(J50),J50,0)</f>
        <v/>
      </c>
      <c r="Y50" s="43">
        <f>IF(ISNUMBER(K50),K50,0)</f>
        <v/>
      </c>
    </row>
    <row r="51">
      <c r="A51" s="35" t="n"/>
      <c r="B51" s="35" t="n"/>
      <c r="C51" s="35" t="n"/>
      <c r="D51" s="25" t="n"/>
      <c r="E51" s="25" t="n"/>
      <c r="F51" s="25" t="n"/>
      <c r="G51" s="25" t="n"/>
      <c r="H51" s="25" t="n"/>
      <c r="I51" s="25" t="n"/>
      <c r="J51" s="25" t="n"/>
      <c r="K51" s="25" t="n"/>
      <c r="L51" s="35" t="n"/>
      <c r="M51" s="40">
        <f>IF(A51="","",IFERROR(INDEX(Applications!$B$2:$B$101,MATCH(A51,Applications!$A$2:$A$101,0))&amp;"",""))</f>
        <v/>
      </c>
      <c r="N51" s="41">
        <f>IF(A51="","",SUMPRODUCT(ISNUMBER(D51:K51)*($D$2:$K$2&gt;0)))</f>
        <v/>
      </c>
      <c r="O51" s="40">
        <f>IF(A51="","",IF(ISNA(MATCH(A51,Applications!$A$2:$A$101,0)),"Check ID",IF(ISNA(MATCH(B51,Settings!$C$13:$C$18,0)),"Check reviewer",IF(LEFT(C51,3)="Yes","Conflict, not counted",IF(COUNTIFS($A$3:A51,A51,$B$3:B51,B51)&gt;1,"Duplicate, not counted",IF(SUM($D$2:$K$2)=0,"Add weights on Rubric",IF(SUMPRODUCT(ISNUMBER(D51:K51)*((D51:K51&gt;4)+(D51:K51&lt;0)))&gt;0,"Check scores",IF(N51&lt;COUNTIF($D$2:$K$2,"&gt;0"),"Incomplete","Counted"))))))))</f>
        <v/>
      </c>
      <c r="P51" s="42">
        <f>IF(O51="Counted",ROUND(SUMPRODUCT(D51:K51,$D$2:$K$2)*100/(4*SUM($D$2:$K$2)),1),"")</f>
        <v/>
      </c>
      <c r="Q51" s="27">
        <f>IF(O51="Counted",1,0)</f>
        <v/>
      </c>
      <c r="R51" s="43">
        <f>IF(ISNUMBER(D51),D51,0)</f>
        <v/>
      </c>
      <c r="S51" s="43">
        <f>IF(ISNUMBER(E51),E51,0)</f>
        <v/>
      </c>
      <c r="T51" s="43">
        <f>IF(ISNUMBER(F51),F51,0)</f>
        <v/>
      </c>
      <c r="U51" s="43">
        <f>IF(ISNUMBER(G51),G51,0)</f>
        <v/>
      </c>
      <c r="V51" s="43">
        <f>IF(ISNUMBER(H51),H51,0)</f>
        <v/>
      </c>
      <c r="W51" s="43">
        <f>IF(ISNUMBER(I51),I51,0)</f>
        <v/>
      </c>
      <c r="X51" s="43">
        <f>IF(ISNUMBER(J51),J51,0)</f>
        <v/>
      </c>
      <c r="Y51" s="43">
        <f>IF(ISNUMBER(K51),K51,0)</f>
        <v/>
      </c>
    </row>
    <row r="52">
      <c r="A52" s="35" t="n"/>
      <c r="B52" s="35" t="n"/>
      <c r="C52" s="35" t="n"/>
      <c r="D52" s="25" t="n"/>
      <c r="E52" s="25" t="n"/>
      <c r="F52" s="25" t="n"/>
      <c r="G52" s="25" t="n"/>
      <c r="H52" s="25" t="n"/>
      <c r="I52" s="25" t="n"/>
      <c r="J52" s="25" t="n"/>
      <c r="K52" s="25" t="n"/>
      <c r="L52" s="35" t="n"/>
      <c r="M52" s="40">
        <f>IF(A52="","",IFERROR(INDEX(Applications!$B$2:$B$101,MATCH(A52,Applications!$A$2:$A$101,0))&amp;"",""))</f>
        <v/>
      </c>
      <c r="N52" s="41">
        <f>IF(A52="","",SUMPRODUCT(ISNUMBER(D52:K52)*($D$2:$K$2&gt;0)))</f>
        <v/>
      </c>
      <c r="O52" s="40">
        <f>IF(A52="","",IF(ISNA(MATCH(A52,Applications!$A$2:$A$101,0)),"Check ID",IF(ISNA(MATCH(B52,Settings!$C$13:$C$18,0)),"Check reviewer",IF(LEFT(C52,3)="Yes","Conflict, not counted",IF(COUNTIFS($A$3:A52,A52,$B$3:B52,B52)&gt;1,"Duplicate, not counted",IF(SUM($D$2:$K$2)=0,"Add weights on Rubric",IF(SUMPRODUCT(ISNUMBER(D52:K52)*((D52:K52&gt;4)+(D52:K52&lt;0)))&gt;0,"Check scores",IF(N52&lt;COUNTIF($D$2:$K$2,"&gt;0"),"Incomplete","Counted"))))))))</f>
        <v/>
      </c>
      <c r="P52" s="42">
        <f>IF(O52="Counted",ROUND(SUMPRODUCT(D52:K52,$D$2:$K$2)*100/(4*SUM($D$2:$K$2)),1),"")</f>
        <v/>
      </c>
      <c r="Q52" s="27">
        <f>IF(O52="Counted",1,0)</f>
        <v/>
      </c>
      <c r="R52" s="43">
        <f>IF(ISNUMBER(D52),D52,0)</f>
        <v/>
      </c>
      <c r="S52" s="43">
        <f>IF(ISNUMBER(E52),E52,0)</f>
        <v/>
      </c>
      <c r="T52" s="43">
        <f>IF(ISNUMBER(F52),F52,0)</f>
        <v/>
      </c>
      <c r="U52" s="43">
        <f>IF(ISNUMBER(G52),G52,0)</f>
        <v/>
      </c>
      <c r="V52" s="43">
        <f>IF(ISNUMBER(H52),H52,0)</f>
        <v/>
      </c>
      <c r="W52" s="43">
        <f>IF(ISNUMBER(I52),I52,0)</f>
        <v/>
      </c>
      <c r="X52" s="43">
        <f>IF(ISNUMBER(J52),J52,0)</f>
        <v/>
      </c>
      <c r="Y52" s="43">
        <f>IF(ISNUMBER(K52),K52,0)</f>
        <v/>
      </c>
    </row>
    <row r="53">
      <c r="A53" s="35" t="n"/>
      <c r="B53" s="35" t="n"/>
      <c r="C53" s="35" t="n"/>
      <c r="D53" s="25" t="n"/>
      <c r="E53" s="25" t="n"/>
      <c r="F53" s="25" t="n"/>
      <c r="G53" s="25" t="n"/>
      <c r="H53" s="25" t="n"/>
      <c r="I53" s="25" t="n"/>
      <c r="J53" s="25" t="n"/>
      <c r="K53" s="25" t="n"/>
      <c r="L53" s="35" t="n"/>
      <c r="M53" s="40">
        <f>IF(A53="","",IFERROR(INDEX(Applications!$B$2:$B$101,MATCH(A53,Applications!$A$2:$A$101,0))&amp;"",""))</f>
        <v/>
      </c>
      <c r="N53" s="41">
        <f>IF(A53="","",SUMPRODUCT(ISNUMBER(D53:K53)*($D$2:$K$2&gt;0)))</f>
        <v/>
      </c>
      <c r="O53" s="40">
        <f>IF(A53="","",IF(ISNA(MATCH(A53,Applications!$A$2:$A$101,0)),"Check ID",IF(ISNA(MATCH(B53,Settings!$C$13:$C$18,0)),"Check reviewer",IF(LEFT(C53,3)="Yes","Conflict, not counted",IF(COUNTIFS($A$3:A53,A53,$B$3:B53,B53)&gt;1,"Duplicate, not counted",IF(SUM($D$2:$K$2)=0,"Add weights on Rubric",IF(SUMPRODUCT(ISNUMBER(D53:K53)*((D53:K53&gt;4)+(D53:K53&lt;0)))&gt;0,"Check scores",IF(N53&lt;COUNTIF($D$2:$K$2,"&gt;0"),"Incomplete","Counted"))))))))</f>
        <v/>
      </c>
      <c r="P53" s="42">
        <f>IF(O53="Counted",ROUND(SUMPRODUCT(D53:K53,$D$2:$K$2)*100/(4*SUM($D$2:$K$2)),1),"")</f>
        <v/>
      </c>
      <c r="Q53" s="27">
        <f>IF(O53="Counted",1,0)</f>
        <v/>
      </c>
      <c r="R53" s="43">
        <f>IF(ISNUMBER(D53),D53,0)</f>
        <v/>
      </c>
      <c r="S53" s="43">
        <f>IF(ISNUMBER(E53),E53,0)</f>
        <v/>
      </c>
      <c r="T53" s="43">
        <f>IF(ISNUMBER(F53),F53,0)</f>
        <v/>
      </c>
      <c r="U53" s="43">
        <f>IF(ISNUMBER(G53),G53,0)</f>
        <v/>
      </c>
      <c r="V53" s="43">
        <f>IF(ISNUMBER(H53),H53,0)</f>
        <v/>
      </c>
      <c r="W53" s="43">
        <f>IF(ISNUMBER(I53),I53,0)</f>
        <v/>
      </c>
      <c r="X53" s="43">
        <f>IF(ISNUMBER(J53),J53,0)</f>
        <v/>
      </c>
      <c r="Y53" s="43">
        <f>IF(ISNUMBER(K53),K53,0)</f>
        <v/>
      </c>
    </row>
    <row r="54">
      <c r="A54" s="35" t="n"/>
      <c r="B54" s="35" t="n"/>
      <c r="C54" s="35" t="n"/>
      <c r="D54" s="25" t="n"/>
      <c r="E54" s="25" t="n"/>
      <c r="F54" s="25" t="n"/>
      <c r="G54" s="25" t="n"/>
      <c r="H54" s="25" t="n"/>
      <c r="I54" s="25" t="n"/>
      <c r="J54" s="25" t="n"/>
      <c r="K54" s="25" t="n"/>
      <c r="L54" s="35" t="n"/>
      <c r="M54" s="40">
        <f>IF(A54="","",IFERROR(INDEX(Applications!$B$2:$B$101,MATCH(A54,Applications!$A$2:$A$101,0))&amp;"",""))</f>
        <v/>
      </c>
      <c r="N54" s="41">
        <f>IF(A54="","",SUMPRODUCT(ISNUMBER(D54:K54)*($D$2:$K$2&gt;0)))</f>
        <v/>
      </c>
      <c r="O54" s="40">
        <f>IF(A54="","",IF(ISNA(MATCH(A54,Applications!$A$2:$A$101,0)),"Check ID",IF(ISNA(MATCH(B54,Settings!$C$13:$C$18,0)),"Check reviewer",IF(LEFT(C54,3)="Yes","Conflict, not counted",IF(COUNTIFS($A$3:A54,A54,$B$3:B54,B54)&gt;1,"Duplicate, not counted",IF(SUM($D$2:$K$2)=0,"Add weights on Rubric",IF(SUMPRODUCT(ISNUMBER(D54:K54)*((D54:K54&gt;4)+(D54:K54&lt;0)))&gt;0,"Check scores",IF(N54&lt;COUNTIF($D$2:$K$2,"&gt;0"),"Incomplete","Counted"))))))))</f>
        <v/>
      </c>
      <c r="P54" s="42">
        <f>IF(O54="Counted",ROUND(SUMPRODUCT(D54:K54,$D$2:$K$2)*100/(4*SUM($D$2:$K$2)),1),"")</f>
        <v/>
      </c>
      <c r="Q54" s="27">
        <f>IF(O54="Counted",1,0)</f>
        <v/>
      </c>
      <c r="R54" s="43">
        <f>IF(ISNUMBER(D54),D54,0)</f>
        <v/>
      </c>
      <c r="S54" s="43">
        <f>IF(ISNUMBER(E54),E54,0)</f>
        <v/>
      </c>
      <c r="T54" s="43">
        <f>IF(ISNUMBER(F54),F54,0)</f>
        <v/>
      </c>
      <c r="U54" s="43">
        <f>IF(ISNUMBER(G54),G54,0)</f>
        <v/>
      </c>
      <c r="V54" s="43">
        <f>IF(ISNUMBER(H54),H54,0)</f>
        <v/>
      </c>
      <c r="W54" s="43">
        <f>IF(ISNUMBER(I54),I54,0)</f>
        <v/>
      </c>
      <c r="X54" s="43">
        <f>IF(ISNUMBER(J54),J54,0)</f>
        <v/>
      </c>
      <c r="Y54" s="43">
        <f>IF(ISNUMBER(K54),K54,0)</f>
        <v/>
      </c>
    </row>
    <row r="55">
      <c r="A55" s="35" t="n"/>
      <c r="B55" s="35" t="n"/>
      <c r="C55" s="35" t="n"/>
      <c r="D55" s="25" t="n"/>
      <c r="E55" s="25" t="n"/>
      <c r="F55" s="25" t="n"/>
      <c r="G55" s="25" t="n"/>
      <c r="H55" s="25" t="n"/>
      <c r="I55" s="25" t="n"/>
      <c r="J55" s="25" t="n"/>
      <c r="K55" s="25" t="n"/>
      <c r="L55" s="35" t="n"/>
      <c r="M55" s="40">
        <f>IF(A55="","",IFERROR(INDEX(Applications!$B$2:$B$101,MATCH(A55,Applications!$A$2:$A$101,0))&amp;"",""))</f>
        <v/>
      </c>
      <c r="N55" s="41">
        <f>IF(A55="","",SUMPRODUCT(ISNUMBER(D55:K55)*($D$2:$K$2&gt;0)))</f>
        <v/>
      </c>
      <c r="O55" s="40">
        <f>IF(A55="","",IF(ISNA(MATCH(A55,Applications!$A$2:$A$101,0)),"Check ID",IF(ISNA(MATCH(B55,Settings!$C$13:$C$18,0)),"Check reviewer",IF(LEFT(C55,3)="Yes","Conflict, not counted",IF(COUNTIFS($A$3:A55,A55,$B$3:B55,B55)&gt;1,"Duplicate, not counted",IF(SUM($D$2:$K$2)=0,"Add weights on Rubric",IF(SUMPRODUCT(ISNUMBER(D55:K55)*((D55:K55&gt;4)+(D55:K55&lt;0)))&gt;0,"Check scores",IF(N55&lt;COUNTIF($D$2:$K$2,"&gt;0"),"Incomplete","Counted"))))))))</f>
        <v/>
      </c>
      <c r="P55" s="42">
        <f>IF(O55="Counted",ROUND(SUMPRODUCT(D55:K55,$D$2:$K$2)*100/(4*SUM($D$2:$K$2)),1),"")</f>
        <v/>
      </c>
      <c r="Q55" s="27">
        <f>IF(O55="Counted",1,0)</f>
        <v/>
      </c>
      <c r="R55" s="43">
        <f>IF(ISNUMBER(D55),D55,0)</f>
        <v/>
      </c>
      <c r="S55" s="43">
        <f>IF(ISNUMBER(E55),E55,0)</f>
        <v/>
      </c>
      <c r="T55" s="43">
        <f>IF(ISNUMBER(F55),F55,0)</f>
        <v/>
      </c>
      <c r="U55" s="43">
        <f>IF(ISNUMBER(G55),G55,0)</f>
        <v/>
      </c>
      <c r="V55" s="43">
        <f>IF(ISNUMBER(H55),H55,0)</f>
        <v/>
      </c>
      <c r="W55" s="43">
        <f>IF(ISNUMBER(I55),I55,0)</f>
        <v/>
      </c>
      <c r="X55" s="43">
        <f>IF(ISNUMBER(J55),J55,0)</f>
        <v/>
      </c>
      <c r="Y55" s="43">
        <f>IF(ISNUMBER(K55),K55,0)</f>
        <v/>
      </c>
    </row>
    <row r="56">
      <c r="A56" s="35" t="n"/>
      <c r="B56" s="35" t="n"/>
      <c r="C56" s="35" t="n"/>
      <c r="D56" s="25" t="n"/>
      <c r="E56" s="25" t="n"/>
      <c r="F56" s="25" t="n"/>
      <c r="G56" s="25" t="n"/>
      <c r="H56" s="25" t="n"/>
      <c r="I56" s="25" t="n"/>
      <c r="J56" s="25" t="n"/>
      <c r="K56" s="25" t="n"/>
      <c r="L56" s="35" t="n"/>
      <c r="M56" s="40">
        <f>IF(A56="","",IFERROR(INDEX(Applications!$B$2:$B$101,MATCH(A56,Applications!$A$2:$A$101,0))&amp;"",""))</f>
        <v/>
      </c>
      <c r="N56" s="41">
        <f>IF(A56="","",SUMPRODUCT(ISNUMBER(D56:K56)*($D$2:$K$2&gt;0)))</f>
        <v/>
      </c>
      <c r="O56" s="40">
        <f>IF(A56="","",IF(ISNA(MATCH(A56,Applications!$A$2:$A$101,0)),"Check ID",IF(ISNA(MATCH(B56,Settings!$C$13:$C$18,0)),"Check reviewer",IF(LEFT(C56,3)="Yes","Conflict, not counted",IF(COUNTIFS($A$3:A56,A56,$B$3:B56,B56)&gt;1,"Duplicate, not counted",IF(SUM($D$2:$K$2)=0,"Add weights on Rubric",IF(SUMPRODUCT(ISNUMBER(D56:K56)*((D56:K56&gt;4)+(D56:K56&lt;0)))&gt;0,"Check scores",IF(N56&lt;COUNTIF($D$2:$K$2,"&gt;0"),"Incomplete","Counted"))))))))</f>
        <v/>
      </c>
      <c r="P56" s="42">
        <f>IF(O56="Counted",ROUND(SUMPRODUCT(D56:K56,$D$2:$K$2)*100/(4*SUM($D$2:$K$2)),1),"")</f>
        <v/>
      </c>
      <c r="Q56" s="27">
        <f>IF(O56="Counted",1,0)</f>
        <v/>
      </c>
      <c r="R56" s="43">
        <f>IF(ISNUMBER(D56),D56,0)</f>
        <v/>
      </c>
      <c r="S56" s="43">
        <f>IF(ISNUMBER(E56),E56,0)</f>
        <v/>
      </c>
      <c r="T56" s="43">
        <f>IF(ISNUMBER(F56),F56,0)</f>
        <v/>
      </c>
      <c r="U56" s="43">
        <f>IF(ISNUMBER(G56),G56,0)</f>
        <v/>
      </c>
      <c r="V56" s="43">
        <f>IF(ISNUMBER(H56),H56,0)</f>
        <v/>
      </c>
      <c r="W56" s="43">
        <f>IF(ISNUMBER(I56),I56,0)</f>
        <v/>
      </c>
      <c r="X56" s="43">
        <f>IF(ISNUMBER(J56),J56,0)</f>
        <v/>
      </c>
      <c r="Y56" s="43">
        <f>IF(ISNUMBER(K56),K56,0)</f>
        <v/>
      </c>
    </row>
    <row r="57">
      <c r="A57" s="35" t="n"/>
      <c r="B57" s="35" t="n"/>
      <c r="C57" s="35" t="n"/>
      <c r="D57" s="25" t="n"/>
      <c r="E57" s="25" t="n"/>
      <c r="F57" s="25" t="n"/>
      <c r="G57" s="25" t="n"/>
      <c r="H57" s="25" t="n"/>
      <c r="I57" s="25" t="n"/>
      <c r="J57" s="25" t="n"/>
      <c r="K57" s="25" t="n"/>
      <c r="L57" s="35" t="n"/>
      <c r="M57" s="40">
        <f>IF(A57="","",IFERROR(INDEX(Applications!$B$2:$B$101,MATCH(A57,Applications!$A$2:$A$101,0))&amp;"",""))</f>
        <v/>
      </c>
      <c r="N57" s="41">
        <f>IF(A57="","",SUMPRODUCT(ISNUMBER(D57:K57)*($D$2:$K$2&gt;0)))</f>
        <v/>
      </c>
      <c r="O57" s="40">
        <f>IF(A57="","",IF(ISNA(MATCH(A57,Applications!$A$2:$A$101,0)),"Check ID",IF(ISNA(MATCH(B57,Settings!$C$13:$C$18,0)),"Check reviewer",IF(LEFT(C57,3)="Yes","Conflict, not counted",IF(COUNTIFS($A$3:A57,A57,$B$3:B57,B57)&gt;1,"Duplicate, not counted",IF(SUM($D$2:$K$2)=0,"Add weights on Rubric",IF(SUMPRODUCT(ISNUMBER(D57:K57)*((D57:K57&gt;4)+(D57:K57&lt;0)))&gt;0,"Check scores",IF(N57&lt;COUNTIF($D$2:$K$2,"&gt;0"),"Incomplete","Counted"))))))))</f>
        <v/>
      </c>
      <c r="P57" s="42">
        <f>IF(O57="Counted",ROUND(SUMPRODUCT(D57:K57,$D$2:$K$2)*100/(4*SUM($D$2:$K$2)),1),"")</f>
        <v/>
      </c>
      <c r="Q57" s="27">
        <f>IF(O57="Counted",1,0)</f>
        <v/>
      </c>
      <c r="R57" s="43">
        <f>IF(ISNUMBER(D57),D57,0)</f>
        <v/>
      </c>
      <c r="S57" s="43">
        <f>IF(ISNUMBER(E57),E57,0)</f>
        <v/>
      </c>
      <c r="T57" s="43">
        <f>IF(ISNUMBER(F57),F57,0)</f>
        <v/>
      </c>
      <c r="U57" s="43">
        <f>IF(ISNUMBER(G57),G57,0)</f>
        <v/>
      </c>
      <c r="V57" s="43">
        <f>IF(ISNUMBER(H57),H57,0)</f>
        <v/>
      </c>
      <c r="W57" s="43">
        <f>IF(ISNUMBER(I57),I57,0)</f>
        <v/>
      </c>
      <c r="X57" s="43">
        <f>IF(ISNUMBER(J57),J57,0)</f>
        <v/>
      </c>
      <c r="Y57" s="43">
        <f>IF(ISNUMBER(K57),K57,0)</f>
        <v/>
      </c>
    </row>
    <row r="58">
      <c r="A58" s="35" t="n"/>
      <c r="B58" s="35" t="n"/>
      <c r="C58" s="35" t="n"/>
      <c r="D58" s="25" t="n"/>
      <c r="E58" s="25" t="n"/>
      <c r="F58" s="25" t="n"/>
      <c r="G58" s="25" t="n"/>
      <c r="H58" s="25" t="n"/>
      <c r="I58" s="25" t="n"/>
      <c r="J58" s="25" t="n"/>
      <c r="K58" s="25" t="n"/>
      <c r="L58" s="35" t="n"/>
      <c r="M58" s="40">
        <f>IF(A58="","",IFERROR(INDEX(Applications!$B$2:$B$101,MATCH(A58,Applications!$A$2:$A$101,0))&amp;"",""))</f>
        <v/>
      </c>
      <c r="N58" s="41">
        <f>IF(A58="","",SUMPRODUCT(ISNUMBER(D58:K58)*($D$2:$K$2&gt;0)))</f>
        <v/>
      </c>
      <c r="O58" s="40">
        <f>IF(A58="","",IF(ISNA(MATCH(A58,Applications!$A$2:$A$101,0)),"Check ID",IF(ISNA(MATCH(B58,Settings!$C$13:$C$18,0)),"Check reviewer",IF(LEFT(C58,3)="Yes","Conflict, not counted",IF(COUNTIFS($A$3:A58,A58,$B$3:B58,B58)&gt;1,"Duplicate, not counted",IF(SUM($D$2:$K$2)=0,"Add weights on Rubric",IF(SUMPRODUCT(ISNUMBER(D58:K58)*((D58:K58&gt;4)+(D58:K58&lt;0)))&gt;0,"Check scores",IF(N58&lt;COUNTIF($D$2:$K$2,"&gt;0"),"Incomplete","Counted"))))))))</f>
        <v/>
      </c>
      <c r="P58" s="42">
        <f>IF(O58="Counted",ROUND(SUMPRODUCT(D58:K58,$D$2:$K$2)*100/(4*SUM($D$2:$K$2)),1),"")</f>
        <v/>
      </c>
      <c r="Q58" s="27">
        <f>IF(O58="Counted",1,0)</f>
        <v/>
      </c>
      <c r="R58" s="43">
        <f>IF(ISNUMBER(D58),D58,0)</f>
        <v/>
      </c>
      <c r="S58" s="43">
        <f>IF(ISNUMBER(E58),E58,0)</f>
        <v/>
      </c>
      <c r="T58" s="43">
        <f>IF(ISNUMBER(F58),F58,0)</f>
        <v/>
      </c>
      <c r="U58" s="43">
        <f>IF(ISNUMBER(G58),G58,0)</f>
        <v/>
      </c>
      <c r="V58" s="43">
        <f>IF(ISNUMBER(H58),H58,0)</f>
        <v/>
      </c>
      <c r="W58" s="43">
        <f>IF(ISNUMBER(I58),I58,0)</f>
        <v/>
      </c>
      <c r="X58" s="43">
        <f>IF(ISNUMBER(J58),J58,0)</f>
        <v/>
      </c>
      <c r="Y58" s="43">
        <f>IF(ISNUMBER(K58),K58,0)</f>
        <v/>
      </c>
    </row>
    <row r="59">
      <c r="A59" s="35" t="n"/>
      <c r="B59" s="35" t="n"/>
      <c r="C59" s="35" t="n"/>
      <c r="D59" s="25" t="n"/>
      <c r="E59" s="25" t="n"/>
      <c r="F59" s="25" t="n"/>
      <c r="G59" s="25" t="n"/>
      <c r="H59" s="25" t="n"/>
      <c r="I59" s="25" t="n"/>
      <c r="J59" s="25" t="n"/>
      <c r="K59" s="25" t="n"/>
      <c r="L59" s="35" t="n"/>
      <c r="M59" s="40">
        <f>IF(A59="","",IFERROR(INDEX(Applications!$B$2:$B$101,MATCH(A59,Applications!$A$2:$A$101,0))&amp;"",""))</f>
        <v/>
      </c>
      <c r="N59" s="41">
        <f>IF(A59="","",SUMPRODUCT(ISNUMBER(D59:K59)*($D$2:$K$2&gt;0)))</f>
        <v/>
      </c>
      <c r="O59" s="40">
        <f>IF(A59="","",IF(ISNA(MATCH(A59,Applications!$A$2:$A$101,0)),"Check ID",IF(ISNA(MATCH(B59,Settings!$C$13:$C$18,0)),"Check reviewer",IF(LEFT(C59,3)="Yes","Conflict, not counted",IF(COUNTIFS($A$3:A59,A59,$B$3:B59,B59)&gt;1,"Duplicate, not counted",IF(SUM($D$2:$K$2)=0,"Add weights on Rubric",IF(SUMPRODUCT(ISNUMBER(D59:K59)*((D59:K59&gt;4)+(D59:K59&lt;0)))&gt;0,"Check scores",IF(N59&lt;COUNTIF($D$2:$K$2,"&gt;0"),"Incomplete","Counted"))))))))</f>
        <v/>
      </c>
      <c r="P59" s="42">
        <f>IF(O59="Counted",ROUND(SUMPRODUCT(D59:K59,$D$2:$K$2)*100/(4*SUM($D$2:$K$2)),1),"")</f>
        <v/>
      </c>
      <c r="Q59" s="27">
        <f>IF(O59="Counted",1,0)</f>
        <v/>
      </c>
      <c r="R59" s="43">
        <f>IF(ISNUMBER(D59),D59,0)</f>
        <v/>
      </c>
      <c r="S59" s="43">
        <f>IF(ISNUMBER(E59),E59,0)</f>
        <v/>
      </c>
      <c r="T59" s="43">
        <f>IF(ISNUMBER(F59),F59,0)</f>
        <v/>
      </c>
      <c r="U59" s="43">
        <f>IF(ISNUMBER(G59),G59,0)</f>
        <v/>
      </c>
      <c r="V59" s="43">
        <f>IF(ISNUMBER(H59),H59,0)</f>
        <v/>
      </c>
      <c r="W59" s="43">
        <f>IF(ISNUMBER(I59),I59,0)</f>
        <v/>
      </c>
      <c r="X59" s="43">
        <f>IF(ISNUMBER(J59),J59,0)</f>
        <v/>
      </c>
      <c r="Y59" s="43">
        <f>IF(ISNUMBER(K59),K59,0)</f>
        <v/>
      </c>
    </row>
    <row r="60">
      <c r="A60" s="35" t="n"/>
      <c r="B60" s="35" t="n"/>
      <c r="C60" s="35" t="n"/>
      <c r="D60" s="25" t="n"/>
      <c r="E60" s="25" t="n"/>
      <c r="F60" s="25" t="n"/>
      <c r="G60" s="25" t="n"/>
      <c r="H60" s="25" t="n"/>
      <c r="I60" s="25" t="n"/>
      <c r="J60" s="25" t="n"/>
      <c r="K60" s="25" t="n"/>
      <c r="L60" s="35" t="n"/>
      <c r="M60" s="40">
        <f>IF(A60="","",IFERROR(INDEX(Applications!$B$2:$B$101,MATCH(A60,Applications!$A$2:$A$101,0))&amp;"",""))</f>
        <v/>
      </c>
      <c r="N60" s="41">
        <f>IF(A60="","",SUMPRODUCT(ISNUMBER(D60:K60)*($D$2:$K$2&gt;0)))</f>
        <v/>
      </c>
      <c r="O60" s="40">
        <f>IF(A60="","",IF(ISNA(MATCH(A60,Applications!$A$2:$A$101,0)),"Check ID",IF(ISNA(MATCH(B60,Settings!$C$13:$C$18,0)),"Check reviewer",IF(LEFT(C60,3)="Yes","Conflict, not counted",IF(COUNTIFS($A$3:A60,A60,$B$3:B60,B60)&gt;1,"Duplicate, not counted",IF(SUM($D$2:$K$2)=0,"Add weights on Rubric",IF(SUMPRODUCT(ISNUMBER(D60:K60)*((D60:K60&gt;4)+(D60:K60&lt;0)))&gt;0,"Check scores",IF(N60&lt;COUNTIF($D$2:$K$2,"&gt;0"),"Incomplete","Counted"))))))))</f>
        <v/>
      </c>
      <c r="P60" s="42">
        <f>IF(O60="Counted",ROUND(SUMPRODUCT(D60:K60,$D$2:$K$2)*100/(4*SUM($D$2:$K$2)),1),"")</f>
        <v/>
      </c>
      <c r="Q60" s="27">
        <f>IF(O60="Counted",1,0)</f>
        <v/>
      </c>
      <c r="R60" s="43">
        <f>IF(ISNUMBER(D60),D60,0)</f>
        <v/>
      </c>
      <c r="S60" s="43">
        <f>IF(ISNUMBER(E60),E60,0)</f>
        <v/>
      </c>
      <c r="T60" s="43">
        <f>IF(ISNUMBER(F60),F60,0)</f>
        <v/>
      </c>
      <c r="U60" s="43">
        <f>IF(ISNUMBER(G60),G60,0)</f>
        <v/>
      </c>
      <c r="V60" s="43">
        <f>IF(ISNUMBER(H60),H60,0)</f>
        <v/>
      </c>
      <c r="W60" s="43">
        <f>IF(ISNUMBER(I60),I60,0)</f>
        <v/>
      </c>
      <c r="X60" s="43">
        <f>IF(ISNUMBER(J60),J60,0)</f>
        <v/>
      </c>
      <c r="Y60" s="43">
        <f>IF(ISNUMBER(K60),K60,0)</f>
        <v/>
      </c>
    </row>
    <row r="61">
      <c r="A61" s="35" t="n"/>
      <c r="B61" s="35" t="n"/>
      <c r="C61" s="35" t="n"/>
      <c r="D61" s="25" t="n"/>
      <c r="E61" s="25" t="n"/>
      <c r="F61" s="25" t="n"/>
      <c r="G61" s="25" t="n"/>
      <c r="H61" s="25" t="n"/>
      <c r="I61" s="25" t="n"/>
      <c r="J61" s="25" t="n"/>
      <c r="K61" s="25" t="n"/>
      <c r="L61" s="35" t="n"/>
      <c r="M61" s="40">
        <f>IF(A61="","",IFERROR(INDEX(Applications!$B$2:$B$101,MATCH(A61,Applications!$A$2:$A$101,0))&amp;"",""))</f>
        <v/>
      </c>
      <c r="N61" s="41">
        <f>IF(A61="","",SUMPRODUCT(ISNUMBER(D61:K61)*($D$2:$K$2&gt;0)))</f>
        <v/>
      </c>
      <c r="O61" s="40">
        <f>IF(A61="","",IF(ISNA(MATCH(A61,Applications!$A$2:$A$101,0)),"Check ID",IF(ISNA(MATCH(B61,Settings!$C$13:$C$18,0)),"Check reviewer",IF(LEFT(C61,3)="Yes","Conflict, not counted",IF(COUNTIFS($A$3:A61,A61,$B$3:B61,B61)&gt;1,"Duplicate, not counted",IF(SUM($D$2:$K$2)=0,"Add weights on Rubric",IF(SUMPRODUCT(ISNUMBER(D61:K61)*((D61:K61&gt;4)+(D61:K61&lt;0)))&gt;0,"Check scores",IF(N61&lt;COUNTIF($D$2:$K$2,"&gt;0"),"Incomplete","Counted"))))))))</f>
        <v/>
      </c>
      <c r="P61" s="42">
        <f>IF(O61="Counted",ROUND(SUMPRODUCT(D61:K61,$D$2:$K$2)*100/(4*SUM($D$2:$K$2)),1),"")</f>
        <v/>
      </c>
      <c r="Q61" s="27">
        <f>IF(O61="Counted",1,0)</f>
        <v/>
      </c>
      <c r="R61" s="43">
        <f>IF(ISNUMBER(D61),D61,0)</f>
        <v/>
      </c>
      <c r="S61" s="43">
        <f>IF(ISNUMBER(E61),E61,0)</f>
        <v/>
      </c>
      <c r="T61" s="43">
        <f>IF(ISNUMBER(F61),F61,0)</f>
        <v/>
      </c>
      <c r="U61" s="43">
        <f>IF(ISNUMBER(G61),G61,0)</f>
        <v/>
      </c>
      <c r="V61" s="43">
        <f>IF(ISNUMBER(H61),H61,0)</f>
        <v/>
      </c>
      <c r="W61" s="43">
        <f>IF(ISNUMBER(I61),I61,0)</f>
        <v/>
      </c>
      <c r="X61" s="43">
        <f>IF(ISNUMBER(J61),J61,0)</f>
        <v/>
      </c>
      <c r="Y61" s="43">
        <f>IF(ISNUMBER(K61),K61,0)</f>
        <v/>
      </c>
    </row>
    <row r="62">
      <c r="A62" s="35" t="n"/>
      <c r="B62" s="35" t="n"/>
      <c r="C62" s="35" t="n"/>
      <c r="D62" s="25" t="n"/>
      <c r="E62" s="25" t="n"/>
      <c r="F62" s="25" t="n"/>
      <c r="G62" s="25" t="n"/>
      <c r="H62" s="25" t="n"/>
      <c r="I62" s="25" t="n"/>
      <c r="J62" s="25" t="n"/>
      <c r="K62" s="25" t="n"/>
      <c r="L62" s="35" t="n"/>
      <c r="M62" s="40">
        <f>IF(A62="","",IFERROR(INDEX(Applications!$B$2:$B$101,MATCH(A62,Applications!$A$2:$A$101,0))&amp;"",""))</f>
        <v/>
      </c>
      <c r="N62" s="41">
        <f>IF(A62="","",SUMPRODUCT(ISNUMBER(D62:K62)*($D$2:$K$2&gt;0)))</f>
        <v/>
      </c>
      <c r="O62" s="40">
        <f>IF(A62="","",IF(ISNA(MATCH(A62,Applications!$A$2:$A$101,0)),"Check ID",IF(ISNA(MATCH(B62,Settings!$C$13:$C$18,0)),"Check reviewer",IF(LEFT(C62,3)="Yes","Conflict, not counted",IF(COUNTIFS($A$3:A62,A62,$B$3:B62,B62)&gt;1,"Duplicate, not counted",IF(SUM($D$2:$K$2)=0,"Add weights on Rubric",IF(SUMPRODUCT(ISNUMBER(D62:K62)*((D62:K62&gt;4)+(D62:K62&lt;0)))&gt;0,"Check scores",IF(N62&lt;COUNTIF($D$2:$K$2,"&gt;0"),"Incomplete","Counted"))))))))</f>
        <v/>
      </c>
      <c r="P62" s="42">
        <f>IF(O62="Counted",ROUND(SUMPRODUCT(D62:K62,$D$2:$K$2)*100/(4*SUM($D$2:$K$2)),1),"")</f>
        <v/>
      </c>
      <c r="Q62" s="27">
        <f>IF(O62="Counted",1,0)</f>
        <v/>
      </c>
      <c r="R62" s="43">
        <f>IF(ISNUMBER(D62),D62,0)</f>
        <v/>
      </c>
      <c r="S62" s="43">
        <f>IF(ISNUMBER(E62),E62,0)</f>
        <v/>
      </c>
      <c r="T62" s="43">
        <f>IF(ISNUMBER(F62),F62,0)</f>
        <v/>
      </c>
      <c r="U62" s="43">
        <f>IF(ISNUMBER(G62),G62,0)</f>
        <v/>
      </c>
      <c r="V62" s="43">
        <f>IF(ISNUMBER(H62),H62,0)</f>
        <v/>
      </c>
      <c r="W62" s="43">
        <f>IF(ISNUMBER(I62),I62,0)</f>
        <v/>
      </c>
      <c r="X62" s="43">
        <f>IF(ISNUMBER(J62),J62,0)</f>
        <v/>
      </c>
      <c r="Y62" s="43">
        <f>IF(ISNUMBER(K62),K62,0)</f>
        <v/>
      </c>
    </row>
    <row r="63">
      <c r="A63" s="35" t="n"/>
      <c r="B63" s="35" t="n"/>
      <c r="C63" s="35" t="n"/>
      <c r="D63" s="25" t="n"/>
      <c r="E63" s="25" t="n"/>
      <c r="F63" s="25" t="n"/>
      <c r="G63" s="25" t="n"/>
      <c r="H63" s="25" t="n"/>
      <c r="I63" s="25" t="n"/>
      <c r="J63" s="25" t="n"/>
      <c r="K63" s="25" t="n"/>
      <c r="L63" s="35" t="n"/>
      <c r="M63" s="40">
        <f>IF(A63="","",IFERROR(INDEX(Applications!$B$2:$B$101,MATCH(A63,Applications!$A$2:$A$101,0))&amp;"",""))</f>
        <v/>
      </c>
      <c r="N63" s="41">
        <f>IF(A63="","",SUMPRODUCT(ISNUMBER(D63:K63)*($D$2:$K$2&gt;0)))</f>
        <v/>
      </c>
      <c r="O63" s="40">
        <f>IF(A63="","",IF(ISNA(MATCH(A63,Applications!$A$2:$A$101,0)),"Check ID",IF(ISNA(MATCH(B63,Settings!$C$13:$C$18,0)),"Check reviewer",IF(LEFT(C63,3)="Yes","Conflict, not counted",IF(COUNTIFS($A$3:A63,A63,$B$3:B63,B63)&gt;1,"Duplicate, not counted",IF(SUM($D$2:$K$2)=0,"Add weights on Rubric",IF(SUMPRODUCT(ISNUMBER(D63:K63)*((D63:K63&gt;4)+(D63:K63&lt;0)))&gt;0,"Check scores",IF(N63&lt;COUNTIF($D$2:$K$2,"&gt;0"),"Incomplete","Counted"))))))))</f>
        <v/>
      </c>
      <c r="P63" s="42">
        <f>IF(O63="Counted",ROUND(SUMPRODUCT(D63:K63,$D$2:$K$2)*100/(4*SUM($D$2:$K$2)),1),"")</f>
        <v/>
      </c>
      <c r="Q63" s="27">
        <f>IF(O63="Counted",1,0)</f>
        <v/>
      </c>
      <c r="R63" s="43">
        <f>IF(ISNUMBER(D63),D63,0)</f>
        <v/>
      </c>
      <c r="S63" s="43">
        <f>IF(ISNUMBER(E63),E63,0)</f>
        <v/>
      </c>
      <c r="T63" s="43">
        <f>IF(ISNUMBER(F63),F63,0)</f>
        <v/>
      </c>
      <c r="U63" s="43">
        <f>IF(ISNUMBER(G63),G63,0)</f>
        <v/>
      </c>
      <c r="V63" s="43">
        <f>IF(ISNUMBER(H63),H63,0)</f>
        <v/>
      </c>
      <c r="W63" s="43">
        <f>IF(ISNUMBER(I63),I63,0)</f>
        <v/>
      </c>
      <c r="X63" s="43">
        <f>IF(ISNUMBER(J63),J63,0)</f>
        <v/>
      </c>
      <c r="Y63" s="43">
        <f>IF(ISNUMBER(K63),K63,0)</f>
        <v/>
      </c>
    </row>
    <row r="64">
      <c r="A64" s="35" t="n"/>
      <c r="B64" s="35" t="n"/>
      <c r="C64" s="35" t="n"/>
      <c r="D64" s="25" t="n"/>
      <c r="E64" s="25" t="n"/>
      <c r="F64" s="25" t="n"/>
      <c r="G64" s="25" t="n"/>
      <c r="H64" s="25" t="n"/>
      <c r="I64" s="25" t="n"/>
      <c r="J64" s="25" t="n"/>
      <c r="K64" s="25" t="n"/>
      <c r="L64" s="35" t="n"/>
      <c r="M64" s="40">
        <f>IF(A64="","",IFERROR(INDEX(Applications!$B$2:$B$101,MATCH(A64,Applications!$A$2:$A$101,0))&amp;"",""))</f>
        <v/>
      </c>
      <c r="N64" s="41">
        <f>IF(A64="","",SUMPRODUCT(ISNUMBER(D64:K64)*($D$2:$K$2&gt;0)))</f>
        <v/>
      </c>
      <c r="O64" s="40">
        <f>IF(A64="","",IF(ISNA(MATCH(A64,Applications!$A$2:$A$101,0)),"Check ID",IF(ISNA(MATCH(B64,Settings!$C$13:$C$18,0)),"Check reviewer",IF(LEFT(C64,3)="Yes","Conflict, not counted",IF(COUNTIFS($A$3:A64,A64,$B$3:B64,B64)&gt;1,"Duplicate, not counted",IF(SUM($D$2:$K$2)=0,"Add weights on Rubric",IF(SUMPRODUCT(ISNUMBER(D64:K64)*((D64:K64&gt;4)+(D64:K64&lt;0)))&gt;0,"Check scores",IF(N64&lt;COUNTIF($D$2:$K$2,"&gt;0"),"Incomplete","Counted"))))))))</f>
        <v/>
      </c>
      <c r="P64" s="42">
        <f>IF(O64="Counted",ROUND(SUMPRODUCT(D64:K64,$D$2:$K$2)*100/(4*SUM($D$2:$K$2)),1),"")</f>
        <v/>
      </c>
      <c r="Q64" s="27">
        <f>IF(O64="Counted",1,0)</f>
        <v/>
      </c>
      <c r="R64" s="43">
        <f>IF(ISNUMBER(D64),D64,0)</f>
        <v/>
      </c>
      <c r="S64" s="43">
        <f>IF(ISNUMBER(E64),E64,0)</f>
        <v/>
      </c>
      <c r="T64" s="43">
        <f>IF(ISNUMBER(F64),F64,0)</f>
        <v/>
      </c>
      <c r="U64" s="43">
        <f>IF(ISNUMBER(G64),G64,0)</f>
        <v/>
      </c>
      <c r="V64" s="43">
        <f>IF(ISNUMBER(H64),H64,0)</f>
        <v/>
      </c>
      <c r="W64" s="43">
        <f>IF(ISNUMBER(I64),I64,0)</f>
        <v/>
      </c>
      <c r="X64" s="43">
        <f>IF(ISNUMBER(J64),J64,0)</f>
        <v/>
      </c>
      <c r="Y64" s="43">
        <f>IF(ISNUMBER(K64),K64,0)</f>
        <v/>
      </c>
    </row>
    <row r="65">
      <c r="A65" s="35" t="n"/>
      <c r="B65" s="35" t="n"/>
      <c r="C65" s="35" t="n"/>
      <c r="D65" s="25" t="n"/>
      <c r="E65" s="25" t="n"/>
      <c r="F65" s="25" t="n"/>
      <c r="G65" s="25" t="n"/>
      <c r="H65" s="25" t="n"/>
      <c r="I65" s="25" t="n"/>
      <c r="J65" s="25" t="n"/>
      <c r="K65" s="25" t="n"/>
      <c r="L65" s="35" t="n"/>
      <c r="M65" s="40">
        <f>IF(A65="","",IFERROR(INDEX(Applications!$B$2:$B$101,MATCH(A65,Applications!$A$2:$A$101,0))&amp;"",""))</f>
        <v/>
      </c>
      <c r="N65" s="41">
        <f>IF(A65="","",SUMPRODUCT(ISNUMBER(D65:K65)*($D$2:$K$2&gt;0)))</f>
        <v/>
      </c>
      <c r="O65" s="40">
        <f>IF(A65="","",IF(ISNA(MATCH(A65,Applications!$A$2:$A$101,0)),"Check ID",IF(ISNA(MATCH(B65,Settings!$C$13:$C$18,0)),"Check reviewer",IF(LEFT(C65,3)="Yes","Conflict, not counted",IF(COUNTIFS($A$3:A65,A65,$B$3:B65,B65)&gt;1,"Duplicate, not counted",IF(SUM($D$2:$K$2)=0,"Add weights on Rubric",IF(SUMPRODUCT(ISNUMBER(D65:K65)*((D65:K65&gt;4)+(D65:K65&lt;0)))&gt;0,"Check scores",IF(N65&lt;COUNTIF($D$2:$K$2,"&gt;0"),"Incomplete","Counted"))))))))</f>
        <v/>
      </c>
      <c r="P65" s="42">
        <f>IF(O65="Counted",ROUND(SUMPRODUCT(D65:K65,$D$2:$K$2)*100/(4*SUM($D$2:$K$2)),1),"")</f>
        <v/>
      </c>
      <c r="Q65" s="27">
        <f>IF(O65="Counted",1,0)</f>
        <v/>
      </c>
      <c r="R65" s="43">
        <f>IF(ISNUMBER(D65),D65,0)</f>
        <v/>
      </c>
      <c r="S65" s="43">
        <f>IF(ISNUMBER(E65),E65,0)</f>
        <v/>
      </c>
      <c r="T65" s="43">
        <f>IF(ISNUMBER(F65),F65,0)</f>
        <v/>
      </c>
      <c r="U65" s="43">
        <f>IF(ISNUMBER(G65),G65,0)</f>
        <v/>
      </c>
      <c r="V65" s="43">
        <f>IF(ISNUMBER(H65),H65,0)</f>
        <v/>
      </c>
      <c r="W65" s="43">
        <f>IF(ISNUMBER(I65),I65,0)</f>
        <v/>
      </c>
      <c r="X65" s="43">
        <f>IF(ISNUMBER(J65),J65,0)</f>
        <v/>
      </c>
      <c r="Y65" s="43">
        <f>IF(ISNUMBER(K65),K65,0)</f>
        <v/>
      </c>
    </row>
    <row r="66">
      <c r="A66" s="35" t="n"/>
      <c r="B66" s="35" t="n"/>
      <c r="C66" s="35" t="n"/>
      <c r="D66" s="25" t="n"/>
      <c r="E66" s="25" t="n"/>
      <c r="F66" s="25" t="n"/>
      <c r="G66" s="25" t="n"/>
      <c r="H66" s="25" t="n"/>
      <c r="I66" s="25" t="n"/>
      <c r="J66" s="25" t="n"/>
      <c r="K66" s="25" t="n"/>
      <c r="L66" s="35" t="n"/>
      <c r="M66" s="40">
        <f>IF(A66="","",IFERROR(INDEX(Applications!$B$2:$B$101,MATCH(A66,Applications!$A$2:$A$101,0))&amp;"",""))</f>
        <v/>
      </c>
      <c r="N66" s="41">
        <f>IF(A66="","",SUMPRODUCT(ISNUMBER(D66:K66)*($D$2:$K$2&gt;0)))</f>
        <v/>
      </c>
      <c r="O66" s="40">
        <f>IF(A66="","",IF(ISNA(MATCH(A66,Applications!$A$2:$A$101,0)),"Check ID",IF(ISNA(MATCH(B66,Settings!$C$13:$C$18,0)),"Check reviewer",IF(LEFT(C66,3)="Yes","Conflict, not counted",IF(COUNTIFS($A$3:A66,A66,$B$3:B66,B66)&gt;1,"Duplicate, not counted",IF(SUM($D$2:$K$2)=0,"Add weights on Rubric",IF(SUMPRODUCT(ISNUMBER(D66:K66)*((D66:K66&gt;4)+(D66:K66&lt;0)))&gt;0,"Check scores",IF(N66&lt;COUNTIF($D$2:$K$2,"&gt;0"),"Incomplete","Counted"))))))))</f>
        <v/>
      </c>
      <c r="P66" s="42">
        <f>IF(O66="Counted",ROUND(SUMPRODUCT(D66:K66,$D$2:$K$2)*100/(4*SUM($D$2:$K$2)),1),"")</f>
        <v/>
      </c>
      <c r="Q66" s="27">
        <f>IF(O66="Counted",1,0)</f>
        <v/>
      </c>
      <c r="R66" s="43">
        <f>IF(ISNUMBER(D66),D66,0)</f>
        <v/>
      </c>
      <c r="S66" s="43">
        <f>IF(ISNUMBER(E66),E66,0)</f>
        <v/>
      </c>
      <c r="T66" s="43">
        <f>IF(ISNUMBER(F66),F66,0)</f>
        <v/>
      </c>
      <c r="U66" s="43">
        <f>IF(ISNUMBER(G66),G66,0)</f>
        <v/>
      </c>
      <c r="V66" s="43">
        <f>IF(ISNUMBER(H66),H66,0)</f>
        <v/>
      </c>
      <c r="W66" s="43">
        <f>IF(ISNUMBER(I66),I66,0)</f>
        <v/>
      </c>
      <c r="X66" s="43">
        <f>IF(ISNUMBER(J66),J66,0)</f>
        <v/>
      </c>
      <c r="Y66" s="43">
        <f>IF(ISNUMBER(K66),K66,0)</f>
        <v/>
      </c>
    </row>
    <row r="67">
      <c r="A67" s="35" t="n"/>
      <c r="B67" s="35" t="n"/>
      <c r="C67" s="35" t="n"/>
      <c r="D67" s="25" t="n"/>
      <c r="E67" s="25" t="n"/>
      <c r="F67" s="25" t="n"/>
      <c r="G67" s="25" t="n"/>
      <c r="H67" s="25" t="n"/>
      <c r="I67" s="25" t="n"/>
      <c r="J67" s="25" t="n"/>
      <c r="K67" s="25" t="n"/>
      <c r="L67" s="35" t="n"/>
      <c r="M67" s="40">
        <f>IF(A67="","",IFERROR(INDEX(Applications!$B$2:$B$101,MATCH(A67,Applications!$A$2:$A$101,0))&amp;"",""))</f>
        <v/>
      </c>
      <c r="N67" s="41">
        <f>IF(A67="","",SUMPRODUCT(ISNUMBER(D67:K67)*($D$2:$K$2&gt;0)))</f>
        <v/>
      </c>
      <c r="O67" s="40">
        <f>IF(A67="","",IF(ISNA(MATCH(A67,Applications!$A$2:$A$101,0)),"Check ID",IF(ISNA(MATCH(B67,Settings!$C$13:$C$18,0)),"Check reviewer",IF(LEFT(C67,3)="Yes","Conflict, not counted",IF(COUNTIFS($A$3:A67,A67,$B$3:B67,B67)&gt;1,"Duplicate, not counted",IF(SUM($D$2:$K$2)=0,"Add weights on Rubric",IF(SUMPRODUCT(ISNUMBER(D67:K67)*((D67:K67&gt;4)+(D67:K67&lt;0)))&gt;0,"Check scores",IF(N67&lt;COUNTIF($D$2:$K$2,"&gt;0"),"Incomplete","Counted"))))))))</f>
        <v/>
      </c>
      <c r="P67" s="42">
        <f>IF(O67="Counted",ROUND(SUMPRODUCT(D67:K67,$D$2:$K$2)*100/(4*SUM($D$2:$K$2)),1),"")</f>
        <v/>
      </c>
      <c r="Q67" s="27">
        <f>IF(O67="Counted",1,0)</f>
        <v/>
      </c>
      <c r="R67" s="43">
        <f>IF(ISNUMBER(D67),D67,0)</f>
        <v/>
      </c>
      <c r="S67" s="43">
        <f>IF(ISNUMBER(E67),E67,0)</f>
        <v/>
      </c>
      <c r="T67" s="43">
        <f>IF(ISNUMBER(F67),F67,0)</f>
        <v/>
      </c>
      <c r="U67" s="43">
        <f>IF(ISNUMBER(G67),G67,0)</f>
        <v/>
      </c>
      <c r="V67" s="43">
        <f>IF(ISNUMBER(H67),H67,0)</f>
        <v/>
      </c>
      <c r="W67" s="43">
        <f>IF(ISNUMBER(I67),I67,0)</f>
        <v/>
      </c>
      <c r="X67" s="43">
        <f>IF(ISNUMBER(J67),J67,0)</f>
        <v/>
      </c>
      <c r="Y67" s="43">
        <f>IF(ISNUMBER(K67),K67,0)</f>
        <v/>
      </c>
    </row>
    <row r="68">
      <c r="A68" s="35" t="n"/>
      <c r="B68" s="35" t="n"/>
      <c r="C68" s="35" t="n"/>
      <c r="D68" s="25" t="n"/>
      <c r="E68" s="25" t="n"/>
      <c r="F68" s="25" t="n"/>
      <c r="G68" s="25" t="n"/>
      <c r="H68" s="25" t="n"/>
      <c r="I68" s="25" t="n"/>
      <c r="J68" s="25" t="n"/>
      <c r="K68" s="25" t="n"/>
      <c r="L68" s="35" t="n"/>
      <c r="M68" s="40">
        <f>IF(A68="","",IFERROR(INDEX(Applications!$B$2:$B$101,MATCH(A68,Applications!$A$2:$A$101,0))&amp;"",""))</f>
        <v/>
      </c>
      <c r="N68" s="41">
        <f>IF(A68="","",SUMPRODUCT(ISNUMBER(D68:K68)*($D$2:$K$2&gt;0)))</f>
        <v/>
      </c>
      <c r="O68" s="40">
        <f>IF(A68="","",IF(ISNA(MATCH(A68,Applications!$A$2:$A$101,0)),"Check ID",IF(ISNA(MATCH(B68,Settings!$C$13:$C$18,0)),"Check reviewer",IF(LEFT(C68,3)="Yes","Conflict, not counted",IF(COUNTIFS($A$3:A68,A68,$B$3:B68,B68)&gt;1,"Duplicate, not counted",IF(SUM($D$2:$K$2)=0,"Add weights on Rubric",IF(SUMPRODUCT(ISNUMBER(D68:K68)*((D68:K68&gt;4)+(D68:K68&lt;0)))&gt;0,"Check scores",IF(N68&lt;COUNTIF($D$2:$K$2,"&gt;0"),"Incomplete","Counted"))))))))</f>
        <v/>
      </c>
      <c r="P68" s="42">
        <f>IF(O68="Counted",ROUND(SUMPRODUCT(D68:K68,$D$2:$K$2)*100/(4*SUM($D$2:$K$2)),1),"")</f>
        <v/>
      </c>
      <c r="Q68" s="27">
        <f>IF(O68="Counted",1,0)</f>
        <v/>
      </c>
      <c r="R68" s="43">
        <f>IF(ISNUMBER(D68),D68,0)</f>
        <v/>
      </c>
      <c r="S68" s="43">
        <f>IF(ISNUMBER(E68),E68,0)</f>
        <v/>
      </c>
      <c r="T68" s="43">
        <f>IF(ISNUMBER(F68),F68,0)</f>
        <v/>
      </c>
      <c r="U68" s="43">
        <f>IF(ISNUMBER(G68),G68,0)</f>
        <v/>
      </c>
      <c r="V68" s="43">
        <f>IF(ISNUMBER(H68),H68,0)</f>
        <v/>
      </c>
      <c r="W68" s="43">
        <f>IF(ISNUMBER(I68),I68,0)</f>
        <v/>
      </c>
      <c r="X68" s="43">
        <f>IF(ISNUMBER(J68),J68,0)</f>
        <v/>
      </c>
      <c r="Y68" s="43">
        <f>IF(ISNUMBER(K68),K68,0)</f>
        <v/>
      </c>
    </row>
    <row r="69">
      <c r="A69" s="35" t="n"/>
      <c r="B69" s="35" t="n"/>
      <c r="C69" s="35" t="n"/>
      <c r="D69" s="25" t="n"/>
      <c r="E69" s="25" t="n"/>
      <c r="F69" s="25" t="n"/>
      <c r="G69" s="25" t="n"/>
      <c r="H69" s="25" t="n"/>
      <c r="I69" s="25" t="n"/>
      <c r="J69" s="25" t="n"/>
      <c r="K69" s="25" t="n"/>
      <c r="L69" s="35" t="n"/>
      <c r="M69" s="40">
        <f>IF(A69="","",IFERROR(INDEX(Applications!$B$2:$B$101,MATCH(A69,Applications!$A$2:$A$101,0))&amp;"",""))</f>
        <v/>
      </c>
      <c r="N69" s="41">
        <f>IF(A69="","",SUMPRODUCT(ISNUMBER(D69:K69)*($D$2:$K$2&gt;0)))</f>
        <v/>
      </c>
      <c r="O69" s="40">
        <f>IF(A69="","",IF(ISNA(MATCH(A69,Applications!$A$2:$A$101,0)),"Check ID",IF(ISNA(MATCH(B69,Settings!$C$13:$C$18,0)),"Check reviewer",IF(LEFT(C69,3)="Yes","Conflict, not counted",IF(COUNTIFS($A$3:A69,A69,$B$3:B69,B69)&gt;1,"Duplicate, not counted",IF(SUM($D$2:$K$2)=0,"Add weights on Rubric",IF(SUMPRODUCT(ISNUMBER(D69:K69)*((D69:K69&gt;4)+(D69:K69&lt;0)))&gt;0,"Check scores",IF(N69&lt;COUNTIF($D$2:$K$2,"&gt;0"),"Incomplete","Counted"))))))))</f>
        <v/>
      </c>
      <c r="P69" s="42">
        <f>IF(O69="Counted",ROUND(SUMPRODUCT(D69:K69,$D$2:$K$2)*100/(4*SUM($D$2:$K$2)),1),"")</f>
        <v/>
      </c>
      <c r="Q69" s="27">
        <f>IF(O69="Counted",1,0)</f>
        <v/>
      </c>
      <c r="R69" s="43">
        <f>IF(ISNUMBER(D69),D69,0)</f>
        <v/>
      </c>
      <c r="S69" s="43">
        <f>IF(ISNUMBER(E69),E69,0)</f>
        <v/>
      </c>
      <c r="T69" s="43">
        <f>IF(ISNUMBER(F69),F69,0)</f>
        <v/>
      </c>
      <c r="U69" s="43">
        <f>IF(ISNUMBER(G69),G69,0)</f>
        <v/>
      </c>
      <c r="V69" s="43">
        <f>IF(ISNUMBER(H69),H69,0)</f>
        <v/>
      </c>
      <c r="W69" s="43">
        <f>IF(ISNUMBER(I69),I69,0)</f>
        <v/>
      </c>
      <c r="X69" s="43">
        <f>IF(ISNUMBER(J69),J69,0)</f>
        <v/>
      </c>
      <c r="Y69" s="43">
        <f>IF(ISNUMBER(K69),K69,0)</f>
        <v/>
      </c>
    </row>
    <row r="70">
      <c r="A70" s="35" t="n"/>
      <c r="B70" s="35" t="n"/>
      <c r="C70" s="35" t="n"/>
      <c r="D70" s="25" t="n"/>
      <c r="E70" s="25" t="n"/>
      <c r="F70" s="25" t="n"/>
      <c r="G70" s="25" t="n"/>
      <c r="H70" s="25" t="n"/>
      <c r="I70" s="25" t="n"/>
      <c r="J70" s="25" t="n"/>
      <c r="K70" s="25" t="n"/>
      <c r="L70" s="35" t="n"/>
      <c r="M70" s="40">
        <f>IF(A70="","",IFERROR(INDEX(Applications!$B$2:$B$101,MATCH(A70,Applications!$A$2:$A$101,0))&amp;"",""))</f>
        <v/>
      </c>
      <c r="N70" s="41">
        <f>IF(A70="","",SUMPRODUCT(ISNUMBER(D70:K70)*($D$2:$K$2&gt;0)))</f>
        <v/>
      </c>
      <c r="O70" s="40">
        <f>IF(A70="","",IF(ISNA(MATCH(A70,Applications!$A$2:$A$101,0)),"Check ID",IF(ISNA(MATCH(B70,Settings!$C$13:$C$18,0)),"Check reviewer",IF(LEFT(C70,3)="Yes","Conflict, not counted",IF(COUNTIFS($A$3:A70,A70,$B$3:B70,B70)&gt;1,"Duplicate, not counted",IF(SUM($D$2:$K$2)=0,"Add weights on Rubric",IF(SUMPRODUCT(ISNUMBER(D70:K70)*((D70:K70&gt;4)+(D70:K70&lt;0)))&gt;0,"Check scores",IF(N70&lt;COUNTIF($D$2:$K$2,"&gt;0"),"Incomplete","Counted"))))))))</f>
        <v/>
      </c>
      <c r="P70" s="42">
        <f>IF(O70="Counted",ROUND(SUMPRODUCT(D70:K70,$D$2:$K$2)*100/(4*SUM($D$2:$K$2)),1),"")</f>
        <v/>
      </c>
      <c r="Q70" s="27">
        <f>IF(O70="Counted",1,0)</f>
        <v/>
      </c>
      <c r="R70" s="43">
        <f>IF(ISNUMBER(D70),D70,0)</f>
        <v/>
      </c>
      <c r="S70" s="43">
        <f>IF(ISNUMBER(E70),E70,0)</f>
        <v/>
      </c>
      <c r="T70" s="43">
        <f>IF(ISNUMBER(F70),F70,0)</f>
        <v/>
      </c>
      <c r="U70" s="43">
        <f>IF(ISNUMBER(G70),G70,0)</f>
        <v/>
      </c>
      <c r="V70" s="43">
        <f>IF(ISNUMBER(H70),H70,0)</f>
        <v/>
      </c>
      <c r="W70" s="43">
        <f>IF(ISNUMBER(I70),I70,0)</f>
        <v/>
      </c>
      <c r="X70" s="43">
        <f>IF(ISNUMBER(J70),J70,0)</f>
        <v/>
      </c>
      <c r="Y70" s="43">
        <f>IF(ISNUMBER(K70),K70,0)</f>
        <v/>
      </c>
    </row>
    <row r="71">
      <c r="A71" s="35" t="n"/>
      <c r="B71" s="35" t="n"/>
      <c r="C71" s="35" t="n"/>
      <c r="D71" s="25" t="n"/>
      <c r="E71" s="25" t="n"/>
      <c r="F71" s="25" t="n"/>
      <c r="G71" s="25" t="n"/>
      <c r="H71" s="25" t="n"/>
      <c r="I71" s="25" t="n"/>
      <c r="J71" s="25" t="n"/>
      <c r="K71" s="25" t="n"/>
      <c r="L71" s="35" t="n"/>
      <c r="M71" s="40">
        <f>IF(A71="","",IFERROR(INDEX(Applications!$B$2:$B$101,MATCH(A71,Applications!$A$2:$A$101,0))&amp;"",""))</f>
        <v/>
      </c>
      <c r="N71" s="41">
        <f>IF(A71="","",SUMPRODUCT(ISNUMBER(D71:K71)*($D$2:$K$2&gt;0)))</f>
        <v/>
      </c>
      <c r="O71" s="40">
        <f>IF(A71="","",IF(ISNA(MATCH(A71,Applications!$A$2:$A$101,0)),"Check ID",IF(ISNA(MATCH(B71,Settings!$C$13:$C$18,0)),"Check reviewer",IF(LEFT(C71,3)="Yes","Conflict, not counted",IF(COUNTIFS($A$3:A71,A71,$B$3:B71,B71)&gt;1,"Duplicate, not counted",IF(SUM($D$2:$K$2)=0,"Add weights on Rubric",IF(SUMPRODUCT(ISNUMBER(D71:K71)*((D71:K71&gt;4)+(D71:K71&lt;0)))&gt;0,"Check scores",IF(N71&lt;COUNTIF($D$2:$K$2,"&gt;0"),"Incomplete","Counted"))))))))</f>
        <v/>
      </c>
      <c r="P71" s="42">
        <f>IF(O71="Counted",ROUND(SUMPRODUCT(D71:K71,$D$2:$K$2)*100/(4*SUM($D$2:$K$2)),1),"")</f>
        <v/>
      </c>
      <c r="Q71" s="27">
        <f>IF(O71="Counted",1,0)</f>
        <v/>
      </c>
      <c r="R71" s="43">
        <f>IF(ISNUMBER(D71),D71,0)</f>
        <v/>
      </c>
      <c r="S71" s="43">
        <f>IF(ISNUMBER(E71),E71,0)</f>
        <v/>
      </c>
      <c r="T71" s="43">
        <f>IF(ISNUMBER(F71),F71,0)</f>
        <v/>
      </c>
      <c r="U71" s="43">
        <f>IF(ISNUMBER(G71),G71,0)</f>
        <v/>
      </c>
      <c r="V71" s="43">
        <f>IF(ISNUMBER(H71),H71,0)</f>
        <v/>
      </c>
      <c r="W71" s="43">
        <f>IF(ISNUMBER(I71),I71,0)</f>
        <v/>
      </c>
      <c r="X71" s="43">
        <f>IF(ISNUMBER(J71),J71,0)</f>
        <v/>
      </c>
      <c r="Y71" s="43">
        <f>IF(ISNUMBER(K71),K71,0)</f>
        <v/>
      </c>
    </row>
    <row r="72">
      <c r="A72" s="35" t="n"/>
      <c r="B72" s="35" t="n"/>
      <c r="C72" s="35" t="n"/>
      <c r="D72" s="25" t="n"/>
      <c r="E72" s="25" t="n"/>
      <c r="F72" s="25" t="n"/>
      <c r="G72" s="25" t="n"/>
      <c r="H72" s="25" t="n"/>
      <c r="I72" s="25" t="n"/>
      <c r="J72" s="25" t="n"/>
      <c r="K72" s="25" t="n"/>
      <c r="L72" s="35" t="n"/>
      <c r="M72" s="40">
        <f>IF(A72="","",IFERROR(INDEX(Applications!$B$2:$B$101,MATCH(A72,Applications!$A$2:$A$101,0))&amp;"",""))</f>
        <v/>
      </c>
      <c r="N72" s="41">
        <f>IF(A72="","",SUMPRODUCT(ISNUMBER(D72:K72)*($D$2:$K$2&gt;0)))</f>
        <v/>
      </c>
      <c r="O72" s="40">
        <f>IF(A72="","",IF(ISNA(MATCH(A72,Applications!$A$2:$A$101,0)),"Check ID",IF(ISNA(MATCH(B72,Settings!$C$13:$C$18,0)),"Check reviewer",IF(LEFT(C72,3)="Yes","Conflict, not counted",IF(COUNTIFS($A$3:A72,A72,$B$3:B72,B72)&gt;1,"Duplicate, not counted",IF(SUM($D$2:$K$2)=0,"Add weights on Rubric",IF(SUMPRODUCT(ISNUMBER(D72:K72)*((D72:K72&gt;4)+(D72:K72&lt;0)))&gt;0,"Check scores",IF(N72&lt;COUNTIF($D$2:$K$2,"&gt;0"),"Incomplete","Counted"))))))))</f>
        <v/>
      </c>
      <c r="P72" s="42">
        <f>IF(O72="Counted",ROUND(SUMPRODUCT(D72:K72,$D$2:$K$2)*100/(4*SUM($D$2:$K$2)),1),"")</f>
        <v/>
      </c>
      <c r="Q72" s="27">
        <f>IF(O72="Counted",1,0)</f>
        <v/>
      </c>
      <c r="R72" s="43">
        <f>IF(ISNUMBER(D72),D72,0)</f>
        <v/>
      </c>
      <c r="S72" s="43">
        <f>IF(ISNUMBER(E72),E72,0)</f>
        <v/>
      </c>
      <c r="T72" s="43">
        <f>IF(ISNUMBER(F72),F72,0)</f>
        <v/>
      </c>
      <c r="U72" s="43">
        <f>IF(ISNUMBER(G72),G72,0)</f>
        <v/>
      </c>
      <c r="V72" s="43">
        <f>IF(ISNUMBER(H72),H72,0)</f>
        <v/>
      </c>
      <c r="W72" s="43">
        <f>IF(ISNUMBER(I72),I72,0)</f>
        <v/>
      </c>
      <c r="X72" s="43">
        <f>IF(ISNUMBER(J72),J72,0)</f>
        <v/>
      </c>
      <c r="Y72" s="43">
        <f>IF(ISNUMBER(K72),K72,0)</f>
        <v/>
      </c>
    </row>
    <row r="73">
      <c r="A73" s="35" t="n"/>
      <c r="B73" s="35" t="n"/>
      <c r="C73" s="35" t="n"/>
      <c r="D73" s="25" t="n"/>
      <c r="E73" s="25" t="n"/>
      <c r="F73" s="25" t="n"/>
      <c r="G73" s="25" t="n"/>
      <c r="H73" s="25" t="n"/>
      <c r="I73" s="25" t="n"/>
      <c r="J73" s="25" t="n"/>
      <c r="K73" s="25" t="n"/>
      <c r="L73" s="35" t="n"/>
      <c r="M73" s="40">
        <f>IF(A73="","",IFERROR(INDEX(Applications!$B$2:$B$101,MATCH(A73,Applications!$A$2:$A$101,0))&amp;"",""))</f>
        <v/>
      </c>
      <c r="N73" s="41">
        <f>IF(A73="","",SUMPRODUCT(ISNUMBER(D73:K73)*($D$2:$K$2&gt;0)))</f>
        <v/>
      </c>
      <c r="O73" s="40">
        <f>IF(A73="","",IF(ISNA(MATCH(A73,Applications!$A$2:$A$101,0)),"Check ID",IF(ISNA(MATCH(B73,Settings!$C$13:$C$18,0)),"Check reviewer",IF(LEFT(C73,3)="Yes","Conflict, not counted",IF(COUNTIFS($A$3:A73,A73,$B$3:B73,B73)&gt;1,"Duplicate, not counted",IF(SUM($D$2:$K$2)=0,"Add weights on Rubric",IF(SUMPRODUCT(ISNUMBER(D73:K73)*((D73:K73&gt;4)+(D73:K73&lt;0)))&gt;0,"Check scores",IF(N73&lt;COUNTIF($D$2:$K$2,"&gt;0"),"Incomplete","Counted"))))))))</f>
        <v/>
      </c>
      <c r="P73" s="42">
        <f>IF(O73="Counted",ROUND(SUMPRODUCT(D73:K73,$D$2:$K$2)*100/(4*SUM($D$2:$K$2)),1),"")</f>
        <v/>
      </c>
      <c r="Q73" s="27">
        <f>IF(O73="Counted",1,0)</f>
        <v/>
      </c>
      <c r="R73" s="43">
        <f>IF(ISNUMBER(D73),D73,0)</f>
        <v/>
      </c>
      <c r="S73" s="43">
        <f>IF(ISNUMBER(E73),E73,0)</f>
        <v/>
      </c>
      <c r="T73" s="43">
        <f>IF(ISNUMBER(F73),F73,0)</f>
        <v/>
      </c>
      <c r="U73" s="43">
        <f>IF(ISNUMBER(G73),G73,0)</f>
        <v/>
      </c>
      <c r="V73" s="43">
        <f>IF(ISNUMBER(H73),H73,0)</f>
        <v/>
      </c>
      <c r="W73" s="43">
        <f>IF(ISNUMBER(I73),I73,0)</f>
        <v/>
      </c>
      <c r="X73" s="43">
        <f>IF(ISNUMBER(J73),J73,0)</f>
        <v/>
      </c>
      <c r="Y73" s="43">
        <f>IF(ISNUMBER(K73),K73,0)</f>
        <v/>
      </c>
    </row>
    <row r="74">
      <c r="A74" s="35" t="n"/>
      <c r="B74" s="35" t="n"/>
      <c r="C74" s="35" t="n"/>
      <c r="D74" s="25" t="n"/>
      <c r="E74" s="25" t="n"/>
      <c r="F74" s="25" t="n"/>
      <c r="G74" s="25" t="n"/>
      <c r="H74" s="25" t="n"/>
      <c r="I74" s="25" t="n"/>
      <c r="J74" s="25" t="n"/>
      <c r="K74" s="25" t="n"/>
      <c r="L74" s="35" t="n"/>
      <c r="M74" s="40">
        <f>IF(A74="","",IFERROR(INDEX(Applications!$B$2:$B$101,MATCH(A74,Applications!$A$2:$A$101,0))&amp;"",""))</f>
        <v/>
      </c>
      <c r="N74" s="41">
        <f>IF(A74="","",SUMPRODUCT(ISNUMBER(D74:K74)*($D$2:$K$2&gt;0)))</f>
        <v/>
      </c>
      <c r="O74" s="40">
        <f>IF(A74="","",IF(ISNA(MATCH(A74,Applications!$A$2:$A$101,0)),"Check ID",IF(ISNA(MATCH(B74,Settings!$C$13:$C$18,0)),"Check reviewer",IF(LEFT(C74,3)="Yes","Conflict, not counted",IF(COUNTIFS($A$3:A74,A74,$B$3:B74,B74)&gt;1,"Duplicate, not counted",IF(SUM($D$2:$K$2)=0,"Add weights on Rubric",IF(SUMPRODUCT(ISNUMBER(D74:K74)*((D74:K74&gt;4)+(D74:K74&lt;0)))&gt;0,"Check scores",IF(N74&lt;COUNTIF($D$2:$K$2,"&gt;0"),"Incomplete","Counted"))))))))</f>
        <v/>
      </c>
      <c r="P74" s="42">
        <f>IF(O74="Counted",ROUND(SUMPRODUCT(D74:K74,$D$2:$K$2)*100/(4*SUM($D$2:$K$2)),1),"")</f>
        <v/>
      </c>
      <c r="Q74" s="27">
        <f>IF(O74="Counted",1,0)</f>
        <v/>
      </c>
      <c r="R74" s="43">
        <f>IF(ISNUMBER(D74),D74,0)</f>
        <v/>
      </c>
      <c r="S74" s="43">
        <f>IF(ISNUMBER(E74),E74,0)</f>
        <v/>
      </c>
      <c r="T74" s="43">
        <f>IF(ISNUMBER(F74),F74,0)</f>
        <v/>
      </c>
      <c r="U74" s="43">
        <f>IF(ISNUMBER(G74),G74,0)</f>
        <v/>
      </c>
      <c r="V74" s="43">
        <f>IF(ISNUMBER(H74),H74,0)</f>
        <v/>
      </c>
      <c r="W74" s="43">
        <f>IF(ISNUMBER(I74),I74,0)</f>
        <v/>
      </c>
      <c r="X74" s="43">
        <f>IF(ISNUMBER(J74),J74,0)</f>
        <v/>
      </c>
      <c r="Y74" s="43">
        <f>IF(ISNUMBER(K74),K74,0)</f>
        <v/>
      </c>
    </row>
    <row r="75">
      <c r="A75" s="35" t="n"/>
      <c r="B75" s="35" t="n"/>
      <c r="C75" s="35" t="n"/>
      <c r="D75" s="25" t="n"/>
      <c r="E75" s="25" t="n"/>
      <c r="F75" s="25" t="n"/>
      <c r="G75" s="25" t="n"/>
      <c r="H75" s="25" t="n"/>
      <c r="I75" s="25" t="n"/>
      <c r="J75" s="25" t="n"/>
      <c r="K75" s="25" t="n"/>
      <c r="L75" s="35" t="n"/>
      <c r="M75" s="40">
        <f>IF(A75="","",IFERROR(INDEX(Applications!$B$2:$B$101,MATCH(A75,Applications!$A$2:$A$101,0))&amp;"",""))</f>
        <v/>
      </c>
      <c r="N75" s="41">
        <f>IF(A75="","",SUMPRODUCT(ISNUMBER(D75:K75)*($D$2:$K$2&gt;0)))</f>
        <v/>
      </c>
      <c r="O75" s="40">
        <f>IF(A75="","",IF(ISNA(MATCH(A75,Applications!$A$2:$A$101,0)),"Check ID",IF(ISNA(MATCH(B75,Settings!$C$13:$C$18,0)),"Check reviewer",IF(LEFT(C75,3)="Yes","Conflict, not counted",IF(COUNTIFS($A$3:A75,A75,$B$3:B75,B75)&gt;1,"Duplicate, not counted",IF(SUM($D$2:$K$2)=0,"Add weights on Rubric",IF(SUMPRODUCT(ISNUMBER(D75:K75)*((D75:K75&gt;4)+(D75:K75&lt;0)))&gt;0,"Check scores",IF(N75&lt;COUNTIF($D$2:$K$2,"&gt;0"),"Incomplete","Counted"))))))))</f>
        <v/>
      </c>
      <c r="P75" s="42">
        <f>IF(O75="Counted",ROUND(SUMPRODUCT(D75:K75,$D$2:$K$2)*100/(4*SUM($D$2:$K$2)),1),"")</f>
        <v/>
      </c>
      <c r="Q75" s="27">
        <f>IF(O75="Counted",1,0)</f>
        <v/>
      </c>
      <c r="R75" s="43">
        <f>IF(ISNUMBER(D75),D75,0)</f>
        <v/>
      </c>
      <c r="S75" s="43">
        <f>IF(ISNUMBER(E75),E75,0)</f>
        <v/>
      </c>
      <c r="T75" s="43">
        <f>IF(ISNUMBER(F75),F75,0)</f>
        <v/>
      </c>
      <c r="U75" s="43">
        <f>IF(ISNUMBER(G75),G75,0)</f>
        <v/>
      </c>
      <c r="V75" s="43">
        <f>IF(ISNUMBER(H75),H75,0)</f>
        <v/>
      </c>
      <c r="W75" s="43">
        <f>IF(ISNUMBER(I75),I75,0)</f>
        <v/>
      </c>
      <c r="X75" s="43">
        <f>IF(ISNUMBER(J75),J75,0)</f>
        <v/>
      </c>
      <c r="Y75" s="43">
        <f>IF(ISNUMBER(K75),K75,0)</f>
        <v/>
      </c>
    </row>
    <row r="76">
      <c r="A76" s="35" t="n"/>
      <c r="B76" s="35" t="n"/>
      <c r="C76" s="35" t="n"/>
      <c r="D76" s="25" t="n"/>
      <c r="E76" s="25" t="n"/>
      <c r="F76" s="25" t="n"/>
      <c r="G76" s="25" t="n"/>
      <c r="H76" s="25" t="n"/>
      <c r="I76" s="25" t="n"/>
      <c r="J76" s="25" t="n"/>
      <c r="K76" s="25" t="n"/>
      <c r="L76" s="35" t="n"/>
      <c r="M76" s="40">
        <f>IF(A76="","",IFERROR(INDEX(Applications!$B$2:$B$101,MATCH(A76,Applications!$A$2:$A$101,0))&amp;"",""))</f>
        <v/>
      </c>
      <c r="N76" s="41">
        <f>IF(A76="","",SUMPRODUCT(ISNUMBER(D76:K76)*($D$2:$K$2&gt;0)))</f>
        <v/>
      </c>
      <c r="O76" s="40">
        <f>IF(A76="","",IF(ISNA(MATCH(A76,Applications!$A$2:$A$101,0)),"Check ID",IF(ISNA(MATCH(B76,Settings!$C$13:$C$18,0)),"Check reviewer",IF(LEFT(C76,3)="Yes","Conflict, not counted",IF(COUNTIFS($A$3:A76,A76,$B$3:B76,B76)&gt;1,"Duplicate, not counted",IF(SUM($D$2:$K$2)=0,"Add weights on Rubric",IF(SUMPRODUCT(ISNUMBER(D76:K76)*((D76:K76&gt;4)+(D76:K76&lt;0)))&gt;0,"Check scores",IF(N76&lt;COUNTIF($D$2:$K$2,"&gt;0"),"Incomplete","Counted"))))))))</f>
        <v/>
      </c>
      <c r="P76" s="42">
        <f>IF(O76="Counted",ROUND(SUMPRODUCT(D76:K76,$D$2:$K$2)*100/(4*SUM($D$2:$K$2)),1),"")</f>
        <v/>
      </c>
      <c r="Q76" s="27">
        <f>IF(O76="Counted",1,0)</f>
        <v/>
      </c>
      <c r="R76" s="43">
        <f>IF(ISNUMBER(D76),D76,0)</f>
        <v/>
      </c>
      <c r="S76" s="43">
        <f>IF(ISNUMBER(E76),E76,0)</f>
        <v/>
      </c>
      <c r="T76" s="43">
        <f>IF(ISNUMBER(F76),F76,0)</f>
        <v/>
      </c>
      <c r="U76" s="43">
        <f>IF(ISNUMBER(G76),G76,0)</f>
        <v/>
      </c>
      <c r="V76" s="43">
        <f>IF(ISNUMBER(H76),H76,0)</f>
        <v/>
      </c>
      <c r="W76" s="43">
        <f>IF(ISNUMBER(I76),I76,0)</f>
        <v/>
      </c>
      <c r="X76" s="43">
        <f>IF(ISNUMBER(J76),J76,0)</f>
        <v/>
      </c>
      <c r="Y76" s="43">
        <f>IF(ISNUMBER(K76),K76,0)</f>
        <v/>
      </c>
    </row>
    <row r="77">
      <c r="A77" s="35" t="n"/>
      <c r="B77" s="35" t="n"/>
      <c r="C77" s="35" t="n"/>
      <c r="D77" s="25" t="n"/>
      <c r="E77" s="25" t="n"/>
      <c r="F77" s="25" t="n"/>
      <c r="G77" s="25" t="n"/>
      <c r="H77" s="25" t="n"/>
      <c r="I77" s="25" t="n"/>
      <c r="J77" s="25" t="n"/>
      <c r="K77" s="25" t="n"/>
      <c r="L77" s="35" t="n"/>
      <c r="M77" s="40">
        <f>IF(A77="","",IFERROR(INDEX(Applications!$B$2:$B$101,MATCH(A77,Applications!$A$2:$A$101,0))&amp;"",""))</f>
        <v/>
      </c>
      <c r="N77" s="41">
        <f>IF(A77="","",SUMPRODUCT(ISNUMBER(D77:K77)*($D$2:$K$2&gt;0)))</f>
        <v/>
      </c>
      <c r="O77" s="40">
        <f>IF(A77="","",IF(ISNA(MATCH(A77,Applications!$A$2:$A$101,0)),"Check ID",IF(ISNA(MATCH(B77,Settings!$C$13:$C$18,0)),"Check reviewer",IF(LEFT(C77,3)="Yes","Conflict, not counted",IF(COUNTIFS($A$3:A77,A77,$B$3:B77,B77)&gt;1,"Duplicate, not counted",IF(SUM($D$2:$K$2)=0,"Add weights on Rubric",IF(SUMPRODUCT(ISNUMBER(D77:K77)*((D77:K77&gt;4)+(D77:K77&lt;0)))&gt;0,"Check scores",IF(N77&lt;COUNTIF($D$2:$K$2,"&gt;0"),"Incomplete","Counted"))))))))</f>
        <v/>
      </c>
      <c r="P77" s="42">
        <f>IF(O77="Counted",ROUND(SUMPRODUCT(D77:K77,$D$2:$K$2)*100/(4*SUM($D$2:$K$2)),1),"")</f>
        <v/>
      </c>
      <c r="Q77" s="27">
        <f>IF(O77="Counted",1,0)</f>
        <v/>
      </c>
      <c r="R77" s="43">
        <f>IF(ISNUMBER(D77),D77,0)</f>
        <v/>
      </c>
      <c r="S77" s="43">
        <f>IF(ISNUMBER(E77),E77,0)</f>
        <v/>
      </c>
      <c r="T77" s="43">
        <f>IF(ISNUMBER(F77),F77,0)</f>
        <v/>
      </c>
      <c r="U77" s="43">
        <f>IF(ISNUMBER(G77),G77,0)</f>
        <v/>
      </c>
      <c r="V77" s="43">
        <f>IF(ISNUMBER(H77),H77,0)</f>
        <v/>
      </c>
      <c r="W77" s="43">
        <f>IF(ISNUMBER(I77),I77,0)</f>
        <v/>
      </c>
      <c r="X77" s="43">
        <f>IF(ISNUMBER(J77),J77,0)</f>
        <v/>
      </c>
      <c r="Y77" s="43">
        <f>IF(ISNUMBER(K77),K77,0)</f>
        <v/>
      </c>
    </row>
    <row r="78">
      <c r="A78" s="35" t="n"/>
      <c r="B78" s="35" t="n"/>
      <c r="C78" s="35" t="n"/>
      <c r="D78" s="25" t="n"/>
      <c r="E78" s="25" t="n"/>
      <c r="F78" s="25" t="n"/>
      <c r="G78" s="25" t="n"/>
      <c r="H78" s="25" t="n"/>
      <c r="I78" s="25" t="n"/>
      <c r="J78" s="25" t="n"/>
      <c r="K78" s="25" t="n"/>
      <c r="L78" s="35" t="n"/>
      <c r="M78" s="40">
        <f>IF(A78="","",IFERROR(INDEX(Applications!$B$2:$B$101,MATCH(A78,Applications!$A$2:$A$101,0))&amp;"",""))</f>
        <v/>
      </c>
      <c r="N78" s="41">
        <f>IF(A78="","",SUMPRODUCT(ISNUMBER(D78:K78)*($D$2:$K$2&gt;0)))</f>
        <v/>
      </c>
      <c r="O78" s="40">
        <f>IF(A78="","",IF(ISNA(MATCH(A78,Applications!$A$2:$A$101,0)),"Check ID",IF(ISNA(MATCH(B78,Settings!$C$13:$C$18,0)),"Check reviewer",IF(LEFT(C78,3)="Yes","Conflict, not counted",IF(COUNTIFS($A$3:A78,A78,$B$3:B78,B78)&gt;1,"Duplicate, not counted",IF(SUM($D$2:$K$2)=0,"Add weights on Rubric",IF(SUMPRODUCT(ISNUMBER(D78:K78)*((D78:K78&gt;4)+(D78:K78&lt;0)))&gt;0,"Check scores",IF(N78&lt;COUNTIF($D$2:$K$2,"&gt;0"),"Incomplete","Counted"))))))))</f>
        <v/>
      </c>
      <c r="P78" s="42">
        <f>IF(O78="Counted",ROUND(SUMPRODUCT(D78:K78,$D$2:$K$2)*100/(4*SUM($D$2:$K$2)),1),"")</f>
        <v/>
      </c>
      <c r="Q78" s="27">
        <f>IF(O78="Counted",1,0)</f>
        <v/>
      </c>
      <c r="R78" s="43">
        <f>IF(ISNUMBER(D78),D78,0)</f>
        <v/>
      </c>
      <c r="S78" s="43">
        <f>IF(ISNUMBER(E78),E78,0)</f>
        <v/>
      </c>
      <c r="T78" s="43">
        <f>IF(ISNUMBER(F78),F78,0)</f>
        <v/>
      </c>
      <c r="U78" s="43">
        <f>IF(ISNUMBER(G78),G78,0)</f>
        <v/>
      </c>
      <c r="V78" s="43">
        <f>IF(ISNUMBER(H78),H78,0)</f>
        <v/>
      </c>
      <c r="W78" s="43">
        <f>IF(ISNUMBER(I78),I78,0)</f>
        <v/>
      </c>
      <c r="X78" s="43">
        <f>IF(ISNUMBER(J78),J78,0)</f>
        <v/>
      </c>
      <c r="Y78" s="43">
        <f>IF(ISNUMBER(K78),K78,0)</f>
        <v/>
      </c>
    </row>
    <row r="79">
      <c r="A79" s="35" t="n"/>
      <c r="B79" s="35" t="n"/>
      <c r="C79" s="35" t="n"/>
      <c r="D79" s="25" t="n"/>
      <c r="E79" s="25" t="n"/>
      <c r="F79" s="25" t="n"/>
      <c r="G79" s="25" t="n"/>
      <c r="H79" s="25" t="n"/>
      <c r="I79" s="25" t="n"/>
      <c r="J79" s="25" t="n"/>
      <c r="K79" s="25" t="n"/>
      <c r="L79" s="35" t="n"/>
      <c r="M79" s="40">
        <f>IF(A79="","",IFERROR(INDEX(Applications!$B$2:$B$101,MATCH(A79,Applications!$A$2:$A$101,0))&amp;"",""))</f>
        <v/>
      </c>
      <c r="N79" s="41">
        <f>IF(A79="","",SUMPRODUCT(ISNUMBER(D79:K79)*($D$2:$K$2&gt;0)))</f>
        <v/>
      </c>
      <c r="O79" s="40">
        <f>IF(A79="","",IF(ISNA(MATCH(A79,Applications!$A$2:$A$101,0)),"Check ID",IF(ISNA(MATCH(B79,Settings!$C$13:$C$18,0)),"Check reviewer",IF(LEFT(C79,3)="Yes","Conflict, not counted",IF(COUNTIFS($A$3:A79,A79,$B$3:B79,B79)&gt;1,"Duplicate, not counted",IF(SUM($D$2:$K$2)=0,"Add weights on Rubric",IF(SUMPRODUCT(ISNUMBER(D79:K79)*((D79:K79&gt;4)+(D79:K79&lt;0)))&gt;0,"Check scores",IF(N79&lt;COUNTIF($D$2:$K$2,"&gt;0"),"Incomplete","Counted"))))))))</f>
        <v/>
      </c>
      <c r="P79" s="42">
        <f>IF(O79="Counted",ROUND(SUMPRODUCT(D79:K79,$D$2:$K$2)*100/(4*SUM($D$2:$K$2)),1),"")</f>
        <v/>
      </c>
      <c r="Q79" s="27">
        <f>IF(O79="Counted",1,0)</f>
        <v/>
      </c>
      <c r="R79" s="43">
        <f>IF(ISNUMBER(D79),D79,0)</f>
        <v/>
      </c>
      <c r="S79" s="43">
        <f>IF(ISNUMBER(E79),E79,0)</f>
        <v/>
      </c>
      <c r="T79" s="43">
        <f>IF(ISNUMBER(F79),F79,0)</f>
        <v/>
      </c>
      <c r="U79" s="43">
        <f>IF(ISNUMBER(G79),G79,0)</f>
        <v/>
      </c>
      <c r="V79" s="43">
        <f>IF(ISNUMBER(H79),H79,0)</f>
        <v/>
      </c>
      <c r="W79" s="43">
        <f>IF(ISNUMBER(I79),I79,0)</f>
        <v/>
      </c>
      <c r="X79" s="43">
        <f>IF(ISNUMBER(J79),J79,0)</f>
        <v/>
      </c>
      <c r="Y79" s="43">
        <f>IF(ISNUMBER(K79),K79,0)</f>
        <v/>
      </c>
    </row>
    <row r="80">
      <c r="A80" s="35" t="n"/>
      <c r="B80" s="35" t="n"/>
      <c r="C80" s="35" t="n"/>
      <c r="D80" s="25" t="n"/>
      <c r="E80" s="25" t="n"/>
      <c r="F80" s="25" t="n"/>
      <c r="G80" s="25" t="n"/>
      <c r="H80" s="25" t="n"/>
      <c r="I80" s="25" t="n"/>
      <c r="J80" s="25" t="n"/>
      <c r="K80" s="25" t="n"/>
      <c r="L80" s="35" t="n"/>
      <c r="M80" s="40">
        <f>IF(A80="","",IFERROR(INDEX(Applications!$B$2:$B$101,MATCH(A80,Applications!$A$2:$A$101,0))&amp;"",""))</f>
        <v/>
      </c>
      <c r="N80" s="41">
        <f>IF(A80="","",SUMPRODUCT(ISNUMBER(D80:K80)*($D$2:$K$2&gt;0)))</f>
        <v/>
      </c>
      <c r="O80" s="40">
        <f>IF(A80="","",IF(ISNA(MATCH(A80,Applications!$A$2:$A$101,0)),"Check ID",IF(ISNA(MATCH(B80,Settings!$C$13:$C$18,0)),"Check reviewer",IF(LEFT(C80,3)="Yes","Conflict, not counted",IF(COUNTIFS($A$3:A80,A80,$B$3:B80,B80)&gt;1,"Duplicate, not counted",IF(SUM($D$2:$K$2)=0,"Add weights on Rubric",IF(SUMPRODUCT(ISNUMBER(D80:K80)*((D80:K80&gt;4)+(D80:K80&lt;0)))&gt;0,"Check scores",IF(N80&lt;COUNTIF($D$2:$K$2,"&gt;0"),"Incomplete","Counted"))))))))</f>
        <v/>
      </c>
      <c r="P80" s="42">
        <f>IF(O80="Counted",ROUND(SUMPRODUCT(D80:K80,$D$2:$K$2)*100/(4*SUM($D$2:$K$2)),1),"")</f>
        <v/>
      </c>
      <c r="Q80" s="27">
        <f>IF(O80="Counted",1,0)</f>
        <v/>
      </c>
      <c r="R80" s="43">
        <f>IF(ISNUMBER(D80),D80,0)</f>
        <v/>
      </c>
      <c r="S80" s="43">
        <f>IF(ISNUMBER(E80),E80,0)</f>
        <v/>
      </c>
      <c r="T80" s="43">
        <f>IF(ISNUMBER(F80),F80,0)</f>
        <v/>
      </c>
      <c r="U80" s="43">
        <f>IF(ISNUMBER(G80),G80,0)</f>
        <v/>
      </c>
      <c r="V80" s="43">
        <f>IF(ISNUMBER(H80),H80,0)</f>
        <v/>
      </c>
      <c r="W80" s="43">
        <f>IF(ISNUMBER(I80),I80,0)</f>
        <v/>
      </c>
      <c r="X80" s="43">
        <f>IF(ISNUMBER(J80),J80,0)</f>
        <v/>
      </c>
      <c r="Y80" s="43">
        <f>IF(ISNUMBER(K80),K80,0)</f>
        <v/>
      </c>
    </row>
    <row r="81">
      <c r="A81" s="35" t="n"/>
      <c r="B81" s="35" t="n"/>
      <c r="C81" s="35" t="n"/>
      <c r="D81" s="25" t="n"/>
      <c r="E81" s="25" t="n"/>
      <c r="F81" s="25" t="n"/>
      <c r="G81" s="25" t="n"/>
      <c r="H81" s="25" t="n"/>
      <c r="I81" s="25" t="n"/>
      <c r="J81" s="25" t="n"/>
      <c r="K81" s="25" t="n"/>
      <c r="L81" s="35" t="n"/>
      <c r="M81" s="40">
        <f>IF(A81="","",IFERROR(INDEX(Applications!$B$2:$B$101,MATCH(A81,Applications!$A$2:$A$101,0))&amp;"",""))</f>
        <v/>
      </c>
      <c r="N81" s="41">
        <f>IF(A81="","",SUMPRODUCT(ISNUMBER(D81:K81)*($D$2:$K$2&gt;0)))</f>
        <v/>
      </c>
      <c r="O81" s="40">
        <f>IF(A81="","",IF(ISNA(MATCH(A81,Applications!$A$2:$A$101,0)),"Check ID",IF(ISNA(MATCH(B81,Settings!$C$13:$C$18,0)),"Check reviewer",IF(LEFT(C81,3)="Yes","Conflict, not counted",IF(COUNTIFS($A$3:A81,A81,$B$3:B81,B81)&gt;1,"Duplicate, not counted",IF(SUM($D$2:$K$2)=0,"Add weights on Rubric",IF(SUMPRODUCT(ISNUMBER(D81:K81)*((D81:K81&gt;4)+(D81:K81&lt;0)))&gt;0,"Check scores",IF(N81&lt;COUNTIF($D$2:$K$2,"&gt;0"),"Incomplete","Counted"))))))))</f>
        <v/>
      </c>
      <c r="P81" s="42">
        <f>IF(O81="Counted",ROUND(SUMPRODUCT(D81:K81,$D$2:$K$2)*100/(4*SUM($D$2:$K$2)),1),"")</f>
        <v/>
      </c>
      <c r="Q81" s="27">
        <f>IF(O81="Counted",1,0)</f>
        <v/>
      </c>
      <c r="R81" s="43">
        <f>IF(ISNUMBER(D81),D81,0)</f>
        <v/>
      </c>
      <c r="S81" s="43">
        <f>IF(ISNUMBER(E81),E81,0)</f>
        <v/>
      </c>
      <c r="T81" s="43">
        <f>IF(ISNUMBER(F81),F81,0)</f>
        <v/>
      </c>
      <c r="U81" s="43">
        <f>IF(ISNUMBER(G81),G81,0)</f>
        <v/>
      </c>
      <c r="V81" s="43">
        <f>IF(ISNUMBER(H81),H81,0)</f>
        <v/>
      </c>
      <c r="W81" s="43">
        <f>IF(ISNUMBER(I81),I81,0)</f>
        <v/>
      </c>
      <c r="X81" s="43">
        <f>IF(ISNUMBER(J81),J81,0)</f>
        <v/>
      </c>
      <c r="Y81" s="43">
        <f>IF(ISNUMBER(K81),K81,0)</f>
        <v/>
      </c>
    </row>
    <row r="82">
      <c r="A82" s="35" t="n"/>
      <c r="B82" s="35" t="n"/>
      <c r="C82" s="35" t="n"/>
      <c r="D82" s="25" t="n"/>
      <c r="E82" s="25" t="n"/>
      <c r="F82" s="25" t="n"/>
      <c r="G82" s="25" t="n"/>
      <c r="H82" s="25" t="n"/>
      <c r="I82" s="25" t="n"/>
      <c r="J82" s="25" t="n"/>
      <c r="K82" s="25" t="n"/>
      <c r="L82" s="35" t="n"/>
      <c r="M82" s="40">
        <f>IF(A82="","",IFERROR(INDEX(Applications!$B$2:$B$101,MATCH(A82,Applications!$A$2:$A$101,0))&amp;"",""))</f>
        <v/>
      </c>
      <c r="N82" s="41">
        <f>IF(A82="","",SUMPRODUCT(ISNUMBER(D82:K82)*($D$2:$K$2&gt;0)))</f>
        <v/>
      </c>
      <c r="O82" s="40">
        <f>IF(A82="","",IF(ISNA(MATCH(A82,Applications!$A$2:$A$101,0)),"Check ID",IF(ISNA(MATCH(B82,Settings!$C$13:$C$18,0)),"Check reviewer",IF(LEFT(C82,3)="Yes","Conflict, not counted",IF(COUNTIFS($A$3:A82,A82,$B$3:B82,B82)&gt;1,"Duplicate, not counted",IF(SUM($D$2:$K$2)=0,"Add weights on Rubric",IF(SUMPRODUCT(ISNUMBER(D82:K82)*((D82:K82&gt;4)+(D82:K82&lt;0)))&gt;0,"Check scores",IF(N82&lt;COUNTIF($D$2:$K$2,"&gt;0"),"Incomplete","Counted"))))))))</f>
        <v/>
      </c>
      <c r="P82" s="42">
        <f>IF(O82="Counted",ROUND(SUMPRODUCT(D82:K82,$D$2:$K$2)*100/(4*SUM($D$2:$K$2)),1),"")</f>
        <v/>
      </c>
      <c r="Q82" s="27">
        <f>IF(O82="Counted",1,0)</f>
        <v/>
      </c>
      <c r="R82" s="43">
        <f>IF(ISNUMBER(D82),D82,0)</f>
        <v/>
      </c>
      <c r="S82" s="43">
        <f>IF(ISNUMBER(E82),E82,0)</f>
        <v/>
      </c>
      <c r="T82" s="43">
        <f>IF(ISNUMBER(F82),F82,0)</f>
        <v/>
      </c>
      <c r="U82" s="43">
        <f>IF(ISNUMBER(G82),G82,0)</f>
        <v/>
      </c>
      <c r="V82" s="43">
        <f>IF(ISNUMBER(H82),H82,0)</f>
        <v/>
      </c>
      <c r="W82" s="43">
        <f>IF(ISNUMBER(I82),I82,0)</f>
        <v/>
      </c>
      <c r="X82" s="43">
        <f>IF(ISNUMBER(J82),J82,0)</f>
        <v/>
      </c>
      <c r="Y82" s="43">
        <f>IF(ISNUMBER(K82),K82,0)</f>
        <v/>
      </c>
    </row>
    <row r="83">
      <c r="A83" s="35" t="n"/>
      <c r="B83" s="35" t="n"/>
      <c r="C83" s="35" t="n"/>
      <c r="D83" s="25" t="n"/>
      <c r="E83" s="25" t="n"/>
      <c r="F83" s="25" t="n"/>
      <c r="G83" s="25" t="n"/>
      <c r="H83" s="25" t="n"/>
      <c r="I83" s="25" t="n"/>
      <c r="J83" s="25" t="n"/>
      <c r="K83" s="25" t="n"/>
      <c r="L83" s="35" t="n"/>
      <c r="M83" s="40">
        <f>IF(A83="","",IFERROR(INDEX(Applications!$B$2:$B$101,MATCH(A83,Applications!$A$2:$A$101,0))&amp;"",""))</f>
        <v/>
      </c>
      <c r="N83" s="41">
        <f>IF(A83="","",SUMPRODUCT(ISNUMBER(D83:K83)*($D$2:$K$2&gt;0)))</f>
        <v/>
      </c>
      <c r="O83" s="40">
        <f>IF(A83="","",IF(ISNA(MATCH(A83,Applications!$A$2:$A$101,0)),"Check ID",IF(ISNA(MATCH(B83,Settings!$C$13:$C$18,0)),"Check reviewer",IF(LEFT(C83,3)="Yes","Conflict, not counted",IF(COUNTIFS($A$3:A83,A83,$B$3:B83,B83)&gt;1,"Duplicate, not counted",IF(SUM($D$2:$K$2)=0,"Add weights on Rubric",IF(SUMPRODUCT(ISNUMBER(D83:K83)*((D83:K83&gt;4)+(D83:K83&lt;0)))&gt;0,"Check scores",IF(N83&lt;COUNTIF($D$2:$K$2,"&gt;0"),"Incomplete","Counted"))))))))</f>
        <v/>
      </c>
      <c r="P83" s="42">
        <f>IF(O83="Counted",ROUND(SUMPRODUCT(D83:K83,$D$2:$K$2)*100/(4*SUM($D$2:$K$2)),1),"")</f>
        <v/>
      </c>
      <c r="Q83" s="27">
        <f>IF(O83="Counted",1,0)</f>
        <v/>
      </c>
      <c r="R83" s="43">
        <f>IF(ISNUMBER(D83),D83,0)</f>
        <v/>
      </c>
      <c r="S83" s="43">
        <f>IF(ISNUMBER(E83),E83,0)</f>
        <v/>
      </c>
      <c r="T83" s="43">
        <f>IF(ISNUMBER(F83),F83,0)</f>
        <v/>
      </c>
      <c r="U83" s="43">
        <f>IF(ISNUMBER(G83),G83,0)</f>
        <v/>
      </c>
      <c r="V83" s="43">
        <f>IF(ISNUMBER(H83),H83,0)</f>
        <v/>
      </c>
      <c r="W83" s="43">
        <f>IF(ISNUMBER(I83),I83,0)</f>
        <v/>
      </c>
      <c r="X83" s="43">
        <f>IF(ISNUMBER(J83),J83,0)</f>
        <v/>
      </c>
      <c r="Y83" s="43">
        <f>IF(ISNUMBER(K83),K83,0)</f>
        <v/>
      </c>
    </row>
    <row r="84">
      <c r="A84" s="35" t="n"/>
      <c r="B84" s="35" t="n"/>
      <c r="C84" s="35" t="n"/>
      <c r="D84" s="25" t="n"/>
      <c r="E84" s="25" t="n"/>
      <c r="F84" s="25" t="n"/>
      <c r="G84" s="25" t="n"/>
      <c r="H84" s="25" t="n"/>
      <c r="I84" s="25" t="n"/>
      <c r="J84" s="25" t="n"/>
      <c r="K84" s="25" t="n"/>
      <c r="L84" s="35" t="n"/>
      <c r="M84" s="40">
        <f>IF(A84="","",IFERROR(INDEX(Applications!$B$2:$B$101,MATCH(A84,Applications!$A$2:$A$101,0))&amp;"",""))</f>
        <v/>
      </c>
      <c r="N84" s="41">
        <f>IF(A84="","",SUMPRODUCT(ISNUMBER(D84:K84)*($D$2:$K$2&gt;0)))</f>
        <v/>
      </c>
      <c r="O84" s="40">
        <f>IF(A84="","",IF(ISNA(MATCH(A84,Applications!$A$2:$A$101,0)),"Check ID",IF(ISNA(MATCH(B84,Settings!$C$13:$C$18,0)),"Check reviewer",IF(LEFT(C84,3)="Yes","Conflict, not counted",IF(COUNTIFS($A$3:A84,A84,$B$3:B84,B84)&gt;1,"Duplicate, not counted",IF(SUM($D$2:$K$2)=0,"Add weights on Rubric",IF(SUMPRODUCT(ISNUMBER(D84:K84)*((D84:K84&gt;4)+(D84:K84&lt;0)))&gt;0,"Check scores",IF(N84&lt;COUNTIF($D$2:$K$2,"&gt;0"),"Incomplete","Counted"))))))))</f>
        <v/>
      </c>
      <c r="P84" s="42">
        <f>IF(O84="Counted",ROUND(SUMPRODUCT(D84:K84,$D$2:$K$2)*100/(4*SUM($D$2:$K$2)),1),"")</f>
        <v/>
      </c>
      <c r="Q84" s="27">
        <f>IF(O84="Counted",1,0)</f>
        <v/>
      </c>
      <c r="R84" s="43">
        <f>IF(ISNUMBER(D84),D84,0)</f>
        <v/>
      </c>
      <c r="S84" s="43">
        <f>IF(ISNUMBER(E84),E84,0)</f>
        <v/>
      </c>
      <c r="T84" s="43">
        <f>IF(ISNUMBER(F84),F84,0)</f>
        <v/>
      </c>
      <c r="U84" s="43">
        <f>IF(ISNUMBER(G84),G84,0)</f>
        <v/>
      </c>
      <c r="V84" s="43">
        <f>IF(ISNUMBER(H84),H84,0)</f>
        <v/>
      </c>
      <c r="W84" s="43">
        <f>IF(ISNUMBER(I84),I84,0)</f>
        <v/>
      </c>
      <c r="X84" s="43">
        <f>IF(ISNUMBER(J84),J84,0)</f>
        <v/>
      </c>
      <c r="Y84" s="43">
        <f>IF(ISNUMBER(K84),K84,0)</f>
        <v/>
      </c>
    </row>
    <row r="85">
      <c r="A85" s="35" t="n"/>
      <c r="B85" s="35" t="n"/>
      <c r="C85" s="35" t="n"/>
      <c r="D85" s="25" t="n"/>
      <c r="E85" s="25" t="n"/>
      <c r="F85" s="25" t="n"/>
      <c r="G85" s="25" t="n"/>
      <c r="H85" s="25" t="n"/>
      <c r="I85" s="25" t="n"/>
      <c r="J85" s="25" t="n"/>
      <c r="K85" s="25" t="n"/>
      <c r="L85" s="35" t="n"/>
      <c r="M85" s="40">
        <f>IF(A85="","",IFERROR(INDEX(Applications!$B$2:$B$101,MATCH(A85,Applications!$A$2:$A$101,0))&amp;"",""))</f>
        <v/>
      </c>
      <c r="N85" s="41">
        <f>IF(A85="","",SUMPRODUCT(ISNUMBER(D85:K85)*($D$2:$K$2&gt;0)))</f>
        <v/>
      </c>
      <c r="O85" s="40">
        <f>IF(A85="","",IF(ISNA(MATCH(A85,Applications!$A$2:$A$101,0)),"Check ID",IF(ISNA(MATCH(B85,Settings!$C$13:$C$18,0)),"Check reviewer",IF(LEFT(C85,3)="Yes","Conflict, not counted",IF(COUNTIFS($A$3:A85,A85,$B$3:B85,B85)&gt;1,"Duplicate, not counted",IF(SUM($D$2:$K$2)=0,"Add weights on Rubric",IF(SUMPRODUCT(ISNUMBER(D85:K85)*((D85:K85&gt;4)+(D85:K85&lt;0)))&gt;0,"Check scores",IF(N85&lt;COUNTIF($D$2:$K$2,"&gt;0"),"Incomplete","Counted"))))))))</f>
        <v/>
      </c>
      <c r="P85" s="42">
        <f>IF(O85="Counted",ROUND(SUMPRODUCT(D85:K85,$D$2:$K$2)*100/(4*SUM($D$2:$K$2)),1),"")</f>
        <v/>
      </c>
      <c r="Q85" s="27">
        <f>IF(O85="Counted",1,0)</f>
        <v/>
      </c>
      <c r="R85" s="43">
        <f>IF(ISNUMBER(D85),D85,0)</f>
        <v/>
      </c>
      <c r="S85" s="43">
        <f>IF(ISNUMBER(E85),E85,0)</f>
        <v/>
      </c>
      <c r="T85" s="43">
        <f>IF(ISNUMBER(F85),F85,0)</f>
        <v/>
      </c>
      <c r="U85" s="43">
        <f>IF(ISNUMBER(G85),G85,0)</f>
        <v/>
      </c>
      <c r="V85" s="43">
        <f>IF(ISNUMBER(H85),H85,0)</f>
        <v/>
      </c>
      <c r="W85" s="43">
        <f>IF(ISNUMBER(I85),I85,0)</f>
        <v/>
      </c>
      <c r="X85" s="43">
        <f>IF(ISNUMBER(J85),J85,0)</f>
        <v/>
      </c>
      <c r="Y85" s="43">
        <f>IF(ISNUMBER(K85),K85,0)</f>
        <v/>
      </c>
    </row>
    <row r="86">
      <c r="A86" s="35" t="n"/>
      <c r="B86" s="35" t="n"/>
      <c r="C86" s="35" t="n"/>
      <c r="D86" s="25" t="n"/>
      <c r="E86" s="25" t="n"/>
      <c r="F86" s="25" t="n"/>
      <c r="G86" s="25" t="n"/>
      <c r="H86" s="25" t="n"/>
      <c r="I86" s="25" t="n"/>
      <c r="J86" s="25" t="n"/>
      <c r="K86" s="25" t="n"/>
      <c r="L86" s="35" t="n"/>
      <c r="M86" s="40">
        <f>IF(A86="","",IFERROR(INDEX(Applications!$B$2:$B$101,MATCH(A86,Applications!$A$2:$A$101,0))&amp;"",""))</f>
        <v/>
      </c>
      <c r="N86" s="41">
        <f>IF(A86="","",SUMPRODUCT(ISNUMBER(D86:K86)*($D$2:$K$2&gt;0)))</f>
        <v/>
      </c>
      <c r="O86" s="40">
        <f>IF(A86="","",IF(ISNA(MATCH(A86,Applications!$A$2:$A$101,0)),"Check ID",IF(ISNA(MATCH(B86,Settings!$C$13:$C$18,0)),"Check reviewer",IF(LEFT(C86,3)="Yes","Conflict, not counted",IF(COUNTIFS($A$3:A86,A86,$B$3:B86,B86)&gt;1,"Duplicate, not counted",IF(SUM($D$2:$K$2)=0,"Add weights on Rubric",IF(SUMPRODUCT(ISNUMBER(D86:K86)*((D86:K86&gt;4)+(D86:K86&lt;0)))&gt;0,"Check scores",IF(N86&lt;COUNTIF($D$2:$K$2,"&gt;0"),"Incomplete","Counted"))))))))</f>
        <v/>
      </c>
      <c r="P86" s="42">
        <f>IF(O86="Counted",ROUND(SUMPRODUCT(D86:K86,$D$2:$K$2)*100/(4*SUM($D$2:$K$2)),1),"")</f>
        <v/>
      </c>
      <c r="Q86" s="27">
        <f>IF(O86="Counted",1,0)</f>
        <v/>
      </c>
      <c r="R86" s="43">
        <f>IF(ISNUMBER(D86),D86,0)</f>
        <v/>
      </c>
      <c r="S86" s="43">
        <f>IF(ISNUMBER(E86),E86,0)</f>
        <v/>
      </c>
      <c r="T86" s="43">
        <f>IF(ISNUMBER(F86),F86,0)</f>
        <v/>
      </c>
      <c r="U86" s="43">
        <f>IF(ISNUMBER(G86),G86,0)</f>
        <v/>
      </c>
      <c r="V86" s="43">
        <f>IF(ISNUMBER(H86),H86,0)</f>
        <v/>
      </c>
      <c r="W86" s="43">
        <f>IF(ISNUMBER(I86),I86,0)</f>
        <v/>
      </c>
      <c r="X86" s="43">
        <f>IF(ISNUMBER(J86),J86,0)</f>
        <v/>
      </c>
      <c r="Y86" s="43">
        <f>IF(ISNUMBER(K86),K86,0)</f>
        <v/>
      </c>
    </row>
    <row r="87">
      <c r="A87" s="35" t="n"/>
      <c r="B87" s="35" t="n"/>
      <c r="C87" s="35" t="n"/>
      <c r="D87" s="25" t="n"/>
      <c r="E87" s="25" t="n"/>
      <c r="F87" s="25" t="n"/>
      <c r="G87" s="25" t="n"/>
      <c r="H87" s="25" t="n"/>
      <c r="I87" s="25" t="n"/>
      <c r="J87" s="25" t="n"/>
      <c r="K87" s="25" t="n"/>
      <c r="L87" s="35" t="n"/>
      <c r="M87" s="40">
        <f>IF(A87="","",IFERROR(INDEX(Applications!$B$2:$B$101,MATCH(A87,Applications!$A$2:$A$101,0))&amp;"",""))</f>
        <v/>
      </c>
      <c r="N87" s="41">
        <f>IF(A87="","",SUMPRODUCT(ISNUMBER(D87:K87)*($D$2:$K$2&gt;0)))</f>
        <v/>
      </c>
      <c r="O87" s="40">
        <f>IF(A87="","",IF(ISNA(MATCH(A87,Applications!$A$2:$A$101,0)),"Check ID",IF(ISNA(MATCH(B87,Settings!$C$13:$C$18,0)),"Check reviewer",IF(LEFT(C87,3)="Yes","Conflict, not counted",IF(COUNTIFS($A$3:A87,A87,$B$3:B87,B87)&gt;1,"Duplicate, not counted",IF(SUM($D$2:$K$2)=0,"Add weights on Rubric",IF(SUMPRODUCT(ISNUMBER(D87:K87)*((D87:K87&gt;4)+(D87:K87&lt;0)))&gt;0,"Check scores",IF(N87&lt;COUNTIF($D$2:$K$2,"&gt;0"),"Incomplete","Counted"))))))))</f>
        <v/>
      </c>
      <c r="P87" s="42">
        <f>IF(O87="Counted",ROUND(SUMPRODUCT(D87:K87,$D$2:$K$2)*100/(4*SUM($D$2:$K$2)),1),"")</f>
        <v/>
      </c>
      <c r="Q87" s="27">
        <f>IF(O87="Counted",1,0)</f>
        <v/>
      </c>
      <c r="R87" s="43">
        <f>IF(ISNUMBER(D87),D87,0)</f>
        <v/>
      </c>
      <c r="S87" s="43">
        <f>IF(ISNUMBER(E87),E87,0)</f>
        <v/>
      </c>
      <c r="T87" s="43">
        <f>IF(ISNUMBER(F87),F87,0)</f>
        <v/>
      </c>
      <c r="U87" s="43">
        <f>IF(ISNUMBER(G87),G87,0)</f>
        <v/>
      </c>
      <c r="V87" s="43">
        <f>IF(ISNUMBER(H87),H87,0)</f>
        <v/>
      </c>
      <c r="W87" s="43">
        <f>IF(ISNUMBER(I87),I87,0)</f>
        <v/>
      </c>
      <c r="X87" s="43">
        <f>IF(ISNUMBER(J87),J87,0)</f>
        <v/>
      </c>
      <c r="Y87" s="43">
        <f>IF(ISNUMBER(K87),K87,0)</f>
        <v/>
      </c>
    </row>
    <row r="88">
      <c r="A88" s="35" t="n"/>
      <c r="B88" s="35" t="n"/>
      <c r="C88" s="35" t="n"/>
      <c r="D88" s="25" t="n"/>
      <c r="E88" s="25" t="n"/>
      <c r="F88" s="25" t="n"/>
      <c r="G88" s="25" t="n"/>
      <c r="H88" s="25" t="n"/>
      <c r="I88" s="25" t="n"/>
      <c r="J88" s="25" t="n"/>
      <c r="K88" s="25" t="n"/>
      <c r="L88" s="35" t="n"/>
      <c r="M88" s="40">
        <f>IF(A88="","",IFERROR(INDEX(Applications!$B$2:$B$101,MATCH(A88,Applications!$A$2:$A$101,0))&amp;"",""))</f>
        <v/>
      </c>
      <c r="N88" s="41">
        <f>IF(A88="","",SUMPRODUCT(ISNUMBER(D88:K88)*($D$2:$K$2&gt;0)))</f>
        <v/>
      </c>
      <c r="O88" s="40">
        <f>IF(A88="","",IF(ISNA(MATCH(A88,Applications!$A$2:$A$101,0)),"Check ID",IF(ISNA(MATCH(B88,Settings!$C$13:$C$18,0)),"Check reviewer",IF(LEFT(C88,3)="Yes","Conflict, not counted",IF(COUNTIFS($A$3:A88,A88,$B$3:B88,B88)&gt;1,"Duplicate, not counted",IF(SUM($D$2:$K$2)=0,"Add weights on Rubric",IF(SUMPRODUCT(ISNUMBER(D88:K88)*((D88:K88&gt;4)+(D88:K88&lt;0)))&gt;0,"Check scores",IF(N88&lt;COUNTIF($D$2:$K$2,"&gt;0"),"Incomplete","Counted"))))))))</f>
        <v/>
      </c>
      <c r="P88" s="42">
        <f>IF(O88="Counted",ROUND(SUMPRODUCT(D88:K88,$D$2:$K$2)*100/(4*SUM($D$2:$K$2)),1),"")</f>
        <v/>
      </c>
      <c r="Q88" s="27">
        <f>IF(O88="Counted",1,0)</f>
        <v/>
      </c>
      <c r="R88" s="43">
        <f>IF(ISNUMBER(D88),D88,0)</f>
        <v/>
      </c>
      <c r="S88" s="43">
        <f>IF(ISNUMBER(E88),E88,0)</f>
        <v/>
      </c>
      <c r="T88" s="43">
        <f>IF(ISNUMBER(F88),F88,0)</f>
        <v/>
      </c>
      <c r="U88" s="43">
        <f>IF(ISNUMBER(G88),G88,0)</f>
        <v/>
      </c>
      <c r="V88" s="43">
        <f>IF(ISNUMBER(H88),H88,0)</f>
        <v/>
      </c>
      <c r="W88" s="43">
        <f>IF(ISNUMBER(I88),I88,0)</f>
        <v/>
      </c>
      <c r="X88" s="43">
        <f>IF(ISNUMBER(J88),J88,0)</f>
        <v/>
      </c>
      <c r="Y88" s="43">
        <f>IF(ISNUMBER(K88),K88,0)</f>
        <v/>
      </c>
    </row>
    <row r="89">
      <c r="A89" s="35" t="n"/>
      <c r="B89" s="35" t="n"/>
      <c r="C89" s="35" t="n"/>
      <c r="D89" s="25" t="n"/>
      <c r="E89" s="25" t="n"/>
      <c r="F89" s="25" t="n"/>
      <c r="G89" s="25" t="n"/>
      <c r="H89" s="25" t="n"/>
      <c r="I89" s="25" t="n"/>
      <c r="J89" s="25" t="n"/>
      <c r="K89" s="25" t="n"/>
      <c r="L89" s="35" t="n"/>
      <c r="M89" s="40">
        <f>IF(A89="","",IFERROR(INDEX(Applications!$B$2:$B$101,MATCH(A89,Applications!$A$2:$A$101,0))&amp;"",""))</f>
        <v/>
      </c>
      <c r="N89" s="41">
        <f>IF(A89="","",SUMPRODUCT(ISNUMBER(D89:K89)*($D$2:$K$2&gt;0)))</f>
        <v/>
      </c>
      <c r="O89" s="40">
        <f>IF(A89="","",IF(ISNA(MATCH(A89,Applications!$A$2:$A$101,0)),"Check ID",IF(ISNA(MATCH(B89,Settings!$C$13:$C$18,0)),"Check reviewer",IF(LEFT(C89,3)="Yes","Conflict, not counted",IF(COUNTIFS($A$3:A89,A89,$B$3:B89,B89)&gt;1,"Duplicate, not counted",IF(SUM($D$2:$K$2)=0,"Add weights on Rubric",IF(SUMPRODUCT(ISNUMBER(D89:K89)*((D89:K89&gt;4)+(D89:K89&lt;0)))&gt;0,"Check scores",IF(N89&lt;COUNTIF($D$2:$K$2,"&gt;0"),"Incomplete","Counted"))))))))</f>
        <v/>
      </c>
      <c r="P89" s="42">
        <f>IF(O89="Counted",ROUND(SUMPRODUCT(D89:K89,$D$2:$K$2)*100/(4*SUM($D$2:$K$2)),1),"")</f>
        <v/>
      </c>
      <c r="Q89" s="27">
        <f>IF(O89="Counted",1,0)</f>
        <v/>
      </c>
      <c r="R89" s="43">
        <f>IF(ISNUMBER(D89),D89,0)</f>
        <v/>
      </c>
      <c r="S89" s="43">
        <f>IF(ISNUMBER(E89),E89,0)</f>
        <v/>
      </c>
      <c r="T89" s="43">
        <f>IF(ISNUMBER(F89),F89,0)</f>
        <v/>
      </c>
      <c r="U89" s="43">
        <f>IF(ISNUMBER(G89),G89,0)</f>
        <v/>
      </c>
      <c r="V89" s="43">
        <f>IF(ISNUMBER(H89),H89,0)</f>
        <v/>
      </c>
      <c r="W89" s="43">
        <f>IF(ISNUMBER(I89),I89,0)</f>
        <v/>
      </c>
      <c r="X89" s="43">
        <f>IF(ISNUMBER(J89),J89,0)</f>
        <v/>
      </c>
      <c r="Y89" s="43">
        <f>IF(ISNUMBER(K89),K89,0)</f>
        <v/>
      </c>
    </row>
    <row r="90">
      <c r="A90" s="35" t="n"/>
      <c r="B90" s="35" t="n"/>
      <c r="C90" s="35" t="n"/>
      <c r="D90" s="25" t="n"/>
      <c r="E90" s="25" t="n"/>
      <c r="F90" s="25" t="n"/>
      <c r="G90" s="25" t="n"/>
      <c r="H90" s="25" t="n"/>
      <c r="I90" s="25" t="n"/>
      <c r="J90" s="25" t="n"/>
      <c r="K90" s="25" t="n"/>
      <c r="L90" s="35" t="n"/>
      <c r="M90" s="40">
        <f>IF(A90="","",IFERROR(INDEX(Applications!$B$2:$B$101,MATCH(A90,Applications!$A$2:$A$101,0))&amp;"",""))</f>
        <v/>
      </c>
      <c r="N90" s="41">
        <f>IF(A90="","",SUMPRODUCT(ISNUMBER(D90:K90)*($D$2:$K$2&gt;0)))</f>
        <v/>
      </c>
      <c r="O90" s="40">
        <f>IF(A90="","",IF(ISNA(MATCH(A90,Applications!$A$2:$A$101,0)),"Check ID",IF(ISNA(MATCH(B90,Settings!$C$13:$C$18,0)),"Check reviewer",IF(LEFT(C90,3)="Yes","Conflict, not counted",IF(COUNTIFS($A$3:A90,A90,$B$3:B90,B90)&gt;1,"Duplicate, not counted",IF(SUM($D$2:$K$2)=0,"Add weights on Rubric",IF(SUMPRODUCT(ISNUMBER(D90:K90)*((D90:K90&gt;4)+(D90:K90&lt;0)))&gt;0,"Check scores",IF(N90&lt;COUNTIF($D$2:$K$2,"&gt;0"),"Incomplete","Counted"))))))))</f>
        <v/>
      </c>
      <c r="P90" s="42">
        <f>IF(O90="Counted",ROUND(SUMPRODUCT(D90:K90,$D$2:$K$2)*100/(4*SUM($D$2:$K$2)),1),"")</f>
        <v/>
      </c>
      <c r="Q90" s="27">
        <f>IF(O90="Counted",1,0)</f>
        <v/>
      </c>
      <c r="R90" s="43">
        <f>IF(ISNUMBER(D90),D90,0)</f>
        <v/>
      </c>
      <c r="S90" s="43">
        <f>IF(ISNUMBER(E90),E90,0)</f>
        <v/>
      </c>
      <c r="T90" s="43">
        <f>IF(ISNUMBER(F90),F90,0)</f>
        <v/>
      </c>
      <c r="U90" s="43">
        <f>IF(ISNUMBER(G90),G90,0)</f>
        <v/>
      </c>
      <c r="V90" s="43">
        <f>IF(ISNUMBER(H90),H90,0)</f>
        <v/>
      </c>
      <c r="W90" s="43">
        <f>IF(ISNUMBER(I90),I90,0)</f>
        <v/>
      </c>
      <c r="X90" s="43">
        <f>IF(ISNUMBER(J90),J90,0)</f>
        <v/>
      </c>
      <c r="Y90" s="43">
        <f>IF(ISNUMBER(K90),K90,0)</f>
        <v/>
      </c>
    </row>
    <row r="91">
      <c r="A91" s="35" t="n"/>
      <c r="B91" s="35" t="n"/>
      <c r="C91" s="35" t="n"/>
      <c r="D91" s="25" t="n"/>
      <c r="E91" s="25" t="n"/>
      <c r="F91" s="25" t="n"/>
      <c r="G91" s="25" t="n"/>
      <c r="H91" s="25" t="n"/>
      <c r="I91" s="25" t="n"/>
      <c r="J91" s="25" t="n"/>
      <c r="K91" s="25" t="n"/>
      <c r="L91" s="35" t="n"/>
      <c r="M91" s="40">
        <f>IF(A91="","",IFERROR(INDEX(Applications!$B$2:$B$101,MATCH(A91,Applications!$A$2:$A$101,0))&amp;"",""))</f>
        <v/>
      </c>
      <c r="N91" s="41">
        <f>IF(A91="","",SUMPRODUCT(ISNUMBER(D91:K91)*($D$2:$K$2&gt;0)))</f>
        <v/>
      </c>
      <c r="O91" s="40">
        <f>IF(A91="","",IF(ISNA(MATCH(A91,Applications!$A$2:$A$101,0)),"Check ID",IF(ISNA(MATCH(B91,Settings!$C$13:$C$18,0)),"Check reviewer",IF(LEFT(C91,3)="Yes","Conflict, not counted",IF(COUNTIFS($A$3:A91,A91,$B$3:B91,B91)&gt;1,"Duplicate, not counted",IF(SUM($D$2:$K$2)=0,"Add weights on Rubric",IF(SUMPRODUCT(ISNUMBER(D91:K91)*((D91:K91&gt;4)+(D91:K91&lt;0)))&gt;0,"Check scores",IF(N91&lt;COUNTIF($D$2:$K$2,"&gt;0"),"Incomplete","Counted"))))))))</f>
        <v/>
      </c>
      <c r="P91" s="42">
        <f>IF(O91="Counted",ROUND(SUMPRODUCT(D91:K91,$D$2:$K$2)*100/(4*SUM($D$2:$K$2)),1),"")</f>
        <v/>
      </c>
      <c r="Q91" s="27">
        <f>IF(O91="Counted",1,0)</f>
        <v/>
      </c>
      <c r="R91" s="43">
        <f>IF(ISNUMBER(D91),D91,0)</f>
        <v/>
      </c>
      <c r="S91" s="43">
        <f>IF(ISNUMBER(E91),E91,0)</f>
        <v/>
      </c>
      <c r="T91" s="43">
        <f>IF(ISNUMBER(F91),F91,0)</f>
        <v/>
      </c>
      <c r="U91" s="43">
        <f>IF(ISNUMBER(G91),G91,0)</f>
        <v/>
      </c>
      <c r="V91" s="43">
        <f>IF(ISNUMBER(H91),H91,0)</f>
        <v/>
      </c>
      <c r="W91" s="43">
        <f>IF(ISNUMBER(I91),I91,0)</f>
        <v/>
      </c>
      <c r="X91" s="43">
        <f>IF(ISNUMBER(J91),J91,0)</f>
        <v/>
      </c>
      <c r="Y91" s="43">
        <f>IF(ISNUMBER(K91),K91,0)</f>
        <v/>
      </c>
    </row>
    <row r="92">
      <c r="A92" s="35" t="n"/>
      <c r="B92" s="35" t="n"/>
      <c r="C92" s="35" t="n"/>
      <c r="D92" s="25" t="n"/>
      <c r="E92" s="25" t="n"/>
      <c r="F92" s="25" t="n"/>
      <c r="G92" s="25" t="n"/>
      <c r="H92" s="25" t="n"/>
      <c r="I92" s="25" t="n"/>
      <c r="J92" s="25" t="n"/>
      <c r="K92" s="25" t="n"/>
      <c r="L92" s="35" t="n"/>
      <c r="M92" s="40">
        <f>IF(A92="","",IFERROR(INDEX(Applications!$B$2:$B$101,MATCH(A92,Applications!$A$2:$A$101,0))&amp;"",""))</f>
        <v/>
      </c>
      <c r="N92" s="41">
        <f>IF(A92="","",SUMPRODUCT(ISNUMBER(D92:K92)*($D$2:$K$2&gt;0)))</f>
        <v/>
      </c>
      <c r="O92" s="40">
        <f>IF(A92="","",IF(ISNA(MATCH(A92,Applications!$A$2:$A$101,0)),"Check ID",IF(ISNA(MATCH(B92,Settings!$C$13:$C$18,0)),"Check reviewer",IF(LEFT(C92,3)="Yes","Conflict, not counted",IF(COUNTIFS($A$3:A92,A92,$B$3:B92,B92)&gt;1,"Duplicate, not counted",IF(SUM($D$2:$K$2)=0,"Add weights on Rubric",IF(SUMPRODUCT(ISNUMBER(D92:K92)*((D92:K92&gt;4)+(D92:K92&lt;0)))&gt;0,"Check scores",IF(N92&lt;COUNTIF($D$2:$K$2,"&gt;0"),"Incomplete","Counted"))))))))</f>
        <v/>
      </c>
      <c r="P92" s="42">
        <f>IF(O92="Counted",ROUND(SUMPRODUCT(D92:K92,$D$2:$K$2)*100/(4*SUM($D$2:$K$2)),1),"")</f>
        <v/>
      </c>
      <c r="Q92" s="27">
        <f>IF(O92="Counted",1,0)</f>
        <v/>
      </c>
      <c r="R92" s="43">
        <f>IF(ISNUMBER(D92),D92,0)</f>
        <v/>
      </c>
      <c r="S92" s="43">
        <f>IF(ISNUMBER(E92),E92,0)</f>
        <v/>
      </c>
      <c r="T92" s="43">
        <f>IF(ISNUMBER(F92),F92,0)</f>
        <v/>
      </c>
      <c r="U92" s="43">
        <f>IF(ISNUMBER(G92),G92,0)</f>
        <v/>
      </c>
      <c r="V92" s="43">
        <f>IF(ISNUMBER(H92),H92,0)</f>
        <v/>
      </c>
      <c r="W92" s="43">
        <f>IF(ISNUMBER(I92),I92,0)</f>
        <v/>
      </c>
      <c r="X92" s="43">
        <f>IF(ISNUMBER(J92),J92,0)</f>
        <v/>
      </c>
      <c r="Y92" s="43">
        <f>IF(ISNUMBER(K92),K92,0)</f>
        <v/>
      </c>
    </row>
    <row r="93">
      <c r="A93" s="35" t="n"/>
      <c r="B93" s="35" t="n"/>
      <c r="C93" s="35" t="n"/>
      <c r="D93" s="25" t="n"/>
      <c r="E93" s="25" t="n"/>
      <c r="F93" s="25" t="n"/>
      <c r="G93" s="25" t="n"/>
      <c r="H93" s="25" t="n"/>
      <c r="I93" s="25" t="n"/>
      <c r="J93" s="25" t="n"/>
      <c r="K93" s="25" t="n"/>
      <c r="L93" s="35" t="n"/>
      <c r="M93" s="40">
        <f>IF(A93="","",IFERROR(INDEX(Applications!$B$2:$B$101,MATCH(A93,Applications!$A$2:$A$101,0))&amp;"",""))</f>
        <v/>
      </c>
      <c r="N93" s="41">
        <f>IF(A93="","",SUMPRODUCT(ISNUMBER(D93:K93)*($D$2:$K$2&gt;0)))</f>
        <v/>
      </c>
      <c r="O93" s="40">
        <f>IF(A93="","",IF(ISNA(MATCH(A93,Applications!$A$2:$A$101,0)),"Check ID",IF(ISNA(MATCH(B93,Settings!$C$13:$C$18,0)),"Check reviewer",IF(LEFT(C93,3)="Yes","Conflict, not counted",IF(COUNTIFS($A$3:A93,A93,$B$3:B93,B93)&gt;1,"Duplicate, not counted",IF(SUM($D$2:$K$2)=0,"Add weights on Rubric",IF(SUMPRODUCT(ISNUMBER(D93:K93)*((D93:K93&gt;4)+(D93:K93&lt;0)))&gt;0,"Check scores",IF(N93&lt;COUNTIF($D$2:$K$2,"&gt;0"),"Incomplete","Counted"))))))))</f>
        <v/>
      </c>
      <c r="P93" s="42">
        <f>IF(O93="Counted",ROUND(SUMPRODUCT(D93:K93,$D$2:$K$2)*100/(4*SUM($D$2:$K$2)),1),"")</f>
        <v/>
      </c>
      <c r="Q93" s="27">
        <f>IF(O93="Counted",1,0)</f>
        <v/>
      </c>
      <c r="R93" s="43">
        <f>IF(ISNUMBER(D93),D93,0)</f>
        <v/>
      </c>
      <c r="S93" s="43">
        <f>IF(ISNUMBER(E93),E93,0)</f>
        <v/>
      </c>
      <c r="T93" s="43">
        <f>IF(ISNUMBER(F93),F93,0)</f>
        <v/>
      </c>
      <c r="U93" s="43">
        <f>IF(ISNUMBER(G93),G93,0)</f>
        <v/>
      </c>
      <c r="V93" s="43">
        <f>IF(ISNUMBER(H93),H93,0)</f>
        <v/>
      </c>
      <c r="W93" s="43">
        <f>IF(ISNUMBER(I93),I93,0)</f>
        <v/>
      </c>
      <c r="X93" s="43">
        <f>IF(ISNUMBER(J93),J93,0)</f>
        <v/>
      </c>
      <c r="Y93" s="43">
        <f>IF(ISNUMBER(K93),K93,0)</f>
        <v/>
      </c>
    </row>
    <row r="94">
      <c r="A94" s="35" t="n"/>
      <c r="B94" s="35" t="n"/>
      <c r="C94" s="35" t="n"/>
      <c r="D94" s="25" t="n"/>
      <c r="E94" s="25" t="n"/>
      <c r="F94" s="25" t="n"/>
      <c r="G94" s="25" t="n"/>
      <c r="H94" s="25" t="n"/>
      <c r="I94" s="25" t="n"/>
      <c r="J94" s="25" t="n"/>
      <c r="K94" s="25" t="n"/>
      <c r="L94" s="35" t="n"/>
      <c r="M94" s="40">
        <f>IF(A94="","",IFERROR(INDEX(Applications!$B$2:$B$101,MATCH(A94,Applications!$A$2:$A$101,0))&amp;"",""))</f>
        <v/>
      </c>
      <c r="N94" s="41">
        <f>IF(A94="","",SUMPRODUCT(ISNUMBER(D94:K94)*($D$2:$K$2&gt;0)))</f>
        <v/>
      </c>
      <c r="O94" s="40">
        <f>IF(A94="","",IF(ISNA(MATCH(A94,Applications!$A$2:$A$101,0)),"Check ID",IF(ISNA(MATCH(B94,Settings!$C$13:$C$18,0)),"Check reviewer",IF(LEFT(C94,3)="Yes","Conflict, not counted",IF(COUNTIFS($A$3:A94,A94,$B$3:B94,B94)&gt;1,"Duplicate, not counted",IF(SUM($D$2:$K$2)=0,"Add weights on Rubric",IF(SUMPRODUCT(ISNUMBER(D94:K94)*((D94:K94&gt;4)+(D94:K94&lt;0)))&gt;0,"Check scores",IF(N94&lt;COUNTIF($D$2:$K$2,"&gt;0"),"Incomplete","Counted"))))))))</f>
        <v/>
      </c>
      <c r="P94" s="42">
        <f>IF(O94="Counted",ROUND(SUMPRODUCT(D94:K94,$D$2:$K$2)*100/(4*SUM($D$2:$K$2)),1),"")</f>
        <v/>
      </c>
      <c r="Q94" s="27">
        <f>IF(O94="Counted",1,0)</f>
        <v/>
      </c>
      <c r="R94" s="43">
        <f>IF(ISNUMBER(D94),D94,0)</f>
        <v/>
      </c>
      <c r="S94" s="43">
        <f>IF(ISNUMBER(E94),E94,0)</f>
        <v/>
      </c>
      <c r="T94" s="43">
        <f>IF(ISNUMBER(F94),F94,0)</f>
        <v/>
      </c>
      <c r="U94" s="43">
        <f>IF(ISNUMBER(G94),G94,0)</f>
        <v/>
      </c>
      <c r="V94" s="43">
        <f>IF(ISNUMBER(H94),H94,0)</f>
        <v/>
      </c>
      <c r="W94" s="43">
        <f>IF(ISNUMBER(I94),I94,0)</f>
        <v/>
      </c>
      <c r="X94" s="43">
        <f>IF(ISNUMBER(J94),J94,0)</f>
        <v/>
      </c>
      <c r="Y94" s="43">
        <f>IF(ISNUMBER(K94),K94,0)</f>
        <v/>
      </c>
    </row>
    <row r="95">
      <c r="A95" s="35" t="n"/>
      <c r="B95" s="35" t="n"/>
      <c r="C95" s="35" t="n"/>
      <c r="D95" s="25" t="n"/>
      <c r="E95" s="25" t="n"/>
      <c r="F95" s="25" t="n"/>
      <c r="G95" s="25" t="n"/>
      <c r="H95" s="25" t="n"/>
      <c r="I95" s="25" t="n"/>
      <c r="J95" s="25" t="n"/>
      <c r="K95" s="25" t="n"/>
      <c r="L95" s="35" t="n"/>
      <c r="M95" s="40">
        <f>IF(A95="","",IFERROR(INDEX(Applications!$B$2:$B$101,MATCH(A95,Applications!$A$2:$A$101,0))&amp;"",""))</f>
        <v/>
      </c>
      <c r="N95" s="41">
        <f>IF(A95="","",SUMPRODUCT(ISNUMBER(D95:K95)*($D$2:$K$2&gt;0)))</f>
        <v/>
      </c>
      <c r="O95" s="40">
        <f>IF(A95="","",IF(ISNA(MATCH(A95,Applications!$A$2:$A$101,0)),"Check ID",IF(ISNA(MATCH(B95,Settings!$C$13:$C$18,0)),"Check reviewer",IF(LEFT(C95,3)="Yes","Conflict, not counted",IF(COUNTIFS($A$3:A95,A95,$B$3:B95,B95)&gt;1,"Duplicate, not counted",IF(SUM($D$2:$K$2)=0,"Add weights on Rubric",IF(SUMPRODUCT(ISNUMBER(D95:K95)*((D95:K95&gt;4)+(D95:K95&lt;0)))&gt;0,"Check scores",IF(N95&lt;COUNTIF($D$2:$K$2,"&gt;0"),"Incomplete","Counted"))))))))</f>
        <v/>
      </c>
      <c r="P95" s="42">
        <f>IF(O95="Counted",ROUND(SUMPRODUCT(D95:K95,$D$2:$K$2)*100/(4*SUM($D$2:$K$2)),1),"")</f>
        <v/>
      </c>
      <c r="Q95" s="27">
        <f>IF(O95="Counted",1,0)</f>
        <v/>
      </c>
      <c r="R95" s="43">
        <f>IF(ISNUMBER(D95),D95,0)</f>
        <v/>
      </c>
      <c r="S95" s="43">
        <f>IF(ISNUMBER(E95),E95,0)</f>
        <v/>
      </c>
      <c r="T95" s="43">
        <f>IF(ISNUMBER(F95),F95,0)</f>
        <v/>
      </c>
      <c r="U95" s="43">
        <f>IF(ISNUMBER(G95),G95,0)</f>
        <v/>
      </c>
      <c r="V95" s="43">
        <f>IF(ISNUMBER(H95),H95,0)</f>
        <v/>
      </c>
      <c r="W95" s="43">
        <f>IF(ISNUMBER(I95),I95,0)</f>
        <v/>
      </c>
      <c r="X95" s="43">
        <f>IF(ISNUMBER(J95),J95,0)</f>
        <v/>
      </c>
      <c r="Y95" s="43">
        <f>IF(ISNUMBER(K95),K95,0)</f>
        <v/>
      </c>
    </row>
    <row r="96">
      <c r="A96" s="35" t="n"/>
      <c r="B96" s="35" t="n"/>
      <c r="C96" s="35" t="n"/>
      <c r="D96" s="25" t="n"/>
      <c r="E96" s="25" t="n"/>
      <c r="F96" s="25" t="n"/>
      <c r="G96" s="25" t="n"/>
      <c r="H96" s="25" t="n"/>
      <c r="I96" s="25" t="n"/>
      <c r="J96" s="25" t="n"/>
      <c r="K96" s="25" t="n"/>
      <c r="L96" s="35" t="n"/>
      <c r="M96" s="40">
        <f>IF(A96="","",IFERROR(INDEX(Applications!$B$2:$B$101,MATCH(A96,Applications!$A$2:$A$101,0))&amp;"",""))</f>
        <v/>
      </c>
      <c r="N96" s="41">
        <f>IF(A96="","",SUMPRODUCT(ISNUMBER(D96:K96)*($D$2:$K$2&gt;0)))</f>
        <v/>
      </c>
      <c r="O96" s="40">
        <f>IF(A96="","",IF(ISNA(MATCH(A96,Applications!$A$2:$A$101,0)),"Check ID",IF(ISNA(MATCH(B96,Settings!$C$13:$C$18,0)),"Check reviewer",IF(LEFT(C96,3)="Yes","Conflict, not counted",IF(COUNTIFS($A$3:A96,A96,$B$3:B96,B96)&gt;1,"Duplicate, not counted",IF(SUM($D$2:$K$2)=0,"Add weights on Rubric",IF(SUMPRODUCT(ISNUMBER(D96:K96)*((D96:K96&gt;4)+(D96:K96&lt;0)))&gt;0,"Check scores",IF(N96&lt;COUNTIF($D$2:$K$2,"&gt;0"),"Incomplete","Counted"))))))))</f>
        <v/>
      </c>
      <c r="P96" s="42">
        <f>IF(O96="Counted",ROUND(SUMPRODUCT(D96:K96,$D$2:$K$2)*100/(4*SUM($D$2:$K$2)),1),"")</f>
        <v/>
      </c>
      <c r="Q96" s="27">
        <f>IF(O96="Counted",1,0)</f>
        <v/>
      </c>
      <c r="R96" s="43">
        <f>IF(ISNUMBER(D96),D96,0)</f>
        <v/>
      </c>
      <c r="S96" s="43">
        <f>IF(ISNUMBER(E96),E96,0)</f>
        <v/>
      </c>
      <c r="T96" s="43">
        <f>IF(ISNUMBER(F96),F96,0)</f>
        <v/>
      </c>
      <c r="U96" s="43">
        <f>IF(ISNUMBER(G96),G96,0)</f>
        <v/>
      </c>
      <c r="V96" s="43">
        <f>IF(ISNUMBER(H96),H96,0)</f>
        <v/>
      </c>
      <c r="W96" s="43">
        <f>IF(ISNUMBER(I96),I96,0)</f>
        <v/>
      </c>
      <c r="X96" s="43">
        <f>IF(ISNUMBER(J96),J96,0)</f>
        <v/>
      </c>
      <c r="Y96" s="43">
        <f>IF(ISNUMBER(K96),K96,0)</f>
        <v/>
      </c>
    </row>
    <row r="97">
      <c r="A97" s="35" t="n"/>
      <c r="B97" s="35" t="n"/>
      <c r="C97" s="35" t="n"/>
      <c r="D97" s="25" t="n"/>
      <c r="E97" s="25" t="n"/>
      <c r="F97" s="25" t="n"/>
      <c r="G97" s="25" t="n"/>
      <c r="H97" s="25" t="n"/>
      <c r="I97" s="25" t="n"/>
      <c r="J97" s="25" t="n"/>
      <c r="K97" s="25" t="n"/>
      <c r="L97" s="35" t="n"/>
      <c r="M97" s="40">
        <f>IF(A97="","",IFERROR(INDEX(Applications!$B$2:$B$101,MATCH(A97,Applications!$A$2:$A$101,0))&amp;"",""))</f>
        <v/>
      </c>
      <c r="N97" s="41">
        <f>IF(A97="","",SUMPRODUCT(ISNUMBER(D97:K97)*($D$2:$K$2&gt;0)))</f>
        <v/>
      </c>
      <c r="O97" s="40">
        <f>IF(A97="","",IF(ISNA(MATCH(A97,Applications!$A$2:$A$101,0)),"Check ID",IF(ISNA(MATCH(B97,Settings!$C$13:$C$18,0)),"Check reviewer",IF(LEFT(C97,3)="Yes","Conflict, not counted",IF(COUNTIFS($A$3:A97,A97,$B$3:B97,B97)&gt;1,"Duplicate, not counted",IF(SUM($D$2:$K$2)=0,"Add weights on Rubric",IF(SUMPRODUCT(ISNUMBER(D97:K97)*((D97:K97&gt;4)+(D97:K97&lt;0)))&gt;0,"Check scores",IF(N97&lt;COUNTIF($D$2:$K$2,"&gt;0"),"Incomplete","Counted"))))))))</f>
        <v/>
      </c>
      <c r="P97" s="42">
        <f>IF(O97="Counted",ROUND(SUMPRODUCT(D97:K97,$D$2:$K$2)*100/(4*SUM($D$2:$K$2)),1),"")</f>
        <v/>
      </c>
      <c r="Q97" s="27">
        <f>IF(O97="Counted",1,0)</f>
        <v/>
      </c>
      <c r="R97" s="43">
        <f>IF(ISNUMBER(D97),D97,0)</f>
        <v/>
      </c>
      <c r="S97" s="43">
        <f>IF(ISNUMBER(E97),E97,0)</f>
        <v/>
      </c>
      <c r="T97" s="43">
        <f>IF(ISNUMBER(F97),F97,0)</f>
        <v/>
      </c>
      <c r="U97" s="43">
        <f>IF(ISNUMBER(G97),G97,0)</f>
        <v/>
      </c>
      <c r="V97" s="43">
        <f>IF(ISNUMBER(H97),H97,0)</f>
        <v/>
      </c>
      <c r="W97" s="43">
        <f>IF(ISNUMBER(I97),I97,0)</f>
        <v/>
      </c>
      <c r="X97" s="43">
        <f>IF(ISNUMBER(J97),J97,0)</f>
        <v/>
      </c>
      <c r="Y97" s="43">
        <f>IF(ISNUMBER(K97),K97,0)</f>
        <v/>
      </c>
    </row>
    <row r="98">
      <c r="A98" s="35" t="n"/>
      <c r="B98" s="35" t="n"/>
      <c r="C98" s="35" t="n"/>
      <c r="D98" s="25" t="n"/>
      <c r="E98" s="25" t="n"/>
      <c r="F98" s="25" t="n"/>
      <c r="G98" s="25" t="n"/>
      <c r="H98" s="25" t="n"/>
      <c r="I98" s="25" t="n"/>
      <c r="J98" s="25" t="n"/>
      <c r="K98" s="25" t="n"/>
      <c r="L98" s="35" t="n"/>
      <c r="M98" s="40">
        <f>IF(A98="","",IFERROR(INDEX(Applications!$B$2:$B$101,MATCH(A98,Applications!$A$2:$A$101,0))&amp;"",""))</f>
        <v/>
      </c>
      <c r="N98" s="41">
        <f>IF(A98="","",SUMPRODUCT(ISNUMBER(D98:K98)*($D$2:$K$2&gt;0)))</f>
        <v/>
      </c>
      <c r="O98" s="40">
        <f>IF(A98="","",IF(ISNA(MATCH(A98,Applications!$A$2:$A$101,0)),"Check ID",IF(ISNA(MATCH(B98,Settings!$C$13:$C$18,0)),"Check reviewer",IF(LEFT(C98,3)="Yes","Conflict, not counted",IF(COUNTIFS($A$3:A98,A98,$B$3:B98,B98)&gt;1,"Duplicate, not counted",IF(SUM($D$2:$K$2)=0,"Add weights on Rubric",IF(SUMPRODUCT(ISNUMBER(D98:K98)*((D98:K98&gt;4)+(D98:K98&lt;0)))&gt;0,"Check scores",IF(N98&lt;COUNTIF($D$2:$K$2,"&gt;0"),"Incomplete","Counted"))))))))</f>
        <v/>
      </c>
      <c r="P98" s="42">
        <f>IF(O98="Counted",ROUND(SUMPRODUCT(D98:K98,$D$2:$K$2)*100/(4*SUM($D$2:$K$2)),1),"")</f>
        <v/>
      </c>
      <c r="Q98" s="27">
        <f>IF(O98="Counted",1,0)</f>
        <v/>
      </c>
      <c r="R98" s="43">
        <f>IF(ISNUMBER(D98),D98,0)</f>
        <v/>
      </c>
      <c r="S98" s="43">
        <f>IF(ISNUMBER(E98),E98,0)</f>
        <v/>
      </c>
      <c r="T98" s="43">
        <f>IF(ISNUMBER(F98),F98,0)</f>
        <v/>
      </c>
      <c r="U98" s="43">
        <f>IF(ISNUMBER(G98),G98,0)</f>
        <v/>
      </c>
      <c r="V98" s="43">
        <f>IF(ISNUMBER(H98),H98,0)</f>
        <v/>
      </c>
      <c r="W98" s="43">
        <f>IF(ISNUMBER(I98),I98,0)</f>
        <v/>
      </c>
      <c r="X98" s="43">
        <f>IF(ISNUMBER(J98),J98,0)</f>
        <v/>
      </c>
      <c r="Y98" s="43">
        <f>IF(ISNUMBER(K98),K98,0)</f>
        <v/>
      </c>
    </row>
    <row r="99">
      <c r="A99" s="35" t="n"/>
      <c r="B99" s="35" t="n"/>
      <c r="C99" s="35" t="n"/>
      <c r="D99" s="25" t="n"/>
      <c r="E99" s="25" t="n"/>
      <c r="F99" s="25" t="n"/>
      <c r="G99" s="25" t="n"/>
      <c r="H99" s="25" t="n"/>
      <c r="I99" s="25" t="n"/>
      <c r="J99" s="25" t="n"/>
      <c r="K99" s="25" t="n"/>
      <c r="L99" s="35" t="n"/>
      <c r="M99" s="40">
        <f>IF(A99="","",IFERROR(INDEX(Applications!$B$2:$B$101,MATCH(A99,Applications!$A$2:$A$101,0))&amp;"",""))</f>
        <v/>
      </c>
      <c r="N99" s="41">
        <f>IF(A99="","",SUMPRODUCT(ISNUMBER(D99:K99)*($D$2:$K$2&gt;0)))</f>
        <v/>
      </c>
      <c r="O99" s="40">
        <f>IF(A99="","",IF(ISNA(MATCH(A99,Applications!$A$2:$A$101,0)),"Check ID",IF(ISNA(MATCH(B99,Settings!$C$13:$C$18,0)),"Check reviewer",IF(LEFT(C99,3)="Yes","Conflict, not counted",IF(COUNTIFS($A$3:A99,A99,$B$3:B99,B99)&gt;1,"Duplicate, not counted",IF(SUM($D$2:$K$2)=0,"Add weights on Rubric",IF(SUMPRODUCT(ISNUMBER(D99:K99)*((D99:K99&gt;4)+(D99:K99&lt;0)))&gt;0,"Check scores",IF(N99&lt;COUNTIF($D$2:$K$2,"&gt;0"),"Incomplete","Counted"))))))))</f>
        <v/>
      </c>
      <c r="P99" s="42">
        <f>IF(O99="Counted",ROUND(SUMPRODUCT(D99:K99,$D$2:$K$2)*100/(4*SUM($D$2:$K$2)),1),"")</f>
        <v/>
      </c>
      <c r="Q99" s="27">
        <f>IF(O99="Counted",1,0)</f>
        <v/>
      </c>
      <c r="R99" s="43">
        <f>IF(ISNUMBER(D99),D99,0)</f>
        <v/>
      </c>
      <c r="S99" s="43">
        <f>IF(ISNUMBER(E99),E99,0)</f>
        <v/>
      </c>
      <c r="T99" s="43">
        <f>IF(ISNUMBER(F99),F99,0)</f>
        <v/>
      </c>
      <c r="U99" s="43">
        <f>IF(ISNUMBER(G99),G99,0)</f>
        <v/>
      </c>
      <c r="V99" s="43">
        <f>IF(ISNUMBER(H99),H99,0)</f>
        <v/>
      </c>
      <c r="W99" s="43">
        <f>IF(ISNUMBER(I99),I99,0)</f>
        <v/>
      </c>
      <c r="X99" s="43">
        <f>IF(ISNUMBER(J99),J99,0)</f>
        <v/>
      </c>
      <c r="Y99" s="43">
        <f>IF(ISNUMBER(K99),K99,0)</f>
        <v/>
      </c>
    </row>
    <row r="100">
      <c r="A100" s="35" t="n"/>
      <c r="B100" s="35" t="n"/>
      <c r="C100" s="35" t="n"/>
      <c r="D100" s="25" t="n"/>
      <c r="E100" s="25" t="n"/>
      <c r="F100" s="25" t="n"/>
      <c r="G100" s="25" t="n"/>
      <c r="H100" s="25" t="n"/>
      <c r="I100" s="25" t="n"/>
      <c r="J100" s="25" t="n"/>
      <c r="K100" s="25" t="n"/>
      <c r="L100" s="35" t="n"/>
      <c r="M100" s="40">
        <f>IF(A100="","",IFERROR(INDEX(Applications!$B$2:$B$101,MATCH(A100,Applications!$A$2:$A$101,0))&amp;"",""))</f>
        <v/>
      </c>
      <c r="N100" s="41">
        <f>IF(A100="","",SUMPRODUCT(ISNUMBER(D100:K100)*($D$2:$K$2&gt;0)))</f>
        <v/>
      </c>
      <c r="O100" s="40">
        <f>IF(A100="","",IF(ISNA(MATCH(A100,Applications!$A$2:$A$101,0)),"Check ID",IF(ISNA(MATCH(B100,Settings!$C$13:$C$18,0)),"Check reviewer",IF(LEFT(C100,3)="Yes","Conflict, not counted",IF(COUNTIFS($A$3:A100,A100,$B$3:B100,B100)&gt;1,"Duplicate, not counted",IF(SUM($D$2:$K$2)=0,"Add weights on Rubric",IF(SUMPRODUCT(ISNUMBER(D100:K100)*((D100:K100&gt;4)+(D100:K100&lt;0)))&gt;0,"Check scores",IF(N100&lt;COUNTIF($D$2:$K$2,"&gt;0"),"Incomplete","Counted"))))))))</f>
        <v/>
      </c>
      <c r="P100" s="42">
        <f>IF(O100="Counted",ROUND(SUMPRODUCT(D100:K100,$D$2:$K$2)*100/(4*SUM($D$2:$K$2)),1),"")</f>
        <v/>
      </c>
      <c r="Q100" s="27">
        <f>IF(O100="Counted",1,0)</f>
        <v/>
      </c>
      <c r="R100" s="43">
        <f>IF(ISNUMBER(D100),D100,0)</f>
        <v/>
      </c>
      <c r="S100" s="43">
        <f>IF(ISNUMBER(E100),E100,0)</f>
        <v/>
      </c>
      <c r="T100" s="43">
        <f>IF(ISNUMBER(F100),F100,0)</f>
        <v/>
      </c>
      <c r="U100" s="43">
        <f>IF(ISNUMBER(G100),G100,0)</f>
        <v/>
      </c>
      <c r="V100" s="43">
        <f>IF(ISNUMBER(H100),H100,0)</f>
        <v/>
      </c>
      <c r="W100" s="43">
        <f>IF(ISNUMBER(I100),I100,0)</f>
        <v/>
      </c>
      <c r="X100" s="43">
        <f>IF(ISNUMBER(J100),J100,0)</f>
        <v/>
      </c>
      <c r="Y100" s="43">
        <f>IF(ISNUMBER(K100),K100,0)</f>
        <v/>
      </c>
    </row>
    <row r="101">
      <c r="A101" s="35" t="n"/>
      <c r="B101" s="35" t="n"/>
      <c r="C101" s="35" t="n"/>
      <c r="D101" s="25" t="n"/>
      <c r="E101" s="25" t="n"/>
      <c r="F101" s="25" t="n"/>
      <c r="G101" s="25" t="n"/>
      <c r="H101" s="25" t="n"/>
      <c r="I101" s="25" t="n"/>
      <c r="J101" s="25" t="n"/>
      <c r="K101" s="25" t="n"/>
      <c r="L101" s="35" t="n"/>
      <c r="M101" s="40">
        <f>IF(A101="","",IFERROR(INDEX(Applications!$B$2:$B$101,MATCH(A101,Applications!$A$2:$A$101,0))&amp;"",""))</f>
        <v/>
      </c>
      <c r="N101" s="41">
        <f>IF(A101="","",SUMPRODUCT(ISNUMBER(D101:K101)*($D$2:$K$2&gt;0)))</f>
        <v/>
      </c>
      <c r="O101" s="40">
        <f>IF(A101="","",IF(ISNA(MATCH(A101,Applications!$A$2:$A$101,0)),"Check ID",IF(ISNA(MATCH(B101,Settings!$C$13:$C$18,0)),"Check reviewer",IF(LEFT(C101,3)="Yes","Conflict, not counted",IF(COUNTIFS($A$3:A101,A101,$B$3:B101,B101)&gt;1,"Duplicate, not counted",IF(SUM($D$2:$K$2)=0,"Add weights on Rubric",IF(SUMPRODUCT(ISNUMBER(D101:K101)*((D101:K101&gt;4)+(D101:K101&lt;0)))&gt;0,"Check scores",IF(N101&lt;COUNTIF($D$2:$K$2,"&gt;0"),"Incomplete","Counted"))))))))</f>
        <v/>
      </c>
      <c r="P101" s="42">
        <f>IF(O101="Counted",ROUND(SUMPRODUCT(D101:K101,$D$2:$K$2)*100/(4*SUM($D$2:$K$2)),1),"")</f>
        <v/>
      </c>
      <c r="Q101" s="27">
        <f>IF(O101="Counted",1,0)</f>
        <v/>
      </c>
      <c r="R101" s="43">
        <f>IF(ISNUMBER(D101),D101,0)</f>
        <v/>
      </c>
      <c r="S101" s="43">
        <f>IF(ISNUMBER(E101),E101,0)</f>
        <v/>
      </c>
      <c r="T101" s="43">
        <f>IF(ISNUMBER(F101),F101,0)</f>
        <v/>
      </c>
      <c r="U101" s="43">
        <f>IF(ISNUMBER(G101),G101,0)</f>
        <v/>
      </c>
      <c r="V101" s="43">
        <f>IF(ISNUMBER(H101),H101,0)</f>
        <v/>
      </c>
      <c r="W101" s="43">
        <f>IF(ISNUMBER(I101),I101,0)</f>
        <v/>
      </c>
      <c r="X101" s="43">
        <f>IF(ISNUMBER(J101),J101,0)</f>
        <v/>
      </c>
      <c r="Y101" s="43">
        <f>IF(ISNUMBER(K101),K101,0)</f>
        <v/>
      </c>
    </row>
    <row r="102">
      <c r="A102" s="35" t="n"/>
      <c r="B102" s="35" t="n"/>
      <c r="C102" s="35" t="n"/>
      <c r="D102" s="25" t="n"/>
      <c r="E102" s="25" t="n"/>
      <c r="F102" s="25" t="n"/>
      <c r="G102" s="25" t="n"/>
      <c r="H102" s="25" t="n"/>
      <c r="I102" s="25" t="n"/>
      <c r="J102" s="25" t="n"/>
      <c r="K102" s="25" t="n"/>
      <c r="L102" s="35" t="n"/>
      <c r="M102" s="40">
        <f>IF(A102="","",IFERROR(INDEX(Applications!$B$2:$B$101,MATCH(A102,Applications!$A$2:$A$101,0))&amp;"",""))</f>
        <v/>
      </c>
      <c r="N102" s="41">
        <f>IF(A102="","",SUMPRODUCT(ISNUMBER(D102:K102)*($D$2:$K$2&gt;0)))</f>
        <v/>
      </c>
      <c r="O102" s="40">
        <f>IF(A102="","",IF(ISNA(MATCH(A102,Applications!$A$2:$A$101,0)),"Check ID",IF(ISNA(MATCH(B102,Settings!$C$13:$C$18,0)),"Check reviewer",IF(LEFT(C102,3)="Yes","Conflict, not counted",IF(COUNTIFS($A$3:A102,A102,$B$3:B102,B102)&gt;1,"Duplicate, not counted",IF(SUM($D$2:$K$2)=0,"Add weights on Rubric",IF(SUMPRODUCT(ISNUMBER(D102:K102)*((D102:K102&gt;4)+(D102:K102&lt;0)))&gt;0,"Check scores",IF(N102&lt;COUNTIF($D$2:$K$2,"&gt;0"),"Incomplete","Counted"))))))))</f>
        <v/>
      </c>
      <c r="P102" s="42">
        <f>IF(O102="Counted",ROUND(SUMPRODUCT(D102:K102,$D$2:$K$2)*100/(4*SUM($D$2:$K$2)),1),"")</f>
        <v/>
      </c>
      <c r="Q102" s="27">
        <f>IF(O102="Counted",1,0)</f>
        <v/>
      </c>
      <c r="R102" s="43">
        <f>IF(ISNUMBER(D102),D102,0)</f>
        <v/>
      </c>
      <c r="S102" s="43">
        <f>IF(ISNUMBER(E102),E102,0)</f>
        <v/>
      </c>
      <c r="T102" s="43">
        <f>IF(ISNUMBER(F102),F102,0)</f>
        <v/>
      </c>
      <c r="U102" s="43">
        <f>IF(ISNUMBER(G102),G102,0)</f>
        <v/>
      </c>
      <c r="V102" s="43">
        <f>IF(ISNUMBER(H102),H102,0)</f>
        <v/>
      </c>
      <c r="W102" s="43">
        <f>IF(ISNUMBER(I102),I102,0)</f>
        <v/>
      </c>
      <c r="X102" s="43">
        <f>IF(ISNUMBER(J102),J102,0)</f>
        <v/>
      </c>
      <c r="Y102" s="43">
        <f>IF(ISNUMBER(K102),K102,0)</f>
        <v/>
      </c>
    </row>
    <row r="103">
      <c r="A103" s="35" t="n"/>
      <c r="B103" s="35" t="n"/>
      <c r="C103" s="35" t="n"/>
      <c r="D103" s="25" t="n"/>
      <c r="E103" s="25" t="n"/>
      <c r="F103" s="25" t="n"/>
      <c r="G103" s="25" t="n"/>
      <c r="H103" s="25" t="n"/>
      <c r="I103" s="25" t="n"/>
      <c r="J103" s="25" t="n"/>
      <c r="K103" s="25" t="n"/>
      <c r="L103" s="35" t="n"/>
      <c r="M103" s="40">
        <f>IF(A103="","",IFERROR(INDEX(Applications!$B$2:$B$101,MATCH(A103,Applications!$A$2:$A$101,0))&amp;"",""))</f>
        <v/>
      </c>
      <c r="N103" s="41">
        <f>IF(A103="","",SUMPRODUCT(ISNUMBER(D103:K103)*($D$2:$K$2&gt;0)))</f>
        <v/>
      </c>
      <c r="O103" s="40">
        <f>IF(A103="","",IF(ISNA(MATCH(A103,Applications!$A$2:$A$101,0)),"Check ID",IF(ISNA(MATCH(B103,Settings!$C$13:$C$18,0)),"Check reviewer",IF(LEFT(C103,3)="Yes","Conflict, not counted",IF(COUNTIFS($A$3:A103,A103,$B$3:B103,B103)&gt;1,"Duplicate, not counted",IF(SUM($D$2:$K$2)=0,"Add weights on Rubric",IF(SUMPRODUCT(ISNUMBER(D103:K103)*((D103:K103&gt;4)+(D103:K103&lt;0)))&gt;0,"Check scores",IF(N103&lt;COUNTIF($D$2:$K$2,"&gt;0"),"Incomplete","Counted"))))))))</f>
        <v/>
      </c>
      <c r="P103" s="42">
        <f>IF(O103="Counted",ROUND(SUMPRODUCT(D103:K103,$D$2:$K$2)*100/(4*SUM($D$2:$K$2)),1),"")</f>
        <v/>
      </c>
      <c r="Q103" s="27">
        <f>IF(O103="Counted",1,0)</f>
        <v/>
      </c>
      <c r="R103" s="43">
        <f>IF(ISNUMBER(D103),D103,0)</f>
        <v/>
      </c>
      <c r="S103" s="43">
        <f>IF(ISNUMBER(E103),E103,0)</f>
        <v/>
      </c>
      <c r="T103" s="43">
        <f>IF(ISNUMBER(F103),F103,0)</f>
        <v/>
      </c>
      <c r="U103" s="43">
        <f>IF(ISNUMBER(G103),G103,0)</f>
        <v/>
      </c>
      <c r="V103" s="43">
        <f>IF(ISNUMBER(H103),H103,0)</f>
        <v/>
      </c>
      <c r="W103" s="43">
        <f>IF(ISNUMBER(I103),I103,0)</f>
        <v/>
      </c>
      <c r="X103" s="43">
        <f>IF(ISNUMBER(J103),J103,0)</f>
        <v/>
      </c>
      <c r="Y103" s="43">
        <f>IF(ISNUMBER(K103),K103,0)</f>
        <v/>
      </c>
    </row>
    <row r="104">
      <c r="A104" s="35" t="n"/>
      <c r="B104" s="35" t="n"/>
      <c r="C104" s="35" t="n"/>
      <c r="D104" s="25" t="n"/>
      <c r="E104" s="25" t="n"/>
      <c r="F104" s="25" t="n"/>
      <c r="G104" s="25" t="n"/>
      <c r="H104" s="25" t="n"/>
      <c r="I104" s="25" t="n"/>
      <c r="J104" s="25" t="n"/>
      <c r="K104" s="25" t="n"/>
      <c r="L104" s="35" t="n"/>
      <c r="M104" s="40">
        <f>IF(A104="","",IFERROR(INDEX(Applications!$B$2:$B$101,MATCH(A104,Applications!$A$2:$A$101,0))&amp;"",""))</f>
        <v/>
      </c>
      <c r="N104" s="41">
        <f>IF(A104="","",SUMPRODUCT(ISNUMBER(D104:K104)*($D$2:$K$2&gt;0)))</f>
        <v/>
      </c>
      <c r="O104" s="40">
        <f>IF(A104="","",IF(ISNA(MATCH(A104,Applications!$A$2:$A$101,0)),"Check ID",IF(ISNA(MATCH(B104,Settings!$C$13:$C$18,0)),"Check reviewer",IF(LEFT(C104,3)="Yes","Conflict, not counted",IF(COUNTIFS($A$3:A104,A104,$B$3:B104,B104)&gt;1,"Duplicate, not counted",IF(SUM($D$2:$K$2)=0,"Add weights on Rubric",IF(SUMPRODUCT(ISNUMBER(D104:K104)*((D104:K104&gt;4)+(D104:K104&lt;0)))&gt;0,"Check scores",IF(N104&lt;COUNTIF($D$2:$K$2,"&gt;0"),"Incomplete","Counted"))))))))</f>
        <v/>
      </c>
      <c r="P104" s="42">
        <f>IF(O104="Counted",ROUND(SUMPRODUCT(D104:K104,$D$2:$K$2)*100/(4*SUM($D$2:$K$2)),1),"")</f>
        <v/>
      </c>
      <c r="Q104" s="27">
        <f>IF(O104="Counted",1,0)</f>
        <v/>
      </c>
      <c r="R104" s="43">
        <f>IF(ISNUMBER(D104),D104,0)</f>
        <v/>
      </c>
      <c r="S104" s="43">
        <f>IF(ISNUMBER(E104),E104,0)</f>
        <v/>
      </c>
      <c r="T104" s="43">
        <f>IF(ISNUMBER(F104),F104,0)</f>
        <v/>
      </c>
      <c r="U104" s="43">
        <f>IF(ISNUMBER(G104),G104,0)</f>
        <v/>
      </c>
      <c r="V104" s="43">
        <f>IF(ISNUMBER(H104),H104,0)</f>
        <v/>
      </c>
      <c r="W104" s="43">
        <f>IF(ISNUMBER(I104),I104,0)</f>
        <v/>
      </c>
      <c r="X104" s="43">
        <f>IF(ISNUMBER(J104),J104,0)</f>
        <v/>
      </c>
      <c r="Y104" s="43">
        <f>IF(ISNUMBER(K104),K104,0)</f>
        <v/>
      </c>
    </row>
    <row r="105">
      <c r="A105" s="35" t="n"/>
      <c r="B105" s="35" t="n"/>
      <c r="C105" s="35" t="n"/>
      <c r="D105" s="25" t="n"/>
      <c r="E105" s="25" t="n"/>
      <c r="F105" s="25" t="n"/>
      <c r="G105" s="25" t="n"/>
      <c r="H105" s="25" t="n"/>
      <c r="I105" s="25" t="n"/>
      <c r="J105" s="25" t="n"/>
      <c r="K105" s="25" t="n"/>
      <c r="L105" s="35" t="n"/>
      <c r="M105" s="40">
        <f>IF(A105="","",IFERROR(INDEX(Applications!$B$2:$B$101,MATCH(A105,Applications!$A$2:$A$101,0))&amp;"",""))</f>
        <v/>
      </c>
      <c r="N105" s="41">
        <f>IF(A105="","",SUMPRODUCT(ISNUMBER(D105:K105)*($D$2:$K$2&gt;0)))</f>
        <v/>
      </c>
      <c r="O105" s="40">
        <f>IF(A105="","",IF(ISNA(MATCH(A105,Applications!$A$2:$A$101,0)),"Check ID",IF(ISNA(MATCH(B105,Settings!$C$13:$C$18,0)),"Check reviewer",IF(LEFT(C105,3)="Yes","Conflict, not counted",IF(COUNTIFS($A$3:A105,A105,$B$3:B105,B105)&gt;1,"Duplicate, not counted",IF(SUM($D$2:$K$2)=0,"Add weights on Rubric",IF(SUMPRODUCT(ISNUMBER(D105:K105)*((D105:K105&gt;4)+(D105:K105&lt;0)))&gt;0,"Check scores",IF(N105&lt;COUNTIF($D$2:$K$2,"&gt;0"),"Incomplete","Counted"))))))))</f>
        <v/>
      </c>
      <c r="P105" s="42">
        <f>IF(O105="Counted",ROUND(SUMPRODUCT(D105:K105,$D$2:$K$2)*100/(4*SUM($D$2:$K$2)),1),"")</f>
        <v/>
      </c>
      <c r="Q105" s="27">
        <f>IF(O105="Counted",1,0)</f>
        <v/>
      </c>
      <c r="R105" s="43">
        <f>IF(ISNUMBER(D105),D105,0)</f>
        <v/>
      </c>
      <c r="S105" s="43">
        <f>IF(ISNUMBER(E105),E105,0)</f>
        <v/>
      </c>
      <c r="T105" s="43">
        <f>IF(ISNUMBER(F105),F105,0)</f>
        <v/>
      </c>
      <c r="U105" s="43">
        <f>IF(ISNUMBER(G105),G105,0)</f>
        <v/>
      </c>
      <c r="V105" s="43">
        <f>IF(ISNUMBER(H105),H105,0)</f>
        <v/>
      </c>
      <c r="W105" s="43">
        <f>IF(ISNUMBER(I105),I105,0)</f>
        <v/>
      </c>
      <c r="X105" s="43">
        <f>IF(ISNUMBER(J105),J105,0)</f>
        <v/>
      </c>
      <c r="Y105" s="43">
        <f>IF(ISNUMBER(K105),K105,0)</f>
        <v/>
      </c>
    </row>
    <row r="106">
      <c r="A106" s="35" t="n"/>
      <c r="B106" s="35" t="n"/>
      <c r="C106" s="35" t="n"/>
      <c r="D106" s="25" t="n"/>
      <c r="E106" s="25" t="n"/>
      <c r="F106" s="25" t="n"/>
      <c r="G106" s="25" t="n"/>
      <c r="H106" s="25" t="n"/>
      <c r="I106" s="25" t="n"/>
      <c r="J106" s="25" t="n"/>
      <c r="K106" s="25" t="n"/>
      <c r="L106" s="35" t="n"/>
      <c r="M106" s="40">
        <f>IF(A106="","",IFERROR(INDEX(Applications!$B$2:$B$101,MATCH(A106,Applications!$A$2:$A$101,0))&amp;"",""))</f>
        <v/>
      </c>
      <c r="N106" s="41">
        <f>IF(A106="","",SUMPRODUCT(ISNUMBER(D106:K106)*($D$2:$K$2&gt;0)))</f>
        <v/>
      </c>
      <c r="O106" s="40">
        <f>IF(A106="","",IF(ISNA(MATCH(A106,Applications!$A$2:$A$101,0)),"Check ID",IF(ISNA(MATCH(B106,Settings!$C$13:$C$18,0)),"Check reviewer",IF(LEFT(C106,3)="Yes","Conflict, not counted",IF(COUNTIFS($A$3:A106,A106,$B$3:B106,B106)&gt;1,"Duplicate, not counted",IF(SUM($D$2:$K$2)=0,"Add weights on Rubric",IF(SUMPRODUCT(ISNUMBER(D106:K106)*((D106:K106&gt;4)+(D106:K106&lt;0)))&gt;0,"Check scores",IF(N106&lt;COUNTIF($D$2:$K$2,"&gt;0"),"Incomplete","Counted"))))))))</f>
        <v/>
      </c>
      <c r="P106" s="42">
        <f>IF(O106="Counted",ROUND(SUMPRODUCT(D106:K106,$D$2:$K$2)*100/(4*SUM($D$2:$K$2)),1),"")</f>
        <v/>
      </c>
      <c r="Q106" s="27">
        <f>IF(O106="Counted",1,0)</f>
        <v/>
      </c>
      <c r="R106" s="43">
        <f>IF(ISNUMBER(D106),D106,0)</f>
        <v/>
      </c>
      <c r="S106" s="43">
        <f>IF(ISNUMBER(E106),E106,0)</f>
        <v/>
      </c>
      <c r="T106" s="43">
        <f>IF(ISNUMBER(F106),F106,0)</f>
        <v/>
      </c>
      <c r="U106" s="43">
        <f>IF(ISNUMBER(G106),G106,0)</f>
        <v/>
      </c>
      <c r="V106" s="43">
        <f>IF(ISNUMBER(H106),H106,0)</f>
        <v/>
      </c>
      <c r="W106" s="43">
        <f>IF(ISNUMBER(I106),I106,0)</f>
        <v/>
      </c>
      <c r="X106" s="43">
        <f>IF(ISNUMBER(J106),J106,0)</f>
        <v/>
      </c>
      <c r="Y106" s="43">
        <f>IF(ISNUMBER(K106),K106,0)</f>
        <v/>
      </c>
    </row>
    <row r="107">
      <c r="A107" s="35" t="n"/>
      <c r="B107" s="35" t="n"/>
      <c r="C107" s="35" t="n"/>
      <c r="D107" s="25" t="n"/>
      <c r="E107" s="25" t="n"/>
      <c r="F107" s="25" t="n"/>
      <c r="G107" s="25" t="n"/>
      <c r="H107" s="25" t="n"/>
      <c r="I107" s="25" t="n"/>
      <c r="J107" s="25" t="n"/>
      <c r="K107" s="25" t="n"/>
      <c r="L107" s="35" t="n"/>
      <c r="M107" s="40">
        <f>IF(A107="","",IFERROR(INDEX(Applications!$B$2:$B$101,MATCH(A107,Applications!$A$2:$A$101,0))&amp;"",""))</f>
        <v/>
      </c>
      <c r="N107" s="41">
        <f>IF(A107="","",SUMPRODUCT(ISNUMBER(D107:K107)*($D$2:$K$2&gt;0)))</f>
        <v/>
      </c>
      <c r="O107" s="40">
        <f>IF(A107="","",IF(ISNA(MATCH(A107,Applications!$A$2:$A$101,0)),"Check ID",IF(ISNA(MATCH(B107,Settings!$C$13:$C$18,0)),"Check reviewer",IF(LEFT(C107,3)="Yes","Conflict, not counted",IF(COUNTIFS($A$3:A107,A107,$B$3:B107,B107)&gt;1,"Duplicate, not counted",IF(SUM($D$2:$K$2)=0,"Add weights on Rubric",IF(SUMPRODUCT(ISNUMBER(D107:K107)*((D107:K107&gt;4)+(D107:K107&lt;0)))&gt;0,"Check scores",IF(N107&lt;COUNTIF($D$2:$K$2,"&gt;0"),"Incomplete","Counted"))))))))</f>
        <v/>
      </c>
      <c r="P107" s="42">
        <f>IF(O107="Counted",ROUND(SUMPRODUCT(D107:K107,$D$2:$K$2)*100/(4*SUM($D$2:$K$2)),1),"")</f>
        <v/>
      </c>
      <c r="Q107" s="27">
        <f>IF(O107="Counted",1,0)</f>
        <v/>
      </c>
      <c r="R107" s="43">
        <f>IF(ISNUMBER(D107),D107,0)</f>
        <v/>
      </c>
      <c r="S107" s="43">
        <f>IF(ISNUMBER(E107),E107,0)</f>
        <v/>
      </c>
      <c r="T107" s="43">
        <f>IF(ISNUMBER(F107),F107,0)</f>
        <v/>
      </c>
      <c r="U107" s="43">
        <f>IF(ISNUMBER(G107),G107,0)</f>
        <v/>
      </c>
      <c r="V107" s="43">
        <f>IF(ISNUMBER(H107),H107,0)</f>
        <v/>
      </c>
      <c r="W107" s="43">
        <f>IF(ISNUMBER(I107),I107,0)</f>
        <v/>
      </c>
      <c r="X107" s="43">
        <f>IF(ISNUMBER(J107),J107,0)</f>
        <v/>
      </c>
      <c r="Y107" s="43">
        <f>IF(ISNUMBER(K107),K107,0)</f>
        <v/>
      </c>
    </row>
    <row r="108">
      <c r="A108" s="35" t="n"/>
      <c r="B108" s="35" t="n"/>
      <c r="C108" s="35" t="n"/>
      <c r="D108" s="25" t="n"/>
      <c r="E108" s="25" t="n"/>
      <c r="F108" s="25" t="n"/>
      <c r="G108" s="25" t="n"/>
      <c r="H108" s="25" t="n"/>
      <c r="I108" s="25" t="n"/>
      <c r="J108" s="25" t="n"/>
      <c r="K108" s="25" t="n"/>
      <c r="L108" s="35" t="n"/>
      <c r="M108" s="40">
        <f>IF(A108="","",IFERROR(INDEX(Applications!$B$2:$B$101,MATCH(A108,Applications!$A$2:$A$101,0))&amp;"",""))</f>
        <v/>
      </c>
      <c r="N108" s="41">
        <f>IF(A108="","",SUMPRODUCT(ISNUMBER(D108:K108)*($D$2:$K$2&gt;0)))</f>
        <v/>
      </c>
      <c r="O108" s="40">
        <f>IF(A108="","",IF(ISNA(MATCH(A108,Applications!$A$2:$A$101,0)),"Check ID",IF(ISNA(MATCH(B108,Settings!$C$13:$C$18,0)),"Check reviewer",IF(LEFT(C108,3)="Yes","Conflict, not counted",IF(COUNTIFS($A$3:A108,A108,$B$3:B108,B108)&gt;1,"Duplicate, not counted",IF(SUM($D$2:$K$2)=0,"Add weights on Rubric",IF(SUMPRODUCT(ISNUMBER(D108:K108)*((D108:K108&gt;4)+(D108:K108&lt;0)))&gt;0,"Check scores",IF(N108&lt;COUNTIF($D$2:$K$2,"&gt;0"),"Incomplete","Counted"))))))))</f>
        <v/>
      </c>
      <c r="P108" s="42">
        <f>IF(O108="Counted",ROUND(SUMPRODUCT(D108:K108,$D$2:$K$2)*100/(4*SUM($D$2:$K$2)),1),"")</f>
        <v/>
      </c>
      <c r="Q108" s="27">
        <f>IF(O108="Counted",1,0)</f>
        <v/>
      </c>
      <c r="R108" s="43">
        <f>IF(ISNUMBER(D108),D108,0)</f>
        <v/>
      </c>
      <c r="S108" s="43">
        <f>IF(ISNUMBER(E108),E108,0)</f>
        <v/>
      </c>
      <c r="T108" s="43">
        <f>IF(ISNUMBER(F108),F108,0)</f>
        <v/>
      </c>
      <c r="U108" s="43">
        <f>IF(ISNUMBER(G108),G108,0)</f>
        <v/>
      </c>
      <c r="V108" s="43">
        <f>IF(ISNUMBER(H108),H108,0)</f>
        <v/>
      </c>
      <c r="W108" s="43">
        <f>IF(ISNUMBER(I108),I108,0)</f>
        <v/>
      </c>
      <c r="X108" s="43">
        <f>IF(ISNUMBER(J108),J108,0)</f>
        <v/>
      </c>
      <c r="Y108" s="43">
        <f>IF(ISNUMBER(K108),K108,0)</f>
        <v/>
      </c>
    </row>
    <row r="109">
      <c r="A109" s="35" t="n"/>
      <c r="B109" s="35" t="n"/>
      <c r="C109" s="35" t="n"/>
      <c r="D109" s="25" t="n"/>
      <c r="E109" s="25" t="n"/>
      <c r="F109" s="25" t="n"/>
      <c r="G109" s="25" t="n"/>
      <c r="H109" s="25" t="n"/>
      <c r="I109" s="25" t="n"/>
      <c r="J109" s="25" t="n"/>
      <c r="K109" s="25" t="n"/>
      <c r="L109" s="35" t="n"/>
      <c r="M109" s="40">
        <f>IF(A109="","",IFERROR(INDEX(Applications!$B$2:$B$101,MATCH(A109,Applications!$A$2:$A$101,0))&amp;"",""))</f>
        <v/>
      </c>
      <c r="N109" s="41">
        <f>IF(A109="","",SUMPRODUCT(ISNUMBER(D109:K109)*($D$2:$K$2&gt;0)))</f>
        <v/>
      </c>
      <c r="O109" s="40">
        <f>IF(A109="","",IF(ISNA(MATCH(A109,Applications!$A$2:$A$101,0)),"Check ID",IF(ISNA(MATCH(B109,Settings!$C$13:$C$18,0)),"Check reviewer",IF(LEFT(C109,3)="Yes","Conflict, not counted",IF(COUNTIFS($A$3:A109,A109,$B$3:B109,B109)&gt;1,"Duplicate, not counted",IF(SUM($D$2:$K$2)=0,"Add weights on Rubric",IF(SUMPRODUCT(ISNUMBER(D109:K109)*((D109:K109&gt;4)+(D109:K109&lt;0)))&gt;0,"Check scores",IF(N109&lt;COUNTIF($D$2:$K$2,"&gt;0"),"Incomplete","Counted"))))))))</f>
        <v/>
      </c>
      <c r="P109" s="42">
        <f>IF(O109="Counted",ROUND(SUMPRODUCT(D109:K109,$D$2:$K$2)*100/(4*SUM($D$2:$K$2)),1),"")</f>
        <v/>
      </c>
      <c r="Q109" s="27">
        <f>IF(O109="Counted",1,0)</f>
        <v/>
      </c>
      <c r="R109" s="43">
        <f>IF(ISNUMBER(D109),D109,0)</f>
        <v/>
      </c>
      <c r="S109" s="43">
        <f>IF(ISNUMBER(E109),E109,0)</f>
        <v/>
      </c>
      <c r="T109" s="43">
        <f>IF(ISNUMBER(F109),F109,0)</f>
        <v/>
      </c>
      <c r="U109" s="43">
        <f>IF(ISNUMBER(G109),G109,0)</f>
        <v/>
      </c>
      <c r="V109" s="43">
        <f>IF(ISNUMBER(H109),H109,0)</f>
        <v/>
      </c>
      <c r="W109" s="43">
        <f>IF(ISNUMBER(I109),I109,0)</f>
        <v/>
      </c>
      <c r="X109" s="43">
        <f>IF(ISNUMBER(J109),J109,0)</f>
        <v/>
      </c>
      <c r="Y109" s="43">
        <f>IF(ISNUMBER(K109),K109,0)</f>
        <v/>
      </c>
    </row>
    <row r="110">
      <c r="A110" s="35" t="n"/>
      <c r="B110" s="35" t="n"/>
      <c r="C110" s="35" t="n"/>
      <c r="D110" s="25" t="n"/>
      <c r="E110" s="25" t="n"/>
      <c r="F110" s="25" t="n"/>
      <c r="G110" s="25" t="n"/>
      <c r="H110" s="25" t="n"/>
      <c r="I110" s="25" t="n"/>
      <c r="J110" s="25" t="n"/>
      <c r="K110" s="25" t="n"/>
      <c r="L110" s="35" t="n"/>
      <c r="M110" s="40">
        <f>IF(A110="","",IFERROR(INDEX(Applications!$B$2:$B$101,MATCH(A110,Applications!$A$2:$A$101,0))&amp;"",""))</f>
        <v/>
      </c>
      <c r="N110" s="41">
        <f>IF(A110="","",SUMPRODUCT(ISNUMBER(D110:K110)*($D$2:$K$2&gt;0)))</f>
        <v/>
      </c>
      <c r="O110" s="40">
        <f>IF(A110="","",IF(ISNA(MATCH(A110,Applications!$A$2:$A$101,0)),"Check ID",IF(ISNA(MATCH(B110,Settings!$C$13:$C$18,0)),"Check reviewer",IF(LEFT(C110,3)="Yes","Conflict, not counted",IF(COUNTIFS($A$3:A110,A110,$B$3:B110,B110)&gt;1,"Duplicate, not counted",IF(SUM($D$2:$K$2)=0,"Add weights on Rubric",IF(SUMPRODUCT(ISNUMBER(D110:K110)*((D110:K110&gt;4)+(D110:K110&lt;0)))&gt;0,"Check scores",IF(N110&lt;COUNTIF($D$2:$K$2,"&gt;0"),"Incomplete","Counted"))))))))</f>
        <v/>
      </c>
      <c r="P110" s="42">
        <f>IF(O110="Counted",ROUND(SUMPRODUCT(D110:K110,$D$2:$K$2)*100/(4*SUM($D$2:$K$2)),1),"")</f>
        <v/>
      </c>
      <c r="Q110" s="27">
        <f>IF(O110="Counted",1,0)</f>
        <v/>
      </c>
      <c r="R110" s="43">
        <f>IF(ISNUMBER(D110),D110,0)</f>
        <v/>
      </c>
      <c r="S110" s="43">
        <f>IF(ISNUMBER(E110),E110,0)</f>
        <v/>
      </c>
      <c r="T110" s="43">
        <f>IF(ISNUMBER(F110),F110,0)</f>
        <v/>
      </c>
      <c r="U110" s="43">
        <f>IF(ISNUMBER(G110),G110,0)</f>
        <v/>
      </c>
      <c r="V110" s="43">
        <f>IF(ISNUMBER(H110),H110,0)</f>
        <v/>
      </c>
      <c r="W110" s="43">
        <f>IF(ISNUMBER(I110),I110,0)</f>
        <v/>
      </c>
      <c r="X110" s="43">
        <f>IF(ISNUMBER(J110),J110,0)</f>
        <v/>
      </c>
      <c r="Y110" s="43">
        <f>IF(ISNUMBER(K110),K110,0)</f>
        <v/>
      </c>
    </row>
    <row r="111">
      <c r="A111" s="35" t="n"/>
      <c r="B111" s="35" t="n"/>
      <c r="C111" s="35" t="n"/>
      <c r="D111" s="25" t="n"/>
      <c r="E111" s="25" t="n"/>
      <c r="F111" s="25" t="n"/>
      <c r="G111" s="25" t="n"/>
      <c r="H111" s="25" t="n"/>
      <c r="I111" s="25" t="n"/>
      <c r="J111" s="25" t="n"/>
      <c r="K111" s="25" t="n"/>
      <c r="L111" s="35" t="n"/>
      <c r="M111" s="40">
        <f>IF(A111="","",IFERROR(INDEX(Applications!$B$2:$B$101,MATCH(A111,Applications!$A$2:$A$101,0))&amp;"",""))</f>
        <v/>
      </c>
      <c r="N111" s="41">
        <f>IF(A111="","",SUMPRODUCT(ISNUMBER(D111:K111)*($D$2:$K$2&gt;0)))</f>
        <v/>
      </c>
      <c r="O111" s="40">
        <f>IF(A111="","",IF(ISNA(MATCH(A111,Applications!$A$2:$A$101,0)),"Check ID",IF(ISNA(MATCH(B111,Settings!$C$13:$C$18,0)),"Check reviewer",IF(LEFT(C111,3)="Yes","Conflict, not counted",IF(COUNTIFS($A$3:A111,A111,$B$3:B111,B111)&gt;1,"Duplicate, not counted",IF(SUM($D$2:$K$2)=0,"Add weights on Rubric",IF(SUMPRODUCT(ISNUMBER(D111:K111)*((D111:K111&gt;4)+(D111:K111&lt;0)))&gt;0,"Check scores",IF(N111&lt;COUNTIF($D$2:$K$2,"&gt;0"),"Incomplete","Counted"))))))))</f>
        <v/>
      </c>
      <c r="P111" s="42">
        <f>IF(O111="Counted",ROUND(SUMPRODUCT(D111:K111,$D$2:$K$2)*100/(4*SUM($D$2:$K$2)),1),"")</f>
        <v/>
      </c>
      <c r="Q111" s="27">
        <f>IF(O111="Counted",1,0)</f>
        <v/>
      </c>
      <c r="R111" s="43">
        <f>IF(ISNUMBER(D111),D111,0)</f>
        <v/>
      </c>
      <c r="S111" s="43">
        <f>IF(ISNUMBER(E111),E111,0)</f>
        <v/>
      </c>
      <c r="T111" s="43">
        <f>IF(ISNUMBER(F111),F111,0)</f>
        <v/>
      </c>
      <c r="U111" s="43">
        <f>IF(ISNUMBER(G111),G111,0)</f>
        <v/>
      </c>
      <c r="V111" s="43">
        <f>IF(ISNUMBER(H111),H111,0)</f>
        <v/>
      </c>
      <c r="W111" s="43">
        <f>IF(ISNUMBER(I111),I111,0)</f>
        <v/>
      </c>
      <c r="X111" s="43">
        <f>IF(ISNUMBER(J111),J111,0)</f>
        <v/>
      </c>
      <c r="Y111" s="43">
        <f>IF(ISNUMBER(K111),K111,0)</f>
        <v/>
      </c>
    </row>
    <row r="112">
      <c r="A112" s="35" t="n"/>
      <c r="B112" s="35" t="n"/>
      <c r="C112" s="35" t="n"/>
      <c r="D112" s="25" t="n"/>
      <c r="E112" s="25" t="n"/>
      <c r="F112" s="25" t="n"/>
      <c r="G112" s="25" t="n"/>
      <c r="H112" s="25" t="n"/>
      <c r="I112" s="25" t="n"/>
      <c r="J112" s="25" t="n"/>
      <c r="K112" s="25" t="n"/>
      <c r="L112" s="35" t="n"/>
      <c r="M112" s="40">
        <f>IF(A112="","",IFERROR(INDEX(Applications!$B$2:$B$101,MATCH(A112,Applications!$A$2:$A$101,0))&amp;"",""))</f>
        <v/>
      </c>
      <c r="N112" s="41">
        <f>IF(A112="","",SUMPRODUCT(ISNUMBER(D112:K112)*($D$2:$K$2&gt;0)))</f>
        <v/>
      </c>
      <c r="O112" s="40">
        <f>IF(A112="","",IF(ISNA(MATCH(A112,Applications!$A$2:$A$101,0)),"Check ID",IF(ISNA(MATCH(B112,Settings!$C$13:$C$18,0)),"Check reviewer",IF(LEFT(C112,3)="Yes","Conflict, not counted",IF(COUNTIFS($A$3:A112,A112,$B$3:B112,B112)&gt;1,"Duplicate, not counted",IF(SUM($D$2:$K$2)=0,"Add weights on Rubric",IF(SUMPRODUCT(ISNUMBER(D112:K112)*((D112:K112&gt;4)+(D112:K112&lt;0)))&gt;0,"Check scores",IF(N112&lt;COUNTIF($D$2:$K$2,"&gt;0"),"Incomplete","Counted"))))))))</f>
        <v/>
      </c>
      <c r="P112" s="42">
        <f>IF(O112="Counted",ROUND(SUMPRODUCT(D112:K112,$D$2:$K$2)*100/(4*SUM($D$2:$K$2)),1),"")</f>
        <v/>
      </c>
      <c r="Q112" s="27">
        <f>IF(O112="Counted",1,0)</f>
        <v/>
      </c>
      <c r="R112" s="43">
        <f>IF(ISNUMBER(D112),D112,0)</f>
        <v/>
      </c>
      <c r="S112" s="43">
        <f>IF(ISNUMBER(E112),E112,0)</f>
        <v/>
      </c>
      <c r="T112" s="43">
        <f>IF(ISNUMBER(F112),F112,0)</f>
        <v/>
      </c>
      <c r="U112" s="43">
        <f>IF(ISNUMBER(G112),G112,0)</f>
        <v/>
      </c>
      <c r="V112" s="43">
        <f>IF(ISNUMBER(H112),H112,0)</f>
        <v/>
      </c>
      <c r="W112" s="43">
        <f>IF(ISNUMBER(I112),I112,0)</f>
        <v/>
      </c>
      <c r="X112" s="43">
        <f>IF(ISNUMBER(J112),J112,0)</f>
        <v/>
      </c>
      <c r="Y112" s="43">
        <f>IF(ISNUMBER(K112),K112,0)</f>
        <v/>
      </c>
    </row>
    <row r="113">
      <c r="A113" s="35" t="n"/>
      <c r="B113" s="35" t="n"/>
      <c r="C113" s="35" t="n"/>
      <c r="D113" s="25" t="n"/>
      <c r="E113" s="25" t="n"/>
      <c r="F113" s="25" t="n"/>
      <c r="G113" s="25" t="n"/>
      <c r="H113" s="25" t="n"/>
      <c r="I113" s="25" t="n"/>
      <c r="J113" s="25" t="n"/>
      <c r="K113" s="25" t="n"/>
      <c r="L113" s="35" t="n"/>
      <c r="M113" s="40">
        <f>IF(A113="","",IFERROR(INDEX(Applications!$B$2:$B$101,MATCH(A113,Applications!$A$2:$A$101,0))&amp;"",""))</f>
        <v/>
      </c>
      <c r="N113" s="41">
        <f>IF(A113="","",SUMPRODUCT(ISNUMBER(D113:K113)*($D$2:$K$2&gt;0)))</f>
        <v/>
      </c>
      <c r="O113" s="40">
        <f>IF(A113="","",IF(ISNA(MATCH(A113,Applications!$A$2:$A$101,0)),"Check ID",IF(ISNA(MATCH(B113,Settings!$C$13:$C$18,0)),"Check reviewer",IF(LEFT(C113,3)="Yes","Conflict, not counted",IF(COUNTIFS($A$3:A113,A113,$B$3:B113,B113)&gt;1,"Duplicate, not counted",IF(SUM($D$2:$K$2)=0,"Add weights on Rubric",IF(SUMPRODUCT(ISNUMBER(D113:K113)*((D113:K113&gt;4)+(D113:K113&lt;0)))&gt;0,"Check scores",IF(N113&lt;COUNTIF($D$2:$K$2,"&gt;0"),"Incomplete","Counted"))))))))</f>
        <v/>
      </c>
      <c r="P113" s="42">
        <f>IF(O113="Counted",ROUND(SUMPRODUCT(D113:K113,$D$2:$K$2)*100/(4*SUM($D$2:$K$2)),1),"")</f>
        <v/>
      </c>
      <c r="Q113" s="27">
        <f>IF(O113="Counted",1,0)</f>
        <v/>
      </c>
      <c r="R113" s="43">
        <f>IF(ISNUMBER(D113),D113,0)</f>
        <v/>
      </c>
      <c r="S113" s="43">
        <f>IF(ISNUMBER(E113),E113,0)</f>
        <v/>
      </c>
      <c r="T113" s="43">
        <f>IF(ISNUMBER(F113),F113,0)</f>
        <v/>
      </c>
      <c r="U113" s="43">
        <f>IF(ISNUMBER(G113),G113,0)</f>
        <v/>
      </c>
      <c r="V113" s="43">
        <f>IF(ISNUMBER(H113),H113,0)</f>
        <v/>
      </c>
      <c r="W113" s="43">
        <f>IF(ISNUMBER(I113),I113,0)</f>
        <v/>
      </c>
      <c r="X113" s="43">
        <f>IF(ISNUMBER(J113),J113,0)</f>
        <v/>
      </c>
      <c r="Y113" s="43">
        <f>IF(ISNUMBER(K113),K113,0)</f>
        <v/>
      </c>
    </row>
    <row r="114">
      <c r="A114" s="35" t="n"/>
      <c r="B114" s="35" t="n"/>
      <c r="C114" s="35" t="n"/>
      <c r="D114" s="25" t="n"/>
      <c r="E114" s="25" t="n"/>
      <c r="F114" s="25" t="n"/>
      <c r="G114" s="25" t="n"/>
      <c r="H114" s="25" t="n"/>
      <c r="I114" s="25" t="n"/>
      <c r="J114" s="25" t="n"/>
      <c r="K114" s="25" t="n"/>
      <c r="L114" s="35" t="n"/>
      <c r="M114" s="40">
        <f>IF(A114="","",IFERROR(INDEX(Applications!$B$2:$B$101,MATCH(A114,Applications!$A$2:$A$101,0))&amp;"",""))</f>
        <v/>
      </c>
      <c r="N114" s="41">
        <f>IF(A114="","",SUMPRODUCT(ISNUMBER(D114:K114)*($D$2:$K$2&gt;0)))</f>
        <v/>
      </c>
      <c r="O114" s="40">
        <f>IF(A114="","",IF(ISNA(MATCH(A114,Applications!$A$2:$A$101,0)),"Check ID",IF(ISNA(MATCH(B114,Settings!$C$13:$C$18,0)),"Check reviewer",IF(LEFT(C114,3)="Yes","Conflict, not counted",IF(COUNTIFS($A$3:A114,A114,$B$3:B114,B114)&gt;1,"Duplicate, not counted",IF(SUM($D$2:$K$2)=0,"Add weights on Rubric",IF(SUMPRODUCT(ISNUMBER(D114:K114)*((D114:K114&gt;4)+(D114:K114&lt;0)))&gt;0,"Check scores",IF(N114&lt;COUNTIF($D$2:$K$2,"&gt;0"),"Incomplete","Counted"))))))))</f>
        <v/>
      </c>
      <c r="P114" s="42">
        <f>IF(O114="Counted",ROUND(SUMPRODUCT(D114:K114,$D$2:$K$2)*100/(4*SUM($D$2:$K$2)),1),"")</f>
        <v/>
      </c>
      <c r="Q114" s="27">
        <f>IF(O114="Counted",1,0)</f>
        <v/>
      </c>
      <c r="R114" s="43">
        <f>IF(ISNUMBER(D114),D114,0)</f>
        <v/>
      </c>
      <c r="S114" s="43">
        <f>IF(ISNUMBER(E114),E114,0)</f>
        <v/>
      </c>
      <c r="T114" s="43">
        <f>IF(ISNUMBER(F114),F114,0)</f>
        <v/>
      </c>
      <c r="U114" s="43">
        <f>IF(ISNUMBER(G114),G114,0)</f>
        <v/>
      </c>
      <c r="V114" s="43">
        <f>IF(ISNUMBER(H114),H114,0)</f>
        <v/>
      </c>
      <c r="W114" s="43">
        <f>IF(ISNUMBER(I114),I114,0)</f>
        <v/>
      </c>
      <c r="X114" s="43">
        <f>IF(ISNUMBER(J114),J114,0)</f>
        <v/>
      </c>
      <c r="Y114" s="43">
        <f>IF(ISNUMBER(K114),K114,0)</f>
        <v/>
      </c>
    </row>
    <row r="115">
      <c r="A115" s="35" t="n"/>
      <c r="B115" s="35" t="n"/>
      <c r="C115" s="35" t="n"/>
      <c r="D115" s="25" t="n"/>
      <c r="E115" s="25" t="n"/>
      <c r="F115" s="25" t="n"/>
      <c r="G115" s="25" t="n"/>
      <c r="H115" s="25" t="n"/>
      <c r="I115" s="25" t="n"/>
      <c r="J115" s="25" t="n"/>
      <c r="K115" s="25" t="n"/>
      <c r="L115" s="35" t="n"/>
      <c r="M115" s="40">
        <f>IF(A115="","",IFERROR(INDEX(Applications!$B$2:$B$101,MATCH(A115,Applications!$A$2:$A$101,0))&amp;"",""))</f>
        <v/>
      </c>
      <c r="N115" s="41">
        <f>IF(A115="","",SUMPRODUCT(ISNUMBER(D115:K115)*($D$2:$K$2&gt;0)))</f>
        <v/>
      </c>
      <c r="O115" s="40">
        <f>IF(A115="","",IF(ISNA(MATCH(A115,Applications!$A$2:$A$101,0)),"Check ID",IF(ISNA(MATCH(B115,Settings!$C$13:$C$18,0)),"Check reviewer",IF(LEFT(C115,3)="Yes","Conflict, not counted",IF(COUNTIFS($A$3:A115,A115,$B$3:B115,B115)&gt;1,"Duplicate, not counted",IF(SUM($D$2:$K$2)=0,"Add weights on Rubric",IF(SUMPRODUCT(ISNUMBER(D115:K115)*((D115:K115&gt;4)+(D115:K115&lt;0)))&gt;0,"Check scores",IF(N115&lt;COUNTIF($D$2:$K$2,"&gt;0"),"Incomplete","Counted"))))))))</f>
        <v/>
      </c>
      <c r="P115" s="42">
        <f>IF(O115="Counted",ROUND(SUMPRODUCT(D115:K115,$D$2:$K$2)*100/(4*SUM($D$2:$K$2)),1),"")</f>
        <v/>
      </c>
      <c r="Q115" s="27">
        <f>IF(O115="Counted",1,0)</f>
        <v/>
      </c>
      <c r="R115" s="43">
        <f>IF(ISNUMBER(D115),D115,0)</f>
        <v/>
      </c>
      <c r="S115" s="43">
        <f>IF(ISNUMBER(E115),E115,0)</f>
        <v/>
      </c>
      <c r="T115" s="43">
        <f>IF(ISNUMBER(F115),F115,0)</f>
        <v/>
      </c>
      <c r="U115" s="43">
        <f>IF(ISNUMBER(G115),G115,0)</f>
        <v/>
      </c>
      <c r="V115" s="43">
        <f>IF(ISNUMBER(H115),H115,0)</f>
        <v/>
      </c>
      <c r="W115" s="43">
        <f>IF(ISNUMBER(I115),I115,0)</f>
        <v/>
      </c>
      <c r="X115" s="43">
        <f>IF(ISNUMBER(J115),J115,0)</f>
        <v/>
      </c>
      <c r="Y115" s="43">
        <f>IF(ISNUMBER(K115),K115,0)</f>
        <v/>
      </c>
    </row>
    <row r="116">
      <c r="A116" s="35" t="n"/>
      <c r="B116" s="35" t="n"/>
      <c r="C116" s="35" t="n"/>
      <c r="D116" s="25" t="n"/>
      <c r="E116" s="25" t="n"/>
      <c r="F116" s="25" t="n"/>
      <c r="G116" s="25" t="n"/>
      <c r="H116" s="25" t="n"/>
      <c r="I116" s="25" t="n"/>
      <c r="J116" s="25" t="n"/>
      <c r="K116" s="25" t="n"/>
      <c r="L116" s="35" t="n"/>
      <c r="M116" s="40">
        <f>IF(A116="","",IFERROR(INDEX(Applications!$B$2:$B$101,MATCH(A116,Applications!$A$2:$A$101,0))&amp;"",""))</f>
        <v/>
      </c>
      <c r="N116" s="41">
        <f>IF(A116="","",SUMPRODUCT(ISNUMBER(D116:K116)*($D$2:$K$2&gt;0)))</f>
        <v/>
      </c>
      <c r="O116" s="40">
        <f>IF(A116="","",IF(ISNA(MATCH(A116,Applications!$A$2:$A$101,0)),"Check ID",IF(ISNA(MATCH(B116,Settings!$C$13:$C$18,0)),"Check reviewer",IF(LEFT(C116,3)="Yes","Conflict, not counted",IF(COUNTIFS($A$3:A116,A116,$B$3:B116,B116)&gt;1,"Duplicate, not counted",IF(SUM($D$2:$K$2)=0,"Add weights on Rubric",IF(SUMPRODUCT(ISNUMBER(D116:K116)*((D116:K116&gt;4)+(D116:K116&lt;0)))&gt;0,"Check scores",IF(N116&lt;COUNTIF($D$2:$K$2,"&gt;0"),"Incomplete","Counted"))))))))</f>
        <v/>
      </c>
      <c r="P116" s="42">
        <f>IF(O116="Counted",ROUND(SUMPRODUCT(D116:K116,$D$2:$K$2)*100/(4*SUM($D$2:$K$2)),1),"")</f>
        <v/>
      </c>
      <c r="Q116" s="27">
        <f>IF(O116="Counted",1,0)</f>
        <v/>
      </c>
      <c r="R116" s="43">
        <f>IF(ISNUMBER(D116),D116,0)</f>
        <v/>
      </c>
      <c r="S116" s="43">
        <f>IF(ISNUMBER(E116),E116,0)</f>
        <v/>
      </c>
      <c r="T116" s="43">
        <f>IF(ISNUMBER(F116),F116,0)</f>
        <v/>
      </c>
      <c r="U116" s="43">
        <f>IF(ISNUMBER(G116),G116,0)</f>
        <v/>
      </c>
      <c r="V116" s="43">
        <f>IF(ISNUMBER(H116),H116,0)</f>
        <v/>
      </c>
      <c r="W116" s="43">
        <f>IF(ISNUMBER(I116),I116,0)</f>
        <v/>
      </c>
      <c r="X116" s="43">
        <f>IF(ISNUMBER(J116),J116,0)</f>
        <v/>
      </c>
      <c r="Y116" s="43">
        <f>IF(ISNUMBER(K116),K116,0)</f>
        <v/>
      </c>
    </row>
    <row r="117">
      <c r="A117" s="35" t="n"/>
      <c r="B117" s="35" t="n"/>
      <c r="C117" s="35" t="n"/>
      <c r="D117" s="25" t="n"/>
      <c r="E117" s="25" t="n"/>
      <c r="F117" s="25" t="n"/>
      <c r="G117" s="25" t="n"/>
      <c r="H117" s="25" t="n"/>
      <c r="I117" s="25" t="n"/>
      <c r="J117" s="25" t="n"/>
      <c r="K117" s="25" t="n"/>
      <c r="L117" s="35" t="n"/>
      <c r="M117" s="40">
        <f>IF(A117="","",IFERROR(INDEX(Applications!$B$2:$B$101,MATCH(A117,Applications!$A$2:$A$101,0))&amp;"",""))</f>
        <v/>
      </c>
      <c r="N117" s="41">
        <f>IF(A117="","",SUMPRODUCT(ISNUMBER(D117:K117)*($D$2:$K$2&gt;0)))</f>
        <v/>
      </c>
      <c r="O117" s="40">
        <f>IF(A117="","",IF(ISNA(MATCH(A117,Applications!$A$2:$A$101,0)),"Check ID",IF(ISNA(MATCH(B117,Settings!$C$13:$C$18,0)),"Check reviewer",IF(LEFT(C117,3)="Yes","Conflict, not counted",IF(COUNTIFS($A$3:A117,A117,$B$3:B117,B117)&gt;1,"Duplicate, not counted",IF(SUM($D$2:$K$2)=0,"Add weights on Rubric",IF(SUMPRODUCT(ISNUMBER(D117:K117)*((D117:K117&gt;4)+(D117:K117&lt;0)))&gt;0,"Check scores",IF(N117&lt;COUNTIF($D$2:$K$2,"&gt;0"),"Incomplete","Counted"))))))))</f>
        <v/>
      </c>
      <c r="P117" s="42">
        <f>IF(O117="Counted",ROUND(SUMPRODUCT(D117:K117,$D$2:$K$2)*100/(4*SUM($D$2:$K$2)),1),"")</f>
        <v/>
      </c>
      <c r="Q117" s="27">
        <f>IF(O117="Counted",1,0)</f>
        <v/>
      </c>
      <c r="R117" s="43">
        <f>IF(ISNUMBER(D117),D117,0)</f>
        <v/>
      </c>
      <c r="S117" s="43">
        <f>IF(ISNUMBER(E117),E117,0)</f>
        <v/>
      </c>
      <c r="T117" s="43">
        <f>IF(ISNUMBER(F117),F117,0)</f>
        <v/>
      </c>
      <c r="U117" s="43">
        <f>IF(ISNUMBER(G117),G117,0)</f>
        <v/>
      </c>
      <c r="V117" s="43">
        <f>IF(ISNUMBER(H117),H117,0)</f>
        <v/>
      </c>
      <c r="W117" s="43">
        <f>IF(ISNUMBER(I117),I117,0)</f>
        <v/>
      </c>
      <c r="X117" s="43">
        <f>IF(ISNUMBER(J117),J117,0)</f>
        <v/>
      </c>
      <c r="Y117" s="43">
        <f>IF(ISNUMBER(K117),K117,0)</f>
        <v/>
      </c>
    </row>
    <row r="118">
      <c r="A118" s="35" t="n"/>
      <c r="B118" s="35" t="n"/>
      <c r="C118" s="35" t="n"/>
      <c r="D118" s="25" t="n"/>
      <c r="E118" s="25" t="n"/>
      <c r="F118" s="25" t="n"/>
      <c r="G118" s="25" t="n"/>
      <c r="H118" s="25" t="n"/>
      <c r="I118" s="25" t="n"/>
      <c r="J118" s="25" t="n"/>
      <c r="K118" s="25" t="n"/>
      <c r="L118" s="35" t="n"/>
      <c r="M118" s="40">
        <f>IF(A118="","",IFERROR(INDEX(Applications!$B$2:$B$101,MATCH(A118,Applications!$A$2:$A$101,0))&amp;"",""))</f>
        <v/>
      </c>
      <c r="N118" s="41">
        <f>IF(A118="","",SUMPRODUCT(ISNUMBER(D118:K118)*($D$2:$K$2&gt;0)))</f>
        <v/>
      </c>
      <c r="O118" s="40">
        <f>IF(A118="","",IF(ISNA(MATCH(A118,Applications!$A$2:$A$101,0)),"Check ID",IF(ISNA(MATCH(B118,Settings!$C$13:$C$18,0)),"Check reviewer",IF(LEFT(C118,3)="Yes","Conflict, not counted",IF(COUNTIFS($A$3:A118,A118,$B$3:B118,B118)&gt;1,"Duplicate, not counted",IF(SUM($D$2:$K$2)=0,"Add weights on Rubric",IF(SUMPRODUCT(ISNUMBER(D118:K118)*((D118:K118&gt;4)+(D118:K118&lt;0)))&gt;0,"Check scores",IF(N118&lt;COUNTIF($D$2:$K$2,"&gt;0"),"Incomplete","Counted"))))))))</f>
        <v/>
      </c>
      <c r="P118" s="42">
        <f>IF(O118="Counted",ROUND(SUMPRODUCT(D118:K118,$D$2:$K$2)*100/(4*SUM($D$2:$K$2)),1),"")</f>
        <v/>
      </c>
      <c r="Q118" s="27">
        <f>IF(O118="Counted",1,0)</f>
        <v/>
      </c>
      <c r="R118" s="43">
        <f>IF(ISNUMBER(D118),D118,0)</f>
        <v/>
      </c>
      <c r="S118" s="43">
        <f>IF(ISNUMBER(E118),E118,0)</f>
        <v/>
      </c>
      <c r="T118" s="43">
        <f>IF(ISNUMBER(F118),F118,0)</f>
        <v/>
      </c>
      <c r="U118" s="43">
        <f>IF(ISNUMBER(G118),G118,0)</f>
        <v/>
      </c>
      <c r="V118" s="43">
        <f>IF(ISNUMBER(H118),H118,0)</f>
        <v/>
      </c>
      <c r="W118" s="43">
        <f>IF(ISNUMBER(I118),I118,0)</f>
        <v/>
      </c>
      <c r="X118" s="43">
        <f>IF(ISNUMBER(J118),J118,0)</f>
        <v/>
      </c>
      <c r="Y118" s="43">
        <f>IF(ISNUMBER(K118),K118,0)</f>
        <v/>
      </c>
    </row>
    <row r="119">
      <c r="A119" s="35" t="n"/>
      <c r="B119" s="35" t="n"/>
      <c r="C119" s="35" t="n"/>
      <c r="D119" s="25" t="n"/>
      <c r="E119" s="25" t="n"/>
      <c r="F119" s="25" t="n"/>
      <c r="G119" s="25" t="n"/>
      <c r="H119" s="25" t="n"/>
      <c r="I119" s="25" t="n"/>
      <c r="J119" s="25" t="n"/>
      <c r="K119" s="25" t="n"/>
      <c r="L119" s="35" t="n"/>
      <c r="M119" s="40">
        <f>IF(A119="","",IFERROR(INDEX(Applications!$B$2:$B$101,MATCH(A119,Applications!$A$2:$A$101,0))&amp;"",""))</f>
        <v/>
      </c>
      <c r="N119" s="41">
        <f>IF(A119="","",SUMPRODUCT(ISNUMBER(D119:K119)*($D$2:$K$2&gt;0)))</f>
        <v/>
      </c>
      <c r="O119" s="40">
        <f>IF(A119="","",IF(ISNA(MATCH(A119,Applications!$A$2:$A$101,0)),"Check ID",IF(ISNA(MATCH(B119,Settings!$C$13:$C$18,0)),"Check reviewer",IF(LEFT(C119,3)="Yes","Conflict, not counted",IF(COUNTIFS($A$3:A119,A119,$B$3:B119,B119)&gt;1,"Duplicate, not counted",IF(SUM($D$2:$K$2)=0,"Add weights on Rubric",IF(SUMPRODUCT(ISNUMBER(D119:K119)*((D119:K119&gt;4)+(D119:K119&lt;0)))&gt;0,"Check scores",IF(N119&lt;COUNTIF($D$2:$K$2,"&gt;0"),"Incomplete","Counted"))))))))</f>
        <v/>
      </c>
      <c r="P119" s="42">
        <f>IF(O119="Counted",ROUND(SUMPRODUCT(D119:K119,$D$2:$K$2)*100/(4*SUM($D$2:$K$2)),1),"")</f>
        <v/>
      </c>
      <c r="Q119" s="27">
        <f>IF(O119="Counted",1,0)</f>
        <v/>
      </c>
      <c r="R119" s="43">
        <f>IF(ISNUMBER(D119),D119,0)</f>
        <v/>
      </c>
      <c r="S119" s="43">
        <f>IF(ISNUMBER(E119),E119,0)</f>
        <v/>
      </c>
      <c r="T119" s="43">
        <f>IF(ISNUMBER(F119),F119,0)</f>
        <v/>
      </c>
      <c r="U119" s="43">
        <f>IF(ISNUMBER(G119),G119,0)</f>
        <v/>
      </c>
      <c r="V119" s="43">
        <f>IF(ISNUMBER(H119),H119,0)</f>
        <v/>
      </c>
      <c r="W119" s="43">
        <f>IF(ISNUMBER(I119),I119,0)</f>
        <v/>
      </c>
      <c r="X119" s="43">
        <f>IF(ISNUMBER(J119),J119,0)</f>
        <v/>
      </c>
      <c r="Y119" s="43">
        <f>IF(ISNUMBER(K119),K119,0)</f>
        <v/>
      </c>
    </row>
    <row r="120">
      <c r="A120" s="35" t="n"/>
      <c r="B120" s="35" t="n"/>
      <c r="C120" s="35" t="n"/>
      <c r="D120" s="25" t="n"/>
      <c r="E120" s="25" t="n"/>
      <c r="F120" s="25" t="n"/>
      <c r="G120" s="25" t="n"/>
      <c r="H120" s="25" t="n"/>
      <c r="I120" s="25" t="n"/>
      <c r="J120" s="25" t="n"/>
      <c r="K120" s="25" t="n"/>
      <c r="L120" s="35" t="n"/>
      <c r="M120" s="40">
        <f>IF(A120="","",IFERROR(INDEX(Applications!$B$2:$B$101,MATCH(A120,Applications!$A$2:$A$101,0))&amp;"",""))</f>
        <v/>
      </c>
      <c r="N120" s="41">
        <f>IF(A120="","",SUMPRODUCT(ISNUMBER(D120:K120)*($D$2:$K$2&gt;0)))</f>
        <v/>
      </c>
      <c r="O120" s="40">
        <f>IF(A120="","",IF(ISNA(MATCH(A120,Applications!$A$2:$A$101,0)),"Check ID",IF(ISNA(MATCH(B120,Settings!$C$13:$C$18,0)),"Check reviewer",IF(LEFT(C120,3)="Yes","Conflict, not counted",IF(COUNTIFS($A$3:A120,A120,$B$3:B120,B120)&gt;1,"Duplicate, not counted",IF(SUM($D$2:$K$2)=0,"Add weights on Rubric",IF(SUMPRODUCT(ISNUMBER(D120:K120)*((D120:K120&gt;4)+(D120:K120&lt;0)))&gt;0,"Check scores",IF(N120&lt;COUNTIF($D$2:$K$2,"&gt;0"),"Incomplete","Counted"))))))))</f>
        <v/>
      </c>
      <c r="P120" s="42">
        <f>IF(O120="Counted",ROUND(SUMPRODUCT(D120:K120,$D$2:$K$2)*100/(4*SUM($D$2:$K$2)),1),"")</f>
        <v/>
      </c>
      <c r="Q120" s="27">
        <f>IF(O120="Counted",1,0)</f>
        <v/>
      </c>
      <c r="R120" s="43">
        <f>IF(ISNUMBER(D120),D120,0)</f>
        <v/>
      </c>
      <c r="S120" s="43">
        <f>IF(ISNUMBER(E120),E120,0)</f>
        <v/>
      </c>
      <c r="T120" s="43">
        <f>IF(ISNUMBER(F120),F120,0)</f>
        <v/>
      </c>
      <c r="U120" s="43">
        <f>IF(ISNUMBER(G120),G120,0)</f>
        <v/>
      </c>
      <c r="V120" s="43">
        <f>IF(ISNUMBER(H120),H120,0)</f>
        <v/>
      </c>
      <c r="W120" s="43">
        <f>IF(ISNUMBER(I120),I120,0)</f>
        <v/>
      </c>
      <c r="X120" s="43">
        <f>IF(ISNUMBER(J120),J120,0)</f>
        <v/>
      </c>
      <c r="Y120" s="43">
        <f>IF(ISNUMBER(K120),K120,0)</f>
        <v/>
      </c>
    </row>
    <row r="121">
      <c r="A121" s="35" t="n"/>
      <c r="B121" s="35" t="n"/>
      <c r="C121" s="35" t="n"/>
      <c r="D121" s="25" t="n"/>
      <c r="E121" s="25" t="n"/>
      <c r="F121" s="25" t="n"/>
      <c r="G121" s="25" t="n"/>
      <c r="H121" s="25" t="n"/>
      <c r="I121" s="25" t="n"/>
      <c r="J121" s="25" t="n"/>
      <c r="K121" s="25" t="n"/>
      <c r="L121" s="35" t="n"/>
      <c r="M121" s="40">
        <f>IF(A121="","",IFERROR(INDEX(Applications!$B$2:$B$101,MATCH(A121,Applications!$A$2:$A$101,0))&amp;"",""))</f>
        <v/>
      </c>
      <c r="N121" s="41">
        <f>IF(A121="","",SUMPRODUCT(ISNUMBER(D121:K121)*($D$2:$K$2&gt;0)))</f>
        <v/>
      </c>
      <c r="O121" s="40">
        <f>IF(A121="","",IF(ISNA(MATCH(A121,Applications!$A$2:$A$101,0)),"Check ID",IF(ISNA(MATCH(B121,Settings!$C$13:$C$18,0)),"Check reviewer",IF(LEFT(C121,3)="Yes","Conflict, not counted",IF(COUNTIFS($A$3:A121,A121,$B$3:B121,B121)&gt;1,"Duplicate, not counted",IF(SUM($D$2:$K$2)=0,"Add weights on Rubric",IF(SUMPRODUCT(ISNUMBER(D121:K121)*((D121:K121&gt;4)+(D121:K121&lt;0)))&gt;0,"Check scores",IF(N121&lt;COUNTIF($D$2:$K$2,"&gt;0"),"Incomplete","Counted"))))))))</f>
        <v/>
      </c>
      <c r="P121" s="42">
        <f>IF(O121="Counted",ROUND(SUMPRODUCT(D121:K121,$D$2:$K$2)*100/(4*SUM($D$2:$K$2)),1),"")</f>
        <v/>
      </c>
      <c r="Q121" s="27">
        <f>IF(O121="Counted",1,0)</f>
        <v/>
      </c>
      <c r="R121" s="43">
        <f>IF(ISNUMBER(D121),D121,0)</f>
        <v/>
      </c>
      <c r="S121" s="43">
        <f>IF(ISNUMBER(E121),E121,0)</f>
        <v/>
      </c>
      <c r="T121" s="43">
        <f>IF(ISNUMBER(F121),F121,0)</f>
        <v/>
      </c>
      <c r="U121" s="43">
        <f>IF(ISNUMBER(G121),G121,0)</f>
        <v/>
      </c>
      <c r="V121" s="43">
        <f>IF(ISNUMBER(H121),H121,0)</f>
        <v/>
      </c>
      <c r="W121" s="43">
        <f>IF(ISNUMBER(I121),I121,0)</f>
        <v/>
      </c>
      <c r="X121" s="43">
        <f>IF(ISNUMBER(J121),J121,0)</f>
        <v/>
      </c>
      <c r="Y121" s="43">
        <f>IF(ISNUMBER(K121),K121,0)</f>
        <v/>
      </c>
    </row>
    <row r="122">
      <c r="A122" s="35" t="n"/>
      <c r="B122" s="35" t="n"/>
      <c r="C122" s="35" t="n"/>
      <c r="D122" s="25" t="n"/>
      <c r="E122" s="25" t="n"/>
      <c r="F122" s="25" t="n"/>
      <c r="G122" s="25" t="n"/>
      <c r="H122" s="25" t="n"/>
      <c r="I122" s="25" t="n"/>
      <c r="J122" s="25" t="n"/>
      <c r="K122" s="25" t="n"/>
      <c r="L122" s="35" t="n"/>
      <c r="M122" s="40">
        <f>IF(A122="","",IFERROR(INDEX(Applications!$B$2:$B$101,MATCH(A122,Applications!$A$2:$A$101,0))&amp;"",""))</f>
        <v/>
      </c>
      <c r="N122" s="41">
        <f>IF(A122="","",SUMPRODUCT(ISNUMBER(D122:K122)*($D$2:$K$2&gt;0)))</f>
        <v/>
      </c>
      <c r="O122" s="40">
        <f>IF(A122="","",IF(ISNA(MATCH(A122,Applications!$A$2:$A$101,0)),"Check ID",IF(ISNA(MATCH(B122,Settings!$C$13:$C$18,0)),"Check reviewer",IF(LEFT(C122,3)="Yes","Conflict, not counted",IF(COUNTIFS($A$3:A122,A122,$B$3:B122,B122)&gt;1,"Duplicate, not counted",IF(SUM($D$2:$K$2)=0,"Add weights on Rubric",IF(SUMPRODUCT(ISNUMBER(D122:K122)*((D122:K122&gt;4)+(D122:K122&lt;0)))&gt;0,"Check scores",IF(N122&lt;COUNTIF($D$2:$K$2,"&gt;0"),"Incomplete","Counted"))))))))</f>
        <v/>
      </c>
      <c r="P122" s="42">
        <f>IF(O122="Counted",ROUND(SUMPRODUCT(D122:K122,$D$2:$K$2)*100/(4*SUM($D$2:$K$2)),1),"")</f>
        <v/>
      </c>
      <c r="Q122" s="27">
        <f>IF(O122="Counted",1,0)</f>
        <v/>
      </c>
      <c r="R122" s="43">
        <f>IF(ISNUMBER(D122),D122,0)</f>
        <v/>
      </c>
      <c r="S122" s="43">
        <f>IF(ISNUMBER(E122),E122,0)</f>
        <v/>
      </c>
      <c r="T122" s="43">
        <f>IF(ISNUMBER(F122),F122,0)</f>
        <v/>
      </c>
      <c r="U122" s="43">
        <f>IF(ISNUMBER(G122),G122,0)</f>
        <v/>
      </c>
      <c r="V122" s="43">
        <f>IF(ISNUMBER(H122),H122,0)</f>
        <v/>
      </c>
      <c r="W122" s="43">
        <f>IF(ISNUMBER(I122),I122,0)</f>
        <v/>
      </c>
      <c r="X122" s="43">
        <f>IF(ISNUMBER(J122),J122,0)</f>
        <v/>
      </c>
      <c r="Y122" s="43">
        <f>IF(ISNUMBER(K122),K122,0)</f>
        <v/>
      </c>
    </row>
    <row r="123">
      <c r="A123" s="35" t="n"/>
      <c r="B123" s="35" t="n"/>
      <c r="C123" s="35" t="n"/>
      <c r="D123" s="25" t="n"/>
      <c r="E123" s="25" t="n"/>
      <c r="F123" s="25" t="n"/>
      <c r="G123" s="25" t="n"/>
      <c r="H123" s="25" t="n"/>
      <c r="I123" s="25" t="n"/>
      <c r="J123" s="25" t="n"/>
      <c r="K123" s="25" t="n"/>
      <c r="L123" s="35" t="n"/>
      <c r="M123" s="40">
        <f>IF(A123="","",IFERROR(INDEX(Applications!$B$2:$B$101,MATCH(A123,Applications!$A$2:$A$101,0))&amp;"",""))</f>
        <v/>
      </c>
      <c r="N123" s="41">
        <f>IF(A123="","",SUMPRODUCT(ISNUMBER(D123:K123)*($D$2:$K$2&gt;0)))</f>
        <v/>
      </c>
      <c r="O123" s="40">
        <f>IF(A123="","",IF(ISNA(MATCH(A123,Applications!$A$2:$A$101,0)),"Check ID",IF(ISNA(MATCH(B123,Settings!$C$13:$C$18,0)),"Check reviewer",IF(LEFT(C123,3)="Yes","Conflict, not counted",IF(COUNTIFS($A$3:A123,A123,$B$3:B123,B123)&gt;1,"Duplicate, not counted",IF(SUM($D$2:$K$2)=0,"Add weights on Rubric",IF(SUMPRODUCT(ISNUMBER(D123:K123)*((D123:K123&gt;4)+(D123:K123&lt;0)))&gt;0,"Check scores",IF(N123&lt;COUNTIF($D$2:$K$2,"&gt;0"),"Incomplete","Counted"))))))))</f>
        <v/>
      </c>
      <c r="P123" s="42">
        <f>IF(O123="Counted",ROUND(SUMPRODUCT(D123:K123,$D$2:$K$2)*100/(4*SUM($D$2:$K$2)),1),"")</f>
        <v/>
      </c>
      <c r="Q123" s="27">
        <f>IF(O123="Counted",1,0)</f>
        <v/>
      </c>
      <c r="R123" s="43">
        <f>IF(ISNUMBER(D123),D123,0)</f>
        <v/>
      </c>
      <c r="S123" s="43">
        <f>IF(ISNUMBER(E123),E123,0)</f>
        <v/>
      </c>
      <c r="T123" s="43">
        <f>IF(ISNUMBER(F123),F123,0)</f>
        <v/>
      </c>
      <c r="U123" s="43">
        <f>IF(ISNUMBER(G123),G123,0)</f>
        <v/>
      </c>
      <c r="V123" s="43">
        <f>IF(ISNUMBER(H123),H123,0)</f>
        <v/>
      </c>
      <c r="W123" s="43">
        <f>IF(ISNUMBER(I123),I123,0)</f>
        <v/>
      </c>
      <c r="X123" s="43">
        <f>IF(ISNUMBER(J123),J123,0)</f>
        <v/>
      </c>
      <c r="Y123" s="43">
        <f>IF(ISNUMBER(K123),K123,0)</f>
        <v/>
      </c>
    </row>
    <row r="124">
      <c r="A124" s="35" t="n"/>
      <c r="B124" s="35" t="n"/>
      <c r="C124" s="35" t="n"/>
      <c r="D124" s="25" t="n"/>
      <c r="E124" s="25" t="n"/>
      <c r="F124" s="25" t="n"/>
      <c r="G124" s="25" t="n"/>
      <c r="H124" s="25" t="n"/>
      <c r="I124" s="25" t="n"/>
      <c r="J124" s="25" t="n"/>
      <c r="K124" s="25" t="n"/>
      <c r="L124" s="35" t="n"/>
      <c r="M124" s="40">
        <f>IF(A124="","",IFERROR(INDEX(Applications!$B$2:$B$101,MATCH(A124,Applications!$A$2:$A$101,0))&amp;"",""))</f>
        <v/>
      </c>
      <c r="N124" s="41">
        <f>IF(A124="","",SUMPRODUCT(ISNUMBER(D124:K124)*($D$2:$K$2&gt;0)))</f>
        <v/>
      </c>
      <c r="O124" s="40">
        <f>IF(A124="","",IF(ISNA(MATCH(A124,Applications!$A$2:$A$101,0)),"Check ID",IF(ISNA(MATCH(B124,Settings!$C$13:$C$18,0)),"Check reviewer",IF(LEFT(C124,3)="Yes","Conflict, not counted",IF(COUNTIFS($A$3:A124,A124,$B$3:B124,B124)&gt;1,"Duplicate, not counted",IF(SUM($D$2:$K$2)=0,"Add weights on Rubric",IF(SUMPRODUCT(ISNUMBER(D124:K124)*((D124:K124&gt;4)+(D124:K124&lt;0)))&gt;0,"Check scores",IF(N124&lt;COUNTIF($D$2:$K$2,"&gt;0"),"Incomplete","Counted"))))))))</f>
        <v/>
      </c>
      <c r="P124" s="42">
        <f>IF(O124="Counted",ROUND(SUMPRODUCT(D124:K124,$D$2:$K$2)*100/(4*SUM($D$2:$K$2)),1),"")</f>
        <v/>
      </c>
      <c r="Q124" s="27">
        <f>IF(O124="Counted",1,0)</f>
        <v/>
      </c>
      <c r="R124" s="43">
        <f>IF(ISNUMBER(D124),D124,0)</f>
        <v/>
      </c>
      <c r="S124" s="43">
        <f>IF(ISNUMBER(E124),E124,0)</f>
        <v/>
      </c>
      <c r="T124" s="43">
        <f>IF(ISNUMBER(F124),F124,0)</f>
        <v/>
      </c>
      <c r="U124" s="43">
        <f>IF(ISNUMBER(G124),G124,0)</f>
        <v/>
      </c>
      <c r="V124" s="43">
        <f>IF(ISNUMBER(H124),H124,0)</f>
        <v/>
      </c>
      <c r="W124" s="43">
        <f>IF(ISNUMBER(I124),I124,0)</f>
        <v/>
      </c>
      <c r="X124" s="43">
        <f>IF(ISNUMBER(J124),J124,0)</f>
        <v/>
      </c>
      <c r="Y124" s="43">
        <f>IF(ISNUMBER(K124),K124,0)</f>
        <v/>
      </c>
    </row>
    <row r="125">
      <c r="A125" s="35" t="n"/>
      <c r="B125" s="35" t="n"/>
      <c r="C125" s="35" t="n"/>
      <c r="D125" s="25" t="n"/>
      <c r="E125" s="25" t="n"/>
      <c r="F125" s="25" t="n"/>
      <c r="G125" s="25" t="n"/>
      <c r="H125" s="25" t="n"/>
      <c r="I125" s="25" t="n"/>
      <c r="J125" s="25" t="n"/>
      <c r="K125" s="25" t="n"/>
      <c r="L125" s="35" t="n"/>
      <c r="M125" s="40">
        <f>IF(A125="","",IFERROR(INDEX(Applications!$B$2:$B$101,MATCH(A125,Applications!$A$2:$A$101,0))&amp;"",""))</f>
        <v/>
      </c>
      <c r="N125" s="41">
        <f>IF(A125="","",SUMPRODUCT(ISNUMBER(D125:K125)*($D$2:$K$2&gt;0)))</f>
        <v/>
      </c>
      <c r="O125" s="40">
        <f>IF(A125="","",IF(ISNA(MATCH(A125,Applications!$A$2:$A$101,0)),"Check ID",IF(ISNA(MATCH(B125,Settings!$C$13:$C$18,0)),"Check reviewer",IF(LEFT(C125,3)="Yes","Conflict, not counted",IF(COUNTIFS($A$3:A125,A125,$B$3:B125,B125)&gt;1,"Duplicate, not counted",IF(SUM($D$2:$K$2)=0,"Add weights on Rubric",IF(SUMPRODUCT(ISNUMBER(D125:K125)*((D125:K125&gt;4)+(D125:K125&lt;0)))&gt;0,"Check scores",IF(N125&lt;COUNTIF($D$2:$K$2,"&gt;0"),"Incomplete","Counted"))))))))</f>
        <v/>
      </c>
      <c r="P125" s="42">
        <f>IF(O125="Counted",ROUND(SUMPRODUCT(D125:K125,$D$2:$K$2)*100/(4*SUM($D$2:$K$2)),1),"")</f>
        <v/>
      </c>
      <c r="Q125" s="27">
        <f>IF(O125="Counted",1,0)</f>
        <v/>
      </c>
      <c r="R125" s="43">
        <f>IF(ISNUMBER(D125),D125,0)</f>
        <v/>
      </c>
      <c r="S125" s="43">
        <f>IF(ISNUMBER(E125),E125,0)</f>
        <v/>
      </c>
      <c r="T125" s="43">
        <f>IF(ISNUMBER(F125),F125,0)</f>
        <v/>
      </c>
      <c r="U125" s="43">
        <f>IF(ISNUMBER(G125),G125,0)</f>
        <v/>
      </c>
      <c r="V125" s="43">
        <f>IF(ISNUMBER(H125),H125,0)</f>
        <v/>
      </c>
      <c r="W125" s="43">
        <f>IF(ISNUMBER(I125),I125,0)</f>
        <v/>
      </c>
      <c r="X125" s="43">
        <f>IF(ISNUMBER(J125),J125,0)</f>
        <v/>
      </c>
      <c r="Y125" s="43">
        <f>IF(ISNUMBER(K125),K125,0)</f>
        <v/>
      </c>
    </row>
    <row r="126">
      <c r="A126" s="35" t="n"/>
      <c r="B126" s="35" t="n"/>
      <c r="C126" s="35" t="n"/>
      <c r="D126" s="25" t="n"/>
      <c r="E126" s="25" t="n"/>
      <c r="F126" s="25" t="n"/>
      <c r="G126" s="25" t="n"/>
      <c r="H126" s="25" t="n"/>
      <c r="I126" s="25" t="n"/>
      <c r="J126" s="25" t="n"/>
      <c r="K126" s="25" t="n"/>
      <c r="L126" s="35" t="n"/>
      <c r="M126" s="40">
        <f>IF(A126="","",IFERROR(INDEX(Applications!$B$2:$B$101,MATCH(A126,Applications!$A$2:$A$101,0))&amp;"",""))</f>
        <v/>
      </c>
      <c r="N126" s="41">
        <f>IF(A126="","",SUMPRODUCT(ISNUMBER(D126:K126)*($D$2:$K$2&gt;0)))</f>
        <v/>
      </c>
      <c r="O126" s="40">
        <f>IF(A126="","",IF(ISNA(MATCH(A126,Applications!$A$2:$A$101,0)),"Check ID",IF(ISNA(MATCH(B126,Settings!$C$13:$C$18,0)),"Check reviewer",IF(LEFT(C126,3)="Yes","Conflict, not counted",IF(COUNTIFS($A$3:A126,A126,$B$3:B126,B126)&gt;1,"Duplicate, not counted",IF(SUM($D$2:$K$2)=0,"Add weights on Rubric",IF(SUMPRODUCT(ISNUMBER(D126:K126)*((D126:K126&gt;4)+(D126:K126&lt;0)))&gt;0,"Check scores",IF(N126&lt;COUNTIF($D$2:$K$2,"&gt;0"),"Incomplete","Counted"))))))))</f>
        <v/>
      </c>
      <c r="P126" s="42">
        <f>IF(O126="Counted",ROUND(SUMPRODUCT(D126:K126,$D$2:$K$2)*100/(4*SUM($D$2:$K$2)),1),"")</f>
        <v/>
      </c>
      <c r="Q126" s="27">
        <f>IF(O126="Counted",1,0)</f>
        <v/>
      </c>
      <c r="R126" s="43">
        <f>IF(ISNUMBER(D126),D126,0)</f>
        <v/>
      </c>
      <c r="S126" s="43">
        <f>IF(ISNUMBER(E126),E126,0)</f>
        <v/>
      </c>
      <c r="T126" s="43">
        <f>IF(ISNUMBER(F126),F126,0)</f>
        <v/>
      </c>
      <c r="U126" s="43">
        <f>IF(ISNUMBER(G126),G126,0)</f>
        <v/>
      </c>
      <c r="V126" s="43">
        <f>IF(ISNUMBER(H126),H126,0)</f>
        <v/>
      </c>
      <c r="W126" s="43">
        <f>IF(ISNUMBER(I126),I126,0)</f>
        <v/>
      </c>
      <c r="X126" s="43">
        <f>IF(ISNUMBER(J126),J126,0)</f>
        <v/>
      </c>
      <c r="Y126" s="43">
        <f>IF(ISNUMBER(K126),K126,0)</f>
        <v/>
      </c>
    </row>
    <row r="127">
      <c r="A127" s="35" t="n"/>
      <c r="B127" s="35" t="n"/>
      <c r="C127" s="35" t="n"/>
      <c r="D127" s="25" t="n"/>
      <c r="E127" s="25" t="n"/>
      <c r="F127" s="25" t="n"/>
      <c r="G127" s="25" t="n"/>
      <c r="H127" s="25" t="n"/>
      <c r="I127" s="25" t="n"/>
      <c r="J127" s="25" t="n"/>
      <c r="K127" s="25" t="n"/>
      <c r="L127" s="35" t="n"/>
      <c r="M127" s="40">
        <f>IF(A127="","",IFERROR(INDEX(Applications!$B$2:$B$101,MATCH(A127,Applications!$A$2:$A$101,0))&amp;"",""))</f>
        <v/>
      </c>
      <c r="N127" s="41">
        <f>IF(A127="","",SUMPRODUCT(ISNUMBER(D127:K127)*($D$2:$K$2&gt;0)))</f>
        <v/>
      </c>
      <c r="O127" s="40">
        <f>IF(A127="","",IF(ISNA(MATCH(A127,Applications!$A$2:$A$101,0)),"Check ID",IF(ISNA(MATCH(B127,Settings!$C$13:$C$18,0)),"Check reviewer",IF(LEFT(C127,3)="Yes","Conflict, not counted",IF(COUNTIFS($A$3:A127,A127,$B$3:B127,B127)&gt;1,"Duplicate, not counted",IF(SUM($D$2:$K$2)=0,"Add weights on Rubric",IF(SUMPRODUCT(ISNUMBER(D127:K127)*((D127:K127&gt;4)+(D127:K127&lt;0)))&gt;0,"Check scores",IF(N127&lt;COUNTIF($D$2:$K$2,"&gt;0"),"Incomplete","Counted"))))))))</f>
        <v/>
      </c>
      <c r="P127" s="42">
        <f>IF(O127="Counted",ROUND(SUMPRODUCT(D127:K127,$D$2:$K$2)*100/(4*SUM($D$2:$K$2)),1),"")</f>
        <v/>
      </c>
      <c r="Q127" s="27">
        <f>IF(O127="Counted",1,0)</f>
        <v/>
      </c>
      <c r="R127" s="43">
        <f>IF(ISNUMBER(D127),D127,0)</f>
        <v/>
      </c>
      <c r="S127" s="43">
        <f>IF(ISNUMBER(E127),E127,0)</f>
        <v/>
      </c>
      <c r="T127" s="43">
        <f>IF(ISNUMBER(F127),F127,0)</f>
        <v/>
      </c>
      <c r="U127" s="43">
        <f>IF(ISNUMBER(G127),G127,0)</f>
        <v/>
      </c>
      <c r="V127" s="43">
        <f>IF(ISNUMBER(H127),H127,0)</f>
        <v/>
      </c>
      <c r="W127" s="43">
        <f>IF(ISNUMBER(I127),I127,0)</f>
        <v/>
      </c>
      <c r="X127" s="43">
        <f>IF(ISNUMBER(J127),J127,0)</f>
        <v/>
      </c>
      <c r="Y127" s="43">
        <f>IF(ISNUMBER(K127),K127,0)</f>
        <v/>
      </c>
    </row>
    <row r="128">
      <c r="A128" s="35" t="n"/>
      <c r="B128" s="35" t="n"/>
      <c r="C128" s="35" t="n"/>
      <c r="D128" s="25" t="n"/>
      <c r="E128" s="25" t="n"/>
      <c r="F128" s="25" t="n"/>
      <c r="G128" s="25" t="n"/>
      <c r="H128" s="25" t="n"/>
      <c r="I128" s="25" t="n"/>
      <c r="J128" s="25" t="n"/>
      <c r="K128" s="25" t="n"/>
      <c r="L128" s="35" t="n"/>
      <c r="M128" s="40">
        <f>IF(A128="","",IFERROR(INDEX(Applications!$B$2:$B$101,MATCH(A128,Applications!$A$2:$A$101,0))&amp;"",""))</f>
        <v/>
      </c>
      <c r="N128" s="41">
        <f>IF(A128="","",SUMPRODUCT(ISNUMBER(D128:K128)*($D$2:$K$2&gt;0)))</f>
        <v/>
      </c>
      <c r="O128" s="40">
        <f>IF(A128="","",IF(ISNA(MATCH(A128,Applications!$A$2:$A$101,0)),"Check ID",IF(ISNA(MATCH(B128,Settings!$C$13:$C$18,0)),"Check reviewer",IF(LEFT(C128,3)="Yes","Conflict, not counted",IF(COUNTIFS($A$3:A128,A128,$B$3:B128,B128)&gt;1,"Duplicate, not counted",IF(SUM($D$2:$K$2)=0,"Add weights on Rubric",IF(SUMPRODUCT(ISNUMBER(D128:K128)*((D128:K128&gt;4)+(D128:K128&lt;0)))&gt;0,"Check scores",IF(N128&lt;COUNTIF($D$2:$K$2,"&gt;0"),"Incomplete","Counted"))))))))</f>
        <v/>
      </c>
      <c r="P128" s="42">
        <f>IF(O128="Counted",ROUND(SUMPRODUCT(D128:K128,$D$2:$K$2)*100/(4*SUM($D$2:$K$2)),1),"")</f>
        <v/>
      </c>
      <c r="Q128" s="27">
        <f>IF(O128="Counted",1,0)</f>
        <v/>
      </c>
      <c r="R128" s="43">
        <f>IF(ISNUMBER(D128),D128,0)</f>
        <v/>
      </c>
      <c r="S128" s="43">
        <f>IF(ISNUMBER(E128),E128,0)</f>
        <v/>
      </c>
      <c r="T128" s="43">
        <f>IF(ISNUMBER(F128),F128,0)</f>
        <v/>
      </c>
      <c r="U128" s="43">
        <f>IF(ISNUMBER(G128),G128,0)</f>
        <v/>
      </c>
      <c r="V128" s="43">
        <f>IF(ISNUMBER(H128),H128,0)</f>
        <v/>
      </c>
      <c r="W128" s="43">
        <f>IF(ISNUMBER(I128),I128,0)</f>
        <v/>
      </c>
      <c r="X128" s="43">
        <f>IF(ISNUMBER(J128),J128,0)</f>
        <v/>
      </c>
      <c r="Y128" s="43">
        <f>IF(ISNUMBER(K128),K128,0)</f>
        <v/>
      </c>
    </row>
    <row r="129">
      <c r="A129" s="35" t="n"/>
      <c r="B129" s="35" t="n"/>
      <c r="C129" s="35" t="n"/>
      <c r="D129" s="25" t="n"/>
      <c r="E129" s="25" t="n"/>
      <c r="F129" s="25" t="n"/>
      <c r="G129" s="25" t="n"/>
      <c r="H129" s="25" t="n"/>
      <c r="I129" s="25" t="n"/>
      <c r="J129" s="25" t="n"/>
      <c r="K129" s="25" t="n"/>
      <c r="L129" s="35" t="n"/>
      <c r="M129" s="40">
        <f>IF(A129="","",IFERROR(INDEX(Applications!$B$2:$B$101,MATCH(A129,Applications!$A$2:$A$101,0))&amp;"",""))</f>
        <v/>
      </c>
      <c r="N129" s="41">
        <f>IF(A129="","",SUMPRODUCT(ISNUMBER(D129:K129)*($D$2:$K$2&gt;0)))</f>
        <v/>
      </c>
      <c r="O129" s="40">
        <f>IF(A129="","",IF(ISNA(MATCH(A129,Applications!$A$2:$A$101,0)),"Check ID",IF(ISNA(MATCH(B129,Settings!$C$13:$C$18,0)),"Check reviewer",IF(LEFT(C129,3)="Yes","Conflict, not counted",IF(COUNTIFS($A$3:A129,A129,$B$3:B129,B129)&gt;1,"Duplicate, not counted",IF(SUM($D$2:$K$2)=0,"Add weights on Rubric",IF(SUMPRODUCT(ISNUMBER(D129:K129)*((D129:K129&gt;4)+(D129:K129&lt;0)))&gt;0,"Check scores",IF(N129&lt;COUNTIF($D$2:$K$2,"&gt;0"),"Incomplete","Counted"))))))))</f>
        <v/>
      </c>
      <c r="P129" s="42">
        <f>IF(O129="Counted",ROUND(SUMPRODUCT(D129:K129,$D$2:$K$2)*100/(4*SUM($D$2:$K$2)),1),"")</f>
        <v/>
      </c>
      <c r="Q129" s="27">
        <f>IF(O129="Counted",1,0)</f>
        <v/>
      </c>
      <c r="R129" s="43">
        <f>IF(ISNUMBER(D129),D129,0)</f>
        <v/>
      </c>
      <c r="S129" s="43">
        <f>IF(ISNUMBER(E129),E129,0)</f>
        <v/>
      </c>
      <c r="T129" s="43">
        <f>IF(ISNUMBER(F129),F129,0)</f>
        <v/>
      </c>
      <c r="U129" s="43">
        <f>IF(ISNUMBER(G129),G129,0)</f>
        <v/>
      </c>
      <c r="V129" s="43">
        <f>IF(ISNUMBER(H129),H129,0)</f>
        <v/>
      </c>
      <c r="W129" s="43">
        <f>IF(ISNUMBER(I129),I129,0)</f>
        <v/>
      </c>
      <c r="X129" s="43">
        <f>IF(ISNUMBER(J129),J129,0)</f>
        <v/>
      </c>
      <c r="Y129" s="43">
        <f>IF(ISNUMBER(K129),K129,0)</f>
        <v/>
      </c>
    </row>
    <row r="130">
      <c r="A130" s="35" t="n"/>
      <c r="B130" s="35" t="n"/>
      <c r="C130" s="35" t="n"/>
      <c r="D130" s="25" t="n"/>
      <c r="E130" s="25" t="n"/>
      <c r="F130" s="25" t="n"/>
      <c r="G130" s="25" t="n"/>
      <c r="H130" s="25" t="n"/>
      <c r="I130" s="25" t="n"/>
      <c r="J130" s="25" t="n"/>
      <c r="K130" s="25" t="n"/>
      <c r="L130" s="35" t="n"/>
      <c r="M130" s="40">
        <f>IF(A130="","",IFERROR(INDEX(Applications!$B$2:$B$101,MATCH(A130,Applications!$A$2:$A$101,0))&amp;"",""))</f>
        <v/>
      </c>
      <c r="N130" s="41">
        <f>IF(A130="","",SUMPRODUCT(ISNUMBER(D130:K130)*($D$2:$K$2&gt;0)))</f>
        <v/>
      </c>
      <c r="O130" s="40">
        <f>IF(A130="","",IF(ISNA(MATCH(A130,Applications!$A$2:$A$101,0)),"Check ID",IF(ISNA(MATCH(B130,Settings!$C$13:$C$18,0)),"Check reviewer",IF(LEFT(C130,3)="Yes","Conflict, not counted",IF(COUNTIFS($A$3:A130,A130,$B$3:B130,B130)&gt;1,"Duplicate, not counted",IF(SUM($D$2:$K$2)=0,"Add weights on Rubric",IF(SUMPRODUCT(ISNUMBER(D130:K130)*((D130:K130&gt;4)+(D130:K130&lt;0)))&gt;0,"Check scores",IF(N130&lt;COUNTIF($D$2:$K$2,"&gt;0"),"Incomplete","Counted"))))))))</f>
        <v/>
      </c>
      <c r="P130" s="42">
        <f>IF(O130="Counted",ROUND(SUMPRODUCT(D130:K130,$D$2:$K$2)*100/(4*SUM($D$2:$K$2)),1),"")</f>
        <v/>
      </c>
      <c r="Q130" s="27">
        <f>IF(O130="Counted",1,0)</f>
        <v/>
      </c>
      <c r="R130" s="43">
        <f>IF(ISNUMBER(D130),D130,0)</f>
        <v/>
      </c>
      <c r="S130" s="43">
        <f>IF(ISNUMBER(E130),E130,0)</f>
        <v/>
      </c>
      <c r="T130" s="43">
        <f>IF(ISNUMBER(F130),F130,0)</f>
        <v/>
      </c>
      <c r="U130" s="43">
        <f>IF(ISNUMBER(G130),G130,0)</f>
        <v/>
      </c>
      <c r="V130" s="43">
        <f>IF(ISNUMBER(H130),H130,0)</f>
        <v/>
      </c>
      <c r="W130" s="43">
        <f>IF(ISNUMBER(I130),I130,0)</f>
        <v/>
      </c>
      <c r="X130" s="43">
        <f>IF(ISNUMBER(J130),J130,0)</f>
        <v/>
      </c>
      <c r="Y130" s="43">
        <f>IF(ISNUMBER(K130),K130,0)</f>
        <v/>
      </c>
    </row>
    <row r="131">
      <c r="A131" s="35" t="n"/>
      <c r="B131" s="35" t="n"/>
      <c r="C131" s="35" t="n"/>
      <c r="D131" s="25" t="n"/>
      <c r="E131" s="25" t="n"/>
      <c r="F131" s="25" t="n"/>
      <c r="G131" s="25" t="n"/>
      <c r="H131" s="25" t="n"/>
      <c r="I131" s="25" t="n"/>
      <c r="J131" s="25" t="n"/>
      <c r="K131" s="25" t="n"/>
      <c r="L131" s="35" t="n"/>
      <c r="M131" s="40">
        <f>IF(A131="","",IFERROR(INDEX(Applications!$B$2:$B$101,MATCH(A131,Applications!$A$2:$A$101,0))&amp;"",""))</f>
        <v/>
      </c>
      <c r="N131" s="41">
        <f>IF(A131="","",SUMPRODUCT(ISNUMBER(D131:K131)*($D$2:$K$2&gt;0)))</f>
        <v/>
      </c>
      <c r="O131" s="40">
        <f>IF(A131="","",IF(ISNA(MATCH(A131,Applications!$A$2:$A$101,0)),"Check ID",IF(ISNA(MATCH(B131,Settings!$C$13:$C$18,0)),"Check reviewer",IF(LEFT(C131,3)="Yes","Conflict, not counted",IF(COUNTIFS($A$3:A131,A131,$B$3:B131,B131)&gt;1,"Duplicate, not counted",IF(SUM($D$2:$K$2)=0,"Add weights on Rubric",IF(SUMPRODUCT(ISNUMBER(D131:K131)*((D131:K131&gt;4)+(D131:K131&lt;0)))&gt;0,"Check scores",IF(N131&lt;COUNTIF($D$2:$K$2,"&gt;0"),"Incomplete","Counted"))))))))</f>
        <v/>
      </c>
      <c r="P131" s="42">
        <f>IF(O131="Counted",ROUND(SUMPRODUCT(D131:K131,$D$2:$K$2)*100/(4*SUM($D$2:$K$2)),1),"")</f>
        <v/>
      </c>
      <c r="Q131" s="27">
        <f>IF(O131="Counted",1,0)</f>
        <v/>
      </c>
      <c r="R131" s="43">
        <f>IF(ISNUMBER(D131),D131,0)</f>
        <v/>
      </c>
      <c r="S131" s="43">
        <f>IF(ISNUMBER(E131),E131,0)</f>
        <v/>
      </c>
      <c r="T131" s="43">
        <f>IF(ISNUMBER(F131),F131,0)</f>
        <v/>
      </c>
      <c r="U131" s="43">
        <f>IF(ISNUMBER(G131),G131,0)</f>
        <v/>
      </c>
      <c r="V131" s="43">
        <f>IF(ISNUMBER(H131),H131,0)</f>
        <v/>
      </c>
      <c r="W131" s="43">
        <f>IF(ISNUMBER(I131),I131,0)</f>
        <v/>
      </c>
      <c r="X131" s="43">
        <f>IF(ISNUMBER(J131),J131,0)</f>
        <v/>
      </c>
      <c r="Y131" s="43">
        <f>IF(ISNUMBER(K131),K131,0)</f>
        <v/>
      </c>
    </row>
    <row r="132">
      <c r="A132" s="35" t="n"/>
      <c r="B132" s="35" t="n"/>
      <c r="C132" s="35" t="n"/>
      <c r="D132" s="25" t="n"/>
      <c r="E132" s="25" t="n"/>
      <c r="F132" s="25" t="n"/>
      <c r="G132" s="25" t="n"/>
      <c r="H132" s="25" t="n"/>
      <c r="I132" s="25" t="n"/>
      <c r="J132" s="25" t="n"/>
      <c r="K132" s="25" t="n"/>
      <c r="L132" s="35" t="n"/>
      <c r="M132" s="40">
        <f>IF(A132="","",IFERROR(INDEX(Applications!$B$2:$B$101,MATCH(A132,Applications!$A$2:$A$101,0))&amp;"",""))</f>
        <v/>
      </c>
      <c r="N132" s="41">
        <f>IF(A132="","",SUMPRODUCT(ISNUMBER(D132:K132)*($D$2:$K$2&gt;0)))</f>
        <v/>
      </c>
      <c r="O132" s="40">
        <f>IF(A132="","",IF(ISNA(MATCH(A132,Applications!$A$2:$A$101,0)),"Check ID",IF(ISNA(MATCH(B132,Settings!$C$13:$C$18,0)),"Check reviewer",IF(LEFT(C132,3)="Yes","Conflict, not counted",IF(COUNTIFS($A$3:A132,A132,$B$3:B132,B132)&gt;1,"Duplicate, not counted",IF(SUM($D$2:$K$2)=0,"Add weights on Rubric",IF(SUMPRODUCT(ISNUMBER(D132:K132)*((D132:K132&gt;4)+(D132:K132&lt;0)))&gt;0,"Check scores",IF(N132&lt;COUNTIF($D$2:$K$2,"&gt;0"),"Incomplete","Counted"))))))))</f>
        <v/>
      </c>
      <c r="P132" s="42">
        <f>IF(O132="Counted",ROUND(SUMPRODUCT(D132:K132,$D$2:$K$2)*100/(4*SUM($D$2:$K$2)),1),"")</f>
        <v/>
      </c>
      <c r="Q132" s="27">
        <f>IF(O132="Counted",1,0)</f>
        <v/>
      </c>
      <c r="R132" s="43">
        <f>IF(ISNUMBER(D132),D132,0)</f>
        <v/>
      </c>
      <c r="S132" s="43">
        <f>IF(ISNUMBER(E132),E132,0)</f>
        <v/>
      </c>
      <c r="T132" s="43">
        <f>IF(ISNUMBER(F132),F132,0)</f>
        <v/>
      </c>
      <c r="U132" s="43">
        <f>IF(ISNUMBER(G132),G132,0)</f>
        <v/>
      </c>
      <c r="V132" s="43">
        <f>IF(ISNUMBER(H132),H132,0)</f>
        <v/>
      </c>
      <c r="W132" s="43">
        <f>IF(ISNUMBER(I132),I132,0)</f>
        <v/>
      </c>
      <c r="X132" s="43">
        <f>IF(ISNUMBER(J132),J132,0)</f>
        <v/>
      </c>
      <c r="Y132" s="43">
        <f>IF(ISNUMBER(K132),K132,0)</f>
        <v/>
      </c>
    </row>
    <row r="133">
      <c r="A133" s="35" t="n"/>
      <c r="B133" s="35" t="n"/>
      <c r="C133" s="35" t="n"/>
      <c r="D133" s="25" t="n"/>
      <c r="E133" s="25" t="n"/>
      <c r="F133" s="25" t="n"/>
      <c r="G133" s="25" t="n"/>
      <c r="H133" s="25" t="n"/>
      <c r="I133" s="25" t="n"/>
      <c r="J133" s="25" t="n"/>
      <c r="K133" s="25" t="n"/>
      <c r="L133" s="35" t="n"/>
      <c r="M133" s="40">
        <f>IF(A133="","",IFERROR(INDEX(Applications!$B$2:$B$101,MATCH(A133,Applications!$A$2:$A$101,0))&amp;"",""))</f>
        <v/>
      </c>
      <c r="N133" s="41">
        <f>IF(A133="","",SUMPRODUCT(ISNUMBER(D133:K133)*($D$2:$K$2&gt;0)))</f>
        <v/>
      </c>
      <c r="O133" s="40">
        <f>IF(A133="","",IF(ISNA(MATCH(A133,Applications!$A$2:$A$101,0)),"Check ID",IF(ISNA(MATCH(B133,Settings!$C$13:$C$18,0)),"Check reviewer",IF(LEFT(C133,3)="Yes","Conflict, not counted",IF(COUNTIFS($A$3:A133,A133,$B$3:B133,B133)&gt;1,"Duplicate, not counted",IF(SUM($D$2:$K$2)=0,"Add weights on Rubric",IF(SUMPRODUCT(ISNUMBER(D133:K133)*((D133:K133&gt;4)+(D133:K133&lt;0)))&gt;0,"Check scores",IF(N133&lt;COUNTIF($D$2:$K$2,"&gt;0"),"Incomplete","Counted"))))))))</f>
        <v/>
      </c>
      <c r="P133" s="42">
        <f>IF(O133="Counted",ROUND(SUMPRODUCT(D133:K133,$D$2:$K$2)*100/(4*SUM($D$2:$K$2)),1),"")</f>
        <v/>
      </c>
      <c r="Q133" s="27">
        <f>IF(O133="Counted",1,0)</f>
        <v/>
      </c>
      <c r="R133" s="43">
        <f>IF(ISNUMBER(D133),D133,0)</f>
        <v/>
      </c>
      <c r="S133" s="43">
        <f>IF(ISNUMBER(E133),E133,0)</f>
        <v/>
      </c>
      <c r="T133" s="43">
        <f>IF(ISNUMBER(F133),F133,0)</f>
        <v/>
      </c>
      <c r="U133" s="43">
        <f>IF(ISNUMBER(G133),G133,0)</f>
        <v/>
      </c>
      <c r="V133" s="43">
        <f>IF(ISNUMBER(H133),H133,0)</f>
        <v/>
      </c>
      <c r="W133" s="43">
        <f>IF(ISNUMBER(I133),I133,0)</f>
        <v/>
      </c>
      <c r="X133" s="43">
        <f>IF(ISNUMBER(J133),J133,0)</f>
        <v/>
      </c>
      <c r="Y133" s="43">
        <f>IF(ISNUMBER(K133),K133,0)</f>
        <v/>
      </c>
    </row>
    <row r="134">
      <c r="A134" s="35" t="n"/>
      <c r="B134" s="35" t="n"/>
      <c r="C134" s="35" t="n"/>
      <c r="D134" s="25" t="n"/>
      <c r="E134" s="25" t="n"/>
      <c r="F134" s="25" t="n"/>
      <c r="G134" s="25" t="n"/>
      <c r="H134" s="25" t="n"/>
      <c r="I134" s="25" t="n"/>
      <c r="J134" s="25" t="n"/>
      <c r="K134" s="25" t="n"/>
      <c r="L134" s="35" t="n"/>
      <c r="M134" s="40">
        <f>IF(A134="","",IFERROR(INDEX(Applications!$B$2:$B$101,MATCH(A134,Applications!$A$2:$A$101,0))&amp;"",""))</f>
        <v/>
      </c>
      <c r="N134" s="41">
        <f>IF(A134="","",SUMPRODUCT(ISNUMBER(D134:K134)*($D$2:$K$2&gt;0)))</f>
        <v/>
      </c>
      <c r="O134" s="40">
        <f>IF(A134="","",IF(ISNA(MATCH(A134,Applications!$A$2:$A$101,0)),"Check ID",IF(ISNA(MATCH(B134,Settings!$C$13:$C$18,0)),"Check reviewer",IF(LEFT(C134,3)="Yes","Conflict, not counted",IF(COUNTIFS($A$3:A134,A134,$B$3:B134,B134)&gt;1,"Duplicate, not counted",IF(SUM($D$2:$K$2)=0,"Add weights on Rubric",IF(SUMPRODUCT(ISNUMBER(D134:K134)*((D134:K134&gt;4)+(D134:K134&lt;0)))&gt;0,"Check scores",IF(N134&lt;COUNTIF($D$2:$K$2,"&gt;0"),"Incomplete","Counted"))))))))</f>
        <v/>
      </c>
      <c r="P134" s="42">
        <f>IF(O134="Counted",ROUND(SUMPRODUCT(D134:K134,$D$2:$K$2)*100/(4*SUM($D$2:$K$2)),1),"")</f>
        <v/>
      </c>
      <c r="Q134" s="27">
        <f>IF(O134="Counted",1,0)</f>
        <v/>
      </c>
      <c r="R134" s="43">
        <f>IF(ISNUMBER(D134),D134,0)</f>
        <v/>
      </c>
      <c r="S134" s="43">
        <f>IF(ISNUMBER(E134),E134,0)</f>
        <v/>
      </c>
      <c r="T134" s="43">
        <f>IF(ISNUMBER(F134),F134,0)</f>
        <v/>
      </c>
      <c r="U134" s="43">
        <f>IF(ISNUMBER(G134),G134,0)</f>
        <v/>
      </c>
      <c r="V134" s="43">
        <f>IF(ISNUMBER(H134),H134,0)</f>
        <v/>
      </c>
      <c r="W134" s="43">
        <f>IF(ISNUMBER(I134),I134,0)</f>
        <v/>
      </c>
      <c r="X134" s="43">
        <f>IF(ISNUMBER(J134),J134,0)</f>
        <v/>
      </c>
      <c r="Y134" s="43">
        <f>IF(ISNUMBER(K134),K134,0)</f>
        <v/>
      </c>
    </row>
    <row r="135">
      <c r="A135" s="35" t="n"/>
      <c r="B135" s="35" t="n"/>
      <c r="C135" s="35" t="n"/>
      <c r="D135" s="25" t="n"/>
      <c r="E135" s="25" t="n"/>
      <c r="F135" s="25" t="n"/>
      <c r="G135" s="25" t="n"/>
      <c r="H135" s="25" t="n"/>
      <c r="I135" s="25" t="n"/>
      <c r="J135" s="25" t="n"/>
      <c r="K135" s="25" t="n"/>
      <c r="L135" s="35" t="n"/>
      <c r="M135" s="40">
        <f>IF(A135="","",IFERROR(INDEX(Applications!$B$2:$B$101,MATCH(A135,Applications!$A$2:$A$101,0))&amp;"",""))</f>
        <v/>
      </c>
      <c r="N135" s="41">
        <f>IF(A135="","",SUMPRODUCT(ISNUMBER(D135:K135)*($D$2:$K$2&gt;0)))</f>
        <v/>
      </c>
      <c r="O135" s="40">
        <f>IF(A135="","",IF(ISNA(MATCH(A135,Applications!$A$2:$A$101,0)),"Check ID",IF(ISNA(MATCH(B135,Settings!$C$13:$C$18,0)),"Check reviewer",IF(LEFT(C135,3)="Yes","Conflict, not counted",IF(COUNTIFS($A$3:A135,A135,$B$3:B135,B135)&gt;1,"Duplicate, not counted",IF(SUM($D$2:$K$2)=0,"Add weights on Rubric",IF(SUMPRODUCT(ISNUMBER(D135:K135)*((D135:K135&gt;4)+(D135:K135&lt;0)))&gt;0,"Check scores",IF(N135&lt;COUNTIF($D$2:$K$2,"&gt;0"),"Incomplete","Counted"))))))))</f>
        <v/>
      </c>
      <c r="P135" s="42">
        <f>IF(O135="Counted",ROUND(SUMPRODUCT(D135:K135,$D$2:$K$2)*100/(4*SUM($D$2:$K$2)),1),"")</f>
        <v/>
      </c>
      <c r="Q135" s="27">
        <f>IF(O135="Counted",1,0)</f>
        <v/>
      </c>
      <c r="R135" s="43">
        <f>IF(ISNUMBER(D135),D135,0)</f>
        <v/>
      </c>
      <c r="S135" s="43">
        <f>IF(ISNUMBER(E135),E135,0)</f>
        <v/>
      </c>
      <c r="T135" s="43">
        <f>IF(ISNUMBER(F135),F135,0)</f>
        <v/>
      </c>
      <c r="U135" s="43">
        <f>IF(ISNUMBER(G135),G135,0)</f>
        <v/>
      </c>
      <c r="V135" s="43">
        <f>IF(ISNUMBER(H135),H135,0)</f>
        <v/>
      </c>
      <c r="W135" s="43">
        <f>IF(ISNUMBER(I135),I135,0)</f>
        <v/>
      </c>
      <c r="X135" s="43">
        <f>IF(ISNUMBER(J135),J135,0)</f>
        <v/>
      </c>
      <c r="Y135" s="43">
        <f>IF(ISNUMBER(K135),K135,0)</f>
        <v/>
      </c>
    </row>
    <row r="136">
      <c r="A136" s="35" t="n"/>
      <c r="B136" s="35" t="n"/>
      <c r="C136" s="35" t="n"/>
      <c r="D136" s="25" t="n"/>
      <c r="E136" s="25" t="n"/>
      <c r="F136" s="25" t="n"/>
      <c r="G136" s="25" t="n"/>
      <c r="H136" s="25" t="n"/>
      <c r="I136" s="25" t="n"/>
      <c r="J136" s="25" t="n"/>
      <c r="K136" s="25" t="n"/>
      <c r="L136" s="35" t="n"/>
      <c r="M136" s="40">
        <f>IF(A136="","",IFERROR(INDEX(Applications!$B$2:$B$101,MATCH(A136,Applications!$A$2:$A$101,0))&amp;"",""))</f>
        <v/>
      </c>
      <c r="N136" s="41">
        <f>IF(A136="","",SUMPRODUCT(ISNUMBER(D136:K136)*($D$2:$K$2&gt;0)))</f>
        <v/>
      </c>
      <c r="O136" s="40">
        <f>IF(A136="","",IF(ISNA(MATCH(A136,Applications!$A$2:$A$101,0)),"Check ID",IF(ISNA(MATCH(B136,Settings!$C$13:$C$18,0)),"Check reviewer",IF(LEFT(C136,3)="Yes","Conflict, not counted",IF(COUNTIFS($A$3:A136,A136,$B$3:B136,B136)&gt;1,"Duplicate, not counted",IF(SUM($D$2:$K$2)=0,"Add weights on Rubric",IF(SUMPRODUCT(ISNUMBER(D136:K136)*((D136:K136&gt;4)+(D136:K136&lt;0)))&gt;0,"Check scores",IF(N136&lt;COUNTIF($D$2:$K$2,"&gt;0"),"Incomplete","Counted"))))))))</f>
        <v/>
      </c>
      <c r="P136" s="42">
        <f>IF(O136="Counted",ROUND(SUMPRODUCT(D136:K136,$D$2:$K$2)*100/(4*SUM($D$2:$K$2)),1),"")</f>
        <v/>
      </c>
      <c r="Q136" s="27">
        <f>IF(O136="Counted",1,0)</f>
        <v/>
      </c>
      <c r="R136" s="43">
        <f>IF(ISNUMBER(D136),D136,0)</f>
        <v/>
      </c>
      <c r="S136" s="43">
        <f>IF(ISNUMBER(E136),E136,0)</f>
        <v/>
      </c>
      <c r="T136" s="43">
        <f>IF(ISNUMBER(F136),F136,0)</f>
        <v/>
      </c>
      <c r="U136" s="43">
        <f>IF(ISNUMBER(G136),G136,0)</f>
        <v/>
      </c>
      <c r="V136" s="43">
        <f>IF(ISNUMBER(H136),H136,0)</f>
        <v/>
      </c>
      <c r="W136" s="43">
        <f>IF(ISNUMBER(I136),I136,0)</f>
        <v/>
      </c>
      <c r="X136" s="43">
        <f>IF(ISNUMBER(J136),J136,0)</f>
        <v/>
      </c>
      <c r="Y136" s="43">
        <f>IF(ISNUMBER(K136),K136,0)</f>
        <v/>
      </c>
    </row>
    <row r="137">
      <c r="A137" s="35" t="n"/>
      <c r="B137" s="35" t="n"/>
      <c r="C137" s="35" t="n"/>
      <c r="D137" s="25" t="n"/>
      <c r="E137" s="25" t="n"/>
      <c r="F137" s="25" t="n"/>
      <c r="G137" s="25" t="n"/>
      <c r="H137" s="25" t="n"/>
      <c r="I137" s="25" t="n"/>
      <c r="J137" s="25" t="n"/>
      <c r="K137" s="25" t="n"/>
      <c r="L137" s="35" t="n"/>
      <c r="M137" s="40">
        <f>IF(A137="","",IFERROR(INDEX(Applications!$B$2:$B$101,MATCH(A137,Applications!$A$2:$A$101,0))&amp;"",""))</f>
        <v/>
      </c>
      <c r="N137" s="41">
        <f>IF(A137="","",SUMPRODUCT(ISNUMBER(D137:K137)*($D$2:$K$2&gt;0)))</f>
        <v/>
      </c>
      <c r="O137" s="40">
        <f>IF(A137="","",IF(ISNA(MATCH(A137,Applications!$A$2:$A$101,0)),"Check ID",IF(ISNA(MATCH(B137,Settings!$C$13:$C$18,0)),"Check reviewer",IF(LEFT(C137,3)="Yes","Conflict, not counted",IF(COUNTIFS($A$3:A137,A137,$B$3:B137,B137)&gt;1,"Duplicate, not counted",IF(SUM($D$2:$K$2)=0,"Add weights on Rubric",IF(SUMPRODUCT(ISNUMBER(D137:K137)*((D137:K137&gt;4)+(D137:K137&lt;0)))&gt;0,"Check scores",IF(N137&lt;COUNTIF($D$2:$K$2,"&gt;0"),"Incomplete","Counted"))))))))</f>
        <v/>
      </c>
      <c r="P137" s="42">
        <f>IF(O137="Counted",ROUND(SUMPRODUCT(D137:K137,$D$2:$K$2)*100/(4*SUM($D$2:$K$2)),1),"")</f>
        <v/>
      </c>
      <c r="Q137" s="27">
        <f>IF(O137="Counted",1,0)</f>
        <v/>
      </c>
      <c r="R137" s="43">
        <f>IF(ISNUMBER(D137),D137,0)</f>
        <v/>
      </c>
      <c r="S137" s="43">
        <f>IF(ISNUMBER(E137),E137,0)</f>
        <v/>
      </c>
      <c r="T137" s="43">
        <f>IF(ISNUMBER(F137),F137,0)</f>
        <v/>
      </c>
      <c r="U137" s="43">
        <f>IF(ISNUMBER(G137),G137,0)</f>
        <v/>
      </c>
      <c r="V137" s="43">
        <f>IF(ISNUMBER(H137),H137,0)</f>
        <v/>
      </c>
      <c r="W137" s="43">
        <f>IF(ISNUMBER(I137),I137,0)</f>
        <v/>
      </c>
      <c r="X137" s="43">
        <f>IF(ISNUMBER(J137),J137,0)</f>
        <v/>
      </c>
      <c r="Y137" s="43">
        <f>IF(ISNUMBER(K137),K137,0)</f>
        <v/>
      </c>
    </row>
    <row r="138">
      <c r="A138" s="35" t="n"/>
      <c r="B138" s="35" t="n"/>
      <c r="C138" s="35" t="n"/>
      <c r="D138" s="25" t="n"/>
      <c r="E138" s="25" t="n"/>
      <c r="F138" s="25" t="n"/>
      <c r="G138" s="25" t="n"/>
      <c r="H138" s="25" t="n"/>
      <c r="I138" s="25" t="n"/>
      <c r="J138" s="25" t="n"/>
      <c r="K138" s="25" t="n"/>
      <c r="L138" s="35" t="n"/>
      <c r="M138" s="40">
        <f>IF(A138="","",IFERROR(INDEX(Applications!$B$2:$B$101,MATCH(A138,Applications!$A$2:$A$101,0))&amp;"",""))</f>
        <v/>
      </c>
      <c r="N138" s="41">
        <f>IF(A138="","",SUMPRODUCT(ISNUMBER(D138:K138)*($D$2:$K$2&gt;0)))</f>
        <v/>
      </c>
      <c r="O138" s="40">
        <f>IF(A138="","",IF(ISNA(MATCH(A138,Applications!$A$2:$A$101,0)),"Check ID",IF(ISNA(MATCH(B138,Settings!$C$13:$C$18,0)),"Check reviewer",IF(LEFT(C138,3)="Yes","Conflict, not counted",IF(COUNTIFS($A$3:A138,A138,$B$3:B138,B138)&gt;1,"Duplicate, not counted",IF(SUM($D$2:$K$2)=0,"Add weights on Rubric",IF(SUMPRODUCT(ISNUMBER(D138:K138)*((D138:K138&gt;4)+(D138:K138&lt;0)))&gt;0,"Check scores",IF(N138&lt;COUNTIF($D$2:$K$2,"&gt;0"),"Incomplete","Counted"))))))))</f>
        <v/>
      </c>
      <c r="P138" s="42">
        <f>IF(O138="Counted",ROUND(SUMPRODUCT(D138:K138,$D$2:$K$2)*100/(4*SUM($D$2:$K$2)),1),"")</f>
        <v/>
      </c>
      <c r="Q138" s="27">
        <f>IF(O138="Counted",1,0)</f>
        <v/>
      </c>
      <c r="R138" s="43">
        <f>IF(ISNUMBER(D138),D138,0)</f>
        <v/>
      </c>
      <c r="S138" s="43">
        <f>IF(ISNUMBER(E138),E138,0)</f>
        <v/>
      </c>
      <c r="T138" s="43">
        <f>IF(ISNUMBER(F138),F138,0)</f>
        <v/>
      </c>
      <c r="U138" s="43">
        <f>IF(ISNUMBER(G138),G138,0)</f>
        <v/>
      </c>
      <c r="V138" s="43">
        <f>IF(ISNUMBER(H138),H138,0)</f>
        <v/>
      </c>
      <c r="W138" s="43">
        <f>IF(ISNUMBER(I138),I138,0)</f>
        <v/>
      </c>
      <c r="X138" s="43">
        <f>IF(ISNUMBER(J138),J138,0)</f>
        <v/>
      </c>
      <c r="Y138" s="43">
        <f>IF(ISNUMBER(K138),K138,0)</f>
        <v/>
      </c>
    </row>
    <row r="139">
      <c r="A139" s="35" t="n"/>
      <c r="B139" s="35" t="n"/>
      <c r="C139" s="35" t="n"/>
      <c r="D139" s="25" t="n"/>
      <c r="E139" s="25" t="n"/>
      <c r="F139" s="25" t="n"/>
      <c r="G139" s="25" t="n"/>
      <c r="H139" s="25" t="n"/>
      <c r="I139" s="25" t="n"/>
      <c r="J139" s="25" t="n"/>
      <c r="K139" s="25" t="n"/>
      <c r="L139" s="35" t="n"/>
      <c r="M139" s="40">
        <f>IF(A139="","",IFERROR(INDEX(Applications!$B$2:$B$101,MATCH(A139,Applications!$A$2:$A$101,0))&amp;"",""))</f>
        <v/>
      </c>
      <c r="N139" s="41">
        <f>IF(A139="","",SUMPRODUCT(ISNUMBER(D139:K139)*($D$2:$K$2&gt;0)))</f>
        <v/>
      </c>
      <c r="O139" s="40">
        <f>IF(A139="","",IF(ISNA(MATCH(A139,Applications!$A$2:$A$101,0)),"Check ID",IF(ISNA(MATCH(B139,Settings!$C$13:$C$18,0)),"Check reviewer",IF(LEFT(C139,3)="Yes","Conflict, not counted",IF(COUNTIFS($A$3:A139,A139,$B$3:B139,B139)&gt;1,"Duplicate, not counted",IF(SUM($D$2:$K$2)=0,"Add weights on Rubric",IF(SUMPRODUCT(ISNUMBER(D139:K139)*((D139:K139&gt;4)+(D139:K139&lt;0)))&gt;0,"Check scores",IF(N139&lt;COUNTIF($D$2:$K$2,"&gt;0"),"Incomplete","Counted"))))))))</f>
        <v/>
      </c>
      <c r="P139" s="42">
        <f>IF(O139="Counted",ROUND(SUMPRODUCT(D139:K139,$D$2:$K$2)*100/(4*SUM($D$2:$K$2)),1),"")</f>
        <v/>
      </c>
      <c r="Q139" s="27">
        <f>IF(O139="Counted",1,0)</f>
        <v/>
      </c>
      <c r="R139" s="43">
        <f>IF(ISNUMBER(D139),D139,0)</f>
        <v/>
      </c>
      <c r="S139" s="43">
        <f>IF(ISNUMBER(E139),E139,0)</f>
        <v/>
      </c>
      <c r="T139" s="43">
        <f>IF(ISNUMBER(F139),F139,0)</f>
        <v/>
      </c>
      <c r="U139" s="43">
        <f>IF(ISNUMBER(G139),G139,0)</f>
        <v/>
      </c>
      <c r="V139" s="43">
        <f>IF(ISNUMBER(H139),H139,0)</f>
        <v/>
      </c>
      <c r="W139" s="43">
        <f>IF(ISNUMBER(I139),I139,0)</f>
        <v/>
      </c>
      <c r="X139" s="43">
        <f>IF(ISNUMBER(J139),J139,0)</f>
        <v/>
      </c>
      <c r="Y139" s="43">
        <f>IF(ISNUMBER(K139),K139,0)</f>
        <v/>
      </c>
    </row>
    <row r="140">
      <c r="A140" s="35" t="n"/>
      <c r="B140" s="35" t="n"/>
      <c r="C140" s="35" t="n"/>
      <c r="D140" s="25" t="n"/>
      <c r="E140" s="25" t="n"/>
      <c r="F140" s="25" t="n"/>
      <c r="G140" s="25" t="n"/>
      <c r="H140" s="25" t="n"/>
      <c r="I140" s="25" t="n"/>
      <c r="J140" s="25" t="n"/>
      <c r="K140" s="25" t="n"/>
      <c r="L140" s="35" t="n"/>
      <c r="M140" s="40">
        <f>IF(A140="","",IFERROR(INDEX(Applications!$B$2:$B$101,MATCH(A140,Applications!$A$2:$A$101,0))&amp;"",""))</f>
        <v/>
      </c>
      <c r="N140" s="41">
        <f>IF(A140="","",SUMPRODUCT(ISNUMBER(D140:K140)*($D$2:$K$2&gt;0)))</f>
        <v/>
      </c>
      <c r="O140" s="40">
        <f>IF(A140="","",IF(ISNA(MATCH(A140,Applications!$A$2:$A$101,0)),"Check ID",IF(ISNA(MATCH(B140,Settings!$C$13:$C$18,0)),"Check reviewer",IF(LEFT(C140,3)="Yes","Conflict, not counted",IF(COUNTIFS($A$3:A140,A140,$B$3:B140,B140)&gt;1,"Duplicate, not counted",IF(SUM($D$2:$K$2)=0,"Add weights on Rubric",IF(SUMPRODUCT(ISNUMBER(D140:K140)*((D140:K140&gt;4)+(D140:K140&lt;0)))&gt;0,"Check scores",IF(N140&lt;COUNTIF($D$2:$K$2,"&gt;0"),"Incomplete","Counted"))))))))</f>
        <v/>
      </c>
      <c r="P140" s="42">
        <f>IF(O140="Counted",ROUND(SUMPRODUCT(D140:K140,$D$2:$K$2)*100/(4*SUM($D$2:$K$2)),1),"")</f>
        <v/>
      </c>
      <c r="Q140" s="27">
        <f>IF(O140="Counted",1,0)</f>
        <v/>
      </c>
      <c r="R140" s="43">
        <f>IF(ISNUMBER(D140),D140,0)</f>
        <v/>
      </c>
      <c r="S140" s="43">
        <f>IF(ISNUMBER(E140),E140,0)</f>
        <v/>
      </c>
      <c r="T140" s="43">
        <f>IF(ISNUMBER(F140),F140,0)</f>
        <v/>
      </c>
      <c r="U140" s="43">
        <f>IF(ISNUMBER(G140),G140,0)</f>
        <v/>
      </c>
      <c r="V140" s="43">
        <f>IF(ISNUMBER(H140),H140,0)</f>
        <v/>
      </c>
      <c r="W140" s="43">
        <f>IF(ISNUMBER(I140),I140,0)</f>
        <v/>
      </c>
      <c r="X140" s="43">
        <f>IF(ISNUMBER(J140),J140,0)</f>
        <v/>
      </c>
      <c r="Y140" s="43">
        <f>IF(ISNUMBER(K140),K140,0)</f>
        <v/>
      </c>
    </row>
    <row r="141">
      <c r="A141" s="35" t="n"/>
      <c r="B141" s="35" t="n"/>
      <c r="C141" s="35" t="n"/>
      <c r="D141" s="25" t="n"/>
      <c r="E141" s="25" t="n"/>
      <c r="F141" s="25" t="n"/>
      <c r="G141" s="25" t="n"/>
      <c r="H141" s="25" t="n"/>
      <c r="I141" s="25" t="n"/>
      <c r="J141" s="25" t="n"/>
      <c r="K141" s="25" t="n"/>
      <c r="L141" s="35" t="n"/>
      <c r="M141" s="40">
        <f>IF(A141="","",IFERROR(INDEX(Applications!$B$2:$B$101,MATCH(A141,Applications!$A$2:$A$101,0))&amp;"",""))</f>
        <v/>
      </c>
      <c r="N141" s="41">
        <f>IF(A141="","",SUMPRODUCT(ISNUMBER(D141:K141)*($D$2:$K$2&gt;0)))</f>
        <v/>
      </c>
      <c r="O141" s="40">
        <f>IF(A141="","",IF(ISNA(MATCH(A141,Applications!$A$2:$A$101,0)),"Check ID",IF(ISNA(MATCH(B141,Settings!$C$13:$C$18,0)),"Check reviewer",IF(LEFT(C141,3)="Yes","Conflict, not counted",IF(COUNTIFS($A$3:A141,A141,$B$3:B141,B141)&gt;1,"Duplicate, not counted",IF(SUM($D$2:$K$2)=0,"Add weights on Rubric",IF(SUMPRODUCT(ISNUMBER(D141:K141)*((D141:K141&gt;4)+(D141:K141&lt;0)))&gt;0,"Check scores",IF(N141&lt;COUNTIF($D$2:$K$2,"&gt;0"),"Incomplete","Counted"))))))))</f>
        <v/>
      </c>
      <c r="P141" s="42">
        <f>IF(O141="Counted",ROUND(SUMPRODUCT(D141:K141,$D$2:$K$2)*100/(4*SUM($D$2:$K$2)),1),"")</f>
        <v/>
      </c>
      <c r="Q141" s="27">
        <f>IF(O141="Counted",1,0)</f>
        <v/>
      </c>
      <c r="R141" s="43">
        <f>IF(ISNUMBER(D141),D141,0)</f>
        <v/>
      </c>
      <c r="S141" s="43">
        <f>IF(ISNUMBER(E141),E141,0)</f>
        <v/>
      </c>
      <c r="T141" s="43">
        <f>IF(ISNUMBER(F141),F141,0)</f>
        <v/>
      </c>
      <c r="U141" s="43">
        <f>IF(ISNUMBER(G141),G141,0)</f>
        <v/>
      </c>
      <c r="V141" s="43">
        <f>IF(ISNUMBER(H141),H141,0)</f>
        <v/>
      </c>
      <c r="W141" s="43">
        <f>IF(ISNUMBER(I141),I141,0)</f>
        <v/>
      </c>
      <c r="X141" s="43">
        <f>IF(ISNUMBER(J141),J141,0)</f>
        <v/>
      </c>
      <c r="Y141" s="43">
        <f>IF(ISNUMBER(K141),K141,0)</f>
        <v/>
      </c>
    </row>
    <row r="142">
      <c r="A142" s="35" t="n"/>
      <c r="B142" s="35" t="n"/>
      <c r="C142" s="35" t="n"/>
      <c r="D142" s="25" t="n"/>
      <c r="E142" s="25" t="n"/>
      <c r="F142" s="25" t="n"/>
      <c r="G142" s="25" t="n"/>
      <c r="H142" s="25" t="n"/>
      <c r="I142" s="25" t="n"/>
      <c r="J142" s="25" t="n"/>
      <c r="K142" s="25" t="n"/>
      <c r="L142" s="35" t="n"/>
      <c r="M142" s="40">
        <f>IF(A142="","",IFERROR(INDEX(Applications!$B$2:$B$101,MATCH(A142,Applications!$A$2:$A$101,0))&amp;"",""))</f>
        <v/>
      </c>
      <c r="N142" s="41">
        <f>IF(A142="","",SUMPRODUCT(ISNUMBER(D142:K142)*($D$2:$K$2&gt;0)))</f>
        <v/>
      </c>
      <c r="O142" s="40">
        <f>IF(A142="","",IF(ISNA(MATCH(A142,Applications!$A$2:$A$101,0)),"Check ID",IF(ISNA(MATCH(B142,Settings!$C$13:$C$18,0)),"Check reviewer",IF(LEFT(C142,3)="Yes","Conflict, not counted",IF(COUNTIFS($A$3:A142,A142,$B$3:B142,B142)&gt;1,"Duplicate, not counted",IF(SUM($D$2:$K$2)=0,"Add weights on Rubric",IF(SUMPRODUCT(ISNUMBER(D142:K142)*((D142:K142&gt;4)+(D142:K142&lt;0)))&gt;0,"Check scores",IF(N142&lt;COUNTIF($D$2:$K$2,"&gt;0"),"Incomplete","Counted"))))))))</f>
        <v/>
      </c>
      <c r="P142" s="42">
        <f>IF(O142="Counted",ROUND(SUMPRODUCT(D142:K142,$D$2:$K$2)*100/(4*SUM($D$2:$K$2)),1),"")</f>
        <v/>
      </c>
      <c r="Q142" s="27">
        <f>IF(O142="Counted",1,0)</f>
        <v/>
      </c>
      <c r="R142" s="43">
        <f>IF(ISNUMBER(D142),D142,0)</f>
        <v/>
      </c>
      <c r="S142" s="43">
        <f>IF(ISNUMBER(E142),E142,0)</f>
        <v/>
      </c>
      <c r="T142" s="43">
        <f>IF(ISNUMBER(F142),F142,0)</f>
        <v/>
      </c>
      <c r="U142" s="43">
        <f>IF(ISNUMBER(G142),G142,0)</f>
        <v/>
      </c>
      <c r="V142" s="43">
        <f>IF(ISNUMBER(H142),H142,0)</f>
        <v/>
      </c>
      <c r="W142" s="43">
        <f>IF(ISNUMBER(I142),I142,0)</f>
        <v/>
      </c>
      <c r="X142" s="43">
        <f>IF(ISNUMBER(J142),J142,0)</f>
        <v/>
      </c>
      <c r="Y142" s="43">
        <f>IF(ISNUMBER(K142),K142,0)</f>
        <v/>
      </c>
    </row>
    <row r="143">
      <c r="A143" s="35" t="n"/>
      <c r="B143" s="35" t="n"/>
      <c r="C143" s="35" t="n"/>
      <c r="D143" s="25" t="n"/>
      <c r="E143" s="25" t="n"/>
      <c r="F143" s="25" t="n"/>
      <c r="G143" s="25" t="n"/>
      <c r="H143" s="25" t="n"/>
      <c r="I143" s="25" t="n"/>
      <c r="J143" s="25" t="n"/>
      <c r="K143" s="25" t="n"/>
      <c r="L143" s="35" t="n"/>
      <c r="M143" s="40">
        <f>IF(A143="","",IFERROR(INDEX(Applications!$B$2:$B$101,MATCH(A143,Applications!$A$2:$A$101,0))&amp;"",""))</f>
        <v/>
      </c>
      <c r="N143" s="41">
        <f>IF(A143="","",SUMPRODUCT(ISNUMBER(D143:K143)*($D$2:$K$2&gt;0)))</f>
        <v/>
      </c>
      <c r="O143" s="40">
        <f>IF(A143="","",IF(ISNA(MATCH(A143,Applications!$A$2:$A$101,0)),"Check ID",IF(ISNA(MATCH(B143,Settings!$C$13:$C$18,0)),"Check reviewer",IF(LEFT(C143,3)="Yes","Conflict, not counted",IF(COUNTIFS($A$3:A143,A143,$B$3:B143,B143)&gt;1,"Duplicate, not counted",IF(SUM($D$2:$K$2)=0,"Add weights on Rubric",IF(SUMPRODUCT(ISNUMBER(D143:K143)*((D143:K143&gt;4)+(D143:K143&lt;0)))&gt;0,"Check scores",IF(N143&lt;COUNTIF($D$2:$K$2,"&gt;0"),"Incomplete","Counted"))))))))</f>
        <v/>
      </c>
      <c r="P143" s="42">
        <f>IF(O143="Counted",ROUND(SUMPRODUCT(D143:K143,$D$2:$K$2)*100/(4*SUM($D$2:$K$2)),1),"")</f>
        <v/>
      </c>
      <c r="Q143" s="27">
        <f>IF(O143="Counted",1,0)</f>
        <v/>
      </c>
      <c r="R143" s="43">
        <f>IF(ISNUMBER(D143),D143,0)</f>
        <v/>
      </c>
      <c r="S143" s="43">
        <f>IF(ISNUMBER(E143),E143,0)</f>
        <v/>
      </c>
      <c r="T143" s="43">
        <f>IF(ISNUMBER(F143),F143,0)</f>
        <v/>
      </c>
      <c r="U143" s="43">
        <f>IF(ISNUMBER(G143),G143,0)</f>
        <v/>
      </c>
      <c r="V143" s="43">
        <f>IF(ISNUMBER(H143),H143,0)</f>
        <v/>
      </c>
      <c r="W143" s="43">
        <f>IF(ISNUMBER(I143),I143,0)</f>
        <v/>
      </c>
      <c r="X143" s="43">
        <f>IF(ISNUMBER(J143),J143,0)</f>
        <v/>
      </c>
      <c r="Y143" s="43">
        <f>IF(ISNUMBER(K143),K143,0)</f>
        <v/>
      </c>
    </row>
    <row r="144">
      <c r="A144" s="35" t="n"/>
      <c r="B144" s="35" t="n"/>
      <c r="C144" s="35" t="n"/>
      <c r="D144" s="25" t="n"/>
      <c r="E144" s="25" t="n"/>
      <c r="F144" s="25" t="n"/>
      <c r="G144" s="25" t="n"/>
      <c r="H144" s="25" t="n"/>
      <c r="I144" s="25" t="n"/>
      <c r="J144" s="25" t="n"/>
      <c r="K144" s="25" t="n"/>
      <c r="L144" s="35" t="n"/>
      <c r="M144" s="40">
        <f>IF(A144="","",IFERROR(INDEX(Applications!$B$2:$B$101,MATCH(A144,Applications!$A$2:$A$101,0))&amp;"",""))</f>
        <v/>
      </c>
      <c r="N144" s="41">
        <f>IF(A144="","",SUMPRODUCT(ISNUMBER(D144:K144)*($D$2:$K$2&gt;0)))</f>
        <v/>
      </c>
      <c r="O144" s="40">
        <f>IF(A144="","",IF(ISNA(MATCH(A144,Applications!$A$2:$A$101,0)),"Check ID",IF(ISNA(MATCH(B144,Settings!$C$13:$C$18,0)),"Check reviewer",IF(LEFT(C144,3)="Yes","Conflict, not counted",IF(COUNTIFS($A$3:A144,A144,$B$3:B144,B144)&gt;1,"Duplicate, not counted",IF(SUM($D$2:$K$2)=0,"Add weights on Rubric",IF(SUMPRODUCT(ISNUMBER(D144:K144)*((D144:K144&gt;4)+(D144:K144&lt;0)))&gt;0,"Check scores",IF(N144&lt;COUNTIF($D$2:$K$2,"&gt;0"),"Incomplete","Counted"))))))))</f>
        <v/>
      </c>
      <c r="P144" s="42">
        <f>IF(O144="Counted",ROUND(SUMPRODUCT(D144:K144,$D$2:$K$2)*100/(4*SUM($D$2:$K$2)),1),"")</f>
        <v/>
      </c>
      <c r="Q144" s="27">
        <f>IF(O144="Counted",1,0)</f>
        <v/>
      </c>
      <c r="R144" s="43">
        <f>IF(ISNUMBER(D144),D144,0)</f>
        <v/>
      </c>
      <c r="S144" s="43">
        <f>IF(ISNUMBER(E144),E144,0)</f>
        <v/>
      </c>
      <c r="T144" s="43">
        <f>IF(ISNUMBER(F144),F144,0)</f>
        <v/>
      </c>
      <c r="U144" s="43">
        <f>IF(ISNUMBER(G144),G144,0)</f>
        <v/>
      </c>
      <c r="V144" s="43">
        <f>IF(ISNUMBER(H144),H144,0)</f>
        <v/>
      </c>
      <c r="W144" s="43">
        <f>IF(ISNUMBER(I144),I144,0)</f>
        <v/>
      </c>
      <c r="X144" s="43">
        <f>IF(ISNUMBER(J144),J144,0)</f>
        <v/>
      </c>
      <c r="Y144" s="43">
        <f>IF(ISNUMBER(K144),K144,0)</f>
        <v/>
      </c>
    </row>
    <row r="145">
      <c r="A145" s="35" t="n"/>
      <c r="B145" s="35" t="n"/>
      <c r="C145" s="35" t="n"/>
      <c r="D145" s="25" t="n"/>
      <c r="E145" s="25" t="n"/>
      <c r="F145" s="25" t="n"/>
      <c r="G145" s="25" t="n"/>
      <c r="H145" s="25" t="n"/>
      <c r="I145" s="25" t="n"/>
      <c r="J145" s="25" t="n"/>
      <c r="K145" s="25" t="n"/>
      <c r="L145" s="35" t="n"/>
      <c r="M145" s="40">
        <f>IF(A145="","",IFERROR(INDEX(Applications!$B$2:$B$101,MATCH(A145,Applications!$A$2:$A$101,0))&amp;"",""))</f>
        <v/>
      </c>
      <c r="N145" s="41">
        <f>IF(A145="","",SUMPRODUCT(ISNUMBER(D145:K145)*($D$2:$K$2&gt;0)))</f>
        <v/>
      </c>
      <c r="O145" s="40">
        <f>IF(A145="","",IF(ISNA(MATCH(A145,Applications!$A$2:$A$101,0)),"Check ID",IF(ISNA(MATCH(B145,Settings!$C$13:$C$18,0)),"Check reviewer",IF(LEFT(C145,3)="Yes","Conflict, not counted",IF(COUNTIFS($A$3:A145,A145,$B$3:B145,B145)&gt;1,"Duplicate, not counted",IF(SUM($D$2:$K$2)=0,"Add weights on Rubric",IF(SUMPRODUCT(ISNUMBER(D145:K145)*((D145:K145&gt;4)+(D145:K145&lt;0)))&gt;0,"Check scores",IF(N145&lt;COUNTIF($D$2:$K$2,"&gt;0"),"Incomplete","Counted"))))))))</f>
        <v/>
      </c>
      <c r="P145" s="42">
        <f>IF(O145="Counted",ROUND(SUMPRODUCT(D145:K145,$D$2:$K$2)*100/(4*SUM($D$2:$K$2)),1),"")</f>
        <v/>
      </c>
      <c r="Q145" s="27">
        <f>IF(O145="Counted",1,0)</f>
        <v/>
      </c>
      <c r="R145" s="43">
        <f>IF(ISNUMBER(D145),D145,0)</f>
        <v/>
      </c>
      <c r="S145" s="43">
        <f>IF(ISNUMBER(E145),E145,0)</f>
        <v/>
      </c>
      <c r="T145" s="43">
        <f>IF(ISNUMBER(F145),F145,0)</f>
        <v/>
      </c>
      <c r="U145" s="43">
        <f>IF(ISNUMBER(G145),G145,0)</f>
        <v/>
      </c>
      <c r="V145" s="43">
        <f>IF(ISNUMBER(H145),H145,0)</f>
        <v/>
      </c>
      <c r="W145" s="43">
        <f>IF(ISNUMBER(I145),I145,0)</f>
        <v/>
      </c>
      <c r="X145" s="43">
        <f>IF(ISNUMBER(J145),J145,0)</f>
        <v/>
      </c>
      <c r="Y145" s="43">
        <f>IF(ISNUMBER(K145),K145,0)</f>
        <v/>
      </c>
    </row>
    <row r="146">
      <c r="A146" s="35" t="n"/>
      <c r="B146" s="35" t="n"/>
      <c r="C146" s="35" t="n"/>
      <c r="D146" s="25" t="n"/>
      <c r="E146" s="25" t="n"/>
      <c r="F146" s="25" t="n"/>
      <c r="G146" s="25" t="n"/>
      <c r="H146" s="25" t="n"/>
      <c r="I146" s="25" t="n"/>
      <c r="J146" s="25" t="n"/>
      <c r="K146" s="25" t="n"/>
      <c r="L146" s="35" t="n"/>
      <c r="M146" s="40">
        <f>IF(A146="","",IFERROR(INDEX(Applications!$B$2:$B$101,MATCH(A146,Applications!$A$2:$A$101,0))&amp;"",""))</f>
        <v/>
      </c>
      <c r="N146" s="41">
        <f>IF(A146="","",SUMPRODUCT(ISNUMBER(D146:K146)*($D$2:$K$2&gt;0)))</f>
        <v/>
      </c>
      <c r="O146" s="40">
        <f>IF(A146="","",IF(ISNA(MATCH(A146,Applications!$A$2:$A$101,0)),"Check ID",IF(ISNA(MATCH(B146,Settings!$C$13:$C$18,0)),"Check reviewer",IF(LEFT(C146,3)="Yes","Conflict, not counted",IF(COUNTIFS($A$3:A146,A146,$B$3:B146,B146)&gt;1,"Duplicate, not counted",IF(SUM($D$2:$K$2)=0,"Add weights on Rubric",IF(SUMPRODUCT(ISNUMBER(D146:K146)*((D146:K146&gt;4)+(D146:K146&lt;0)))&gt;0,"Check scores",IF(N146&lt;COUNTIF($D$2:$K$2,"&gt;0"),"Incomplete","Counted"))))))))</f>
        <v/>
      </c>
      <c r="P146" s="42">
        <f>IF(O146="Counted",ROUND(SUMPRODUCT(D146:K146,$D$2:$K$2)*100/(4*SUM($D$2:$K$2)),1),"")</f>
        <v/>
      </c>
      <c r="Q146" s="27">
        <f>IF(O146="Counted",1,0)</f>
        <v/>
      </c>
      <c r="R146" s="43">
        <f>IF(ISNUMBER(D146),D146,0)</f>
        <v/>
      </c>
      <c r="S146" s="43">
        <f>IF(ISNUMBER(E146),E146,0)</f>
        <v/>
      </c>
      <c r="T146" s="43">
        <f>IF(ISNUMBER(F146),F146,0)</f>
        <v/>
      </c>
      <c r="U146" s="43">
        <f>IF(ISNUMBER(G146),G146,0)</f>
        <v/>
      </c>
      <c r="V146" s="43">
        <f>IF(ISNUMBER(H146),H146,0)</f>
        <v/>
      </c>
      <c r="W146" s="43">
        <f>IF(ISNUMBER(I146),I146,0)</f>
        <v/>
      </c>
      <c r="X146" s="43">
        <f>IF(ISNUMBER(J146),J146,0)</f>
        <v/>
      </c>
      <c r="Y146" s="43">
        <f>IF(ISNUMBER(K146),K146,0)</f>
        <v/>
      </c>
    </row>
    <row r="147">
      <c r="A147" s="35" t="n"/>
      <c r="B147" s="35" t="n"/>
      <c r="C147" s="35" t="n"/>
      <c r="D147" s="25" t="n"/>
      <c r="E147" s="25" t="n"/>
      <c r="F147" s="25" t="n"/>
      <c r="G147" s="25" t="n"/>
      <c r="H147" s="25" t="n"/>
      <c r="I147" s="25" t="n"/>
      <c r="J147" s="25" t="n"/>
      <c r="K147" s="25" t="n"/>
      <c r="L147" s="35" t="n"/>
      <c r="M147" s="40">
        <f>IF(A147="","",IFERROR(INDEX(Applications!$B$2:$B$101,MATCH(A147,Applications!$A$2:$A$101,0))&amp;"",""))</f>
        <v/>
      </c>
      <c r="N147" s="41">
        <f>IF(A147="","",SUMPRODUCT(ISNUMBER(D147:K147)*($D$2:$K$2&gt;0)))</f>
        <v/>
      </c>
      <c r="O147" s="40">
        <f>IF(A147="","",IF(ISNA(MATCH(A147,Applications!$A$2:$A$101,0)),"Check ID",IF(ISNA(MATCH(B147,Settings!$C$13:$C$18,0)),"Check reviewer",IF(LEFT(C147,3)="Yes","Conflict, not counted",IF(COUNTIFS($A$3:A147,A147,$B$3:B147,B147)&gt;1,"Duplicate, not counted",IF(SUM($D$2:$K$2)=0,"Add weights on Rubric",IF(SUMPRODUCT(ISNUMBER(D147:K147)*((D147:K147&gt;4)+(D147:K147&lt;0)))&gt;0,"Check scores",IF(N147&lt;COUNTIF($D$2:$K$2,"&gt;0"),"Incomplete","Counted"))))))))</f>
        <v/>
      </c>
      <c r="P147" s="42">
        <f>IF(O147="Counted",ROUND(SUMPRODUCT(D147:K147,$D$2:$K$2)*100/(4*SUM($D$2:$K$2)),1),"")</f>
        <v/>
      </c>
      <c r="Q147" s="27">
        <f>IF(O147="Counted",1,0)</f>
        <v/>
      </c>
      <c r="R147" s="43">
        <f>IF(ISNUMBER(D147),D147,0)</f>
        <v/>
      </c>
      <c r="S147" s="43">
        <f>IF(ISNUMBER(E147),E147,0)</f>
        <v/>
      </c>
      <c r="T147" s="43">
        <f>IF(ISNUMBER(F147),F147,0)</f>
        <v/>
      </c>
      <c r="U147" s="43">
        <f>IF(ISNUMBER(G147),G147,0)</f>
        <v/>
      </c>
      <c r="V147" s="43">
        <f>IF(ISNUMBER(H147),H147,0)</f>
        <v/>
      </c>
      <c r="W147" s="43">
        <f>IF(ISNUMBER(I147),I147,0)</f>
        <v/>
      </c>
      <c r="X147" s="43">
        <f>IF(ISNUMBER(J147),J147,0)</f>
        <v/>
      </c>
      <c r="Y147" s="43">
        <f>IF(ISNUMBER(K147),K147,0)</f>
        <v/>
      </c>
    </row>
    <row r="148">
      <c r="A148" s="35" t="n"/>
      <c r="B148" s="35" t="n"/>
      <c r="C148" s="35" t="n"/>
      <c r="D148" s="25" t="n"/>
      <c r="E148" s="25" t="n"/>
      <c r="F148" s="25" t="n"/>
      <c r="G148" s="25" t="n"/>
      <c r="H148" s="25" t="n"/>
      <c r="I148" s="25" t="n"/>
      <c r="J148" s="25" t="n"/>
      <c r="K148" s="25" t="n"/>
      <c r="L148" s="35" t="n"/>
      <c r="M148" s="40">
        <f>IF(A148="","",IFERROR(INDEX(Applications!$B$2:$B$101,MATCH(A148,Applications!$A$2:$A$101,0))&amp;"",""))</f>
        <v/>
      </c>
      <c r="N148" s="41">
        <f>IF(A148="","",SUMPRODUCT(ISNUMBER(D148:K148)*($D$2:$K$2&gt;0)))</f>
        <v/>
      </c>
      <c r="O148" s="40">
        <f>IF(A148="","",IF(ISNA(MATCH(A148,Applications!$A$2:$A$101,0)),"Check ID",IF(ISNA(MATCH(B148,Settings!$C$13:$C$18,0)),"Check reviewer",IF(LEFT(C148,3)="Yes","Conflict, not counted",IF(COUNTIFS($A$3:A148,A148,$B$3:B148,B148)&gt;1,"Duplicate, not counted",IF(SUM($D$2:$K$2)=0,"Add weights on Rubric",IF(SUMPRODUCT(ISNUMBER(D148:K148)*((D148:K148&gt;4)+(D148:K148&lt;0)))&gt;0,"Check scores",IF(N148&lt;COUNTIF($D$2:$K$2,"&gt;0"),"Incomplete","Counted"))))))))</f>
        <v/>
      </c>
      <c r="P148" s="42">
        <f>IF(O148="Counted",ROUND(SUMPRODUCT(D148:K148,$D$2:$K$2)*100/(4*SUM($D$2:$K$2)),1),"")</f>
        <v/>
      </c>
      <c r="Q148" s="27">
        <f>IF(O148="Counted",1,0)</f>
        <v/>
      </c>
      <c r="R148" s="43">
        <f>IF(ISNUMBER(D148),D148,0)</f>
        <v/>
      </c>
      <c r="S148" s="43">
        <f>IF(ISNUMBER(E148),E148,0)</f>
        <v/>
      </c>
      <c r="T148" s="43">
        <f>IF(ISNUMBER(F148),F148,0)</f>
        <v/>
      </c>
      <c r="U148" s="43">
        <f>IF(ISNUMBER(G148),G148,0)</f>
        <v/>
      </c>
      <c r="V148" s="43">
        <f>IF(ISNUMBER(H148),H148,0)</f>
        <v/>
      </c>
      <c r="W148" s="43">
        <f>IF(ISNUMBER(I148),I148,0)</f>
        <v/>
      </c>
      <c r="X148" s="43">
        <f>IF(ISNUMBER(J148),J148,0)</f>
        <v/>
      </c>
      <c r="Y148" s="43">
        <f>IF(ISNUMBER(K148),K148,0)</f>
        <v/>
      </c>
    </row>
    <row r="149">
      <c r="A149" s="35" t="n"/>
      <c r="B149" s="35" t="n"/>
      <c r="C149" s="35" t="n"/>
      <c r="D149" s="25" t="n"/>
      <c r="E149" s="25" t="n"/>
      <c r="F149" s="25" t="n"/>
      <c r="G149" s="25" t="n"/>
      <c r="H149" s="25" t="n"/>
      <c r="I149" s="25" t="n"/>
      <c r="J149" s="25" t="n"/>
      <c r="K149" s="25" t="n"/>
      <c r="L149" s="35" t="n"/>
      <c r="M149" s="40">
        <f>IF(A149="","",IFERROR(INDEX(Applications!$B$2:$B$101,MATCH(A149,Applications!$A$2:$A$101,0))&amp;"",""))</f>
        <v/>
      </c>
      <c r="N149" s="41">
        <f>IF(A149="","",SUMPRODUCT(ISNUMBER(D149:K149)*($D$2:$K$2&gt;0)))</f>
        <v/>
      </c>
      <c r="O149" s="40">
        <f>IF(A149="","",IF(ISNA(MATCH(A149,Applications!$A$2:$A$101,0)),"Check ID",IF(ISNA(MATCH(B149,Settings!$C$13:$C$18,0)),"Check reviewer",IF(LEFT(C149,3)="Yes","Conflict, not counted",IF(COUNTIFS($A$3:A149,A149,$B$3:B149,B149)&gt;1,"Duplicate, not counted",IF(SUM($D$2:$K$2)=0,"Add weights on Rubric",IF(SUMPRODUCT(ISNUMBER(D149:K149)*((D149:K149&gt;4)+(D149:K149&lt;0)))&gt;0,"Check scores",IF(N149&lt;COUNTIF($D$2:$K$2,"&gt;0"),"Incomplete","Counted"))))))))</f>
        <v/>
      </c>
      <c r="P149" s="42">
        <f>IF(O149="Counted",ROUND(SUMPRODUCT(D149:K149,$D$2:$K$2)*100/(4*SUM($D$2:$K$2)),1),"")</f>
        <v/>
      </c>
      <c r="Q149" s="27">
        <f>IF(O149="Counted",1,0)</f>
        <v/>
      </c>
      <c r="R149" s="43">
        <f>IF(ISNUMBER(D149),D149,0)</f>
        <v/>
      </c>
      <c r="S149" s="43">
        <f>IF(ISNUMBER(E149),E149,0)</f>
        <v/>
      </c>
      <c r="T149" s="43">
        <f>IF(ISNUMBER(F149),F149,0)</f>
        <v/>
      </c>
      <c r="U149" s="43">
        <f>IF(ISNUMBER(G149),G149,0)</f>
        <v/>
      </c>
      <c r="V149" s="43">
        <f>IF(ISNUMBER(H149),H149,0)</f>
        <v/>
      </c>
      <c r="W149" s="43">
        <f>IF(ISNUMBER(I149),I149,0)</f>
        <v/>
      </c>
      <c r="X149" s="43">
        <f>IF(ISNUMBER(J149),J149,0)</f>
        <v/>
      </c>
      <c r="Y149" s="43">
        <f>IF(ISNUMBER(K149),K149,0)</f>
        <v/>
      </c>
    </row>
    <row r="150">
      <c r="A150" s="35" t="n"/>
      <c r="B150" s="35" t="n"/>
      <c r="C150" s="35" t="n"/>
      <c r="D150" s="25" t="n"/>
      <c r="E150" s="25" t="n"/>
      <c r="F150" s="25" t="n"/>
      <c r="G150" s="25" t="n"/>
      <c r="H150" s="25" t="n"/>
      <c r="I150" s="25" t="n"/>
      <c r="J150" s="25" t="n"/>
      <c r="K150" s="25" t="n"/>
      <c r="L150" s="35" t="n"/>
      <c r="M150" s="40">
        <f>IF(A150="","",IFERROR(INDEX(Applications!$B$2:$B$101,MATCH(A150,Applications!$A$2:$A$101,0))&amp;"",""))</f>
        <v/>
      </c>
      <c r="N150" s="41">
        <f>IF(A150="","",SUMPRODUCT(ISNUMBER(D150:K150)*($D$2:$K$2&gt;0)))</f>
        <v/>
      </c>
      <c r="O150" s="40">
        <f>IF(A150="","",IF(ISNA(MATCH(A150,Applications!$A$2:$A$101,0)),"Check ID",IF(ISNA(MATCH(B150,Settings!$C$13:$C$18,0)),"Check reviewer",IF(LEFT(C150,3)="Yes","Conflict, not counted",IF(COUNTIFS($A$3:A150,A150,$B$3:B150,B150)&gt;1,"Duplicate, not counted",IF(SUM($D$2:$K$2)=0,"Add weights on Rubric",IF(SUMPRODUCT(ISNUMBER(D150:K150)*((D150:K150&gt;4)+(D150:K150&lt;0)))&gt;0,"Check scores",IF(N150&lt;COUNTIF($D$2:$K$2,"&gt;0"),"Incomplete","Counted"))))))))</f>
        <v/>
      </c>
      <c r="P150" s="42">
        <f>IF(O150="Counted",ROUND(SUMPRODUCT(D150:K150,$D$2:$K$2)*100/(4*SUM($D$2:$K$2)),1),"")</f>
        <v/>
      </c>
      <c r="Q150" s="27">
        <f>IF(O150="Counted",1,0)</f>
        <v/>
      </c>
      <c r="R150" s="43">
        <f>IF(ISNUMBER(D150),D150,0)</f>
        <v/>
      </c>
      <c r="S150" s="43">
        <f>IF(ISNUMBER(E150),E150,0)</f>
        <v/>
      </c>
      <c r="T150" s="43">
        <f>IF(ISNUMBER(F150),F150,0)</f>
        <v/>
      </c>
      <c r="U150" s="43">
        <f>IF(ISNUMBER(G150),G150,0)</f>
        <v/>
      </c>
      <c r="V150" s="43">
        <f>IF(ISNUMBER(H150),H150,0)</f>
        <v/>
      </c>
      <c r="W150" s="43">
        <f>IF(ISNUMBER(I150),I150,0)</f>
        <v/>
      </c>
      <c r="X150" s="43">
        <f>IF(ISNUMBER(J150),J150,0)</f>
        <v/>
      </c>
      <c r="Y150" s="43">
        <f>IF(ISNUMBER(K150),K150,0)</f>
        <v/>
      </c>
    </row>
    <row r="151">
      <c r="A151" s="35" t="n"/>
      <c r="B151" s="35" t="n"/>
      <c r="C151" s="35" t="n"/>
      <c r="D151" s="25" t="n"/>
      <c r="E151" s="25" t="n"/>
      <c r="F151" s="25" t="n"/>
      <c r="G151" s="25" t="n"/>
      <c r="H151" s="25" t="n"/>
      <c r="I151" s="25" t="n"/>
      <c r="J151" s="25" t="n"/>
      <c r="K151" s="25" t="n"/>
      <c r="L151" s="35" t="n"/>
      <c r="M151" s="40">
        <f>IF(A151="","",IFERROR(INDEX(Applications!$B$2:$B$101,MATCH(A151,Applications!$A$2:$A$101,0))&amp;"",""))</f>
        <v/>
      </c>
      <c r="N151" s="41">
        <f>IF(A151="","",SUMPRODUCT(ISNUMBER(D151:K151)*($D$2:$K$2&gt;0)))</f>
        <v/>
      </c>
      <c r="O151" s="40">
        <f>IF(A151="","",IF(ISNA(MATCH(A151,Applications!$A$2:$A$101,0)),"Check ID",IF(ISNA(MATCH(B151,Settings!$C$13:$C$18,0)),"Check reviewer",IF(LEFT(C151,3)="Yes","Conflict, not counted",IF(COUNTIFS($A$3:A151,A151,$B$3:B151,B151)&gt;1,"Duplicate, not counted",IF(SUM($D$2:$K$2)=0,"Add weights on Rubric",IF(SUMPRODUCT(ISNUMBER(D151:K151)*((D151:K151&gt;4)+(D151:K151&lt;0)))&gt;0,"Check scores",IF(N151&lt;COUNTIF($D$2:$K$2,"&gt;0"),"Incomplete","Counted"))))))))</f>
        <v/>
      </c>
      <c r="P151" s="42">
        <f>IF(O151="Counted",ROUND(SUMPRODUCT(D151:K151,$D$2:$K$2)*100/(4*SUM($D$2:$K$2)),1),"")</f>
        <v/>
      </c>
      <c r="Q151" s="27">
        <f>IF(O151="Counted",1,0)</f>
        <v/>
      </c>
      <c r="R151" s="43">
        <f>IF(ISNUMBER(D151),D151,0)</f>
        <v/>
      </c>
      <c r="S151" s="43">
        <f>IF(ISNUMBER(E151),E151,0)</f>
        <v/>
      </c>
      <c r="T151" s="43">
        <f>IF(ISNUMBER(F151),F151,0)</f>
        <v/>
      </c>
      <c r="U151" s="43">
        <f>IF(ISNUMBER(G151),G151,0)</f>
        <v/>
      </c>
      <c r="V151" s="43">
        <f>IF(ISNUMBER(H151),H151,0)</f>
        <v/>
      </c>
      <c r="W151" s="43">
        <f>IF(ISNUMBER(I151),I151,0)</f>
        <v/>
      </c>
      <c r="X151" s="43">
        <f>IF(ISNUMBER(J151),J151,0)</f>
        <v/>
      </c>
      <c r="Y151" s="43">
        <f>IF(ISNUMBER(K151),K151,0)</f>
        <v/>
      </c>
    </row>
    <row r="152">
      <c r="A152" s="35" t="n"/>
      <c r="B152" s="35" t="n"/>
      <c r="C152" s="35" t="n"/>
      <c r="D152" s="25" t="n"/>
      <c r="E152" s="25" t="n"/>
      <c r="F152" s="25" t="n"/>
      <c r="G152" s="25" t="n"/>
      <c r="H152" s="25" t="n"/>
      <c r="I152" s="25" t="n"/>
      <c r="J152" s="25" t="n"/>
      <c r="K152" s="25" t="n"/>
      <c r="L152" s="35" t="n"/>
      <c r="M152" s="40">
        <f>IF(A152="","",IFERROR(INDEX(Applications!$B$2:$B$101,MATCH(A152,Applications!$A$2:$A$101,0))&amp;"",""))</f>
        <v/>
      </c>
      <c r="N152" s="41">
        <f>IF(A152="","",SUMPRODUCT(ISNUMBER(D152:K152)*($D$2:$K$2&gt;0)))</f>
        <v/>
      </c>
      <c r="O152" s="40">
        <f>IF(A152="","",IF(ISNA(MATCH(A152,Applications!$A$2:$A$101,0)),"Check ID",IF(ISNA(MATCH(B152,Settings!$C$13:$C$18,0)),"Check reviewer",IF(LEFT(C152,3)="Yes","Conflict, not counted",IF(COUNTIFS($A$3:A152,A152,$B$3:B152,B152)&gt;1,"Duplicate, not counted",IF(SUM($D$2:$K$2)=0,"Add weights on Rubric",IF(SUMPRODUCT(ISNUMBER(D152:K152)*((D152:K152&gt;4)+(D152:K152&lt;0)))&gt;0,"Check scores",IF(N152&lt;COUNTIF($D$2:$K$2,"&gt;0"),"Incomplete","Counted"))))))))</f>
        <v/>
      </c>
      <c r="P152" s="42">
        <f>IF(O152="Counted",ROUND(SUMPRODUCT(D152:K152,$D$2:$K$2)*100/(4*SUM($D$2:$K$2)),1),"")</f>
        <v/>
      </c>
      <c r="Q152" s="27">
        <f>IF(O152="Counted",1,0)</f>
        <v/>
      </c>
      <c r="R152" s="43">
        <f>IF(ISNUMBER(D152),D152,0)</f>
        <v/>
      </c>
      <c r="S152" s="43">
        <f>IF(ISNUMBER(E152),E152,0)</f>
        <v/>
      </c>
      <c r="T152" s="43">
        <f>IF(ISNUMBER(F152),F152,0)</f>
        <v/>
      </c>
      <c r="U152" s="43">
        <f>IF(ISNUMBER(G152),G152,0)</f>
        <v/>
      </c>
      <c r="V152" s="43">
        <f>IF(ISNUMBER(H152),H152,0)</f>
        <v/>
      </c>
      <c r="W152" s="43">
        <f>IF(ISNUMBER(I152),I152,0)</f>
        <v/>
      </c>
      <c r="X152" s="43">
        <f>IF(ISNUMBER(J152),J152,0)</f>
        <v/>
      </c>
      <c r="Y152" s="43">
        <f>IF(ISNUMBER(K152),K152,0)</f>
        <v/>
      </c>
    </row>
    <row r="153">
      <c r="A153" s="35" t="n"/>
      <c r="B153" s="35" t="n"/>
      <c r="C153" s="35" t="n"/>
      <c r="D153" s="25" t="n"/>
      <c r="E153" s="25" t="n"/>
      <c r="F153" s="25" t="n"/>
      <c r="G153" s="25" t="n"/>
      <c r="H153" s="25" t="n"/>
      <c r="I153" s="25" t="n"/>
      <c r="J153" s="25" t="n"/>
      <c r="K153" s="25" t="n"/>
      <c r="L153" s="35" t="n"/>
      <c r="M153" s="40">
        <f>IF(A153="","",IFERROR(INDEX(Applications!$B$2:$B$101,MATCH(A153,Applications!$A$2:$A$101,0))&amp;"",""))</f>
        <v/>
      </c>
      <c r="N153" s="41">
        <f>IF(A153="","",SUMPRODUCT(ISNUMBER(D153:K153)*($D$2:$K$2&gt;0)))</f>
        <v/>
      </c>
      <c r="O153" s="40">
        <f>IF(A153="","",IF(ISNA(MATCH(A153,Applications!$A$2:$A$101,0)),"Check ID",IF(ISNA(MATCH(B153,Settings!$C$13:$C$18,0)),"Check reviewer",IF(LEFT(C153,3)="Yes","Conflict, not counted",IF(COUNTIFS($A$3:A153,A153,$B$3:B153,B153)&gt;1,"Duplicate, not counted",IF(SUM($D$2:$K$2)=0,"Add weights on Rubric",IF(SUMPRODUCT(ISNUMBER(D153:K153)*((D153:K153&gt;4)+(D153:K153&lt;0)))&gt;0,"Check scores",IF(N153&lt;COUNTIF($D$2:$K$2,"&gt;0"),"Incomplete","Counted"))))))))</f>
        <v/>
      </c>
      <c r="P153" s="42">
        <f>IF(O153="Counted",ROUND(SUMPRODUCT(D153:K153,$D$2:$K$2)*100/(4*SUM($D$2:$K$2)),1),"")</f>
        <v/>
      </c>
      <c r="Q153" s="27">
        <f>IF(O153="Counted",1,0)</f>
        <v/>
      </c>
      <c r="R153" s="43">
        <f>IF(ISNUMBER(D153),D153,0)</f>
        <v/>
      </c>
      <c r="S153" s="43">
        <f>IF(ISNUMBER(E153),E153,0)</f>
        <v/>
      </c>
      <c r="T153" s="43">
        <f>IF(ISNUMBER(F153),F153,0)</f>
        <v/>
      </c>
      <c r="U153" s="43">
        <f>IF(ISNUMBER(G153),G153,0)</f>
        <v/>
      </c>
      <c r="V153" s="43">
        <f>IF(ISNUMBER(H153),H153,0)</f>
        <v/>
      </c>
      <c r="W153" s="43">
        <f>IF(ISNUMBER(I153),I153,0)</f>
        <v/>
      </c>
      <c r="X153" s="43">
        <f>IF(ISNUMBER(J153),J153,0)</f>
        <v/>
      </c>
      <c r="Y153" s="43">
        <f>IF(ISNUMBER(K153),K153,0)</f>
        <v/>
      </c>
    </row>
    <row r="154">
      <c r="A154" s="35" t="n"/>
      <c r="B154" s="35" t="n"/>
      <c r="C154" s="35" t="n"/>
      <c r="D154" s="25" t="n"/>
      <c r="E154" s="25" t="n"/>
      <c r="F154" s="25" t="n"/>
      <c r="G154" s="25" t="n"/>
      <c r="H154" s="25" t="n"/>
      <c r="I154" s="25" t="n"/>
      <c r="J154" s="25" t="n"/>
      <c r="K154" s="25" t="n"/>
      <c r="L154" s="35" t="n"/>
      <c r="M154" s="40">
        <f>IF(A154="","",IFERROR(INDEX(Applications!$B$2:$B$101,MATCH(A154,Applications!$A$2:$A$101,0))&amp;"",""))</f>
        <v/>
      </c>
      <c r="N154" s="41">
        <f>IF(A154="","",SUMPRODUCT(ISNUMBER(D154:K154)*($D$2:$K$2&gt;0)))</f>
        <v/>
      </c>
      <c r="O154" s="40">
        <f>IF(A154="","",IF(ISNA(MATCH(A154,Applications!$A$2:$A$101,0)),"Check ID",IF(ISNA(MATCH(B154,Settings!$C$13:$C$18,0)),"Check reviewer",IF(LEFT(C154,3)="Yes","Conflict, not counted",IF(COUNTIFS($A$3:A154,A154,$B$3:B154,B154)&gt;1,"Duplicate, not counted",IF(SUM($D$2:$K$2)=0,"Add weights on Rubric",IF(SUMPRODUCT(ISNUMBER(D154:K154)*((D154:K154&gt;4)+(D154:K154&lt;0)))&gt;0,"Check scores",IF(N154&lt;COUNTIF($D$2:$K$2,"&gt;0"),"Incomplete","Counted"))))))))</f>
        <v/>
      </c>
      <c r="P154" s="42">
        <f>IF(O154="Counted",ROUND(SUMPRODUCT(D154:K154,$D$2:$K$2)*100/(4*SUM($D$2:$K$2)),1),"")</f>
        <v/>
      </c>
      <c r="Q154" s="27">
        <f>IF(O154="Counted",1,0)</f>
        <v/>
      </c>
      <c r="R154" s="43">
        <f>IF(ISNUMBER(D154),D154,0)</f>
        <v/>
      </c>
      <c r="S154" s="43">
        <f>IF(ISNUMBER(E154),E154,0)</f>
        <v/>
      </c>
      <c r="T154" s="43">
        <f>IF(ISNUMBER(F154),F154,0)</f>
        <v/>
      </c>
      <c r="U154" s="43">
        <f>IF(ISNUMBER(G154),G154,0)</f>
        <v/>
      </c>
      <c r="V154" s="43">
        <f>IF(ISNUMBER(H154),H154,0)</f>
        <v/>
      </c>
      <c r="W154" s="43">
        <f>IF(ISNUMBER(I154),I154,0)</f>
        <v/>
      </c>
      <c r="X154" s="43">
        <f>IF(ISNUMBER(J154),J154,0)</f>
        <v/>
      </c>
      <c r="Y154" s="43">
        <f>IF(ISNUMBER(K154),K154,0)</f>
        <v/>
      </c>
    </row>
    <row r="155">
      <c r="A155" s="35" t="n"/>
      <c r="B155" s="35" t="n"/>
      <c r="C155" s="35" t="n"/>
      <c r="D155" s="25" t="n"/>
      <c r="E155" s="25" t="n"/>
      <c r="F155" s="25" t="n"/>
      <c r="G155" s="25" t="n"/>
      <c r="H155" s="25" t="n"/>
      <c r="I155" s="25" t="n"/>
      <c r="J155" s="25" t="n"/>
      <c r="K155" s="25" t="n"/>
      <c r="L155" s="35" t="n"/>
      <c r="M155" s="40">
        <f>IF(A155="","",IFERROR(INDEX(Applications!$B$2:$B$101,MATCH(A155,Applications!$A$2:$A$101,0))&amp;"",""))</f>
        <v/>
      </c>
      <c r="N155" s="41">
        <f>IF(A155="","",SUMPRODUCT(ISNUMBER(D155:K155)*($D$2:$K$2&gt;0)))</f>
        <v/>
      </c>
      <c r="O155" s="40">
        <f>IF(A155="","",IF(ISNA(MATCH(A155,Applications!$A$2:$A$101,0)),"Check ID",IF(ISNA(MATCH(B155,Settings!$C$13:$C$18,0)),"Check reviewer",IF(LEFT(C155,3)="Yes","Conflict, not counted",IF(COUNTIFS($A$3:A155,A155,$B$3:B155,B155)&gt;1,"Duplicate, not counted",IF(SUM($D$2:$K$2)=0,"Add weights on Rubric",IF(SUMPRODUCT(ISNUMBER(D155:K155)*((D155:K155&gt;4)+(D155:K155&lt;0)))&gt;0,"Check scores",IF(N155&lt;COUNTIF($D$2:$K$2,"&gt;0"),"Incomplete","Counted"))))))))</f>
        <v/>
      </c>
      <c r="P155" s="42">
        <f>IF(O155="Counted",ROUND(SUMPRODUCT(D155:K155,$D$2:$K$2)*100/(4*SUM($D$2:$K$2)),1),"")</f>
        <v/>
      </c>
      <c r="Q155" s="27">
        <f>IF(O155="Counted",1,0)</f>
        <v/>
      </c>
      <c r="R155" s="43">
        <f>IF(ISNUMBER(D155),D155,0)</f>
        <v/>
      </c>
      <c r="S155" s="43">
        <f>IF(ISNUMBER(E155),E155,0)</f>
        <v/>
      </c>
      <c r="T155" s="43">
        <f>IF(ISNUMBER(F155),F155,0)</f>
        <v/>
      </c>
      <c r="U155" s="43">
        <f>IF(ISNUMBER(G155),G155,0)</f>
        <v/>
      </c>
      <c r="V155" s="43">
        <f>IF(ISNUMBER(H155),H155,0)</f>
        <v/>
      </c>
      <c r="W155" s="43">
        <f>IF(ISNUMBER(I155),I155,0)</f>
        <v/>
      </c>
      <c r="X155" s="43">
        <f>IF(ISNUMBER(J155),J155,0)</f>
        <v/>
      </c>
      <c r="Y155" s="43">
        <f>IF(ISNUMBER(K155),K155,0)</f>
        <v/>
      </c>
    </row>
    <row r="156">
      <c r="A156" s="35" t="n"/>
      <c r="B156" s="35" t="n"/>
      <c r="C156" s="35" t="n"/>
      <c r="D156" s="25" t="n"/>
      <c r="E156" s="25" t="n"/>
      <c r="F156" s="25" t="n"/>
      <c r="G156" s="25" t="n"/>
      <c r="H156" s="25" t="n"/>
      <c r="I156" s="25" t="n"/>
      <c r="J156" s="25" t="n"/>
      <c r="K156" s="25" t="n"/>
      <c r="L156" s="35" t="n"/>
      <c r="M156" s="40">
        <f>IF(A156="","",IFERROR(INDEX(Applications!$B$2:$B$101,MATCH(A156,Applications!$A$2:$A$101,0))&amp;"",""))</f>
        <v/>
      </c>
      <c r="N156" s="41">
        <f>IF(A156="","",SUMPRODUCT(ISNUMBER(D156:K156)*($D$2:$K$2&gt;0)))</f>
        <v/>
      </c>
      <c r="O156" s="40">
        <f>IF(A156="","",IF(ISNA(MATCH(A156,Applications!$A$2:$A$101,0)),"Check ID",IF(ISNA(MATCH(B156,Settings!$C$13:$C$18,0)),"Check reviewer",IF(LEFT(C156,3)="Yes","Conflict, not counted",IF(COUNTIFS($A$3:A156,A156,$B$3:B156,B156)&gt;1,"Duplicate, not counted",IF(SUM($D$2:$K$2)=0,"Add weights on Rubric",IF(SUMPRODUCT(ISNUMBER(D156:K156)*((D156:K156&gt;4)+(D156:K156&lt;0)))&gt;0,"Check scores",IF(N156&lt;COUNTIF($D$2:$K$2,"&gt;0"),"Incomplete","Counted"))))))))</f>
        <v/>
      </c>
      <c r="P156" s="42">
        <f>IF(O156="Counted",ROUND(SUMPRODUCT(D156:K156,$D$2:$K$2)*100/(4*SUM($D$2:$K$2)),1),"")</f>
        <v/>
      </c>
      <c r="Q156" s="27">
        <f>IF(O156="Counted",1,0)</f>
        <v/>
      </c>
      <c r="R156" s="43">
        <f>IF(ISNUMBER(D156),D156,0)</f>
        <v/>
      </c>
      <c r="S156" s="43">
        <f>IF(ISNUMBER(E156),E156,0)</f>
        <v/>
      </c>
      <c r="T156" s="43">
        <f>IF(ISNUMBER(F156),F156,0)</f>
        <v/>
      </c>
      <c r="U156" s="43">
        <f>IF(ISNUMBER(G156),G156,0)</f>
        <v/>
      </c>
      <c r="V156" s="43">
        <f>IF(ISNUMBER(H156),H156,0)</f>
        <v/>
      </c>
      <c r="W156" s="43">
        <f>IF(ISNUMBER(I156),I156,0)</f>
        <v/>
      </c>
      <c r="X156" s="43">
        <f>IF(ISNUMBER(J156),J156,0)</f>
        <v/>
      </c>
      <c r="Y156" s="43">
        <f>IF(ISNUMBER(K156),K156,0)</f>
        <v/>
      </c>
    </row>
    <row r="157">
      <c r="A157" s="35" t="n"/>
      <c r="B157" s="35" t="n"/>
      <c r="C157" s="35" t="n"/>
      <c r="D157" s="25" t="n"/>
      <c r="E157" s="25" t="n"/>
      <c r="F157" s="25" t="n"/>
      <c r="G157" s="25" t="n"/>
      <c r="H157" s="25" t="n"/>
      <c r="I157" s="25" t="n"/>
      <c r="J157" s="25" t="n"/>
      <c r="K157" s="25" t="n"/>
      <c r="L157" s="35" t="n"/>
      <c r="M157" s="40">
        <f>IF(A157="","",IFERROR(INDEX(Applications!$B$2:$B$101,MATCH(A157,Applications!$A$2:$A$101,0))&amp;"",""))</f>
        <v/>
      </c>
      <c r="N157" s="41">
        <f>IF(A157="","",SUMPRODUCT(ISNUMBER(D157:K157)*($D$2:$K$2&gt;0)))</f>
        <v/>
      </c>
      <c r="O157" s="40">
        <f>IF(A157="","",IF(ISNA(MATCH(A157,Applications!$A$2:$A$101,0)),"Check ID",IF(ISNA(MATCH(B157,Settings!$C$13:$C$18,0)),"Check reviewer",IF(LEFT(C157,3)="Yes","Conflict, not counted",IF(COUNTIFS($A$3:A157,A157,$B$3:B157,B157)&gt;1,"Duplicate, not counted",IF(SUM($D$2:$K$2)=0,"Add weights on Rubric",IF(SUMPRODUCT(ISNUMBER(D157:K157)*((D157:K157&gt;4)+(D157:K157&lt;0)))&gt;0,"Check scores",IF(N157&lt;COUNTIF($D$2:$K$2,"&gt;0"),"Incomplete","Counted"))))))))</f>
        <v/>
      </c>
      <c r="P157" s="42">
        <f>IF(O157="Counted",ROUND(SUMPRODUCT(D157:K157,$D$2:$K$2)*100/(4*SUM($D$2:$K$2)),1),"")</f>
        <v/>
      </c>
      <c r="Q157" s="27">
        <f>IF(O157="Counted",1,0)</f>
        <v/>
      </c>
      <c r="R157" s="43">
        <f>IF(ISNUMBER(D157),D157,0)</f>
        <v/>
      </c>
      <c r="S157" s="43">
        <f>IF(ISNUMBER(E157),E157,0)</f>
        <v/>
      </c>
      <c r="T157" s="43">
        <f>IF(ISNUMBER(F157),F157,0)</f>
        <v/>
      </c>
      <c r="U157" s="43">
        <f>IF(ISNUMBER(G157),G157,0)</f>
        <v/>
      </c>
      <c r="V157" s="43">
        <f>IF(ISNUMBER(H157),H157,0)</f>
        <v/>
      </c>
      <c r="W157" s="43">
        <f>IF(ISNUMBER(I157),I157,0)</f>
        <v/>
      </c>
      <c r="X157" s="43">
        <f>IF(ISNUMBER(J157),J157,0)</f>
        <v/>
      </c>
      <c r="Y157" s="43">
        <f>IF(ISNUMBER(K157),K157,0)</f>
        <v/>
      </c>
    </row>
    <row r="158">
      <c r="A158" s="35" t="n"/>
      <c r="B158" s="35" t="n"/>
      <c r="C158" s="35" t="n"/>
      <c r="D158" s="25" t="n"/>
      <c r="E158" s="25" t="n"/>
      <c r="F158" s="25" t="n"/>
      <c r="G158" s="25" t="n"/>
      <c r="H158" s="25" t="n"/>
      <c r="I158" s="25" t="n"/>
      <c r="J158" s="25" t="n"/>
      <c r="K158" s="25" t="n"/>
      <c r="L158" s="35" t="n"/>
      <c r="M158" s="40">
        <f>IF(A158="","",IFERROR(INDEX(Applications!$B$2:$B$101,MATCH(A158,Applications!$A$2:$A$101,0))&amp;"",""))</f>
        <v/>
      </c>
      <c r="N158" s="41">
        <f>IF(A158="","",SUMPRODUCT(ISNUMBER(D158:K158)*($D$2:$K$2&gt;0)))</f>
        <v/>
      </c>
      <c r="O158" s="40">
        <f>IF(A158="","",IF(ISNA(MATCH(A158,Applications!$A$2:$A$101,0)),"Check ID",IF(ISNA(MATCH(B158,Settings!$C$13:$C$18,0)),"Check reviewer",IF(LEFT(C158,3)="Yes","Conflict, not counted",IF(COUNTIFS($A$3:A158,A158,$B$3:B158,B158)&gt;1,"Duplicate, not counted",IF(SUM($D$2:$K$2)=0,"Add weights on Rubric",IF(SUMPRODUCT(ISNUMBER(D158:K158)*((D158:K158&gt;4)+(D158:K158&lt;0)))&gt;0,"Check scores",IF(N158&lt;COUNTIF($D$2:$K$2,"&gt;0"),"Incomplete","Counted"))))))))</f>
        <v/>
      </c>
      <c r="P158" s="42">
        <f>IF(O158="Counted",ROUND(SUMPRODUCT(D158:K158,$D$2:$K$2)*100/(4*SUM($D$2:$K$2)),1),"")</f>
        <v/>
      </c>
      <c r="Q158" s="27">
        <f>IF(O158="Counted",1,0)</f>
        <v/>
      </c>
      <c r="R158" s="43">
        <f>IF(ISNUMBER(D158),D158,0)</f>
        <v/>
      </c>
      <c r="S158" s="43">
        <f>IF(ISNUMBER(E158),E158,0)</f>
        <v/>
      </c>
      <c r="T158" s="43">
        <f>IF(ISNUMBER(F158),F158,0)</f>
        <v/>
      </c>
      <c r="U158" s="43">
        <f>IF(ISNUMBER(G158),G158,0)</f>
        <v/>
      </c>
      <c r="V158" s="43">
        <f>IF(ISNUMBER(H158),H158,0)</f>
        <v/>
      </c>
      <c r="W158" s="43">
        <f>IF(ISNUMBER(I158),I158,0)</f>
        <v/>
      </c>
      <c r="X158" s="43">
        <f>IF(ISNUMBER(J158),J158,0)</f>
        <v/>
      </c>
      <c r="Y158" s="43">
        <f>IF(ISNUMBER(K158),K158,0)</f>
        <v/>
      </c>
    </row>
    <row r="159">
      <c r="A159" s="35" t="n"/>
      <c r="B159" s="35" t="n"/>
      <c r="C159" s="35" t="n"/>
      <c r="D159" s="25" t="n"/>
      <c r="E159" s="25" t="n"/>
      <c r="F159" s="25" t="n"/>
      <c r="G159" s="25" t="n"/>
      <c r="H159" s="25" t="n"/>
      <c r="I159" s="25" t="n"/>
      <c r="J159" s="25" t="n"/>
      <c r="K159" s="25" t="n"/>
      <c r="L159" s="35" t="n"/>
      <c r="M159" s="40">
        <f>IF(A159="","",IFERROR(INDEX(Applications!$B$2:$B$101,MATCH(A159,Applications!$A$2:$A$101,0))&amp;"",""))</f>
        <v/>
      </c>
      <c r="N159" s="41">
        <f>IF(A159="","",SUMPRODUCT(ISNUMBER(D159:K159)*($D$2:$K$2&gt;0)))</f>
        <v/>
      </c>
      <c r="O159" s="40">
        <f>IF(A159="","",IF(ISNA(MATCH(A159,Applications!$A$2:$A$101,0)),"Check ID",IF(ISNA(MATCH(B159,Settings!$C$13:$C$18,0)),"Check reviewer",IF(LEFT(C159,3)="Yes","Conflict, not counted",IF(COUNTIFS($A$3:A159,A159,$B$3:B159,B159)&gt;1,"Duplicate, not counted",IF(SUM($D$2:$K$2)=0,"Add weights on Rubric",IF(SUMPRODUCT(ISNUMBER(D159:K159)*((D159:K159&gt;4)+(D159:K159&lt;0)))&gt;0,"Check scores",IF(N159&lt;COUNTIF($D$2:$K$2,"&gt;0"),"Incomplete","Counted"))))))))</f>
        <v/>
      </c>
      <c r="P159" s="42">
        <f>IF(O159="Counted",ROUND(SUMPRODUCT(D159:K159,$D$2:$K$2)*100/(4*SUM($D$2:$K$2)),1),"")</f>
        <v/>
      </c>
      <c r="Q159" s="27">
        <f>IF(O159="Counted",1,0)</f>
        <v/>
      </c>
      <c r="R159" s="43">
        <f>IF(ISNUMBER(D159),D159,0)</f>
        <v/>
      </c>
      <c r="S159" s="43">
        <f>IF(ISNUMBER(E159),E159,0)</f>
        <v/>
      </c>
      <c r="T159" s="43">
        <f>IF(ISNUMBER(F159),F159,0)</f>
        <v/>
      </c>
      <c r="U159" s="43">
        <f>IF(ISNUMBER(G159),G159,0)</f>
        <v/>
      </c>
      <c r="V159" s="43">
        <f>IF(ISNUMBER(H159),H159,0)</f>
        <v/>
      </c>
      <c r="W159" s="43">
        <f>IF(ISNUMBER(I159),I159,0)</f>
        <v/>
      </c>
      <c r="X159" s="43">
        <f>IF(ISNUMBER(J159),J159,0)</f>
        <v/>
      </c>
      <c r="Y159" s="43">
        <f>IF(ISNUMBER(K159),K159,0)</f>
        <v/>
      </c>
    </row>
    <row r="160">
      <c r="A160" s="35" t="n"/>
      <c r="B160" s="35" t="n"/>
      <c r="C160" s="35" t="n"/>
      <c r="D160" s="25" t="n"/>
      <c r="E160" s="25" t="n"/>
      <c r="F160" s="25" t="n"/>
      <c r="G160" s="25" t="n"/>
      <c r="H160" s="25" t="n"/>
      <c r="I160" s="25" t="n"/>
      <c r="J160" s="25" t="n"/>
      <c r="K160" s="25" t="n"/>
      <c r="L160" s="35" t="n"/>
      <c r="M160" s="40">
        <f>IF(A160="","",IFERROR(INDEX(Applications!$B$2:$B$101,MATCH(A160,Applications!$A$2:$A$101,0))&amp;"",""))</f>
        <v/>
      </c>
      <c r="N160" s="41">
        <f>IF(A160="","",SUMPRODUCT(ISNUMBER(D160:K160)*($D$2:$K$2&gt;0)))</f>
        <v/>
      </c>
      <c r="O160" s="40">
        <f>IF(A160="","",IF(ISNA(MATCH(A160,Applications!$A$2:$A$101,0)),"Check ID",IF(ISNA(MATCH(B160,Settings!$C$13:$C$18,0)),"Check reviewer",IF(LEFT(C160,3)="Yes","Conflict, not counted",IF(COUNTIFS($A$3:A160,A160,$B$3:B160,B160)&gt;1,"Duplicate, not counted",IF(SUM($D$2:$K$2)=0,"Add weights on Rubric",IF(SUMPRODUCT(ISNUMBER(D160:K160)*((D160:K160&gt;4)+(D160:K160&lt;0)))&gt;0,"Check scores",IF(N160&lt;COUNTIF($D$2:$K$2,"&gt;0"),"Incomplete","Counted"))))))))</f>
        <v/>
      </c>
      <c r="P160" s="42">
        <f>IF(O160="Counted",ROUND(SUMPRODUCT(D160:K160,$D$2:$K$2)*100/(4*SUM($D$2:$K$2)),1),"")</f>
        <v/>
      </c>
      <c r="Q160" s="27">
        <f>IF(O160="Counted",1,0)</f>
        <v/>
      </c>
      <c r="R160" s="43">
        <f>IF(ISNUMBER(D160),D160,0)</f>
        <v/>
      </c>
      <c r="S160" s="43">
        <f>IF(ISNUMBER(E160),E160,0)</f>
        <v/>
      </c>
      <c r="T160" s="43">
        <f>IF(ISNUMBER(F160),F160,0)</f>
        <v/>
      </c>
      <c r="U160" s="43">
        <f>IF(ISNUMBER(G160),G160,0)</f>
        <v/>
      </c>
      <c r="V160" s="43">
        <f>IF(ISNUMBER(H160),H160,0)</f>
        <v/>
      </c>
      <c r="W160" s="43">
        <f>IF(ISNUMBER(I160),I160,0)</f>
        <v/>
      </c>
      <c r="X160" s="43">
        <f>IF(ISNUMBER(J160),J160,0)</f>
        <v/>
      </c>
      <c r="Y160" s="43">
        <f>IF(ISNUMBER(K160),K160,0)</f>
        <v/>
      </c>
    </row>
    <row r="161">
      <c r="A161" s="35" t="n"/>
      <c r="B161" s="35" t="n"/>
      <c r="C161" s="35" t="n"/>
      <c r="D161" s="25" t="n"/>
      <c r="E161" s="25" t="n"/>
      <c r="F161" s="25" t="n"/>
      <c r="G161" s="25" t="n"/>
      <c r="H161" s="25" t="n"/>
      <c r="I161" s="25" t="n"/>
      <c r="J161" s="25" t="n"/>
      <c r="K161" s="25" t="n"/>
      <c r="L161" s="35" t="n"/>
      <c r="M161" s="40">
        <f>IF(A161="","",IFERROR(INDEX(Applications!$B$2:$B$101,MATCH(A161,Applications!$A$2:$A$101,0))&amp;"",""))</f>
        <v/>
      </c>
      <c r="N161" s="41">
        <f>IF(A161="","",SUMPRODUCT(ISNUMBER(D161:K161)*($D$2:$K$2&gt;0)))</f>
        <v/>
      </c>
      <c r="O161" s="40">
        <f>IF(A161="","",IF(ISNA(MATCH(A161,Applications!$A$2:$A$101,0)),"Check ID",IF(ISNA(MATCH(B161,Settings!$C$13:$C$18,0)),"Check reviewer",IF(LEFT(C161,3)="Yes","Conflict, not counted",IF(COUNTIFS($A$3:A161,A161,$B$3:B161,B161)&gt;1,"Duplicate, not counted",IF(SUM($D$2:$K$2)=0,"Add weights on Rubric",IF(SUMPRODUCT(ISNUMBER(D161:K161)*((D161:K161&gt;4)+(D161:K161&lt;0)))&gt;0,"Check scores",IF(N161&lt;COUNTIF($D$2:$K$2,"&gt;0"),"Incomplete","Counted"))))))))</f>
        <v/>
      </c>
      <c r="P161" s="42">
        <f>IF(O161="Counted",ROUND(SUMPRODUCT(D161:K161,$D$2:$K$2)*100/(4*SUM($D$2:$K$2)),1),"")</f>
        <v/>
      </c>
      <c r="Q161" s="27">
        <f>IF(O161="Counted",1,0)</f>
        <v/>
      </c>
      <c r="R161" s="43">
        <f>IF(ISNUMBER(D161),D161,0)</f>
        <v/>
      </c>
      <c r="S161" s="43">
        <f>IF(ISNUMBER(E161),E161,0)</f>
        <v/>
      </c>
      <c r="T161" s="43">
        <f>IF(ISNUMBER(F161),F161,0)</f>
        <v/>
      </c>
      <c r="U161" s="43">
        <f>IF(ISNUMBER(G161),G161,0)</f>
        <v/>
      </c>
      <c r="V161" s="43">
        <f>IF(ISNUMBER(H161),H161,0)</f>
        <v/>
      </c>
      <c r="W161" s="43">
        <f>IF(ISNUMBER(I161),I161,0)</f>
        <v/>
      </c>
      <c r="X161" s="43">
        <f>IF(ISNUMBER(J161),J161,0)</f>
        <v/>
      </c>
      <c r="Y161" s="43">
        <f>IF(ISNUMBER(K161),K161,0)</f>
        <v/>
      </c>
    </row>
    <row r="162">
      <c r="A162" s="35" t="n"/>
      <c r="B162" s="35" t="n"/>
      <c r="C162" s="35" t="n"/>
      <c r="D162" s="25" t="n"/>
      <c r="E162" s="25" t="n"/>
      <c r="F162" s="25" t="n"/>
      <c r="G162" s="25" t="n"/>
      <c r="H162" s="25" t="n"/>
      <c r="I162" s="25" t="n"/>
      <c r="J162" s="25" t="n"/>
      <c r="K162" s="25" t="n"/>
      <c r="L162" s="35" t="n"/>
      <c r="M162" s="40">
        <f>IF(A162="","",IFERROR(INDEX(Applications!$B$2:$B$101,MATCH(A162,Applications!$A$2:$A$101,0))&amp;"",""))</f>
        <v/>
      </c>
      <c r="N162" s="41">
        <f>IF(A162="","",SUMPRODUCT(ISNUMBER(D162:K162)*($D$2:$K$2&gt;0)))</f>
        <v/>
      </c>
      <c r="O162" s="40">
        <f>IF(A162="","",IF(ISNA(MATCH(A162,Applications!$A$2:$A$101,0)),"Check ID",IF(ISNA(MATCH(B162,Settings!$C$13:$C$18,0)),"Check reviewer",IF(LEFT(C162,3)="Yes","Conflict, not counted",IF(COUNTIFS($A$3:A162,A162,$B$3:B162,B162)&gt;1,"Duplicate, not counted",IF(SUM($D$2:$K$2)=0,"Add weights on Rubric",IF(SUMPRODUCT(ISNUMBER(D162:K162)*((D162:K162&gt;4)+(D162:K162&lt;0)))&gt;0,"Check scores",IF(N162&lt;COUNTIF($D$2:$K$2,"&gt;0"),"Incomplete","Counted"))))))))</f>
        <v/>
      </c>
      <c r="P162" s="42">
        <f>IF(O162="Counted",ROUND(SUMPRODUCT(D162:K162,$D$2:$K$2)*100/(4*SUM($D$2:$K$2)),1),"")</f>
        <v/>
      </c>
      <c r="Q162" s="27">
        <f>IF(O162="Counted",1,0)</f>
        <v/>
      </c>
      <c r="R162" s="43">
        <f>IF(ISNUMBER(D162),D162,0)</f>
        <v/>
      </c>
      <c r="S162" s="43">
        <f>IF(ISNUMBER(E162),E162,0)</f>
        <v/>
      </c>
      <c r="T162" s="43">
        <f>IF(ISNUMBER(F162),F162,0)</f>
        <v/>
      </c>
      <c r="U162" s="43">
        <f>IF(ISNUMBER(G162),G162,0)</f>
        <v/>
      </c>
      <c r="V162" s="43">
        <f>IF(ISNUMBER(H162),H162,0)</f>
        <v/>
      </c>
      <c r="W162" s="43">
        <f>IF(ISNUMBER(I162),I162,0)</f>
        <v/>
      </c>
      <c r="X162" s="43">
        <f>IF(ISNUMBER(J162),J162,0)</f>
        <v/>
      </c>
      <c r="Y162" s="43">
        <f>IF(ISNUMBER(K162),K162,0)</f>
        <v/>
      </c>
    </row>
    <row r="163">
      <c r="A163" s="35" t="n"/>
      <c r="B163" s="35" t="n"/>
      <c r="C163" s="35" t="n"/>
      <c r="D163" s="25" t="n"/>
      <c r="E163" s="25" t="n"/>
      <c r="F163" s="25" t="n"/>
      <c r="G163" s="25" t="n"/>
      <c r="H163" s="25" t="n"/>
      <c r="I163" s="25" t="n"/>
      <c r="J163" s="25" t="n"/>
      <c r="K163" s="25" t="n"/>
      <c r="L163" s="35" t="n"/>
      <c r="M163" s="40">
        <f>IF(A163="","",IFERROR(INDEX(Applications!$B$2:$B$101,MATCH(A163,Applications!$A$2:$A$101,0))&amp;"",""))</f>
        <v/>
      </c>
      <c r="N163" s="41">
        <f>IF(A163="","",SUMPRODUCT(ISNUMBER(D163:K163)*($D$2:$K$2&gt;0)))</f>
        <v/>
      </c>
      <c r="O163" s="40">
        <f>IF(A163="","",IF(ISNA(MATCH(A163,Applications!$A$2:$A$101,0)),"Check ID",IF(ISNA(MATCH(B163,Settings!$C$13:$C$18,0)),"Check reviewer",IF(LEFT(C163,3)="Yes","Conflict, not counted",IF(COUNTIFS($A$3:A163,A163,$B$3:B163,B163)&gt;1,"Duplicate, not counted",IF(SUM($D$2:$K$2)=0,"Add weights on Rubric",IF(SUMPRODUCT(ISNUMBER(D163:K163)*((D163:K163&gt;4)+(D163:K163&lt;0)))&gt;0,"Check scores",IF(N163&lt;COUNTIF($D$2:$K$2,"&gt;0"),"Incomplete","Counted"))))))))</f>
        <v/>
      </c>
      <c r="P163" s="42">
        <f>IF(O163="Counted",ROUND(SUMPRODUCT(D163:K163,$D$2:$K$2)*100/(4*SUM($D$2:$K$2)),1),"")</f>
        <v/>
      </c>
      <c r="Q163" s="27">
        <f>IF(O163="Counted",1,0)</f>
        <v/>
      </c>
      <c r="R163" s="43">
        <f>IF(ISNUMBER(D163),D163,0)</f>
        <v/>
      </c>
      <c r="S163" s="43">
        <f>IF(ISNUMBER(E163),E163,0)</f>
        <v/>
      </c>
      <c r="T163" s="43">
        <f>IF(ISNUMBER(F163),F163,0)</f>
        <v/>
      </c>
      <c r="U163" s="43">
        <f>IF(ISNUMBER(G163),G163,0)</f>
        <v/>
      </c>
      <c r="V163" s="43">
        <f>IF(ISNUMBER(H163),H163,0)</f>
        <v/>
      </c>
      <c r="W163" s="43">
        <f>IF(ISNUMBER(I163),I163,0)</f>
        <v/>
      </c>
      <c r="X163" s="43">
        <f>IF(ISNUMBER(J163),J163,0)</f>
        <v/>
      </c>
      <c r="Y163" s="43">
        <f>IF(ISNUMBER(K163),K163,0)</f>
        <v/>
      </c>
    </row>
    <row r="164">
      <c r="A164" s="35" t="n"/>
      <c r="B164" s="35" t="n"/>
      <c r="C164" s="35" t="n"/>
      <c r="D164" s="25" t="n"/>
      <c r="E164" s="25" t="n"/>
      <c r="F164" s="25" t="n"/>
      <c r="G164" s="25" t="n"/>
      <c r="H164" s="25" t="n"/>
      <c r="I164" s="25" t="n"/>
      <c r="J164" s="25" t="n"/>
      <c r="K164" s="25" t="n"/>
      <c r="L164" s="35" t="n"/>
      <c r="M164" s="40">
        <f>IF(A164="","",IFERROR(INDEX(Applications!$B$2:$B$101,MATCH(A164,Applications!$A$2:$A$101,0))&amp;"",""))</f>
        <v/>
      </c>
      <c r="N164" s="41">
        <f>IF(A164="","",SUMPRODUCT(ISNUMBER(D164:K164)*($D$2:$K$2&gt;0)))</f>
        <v/>
      </c>
      <c r="O164" s="40">
        <f>IF(A164="","",IF(ISNA(MATCH(A164,Applications!$A$2:$A$101,0)),"Check ID",IF(ISNA(MATCH(B164,Settings!$C$13:$C$18,0)),"Check reviewer",IF(LEFT(C164,3)="Yes","Conflict, not counted",IF(COUNTIFS($A$3:A164,A164,$B$3:B164,B164)&gt;1,"Duplicate, not counted",IF(SUM($D$2:$K$2)=0,"Add weights on Rubric",IF(SUMPRODUCT(ISNUMBER(D164:K164)*((D164:K164&gt;4)+(D164:K164&lt;0)))&gt;0,"Check scores",IF(N164&lt;COUNTIF($D$2:$K$2,"&gt;0"),"Incomplete","Counted"))))))))</f>
        <v/>
      </c>
      <c r="P164" s="42">
        <f>IF(O164="Counted",ROUND(SUMPRODUCT(D164:K164,$D$2:$K$2)*100/(4*SUM($D$2:$K$2)),1),"")</f>
        <v/>
      </c>
      <c r="Q164" s="27">
        <f>IF(O164="Counted",1,0)</f>
        <v/>
      </c>
      <c r="R164" s="43">
        <f>IF(ISNUMBER(D164),D164,0)</f>
        <v/>
      </c>
      <c r="S164" s="43">
        <f>IF(ISNUMBER(E164),E164,0)</f>
        <v/>
      </c>
      <c r="T164" s="43">
        <f>IF(ISNUMBER(F164),F164,0)</f>
        <v/>
      </c>
      <c r="U164" s="43">
        <f>IF(ISNUMBER(G164),G164,0)</f>
        <v/>
      </c>
      <c r="V164" s="43">
        <f>IF(ISNUMBER(H164),H164,0)</f>
        <v/>
      </c>
      <c r="W164" s="43">
        <f>IF(ISNUMBER(I164),I164,0)</f>
        <v/>
      </c>
      <c r="X164" s="43">
        <f>IF(ISNUMBER(J164),J164,0)</f>
        <v/>
      </c>
      <c r="Y164" s="43">
        <f>IF(ISNUMBER(K164),K164,0)</f>
        <v/>
      </c>
    </row>
    <row r="165">
      <c r="A165" s="35" t="n"/>
      <c r="B165" s="35" t="n"/>
      <c r="C165" s="35" t="n"/>
      <c r="D165" s="25" t="n"/>
      <c r="E165" s="25" t="n"/>
      <c r="F165" s="25" t="n"/>
      <c r="G165" s="25" t="n"/>
      <c r="H165" s="25" t="n"/>
      <c r="I165" s="25" t="n"/>
      <c r="J165" s="25" t="n"/>
      <c r="K165" s="25" t="n"/>
      <c r="L165" s="35" t="n"/>
      <c r="M165" s="40">
        <f>IF(A165="","",IFERROR(INDEX(Applications!$B$2:$B$101,MATCH(A165,Applications!$A$2:$A$101,0))&amp;"",""))</f>
        <v/>
      </c>
      <c r="N165" s="41">
        <f>IF(A165="","",SUMPRODUCT(ISNUMBER(D165:K165)*($D$2:$K$2&gt;0)))</f>
        <v/>
      </c>
      <c r="O165" s="40">
        <f>IF(A165="","",IF(ISNA(MATCH(A165,Applications!$A$2:$A$101,0)),"Check ID",IF(ISNA(MATCH(B165,Settings!$C$13:$C$18,0)),"Check reviewer",IF(LEFT(C165,3)="Yes","Conflict, not counted",IF(COUNTIFS($A$3:A165,A165,$B$3:B165,B165)&gt;1,"Duplicate, not counted",IF(SUM($D$2:$K$2)=0,"Add weights on Rubric",IF(SUMPRODUCT(ISNUMBER(D165:K165)*((D165:K165&gt;4)+(D165:K165&lt;0)))&gt;0,"Check scores",IF(N165&lt;COUNTIF($D$2:$K$2,"&gt;0"),"Incomplete","Counted"))))))))</f>
        <v/>
      </c>
      <c r="P165" s="42">
        <f>IF(O165="Counted",ROUND(SUMPRODUCT(D165:K165,$D$2:$K$2)*100/(4*SUM($D$2:$K$2)),1),"")</f>
        <v/>
      </c>
      <c r="Q165" s="27">
        <f>IF(O165="Counted",1,0)</f>
        <v/>
      </c>
      <c r="R165" s="43">
        <f>IF(ISNUMBER(D165),D165,0)</f>
        <v/>
      </c>
      <c r="S165" s="43">
        <f>IF(ISNUMBER(E165),E165,0)</f>
        <v/>
      </c>
      <c r="T165" s="43">
        <f>IF(ISNUMBER(F165),F165,0)</f>
        <v/>
      </c>
      <c r="U165" s="43">
        <f>IF(ISNUMBER(G165),G165,0)</f>
        <v/>
      </c>
      <c r="V165" s="43">
        <f>IF(ISNUMBER(H165),H165,0)</f>
        <v/>
      </c>
      <c r="W165" s="43">
        <f>IF(ISNUMBER(I165),I165,0)</f>
        <v/>
      </c>
      <c r="X165" s="43">
        <f>IF(ISNUMBER(J165),J165,0)</f>
        <v/>
      </c>
      <c r="Y165" s="43">
        <f>IF(ISNUMBER(K165),K165,0)</f>
        <v/>
      </c>
    </row>
    <row r="166">
      <c r="A166" s="35" t="n"/>
      <c r="B166" s="35" t="n"/>
      <c r="C166" s="35" t="n"/>
      <c r="D166" s="25" t="n"/>
      <c r="E166" s="25" t="n"/>
      <c r="F166" s="25" t="n"/>
      <c r="G166" s="25" t="n"/>
      <c r="H166" s="25" t="n"/>
      <c r="I166" s="25" t="n"/>
      <c r="J166" s="25" t="n"/>
      <c r="K166" s="25" t="n"/>
      <c r="L166" s="35" t="n"/>
      <c r="M166" s="40">
        <f>IF(A166="","",IFERROR(INDEX(Applications!$B$2:$B$101,MATCH(A166,Applications!$A$2:$A$101,0))&amp;"",""))</f>
        <v/>
      </c>
      <c r="N166" s="41">
        <f>IF(A166="","",SUMPRODUCT(ISNUMBER(D166:K166)*($D$2:$K$2&gt;0)))</f>
        <v/>
      </c>
      <c r="O166" s="40">
        <f>IF(A166="","",IF(ISNA(MATCH(A166,Applications!$A$2:$A$101,0)),"Check ID",IF(ISNA(MATCH(B166,Settings!$C$13:$C$18,0)),"Check reviewer",IF(LEFT(C166,3)="Yes","Conflict, not counted",IF(COUNTIFS($A$3:A166,A166,$B$3:B166,B166)&gt;1,"Duplicate, not counted",IF(SUM($D$2:$K$2)=0,"Add weights on Rubric",IF(SUMPRODUCT(ISNUMBER(D166:K166)*((D166:K166&gt;4)+(D166:K166&lt;0)))&gt;0,"Check scores",IF(N166&lt;COUNTIF($D$2:$K$2,"&gt;0"),"Incomplete","Counted"))))))))</f>
        <v/>
      </c>
      <c r="P166" s="42">
        <f>IF(O166="Counted",ROUND(SUMPRODUCT(D166:K166,$D$2:$K$2)*100/(4*SUM($D$2:$K$2)),1),"")</f>
        <v/>
      </c>
      <c r="Q166" s="27">
        <f>IF(O166="Counted",1,0)</f>
        <v/>
      </c>
      <c r="R166" s="43">
        <f>IF(ISNUMBER(D166),D166,0)</f>
        <v/>
      </c>
      <c r="S166" s="43">
        <f>IF(ISNUMBER(E166),E166,0)</f>
        <v/>
      </c>
      <c r="T166" s="43">
        <f>IF(ISNUMBER(F166),F166,0)</f>
        <v/>
      </c>
      <c r="U166" s="43">
        <f>IF(ISNUMBER(G166),G166,0)</f>
        <v/>
      </c>
      <c r="V166" s="43">
        <f>IF(ISNUMBER(H166),H166,0)</f>
        <v/>
      </c>
      <c r="W166" s="43">
        <f>IF(ISNUMBER(I166),I166,0)</f>
        <v/>
      </c>
      <c r="X166" s="43">
        <f>IF(ISNUMBER(J166),J166,0)</f>
        <v/>
      </c>
      <c r="Y166" s="43">
        <f>IF(ISNUMBER(K166),K166,0)</f>
        <v/>
      </c>
    </row>
    <row r="167">
      <c r="A167" s="35" t="n"/>
      <c r="B167" s="35" t="n"/>
      <c r="C167" s="35" t="n"/>
      <c r="D167" s="25" t="n"/>
      <c r="E167" s="25" t="n"/>
      <c r="F167" s="25" t="n"/>
      <c r="G167" s="25" t="n"/>
      <c r="H167" s="25" t="n"/>
      <c r="I167" s="25" t="n"/>
      <c r="J167" s="25" t="n"/>
      <c r="K167" s="25" t="n"/>
      <c r="L167" s="35" t="n"/>
      <c r="M167" s="40">
        <f>IF(A167="","",IFERROR(INDEX(Applications!$B$2:$B$101,MATCH(A167,Applications!$A$2:$A$101,0))&amp;"",""))</f>
        <v/>
      </c>
      <c r="N167" s="41">
        <f>IF(A167="","",SUMPRODUCT(ISNUMBER(D167:K167)*($D$2:$K$2&gt;0)))</f>
        <v/>
      </c>
      <c r="O167" s="40">
        <f>IF(A167="","",IF(ISNA(MATCH(A167,Applications!$A$2:$A$101,0)),"Check ID",IF(ISNA(MATCH(B167,Settings!$C$13:$C$18,0)),"Check reviewer",IF(LEFT(C167,3)="Yes","Conflict, not counted",IF(COUNTIFS($A$3:A167,A167,$B$3:B167,B167)&gt;1,"Duplicate, not counted",IF(SUM($D$2:$K$2)=0,"Add weights on Rubric",IF(SUMPRODUCT(ISNUMBER(D167:K167)*((D167:K167&gt;4)+(D167:K167&lt;0)))&gt;0,"Check scores",IF(N167&lt;COUNTIF($D$2:$K$2,"&gt;0"),"Incomplete","Counted"))))))))</f>
        <v/>
      </c>
      <c r="P167" s="42">
        <f>IF(O167="Counted",ROUND(SUMPRODUCT(D167:K167,$D$2:$K$2)*100/(4*SUM($D$2:$K$2)),1),"")</f>
        <v/>
      </c>
      <c r="Q167" s="27">
        <f>IF(O167="Counted",1,0)</f>
        <v/>
      </c>
      <c r="R167" s="43">
        <f>IF(ISNUMBER(D167),D167,0)</f>
        <v/>
      </c>
      <c r="S167" s="43">
        <f>IF(ISNUMBER(E167),E167,0)</f>
        <v/>
      </c>
      <c r="T167" s="43">
        <f>IF(ISNUMBER(F167),F167,0)</f>
        <v/>
      </c>
      <c r="U167" s="43">
        <f>IF(ISNUMBER(G167),G167,0)</f>
        <v/>
      </c>
      <c r="V167" s="43">
        <f>IF(ISNUMBER(H167),H167,0)</f>
        <v/>
      </c>
      <c r="W167" s="43">
        <f>IF(ISNUMBER(I167),I167,0)</f>
        <v/>
      </c>
      <c r="X167" s="43">
        <f>IF(ISNUMBER(J167),J167,0)</f>
        <v/>
      </c>
      <c r="Y167" s="43">
        <f>IF(ISNUMBER(K167),K167,0)</f>
        <v/>
      </c>
    </row>
    <row r="168">
      <c r="A168" s="35" t="n"/>
      <c r="B168" s="35" t="n"/>
      <c r="C168" s="35" t="n"/>
      <c r="D168" s="25" t="n"/>
      <c r="E168" s="25" t="n"/>
      <c r="F168" s="25" t="n"/>
      <c r="G168" s="25" t="n"/>
      <c r="H168" s="25" t="n"/>
      <c r="I168" s="25" t="n"/>
      <c r="J168" s="25" t="n"/>
      <c r="K168" s="25" t="n"/>
      <c r="L168" s="35" t="n"/>
      <c r="M168" s="40">
        <f>IF(A168="","",IFERROR(INDEX(Applications!$B$2:$B$101,MATCH(A168,Applications!$A$2:$A$101,0))&amp;"",""))</f>
        <v/>
      </c>
      <c r="N168" s="41">
        <f>IF(A168="","",SUMPRODUCT(ISNUMBER(D168:K168)*($D$2:$K$2&gt;0)))</f>
        <v/>
      </c>
      <c r="O168" s="40">
        <f>IF(A168="","",IF(ISNA(MATCH(A168,Applications!$A$2:$A$101,0)),"Check ID",IF(ISNA(MATCH(B168,Settings!$C$13:$C$18,0)),"Check reviewer",IF(LEFT(C168,3)="Yes","Conflict, not counted",IF(COUNTIFS($A$3:A168,A168,$B$3:B168,B168)&gt;1,"Duplicate, not counted",IF(SUM($D$2:$K$2)=0,"Add weights on Rubric",IF(SUMPRODUCT(ISNUMBER(D168:K168)*((D168:K168&gt;4)+(D168:K168&lt;0)))&gt;0,"Check scores",IF(N168&lt;COUNTIF($D$2:$K$2,"&gt;0"),"Incomplete","Counted"))))))))</f>
        <v/>
      </c>
      <c r="P168" s="42">
        <f>IF(O168="Counted",ROUND(SUMPRODUCT(D168:K168,$D$2:$K$2)*100/(4*SUM($D$2:$K$2)),1),"")</f>
        <v/>
      </c>
      <c r="Q168" s="27">
        <f>IF(O168="Counted",1,0)</f>
        <v/>
      </c>
      <c r="R168" s="43">
        <f>IF(ISNUMBER(D168),D168,0)</f>
        <v/>
      </c>
      <c r="S168" s="43">
        <f>IF(ISNUMBER(E168),E168,0)</f>
        <v/>
      </c>
      <c r="T168" s="43">
        <f>IF(ISNUMBER(F168),F168,0)</f>
        <v/>
      </c>
      <c r="U168" s="43">
        <f>IF(ISNUMBER(G168),G168,0)</f>
        <v/>
      </c>
      <c r="V168" s="43">
        <f>IF(ISNUMBER(H168),H168,0)</f>
        <v/>
      </c>
      <c r="W168" s="43">
        <f>IF(ISNUMBER(I168),I168,0)</f>
        <v/>
      </c>
      <c r="X168" s="43">
        <f>IF(ISNUMBER(J168),J168,0)</f>
        <v/>
      </c>
      <c r="Y168" s="43">
        <f>IF(ISNUMBER(K168),K168,0)</f>
        <v/>
      </c>
    </row>
    <row r="169">
      <c r="A169" s="35" t="n"/>
      <c r="B169" s="35" t="n"/>
      <c r="C169" s="35" t="n"/>
      <c r="D169" s="25" t="n"/>
      <c r="E169" s="25" t="n"/>
      <c r="F169" s="25" t="n"/>
      <c r="G169" s="25" t="n"/>
      <c r="H169" s="25" t="n"/>
      <c r="I169" s="25" t="n"/>
      <c r="J169" s="25" t="n"/>
      <c r="K169" s="25" t="n"/>
      <c r="L169" s="35" t="n"/>
      <c r="M169" s="40">
        <f>IF(A169="","",IFERROR(INDEX(Applications!$B$2:$B$101,MATCH(A169,Applications!$A$2:$A$101,0))&amp;"",""))</f>
        <v/>
      </c>
      <c r="N169" s="41">
        <f>IF(A169="","",SUMPRODUCT(ISNUMBER(D169:K169)*($D$2:$K$2&gt;0)))</f>
        <v/>
      </c>
      <c r="O169" s="40">
        <f>IF(A169="","",IF(ISNA(MATCH(A169,Applications!$A$2:$A$101,0)),"Check ID",IF(ISNA(MATCH(B169,Settings!$C$13:$C$18,0)),"Check reviewer",IF(LEFT(C169,3)="Yes","Conflict, not counted",IF(COUNTIFS($A$3:A169,A169,$B$3:B169,B169)&gt;1,"Duplicate, not counted",IF(SUM($D$2:$K$2)=0,"Add weights on Rubric",IF(SUMPRODUCT(ISNUMBER(D169:K169)*((D169:K169&gt;4)+(D169:K169&lt;0)))&gt;0,"Check scores",IF(N169&lt;COUNTIF($D$2:$K$2,"&gt;0"),"Incomplete","Counted"))))))))</f>
        <v/>
      </c>
      <c r="P169" s="42">
        <f>IF(O169="Counted",ROUND(SUMPRODUCT(D169:K169,$D$2:$K$2)*100/(4*SUM($D$2:$K$2)),1),"")</f>
        <v/>
      </c>
      <c r="Q169" s="27">
        <f>IF(O169="Counted",1,0)</f>
        <v/>
      </c>
      <c r="R169" s="43">
        <f>IF(ISNUMBER(D169),D169,0)</f>
        <v/>
      </c>
      <c r="S169" s="43">
        <f>IF(ISNUMBER(E169),E169,0)</f>
        <v/>
      </c>
      <c r="T169" s="43">
        <f>IF(ISNUMBER(F169),F169,0)</f>
        <v/>
      </c>
      <c r="U169" s="43">
        <f>IF(ISNUMBER(G169),G169,0)</f>
        <v/>
      </c>
      <c r="V169" s="43">
        <f>IF(ISNUMBER(H169),H169,0)</f>
        <v/>
      </c>
      <c r="W169" s="43">
        <f>IF(ISNUMBER(I169),I169,0)</f>
        <v/>
      </c>
      <c r="X169" s="43">
        <f>IF(ISNUMBER(J169),J169,0)</f>
        <v/>
      </c>
      <c r="Y169" s="43">
        <f>IF(ISNUMBER(K169),K169,0)</f>
        <v/>
      </c>
    </row>
    <row r="170">
      <c r="A170" s="35" t="n"/>
      <c r="B170" s="35" t="n"/>
      <c r="C170" s="35" t="n"/>
      <c r="D170" s="25" t="n"/>
      <c r="E170" s="25" t="n"/>
      <c r="F170" s="25" t="n"/>
      <c r="G170" s="25" t="n"/>
      <c r="H170" s="25" t="n"/>
      <c r="I170" s="25" t="n"/>
      <c r="J170" s="25" t="n"/>
      <c r="K170" s="25" t="n"/>
      <c r="L170" s="35" t="n"/>
      <c r="M170" s="40">
        <f>IF(A170="","",IFERROR(INDEX(Applications!$B$2:$B$101,MATCH(A170,Applications!$A$2:$A$101,0))&amp;"",""))</f>
        <v/>
      </c>
      <c r="N170" s="41">
        <f>IF(A170="","",SUMPRODUCT(ISNUMBER(D170:K170)*($D$2:$K$2&gt;0)))</f>
        <v/>
      </c>
      <c r="O170" s="40">
        <f>IF(A170="","",IF(ISNA(MATCH(A170,Applications!$A$2:$A$101,0)),"Check ID",IF(ISNA(MATCH(B170,Settings!$C$13:$C$18,0)),"Check reviewer",IF(LEFT(C170,3)="Yes","Conflict, not counted",IF(COUNTIFS($A$3:A170,A170,$B$3:B170,B170)&gt;1,"Duplicate, not counted",IF(SUM($D$2:$K$2)=0,"Add weights on Rubric",IF(SUMPRODUCT(ISNUMBER(D170:K170)*((D170:K170&gt;4)+(D170:K170&lt;0)))&gt;0,"Check scores",IF(N170&lt;COUNTIF($D$2:$K$2,"&gt;0"),"Incomplete","Counted"))))))))</f>
        <v/>
      </c>
      <c r="P170" s="42">
        <f>IF(O170="Counted",ROUND(SUMPRODUCT(D170:K170,$D$2:$K$2)*100/(4*SUM($D$2:$K$2)),1),"")</f>
        <v/>
      </c>
      <c r="Q170" s="27">
        <f>IF(O170="Counted",1,0)</f>
        <v/>
      </c>
      <c r="R170" s="43">
        <f>IF(ISNUMBER(D170),D170,0)</f>
        <v/>
      </c>
      <c r="S170" s="43">
        <f>IF(ISNUMBER(E170),E170,0)</f>
        <v/>
      </c>
      <c r="T170" s="43">
        <f>IF(ISNUMBER(F170),F170,0)</f>
        <v/>
      </c>
      <c r="U170" s="43">
        <f>IF(ISNUMBER(G170),G170,0)</f>
        <v/>
      </c>
      <c r="V170" s="43">
        <f>IF(ISNUMBER(H170),H170,0)</f>
        <v/>
      </c>
      <c r="W170" s="43">
        <f>IF(ISNUMBER(I170),I170,0)</f>
        <v/>
      </c>
      <c r="X170" s="43">
        <f>IF(ISNUMBER(J170),J170,0)</f>
        <v/>
      </c>
      <c r="Y170" s="43">
        <f>IF(ISNUMBER(K170),K170,0)</f>
        <v/>
      </c>
    </row>
    <row r="171">
      <c r="A171" s="35" t="n"/>
      <c r="B171" s="35" t="n"/>
      <c r="C171" s="35" t="n"/>
      <c r="D171" s="25" t="n"/>
      <c r="E171" s="25" t="n"/>
      <c r="F171" s="25" t="n"/>
      <c r="G171" s="25" t="n"/>
      <c r="H171" s="25" t="n"/>
      <c r="I171" s="25" t="n"/>
      <c r="J171" s="25" t="n"/>
      <c r="K171" s="25" t="n"/>
      <c r="L171" s="35" t="n"/>
      <c r="M171" s="40">
        <f>IF(A171="","",IFERROR(INDEX(Applications!$B$2:$B$101,MATCH(A171,Applications!$A$2:$A$101,0))&amp;"",""))</f>
        <v/>
      </c>
      <c r="N171" s="41">
        <f>IF(A171="","",SUMPRODUCT(ISNUMBER(D171:K171)*($D$2:$K$2&gt;0)))</f>
        <v/>
      </c>
      <c r="O171" s="40">
        <f>IF(A171="","",IF(ISNA(MATCH(A171,Applications!$A$2:$A$101,0)),"Check ID",IF(ISNA(MATCH(B171,Settings!$C$13:$C$18,0)),"Check reviewer",IF(LEFT(C171,3)="Yes","Conflict, not counted",IF(COUNTIFS($A$3:A171,A171,$B$3:B171,B171)&gt;1,"Duplicate, not counted",IF(SUM($D$2:$K$2)=0,"Add weights on Rubric",IF(SUMPRODUCT(ISNUMBER(D171:K171)*((D171:K171&gt;4)+(D171:K171&lt;0)))&gt;0,"Check scores",IF(N171&lt;COUNTIF($D$2:$K$2,"&gt;0"),"Incomplete","Counted"))))))))</f>
        <v/>
      </c>
      <c r="P171" s="42">
        <f>IF(O171="Counted",ROUND(SUMPRODUCT(D171:K171,$D$2:$K$2)*100/(4*SUM($D$2:$K$2)),1),"")</f>
        <v/>
      </c>
      <c r="Q171" s="27">
        <f>IF(O171="Counted",1,0)</f>
        <v/>
      </c>
      <c r="R171" s="43">
        <f>IF(ISNUMBER(D171),D171,0)</f>
        <v/>
      </c>
      <c r="S171" s="43">
        <f>IF(ISNUMBER(E171),E171,0)</f>
        <v/>
      </c>
      <c r="T171" s="43">
        <f>IF(ISNUMBER(F171),F171,0)</f>
        <v/>
      </c>
      <c r="U171" s="43">
        <f>IF(ISNUMBER(G171),G171,0)</f>
        <v/>
      </c>
      <c r="V171" s="43">
        <f>IF(ISNUMBER(H171),H171,0)</f>
        <v/>
      </c>
      <c r="W171" s="43">
        <f>IF(ISNUMBER(I171),I171,0)</f>
        <v/>
      </c>
      <c r="X171" s="43">
        <f>IF(ISNUMBER(J171),J171,0)</f>
        <v/>
      </c>
      <c r="Y171" s="43">
        <f>IF(ISNUMBER(K171),K171,0)</f>
        <v/>
      </c>
    </row>
    <row r="172">
      <c r="A172" s="35" t="n"/>
      <c r="B172" s="35" t="n"/>
      <c r="C172" s="35" t="n"/>
      <c r="D172" s="25" t="n"/>
      <c r="E172" s="25" t="n"/>
      <c r="F172" s="25" t="n"/>
      <c r="G172" s="25" t="n"/>
      <c r="H172" s="25" t="n"/>
      <c r="I172" s="25" t="n"/>
      <c r="J172" s="25" t="n"/>
      <c r="K172" s="25" t="n"/>
      <c r="L172" s="35" t="n"/>
      <c r="M172" s="40">
        <f>IF(A172="","",IFERROR(INDEX(Applications!$B$2:$B$101,MATCH(A172,Applications!$A$2:$A$101,0))&amp;"",""))</f>
        <v/>
      </c>
      <c r="N172" s="41">
        <f>IF(A172="","",SUMPRODUCT(ISNUMBER(D172:K172)*($D$2:$K$2&gt;0)))</f>
        <v/>
      </c>
      <c r="O172" s="40">
        <f>IF(A172="","",IF(ISNA(MATCH(A172,Applications!$A$2:$A$101,0)),"Check ID",IF(ISNA(MATCH(B172,Settings!$C$13:$C$18,0)),"Check reviewer",IF(LEFT(C172,3)="Yes","Conflict, not counted",IF(COUNTIFS($A$3:A172,A172,$B$3:B172,B172)&gt;1,"Duplicate, not counted",IF(SUM($D$2:$K$2)=0,"Add weights on Rubric",IF(SUMPRODUCT(ISNUMBER(D172:K172)*((D172:K172&gt;4)+(D172:K172&lt;0)))&gt;0,"Check scores",IF(N172&lt;COUNTIF($D$2:$K$2,"&gt;0"),"Incomplete","Counted"))))))))</f>
        <v/>
      </c>
      <c r="P172" s="42">
        <f>IF(O172="Counted",ROUND(SUMPRODUCT(D172:K172,$D$2:$K$2)*100/(4*SUM($D$2:$K$2)),1),"")</f>
        <v/>
      </c>
      <c r="Q172" s="27">
        <f>IF(O172="Counted",1,0)</f>
        <v/>
      </c>
      <c r="R172" s="43">
        <f>IF(ISNUMBER(D172),D172,0)</f>
        <v/>
      </c>
      <c r="S172" s="43">
        <f>IF(ISNUMBER(E172),E172,0)</f>
        <v/>
      </c>
      <c r="T172" s="43">
        <f>IF(ISNUMBER(F172),F172,0)</f>
        <v/>
      </c>
      <c r="U172" s="43">
        <f>IF(ISNUMBER(G172),G172,0)</f>
        <v/>
      </c>
      <c r="V172" s="43">
        <f>IF(ISNUMBER(H172),H172,0)</f>
        <v/>
      </c>
      <c r="W172" s="43">
        <f>IF(ISNUMBER(I172),I172,0)</f>
        <v/>
      </c>
      <c r="X172" s="43">
        <f>IF(ISNUMBER(J172),J172,0)</f>
        <v/>
      </c>
      <c r="Y172" s="43">
        <f>IF(ISNUMBER(K172),K172,0)</f>
        <v/>
      </c>
    </row>
    <row r="173">
      <c r="A173" s="35" t="n"/>
      <c r="B173" s="35" t="n"/>
      <c r="C173" s="35" t="n"/>
      <c r="D173" s="25" t="n"/>
      <c r="E173" s="25" t="n"/>
      <c r="F173" s="25" t="n"/>
      <c r="G173" s="25" t="n"/>
      <c r="H173" s="25" t="n"/>
      <c r="I173" s="25" t="n"/>
      <c r="J173" s="25" t="n"/>
      <c r="K173" s="25" t="n"/>
      <c r="L173" s="35" t="n"/>
      <c r="M173" s="40">
        <f>IF(A173="","",IFERROR(INDEX(Applications!$B$2:$B$101,MATCH(A173,Applications!$A$2:$A$101,0))&amp;"",""))</f>
        <v/>
      </c>
      <c r="N173" s="41">
        <f>IF(A173="","",SUMPRODUCT(ISNUMBER(D173:K173)*($D$2:$K$2&gt;0)))</f>
        <v/>
      </c>
      <c r="O173" s="40">
        <f>IF(A173="","",IF(ISNA(MATCH(A173,Applications!$A$2:$A$101,0)),"Check ID",IF(ISNA(MATCH(B173,Settings!$C$13:$C$18,0)),"Check reviewer",IF(LEFT(C173,3)="Yes","Conflict, not counted",IF(COUNTIFS($A$3:A173,A173,$B$3:B173,B173)&gt;1,"Duplicate, not counted",IF(SUM($D$2:$K$2)=0,"Add weights on Rubric",IF(SUMPRODUCT(ISNUMBER(D173:K173)*((D173:K173&gt;4)+(D173:K173&lt;0)))&gt;0,"Check scores",IF(N173&lt;COUNTIF($D$2:$K$2,"&gt;0"),"Incomplete","Counted"))))))))</f>
        <v/>
      </c>
      <c r="P173" s="42">
        <f>IF(O173="Counted",ROUND(SUMPRODUCT(D173:K173,$D$2:$K$2)*100/(4*SUM($D$2:$K$2)),1),"")</f>
        <v/>
      </c>
      <c r="Q173" s="27">
        <f>IF(O173="Counted",1,0)</f>
        <v/>
      </c>
      <c r="R173" s="43">
        <f>IF(ISNUMBER(D173),D173,0)</f>
        <v/>
      </c>
      <c r="S173" s="43">
        <f>IF(ISNUMBER(E173),E173,0)</f>
        <v/>
      </c>
      <c r="T173" s="43">
        <f>IF(ISNUMBER(F173),F173,0)</f>
        <v/>
      </c>
      <c r="U173" s="43">
        <f>IF(ISNUMBER(G173),G173,0)</f>
        <v/>
      </c>
      <c r="V173" s="43">
        <f>IF(ISNUMBER(H173),H173,0)</f>
        <v/>
      </c>
      <c r="W173" s="43">
        <f>IF(ISNUMBER(I173),I173,0)</f>
        <v/>
      </c>
      <c r="X173" s="43">
        <f>IF(ISNUMBER(J173),J173,0)</f>
        <v/>
      </c>
      <c r="Y173" s="43">
        <f>IF(ISNUMBER(K173),K173,0)</f>
        <v/>
      </c>
    </row>
    <row r="174">
      <c r="A174" s="35" t="n"/>
      <c r="B174" s="35" t="n"/>
      <c r="C174" s="35" t="n"/>
      <c r="D174" s="25" t="n"/>
      <c r="E174" s="25" t="n"/>
      <c r="F174" s="25" t="n"/>
      <c r="G174" s="25" t="n"/>
      <c r="H174" s="25" t="n"/>
      <c r="I174" s="25" t="n"/>
      <c r="J174" s="25" t="n"/>
      <c r="K174" s="25" t="n"/>
      <c r="L174" s="35" t="n"/>
      <c r="M174" s="40">
        <f>IF(A174="","",IFERROR(INDEX(Applications!$B$2:$B$101,MATCH(A174,Applications!$A$2:$A$101,0))&amp;"",""))</f>
        <v/>
      </c>
      <c r="N174" s="41">
        <f>IF(A174="","",SUMPRODUCT(ISNUMBER(D174:K174)*($D$2:$K$2&gt;0)))</f>
        <v/>
      </c>
      <c r="O174" s="40">
        <f>IF(A174="","",IF(ISNA(MATCH(A174,Applications!$A$2:$A$101,0)),"Check ID",IF(ISNA(MATCH(B174,Settings!$C$13:$C$18,0)),"Check reviewer",IF(LEFT(C174,3)="Yes","Conflict, not counted",IF(COUNTIFS($A$3:A174,A174,$B$3:B174,B174)&gt;1,"Duplicate, not counted",IF(SUM($D$2:$K$2)=0,"Add weights on Rubric",IF(SUMPRODUCT(ISNUMBER(D174:K174)*((D174:K174&gt;4)+(D174:K174&lt;0)))&gt;0,"Check scores",IF(N174&lt;COUNTIF($D$2:$K$2,"&gt;0"),"Incomplete","Counted"))))))))</f>
        <v/>
      </c>
      <c r="P174" s="42">
        <f>IF(O174="Counted",ROUND(SUMPRODUCT(D174:K174,$D$2:$K$2)*100/(4*SUM($D$2:$K$2)),1),"")</f>
        <v/>
      </c>
      <c r="Q174" s="27">
        <f>IF(O174="Counted",1,0)</f>
        <v/>
      </c>
      <c r="R174" s="43">
        <f>IF(ISNUMBER(D174),D174,0)</f>
        <v/>
      </c>
      <c r="S174" s="43">
        <f>IF(ISNUMBER(E174),E174,0)</f>
        <v/>
      </c>
      <c r="T174" s="43">
        <f>IF(ISNUMBER(F174),F174,0)</f>
        <v/>
      </c>
      <c r="U174" s="43">
        <f>IF(ISNUMBER(G174),G174,0)</f>
        <v/>
      </c>
      <c r="V174" s="43">
        <f>IF(ISNUMBER(H174),H174,0)</f>
        <v/>
      </c>
      <c r="W174" s="43">
        <f>IF(ISNUMBER(I174),I174,0)</f>
        <v/>
      </c>
      <c r="X174" s="43">
        <f>IF(ISNUMBER(J174),J174,0)</f>
        <v/>
      </c>
      <c r="Y174" s="43">
        <f>IF(ISNUMBER(K174),K174,0)</f>
        <v/>
      </c>
    </row>
    <row r="175">
      <c r="A175" s="35" t="n"/>
      <c r="B175" s="35" t="n"/>
      <c r="C175" s="35" t="n"/>
      <c r="D175" s="25" t="n"/>
      <c r="E175" s="25" t="n"/>
      <c r="F175" s="25" t="n"/>
      <c r="G175" s="25" t="n"/>
      <c r="H175" s="25" t="n"/>
      <c r="I175" s="25" t="n"/>
      <c r="J175" s="25" t="n"/>
      <c r="K175" s="25" t="n"/>
      <c r="L175" s="35" t="n"/>
      <c r="M175" s="40">
        <f>IF(A175="","",IFERROR(INDEX(Applications!$B$2:$B$101,MATCH(A175,Applications!$A$2:$A$101,0))&amp;"",""))</f>
        <v/>
      </c>
      <c r="N175" s="41">
        <f>IF(A175="","",SUMPRODUCT(ISNUMBER(D175:K175)*($D$2:$K$2&gt;0)))</f>
        <v/>
      </c>
      <c r="O175" s="40">
        <f>IF(A175="","",IF(ISNA(MATCH(A175,Applications!$A$2:$A$101,0)),"Check ID",IF(ISNA(MATCH(B175,Settings!$C$13:$C$18,0)),"Check reviewer",IF(LEFT(C175,3)="Yes","Conflict, not counted",IF(COUNTIFS($A$3:A175,A175,$B$3:B175,B175)&gt;1,"Duplicate, not counted",IF(SUM($D$2:$K$2)=0,"Add weights on Rubric",IF(SUMPRODUCT(ISNUMBER(D175:K175)*((D175:K175&gt;4)+(D175:K175&lt;0)))&gt;0,"Check scores",IF(N175&lt;COUNTIF($D$2:$K$2,"&gt;0"),"Incomplete","Counted"))))))))</f>
        <v/>
      </c>
      <c r="P175" s="42">
        <f>IF(O175="Counted",ROUND(SUMPRODUCT(D175:K175,$D$2:$K$2)*100/(4*SUM($D$2:$K$2)),1),"")</f>
        <v/>
      </c>
      <c r="Q175" s="27">
        <f>IF(O175="Counted",1,0)</f>
        <v/>
      </c>
      <c r="R175" s="43">
        <f>IF(ISNUMBER(D175),D175,0)</f>
        <v/>
      </c>
      <c r="S175" s="43">
        <f>IF(ISNUMBER(E175),E175,0)</f>
        <v/>
      </c>
      <c r="T175" s="43">
        <f>IF(ISNUMBER(F175),F175,0)</f>
        <v/>
      </c>
      <c r="U175" s="43">
        <f>IF(ISNUMBER(G175),G175,0)</f>
        <v/>
      </c>
      <c r="V175" s="43">
        <f>IF(ISNUMBER(H175),H175,0)</f>
        <v/>
      </c>
      <c r="W175" s="43">
        <f>IF(ISNUMBER(I175),I175,0)</f>
        <v/>
      </c>
      <c r="X175" s="43">
        <f>IF(ISNUMBER(J175),J175,0)</f>
        <v/>
      </c>
      <c r="Y175" s="43">
        <f>IF(ISNUMBER(K175),K175,0)</f>
        <v/>
      </c>
    </row>
    <row r="176">
      <c r="A176" s="35" t="n"/>
      <c r="B176" s="35" t="n"/>
      <c r="C176" s="35" t="n"/>
      <c r="D176" s="25" t="n"/>
      <c r="E176" s="25" t="n"/>
      <c r="F176" s="25" t="n"/>
      <c r="G176" s="25" t="n"/>
      <c r="H176" s="25" t="n"/>
      <c r="I176" s="25" t="n"/>
      <c r="J176" s="25" t="n"/>
      <c r="K176" s="25" t="n"/>
      <c r="L176" s="35" t="n"/>
      <c r="M176" s="40">
        <f>IF(A176="","",IFERROR(INDEX(Applications!$B$2:$B$101,MATCH(A176,Applications!$A$2:$A$101,0))&amp;"",""))</f>
        <v/>
      </c>
      <c r="N176" s="41">
        <f>IF(A176="","",SUMPRODUCT(ISNUMBER(D176:K176)*($D$2:$K$2&gt;0)))</f>
        <v/>
      </c>
      <c r="O176" s="40">
        <f>IF(A176="","",IF(ISNA(MATCH(A176,Applications!$A$2:$A$101,0)),"Check ID",IF(ISNA(MATCH(B176,Settings!$C$13:$C$18,0)),"Check reviewer",IF(LEFT(C176,3)="Yes","Conflict, not counted",IF(COUNTIFS($A$3:A176,A176,$B$3:B176,B176)&gt;1,"Duplicate, not counted",IF(SUM($D$2:$K$2)=0,"Add weights on Rubric",IF(SUMPRODUCT(ISNUMBER(D176:K176)*((D176:K176&gt;4)+(D176:K176&lt;0)))&gt;0,"Check scores",IF(N176&lt;COUNTIF($D$2:$K$2,"&gt;0"),"Incomplete","Counted"))))))))</f>
        <v/>
      </c>
      <c r="P176" s="42">
        <f>IF(O176="Counted",ROUND(SUMPRODUCT(D176:K176,$D$2:$K$2)*100/(4*SUM($D$2:$K$2)),1),"")</f>
        <v/>
      </c>
      <c r="Q176" s="27">
        <f>IF(O176="Counted",1,0)</f>
        <v/>
      </c>
      <c r="R176" s="43">
        <f>IF(ISNUMBER(D176),D176,0)</f>
        <v/>
      </c>
      <c r="S176" s="43">
        <f>IF(ISNUMBER(E176),E176,0)</f>
        <v/>
      </c>
      <c r="T176" s="43">
        <f>IF(ISNUMBER(F176),F176,0)</f>
        <v/>
      </c>
      <c r="U176" s="43">
        <f>IF(ISNUMBER(G176),G176,0)</f>
        <v/>
      </c>
      <c r="V176" s="43">
        <f>IF(ISNUMBER(H176),H176,0)</f>
        <v/>
      </c>
      <c r="W176" s="43">
        <f>IF(ISNUMBER(I176),I176,0)</f>
        <v/>
      </c>
      <c r="X176" s="43">
        <f>IF(ISNUMBER(J176),J176,0)</f>
        <v/>
      </c>
      <c r="Y176" s="43">
        <f>IF(ISNUMBER(K176),K176,0)</f>
        <v/>
      </c>
    </row>
    <row r="177">
      <c r="A177" s="35" t="n"/>
      <c r="B177" s="35" t="n"/>
      <c r="C177" s="35" t="n"/>
      <c r="D177" s="25" t="n"/>
      <c r="E177" s="25" t="n"/>
      <c r="F177" s="25" t="n"/>
      <c r="G177" s="25" t="n"/>
      <c r="H177" s="25" t="n"/>
      <c r="I177" s="25" t="n"/>
      <c r="J177" s="25" t="n"/>
      <c r="K177" s="25" t="n"/>
      <c r="L177" s="35" t="n"/>
      <c r="M177" s="40">
        <f>IF(A177="","",IFERROR(INDEX(Applications!$B$2:$B$101,MATCH(A177,Applications!$A$2:$A$101,0))&amp;"",""))</f>
        <v/>
      </c>
      <c r="N177" s="41">
        <f>IF(A177="","",SUMPRODUCT(ISNUMBER(D177:K177)*($D$2:$K$2&gt;0)))</f>
        <v/>
      </c>
      <c r="O177" s="40">
        <f>IF(A177="","",IF(ISNA(MATCH(A177,Applications!$A$2:$A$101,0)),"Check ID",IF(ISNA(MATCH(B177,Settings!$C$13:$C$18,0)),"Check reviewer",IF(LEFT(C177,3)="Yes","Conflict, not counted",IF(COUNTIFS($A$3:A177,A177,$B$3:B177,B177)&gt;1,"Duplicate, not counted",IF(SUM($D$2:$K$2)=0,"Add weights on Rubric",IF(SUMPRODUCT(ISNUMBER(D177:K177)*((D177:K177&gt;4)+(D177:K177&lt;0)))&gt;0,"Check scores",IF(N177&lt;COUNTIF($D$2:$K$2,"&gt;0"),"Incomplete","Counted"))))))))</f>
        <v/>
      </c>
      <c r="P177" s="42">
        <f>IF(O177="Counted",ROUND(SUMPRODUCT(D177:K177,$D$2:$K$2)*100/(4*SUM($D$2:$K$2)),1),"")</f>
        <v/>
      </c>
      <c r="Q177" s="27">
        <f>IF(O177="Counted",1,0)</f>
        <v/>
      </c>
      <c r="R177" s="43">
        <f>IF(ISNUMBER(D177),D177,0)</f>
        <v/>
      </c>
      <c r="S177" s="43">
        <f>IF(ISNUMBER(E177),E177,0)</f>
        <v/>
      </c>
      <c r="T177" s="43">
        <f>IF(ISNUMBER(F177),F177,0)</f>
        <v/>
      </c>
      <c r="U177" s="43">
        <f>IF(ISNUMBER(G177),G177,0)</f>
        <v/>
      </c>
      <c r="V177" s="43">
        <f>IF(ISNUMBER(H177),H177,0)</f>
        <v/>
      </c>
      <c r="W177" s="43">
        <f>IF(ISNUMBER(I177),I177,0)</f>
        <v/>
      </c>
      <c r="X177" s="43">
        <f>IF(ISNUMBER(J177),J177,0)</f>
        <v/>
      </c>
      <c r="Y177" s="43">
        <f>IF(ISNUMBER(K177),K177,0)</f>
        <v/>
      </c>
    </row>
    <row r="178">
      <c r="A178" s="35" t="n"/>
      <c r="B178" s="35" t="n"/>
      <c r="C178" s="35" t="n"/>
      <c r="D178" s="25" t="n"/>
      <c r="E178" s="25" t="n"/>
      <c r="F178" s="25" t="n"/>
      <c r="G178" s="25" t="n"/>
      <c r="H178" s="25" t="n"/>
      <c r="I178" s="25" t="n"/>
      <c r="J178" s="25" t="n"/>
      <c r="K178" s="25" t="n"/>
      <c r="L178" s="35" t="n"/>
      <c r="M178" s="40">
        <f>IF(A178="","",IFERROR(INDEX(Applications!$B$2:$B$101,MATCH(A178,Applications!$A$2:$A$101,0))&amp;"",""))</f>
        <v/>
      </c>
      <c r="N178" s="41">
        <f>IF(A178="","",SUMPRODUCT(ISNUMBER(D178:K178)*($D$2:$K$2&gt;0)))</f>
        <v/>
      </c>
      <c r="O178" s="40">
        <f>IF(A178="","",IF(ISNA(MATCH(A178,Applications!$A$2:$A$101,0)),"Check ID",IF(ISNA(MATCH(B178,Settings!$C$13:$C$18,0)),"Check reviewer",IF(LEFT(C178,3)="Yes","Conflict, not counted",IF(COUNTIFS($A$3:A178,A178,$B$3:B178,B178)&gt;1,"Duplicate, not counted",IF(SUM($D$2:$K$2)=0,"Add weights on Rubric",IF(SUMPRODUCT(ISNUMBER(D178:K178)*((D178:K178&gt;4)+(D178:K178&lt;0)))&gt;0,"Check scores",IF(N178&lt;COUNTIF($D$2:$K$2,"&gt;0"),"Incomplete","Counted"))))))))</f>
        <v/>
      </c>
      <c r="P178" s="42">
        <f>IF(O178="Counted",ROUND(SUMPRODUCT(D178:K178,$D$2:$K$2)*100/(4*SUM($D$2:$K$2)),1),"")</f>
        <v/>
      </c>
      <c r="Q178" s="27">
        <f>IF(O178="Counted",1,0)</f>
        <v/>
      </c>
      <c r="R178" s="43">
        <f>IF(ISNUMBER(D178),D178,0)</f>
        <v/>
      </c>
      <c r="S178" s="43">
        <f>IF(ISNUMBER(E178),E178,0)</f>
        <v/>
      </c>
      <c r="T178" s="43">
        <f>IF(ISNUMBER(F178),F178,0)</f>
        <v/>
      </c>
      <c r="U178" s="43">
        <f>IF(ISNUMBER(G178),G178,0)</f>
        <v/>
      </c>
      <c r="V178" s="43">
        <f>IF(ISNUMBER(H178),H178,0)</f>
        <v/>
      </c>
      <c r="W178" s="43">
        <f>IF(ISNUMBER(I178),I178,0)</f>
        <v/>
      </c>
      <c r="X178" s="43">
        <f>IF(ISNUMBER(J178),J178,0)</f>
        <v/>
      </c>
      <c r="Y178" s="43">
        <f>IF(ISNUMBER(K178),K178,0)</f>
        <v/>
      </c>
    </row>
    <row r="179">
      <c r="A179" s="35" t="n"/>
      <c r="B179" s="35" t="n"/>
      <c r="C179" s="35" t="n"/>
      <c r="D179" s="25" t="n"/>
      <c r="E179" s="25" t="n"/>
      <c r="F179" s="25" t="n"/>
      <c r="G179" s="25" t="n"/>
      <c r="H179" s="25" t="n"/>
      <c r="I179" s="25" t="n"/>
      <c r="J179" s="25" t="n"/>
      <c r="K179" s="25" t="n"/>
      <c r="L179" s="35" t="n"/>
      <c r="M179" s="40">
        <f>IF(A179="","",IFERROR(INDEX(Applications!$B$2:$B$101,MATCH(A179,Applications!$A$2:$A$101,0))&amp;"",""))</f>
        <v/>
      </c>
      <c r="N179" s="41">
        <f>IF(A179="","",SUMPRODUCT(ISNUMBER(D179:K179)*($D$2:$K$2&gt;0)))</f>
        <v/>
      </c>
      <c r="O179" s="40">
        <f>IF(A179="","",IF(ISNA(MATCH(A179,Applications!$A$2:$A$101,0)),"Check ID",IF(ISNA(MATCH(B179,Settings!$C$13:$C$18,0)),"Check reviewer",IF(LEFT(C179,3)="Yes","Conflict, not counted",IF(COUNTIFS($A$3:A179,A179,$B$3:B179,B179)&gt;1,"Duplicate, not counted",IF(SUM($D$2:$K$2)=0,"Add weights on Rubric",IF(SUMPRODUCT(ISNUMBER(D179:K179)*((D179:K179&gt;4)+(D179:K179&lt;0)))&gt;0,"Check scores",IF(N179&lt;COUNTIF($D$2:$K$2,"&gt;0"),"Incomplete","Counted"))))))))</f>
        <v/>
      </c>
      <c r="P179" s="42">
        <f>IF(O179="Counted",ROUND(SUMPRODUCT(D179:K179,$D$2:$K$2)*100/(4*SUM($D$2:$K$2)),1),"")</f>
        <v/>
      </c>
      <c r="Q179" s="27">
        <f>IF(O179="Counted",1,0)</f>
        <v/>
      </c>
      <c r="R179" s="43">
        <f>IF(ISNUMBER(D179),D179,0)</f>
        <v/>
      </c>
      <c r="S179" s="43">
        <f>IF(ISNUMBER(E179),E179,0)</f>
        <v/>
      </c>
      <c r="T179" s="43">
        <f>IF(ISNUMBER(F179),F179,0)</f>
        <v/>
      </c>
      <c r="U179" s="43">
        <f>IF(ISNUMBER(G179),G179,0)</f>
        <v/>
      </c>
      <c r="V179" s="43">
        <f>IF(ISNUMBER(H179),H179,0)</f>
        <v/>
      </c>
      <c r="W179" s="43">
        <f>IF(ISNUMBER(I179),I179,0)</f>
        <v/>
      </c>
      <c r="X179" s="43">
        <f>IF(ISNUMBER(J179),J179,0)</f>
        <v/>
      </c>
      <c r="Y179" s="43">
        <f>IF(ISNUMBER(K179),K179,0)</f>
        <v/>
      </c>
    </row>
    <row r="180">
      <c r="A180" s="35" t="n"/>
      <c r="B180" s="35" t="n"/>
      <c r="C180" s="35" t="n"/>
      <c r="D180" s="25" t="n"/>
      <c r="E180" s="25" t="n"/>
      <c r="F180" s="25" t="n"/>
      <c r="G180" s="25" t="n"/>
      <c r="H180" s="25" t="n"/>
      <c r="I180" s="25" t="n"/>
      <c r="J180" s="25" t="n"/>
      <c r="K180" s="25" t="n"/>
      <c r="L180" s="35" t="n"/>
      <c r="M180" s="40">
        <f>IF(A180="","",IFERROR(INDEX(Applications!$B$2:$B$101,MATCH(A180,Applications!$A$2:$A$101,0))&amp;"",""))</f>
        <v/>
      </c>
      <c r="N180" s="41">
        <f>IF(A180="","",SUMPRODUCT(ISNUMBER(D180:K180)*($D$2:$K$2&gt;0)))</f>
        <v/>
      </c>
      <c r="O180" s="40">
        <f>IF(A180="","",IF(ISNA(MATCH(A180,Applications!$A$2:$A$101,0)),"Check ID",IF(ISNA(MATCH(B180,Settings!$C$13:$C$18,0)),"Check reviewer",IF(LEFT(C180,3)="Yes","Conflict, not counted",IF(COUNTIFS($A$3:A180,A180,$B$3:B180,B180)&gt;1,"Duplicate, not counted",IF(SUM($D$2:$K$2)=0,"Add weights on Rubric",IF(SUMPRODUCT(ISNUMBER(D180:K180)*((D180:K180&gt;4)+(D180:K180&lt;0)))&gt;0,"Check scores",IF(N180&lt;COUNTIF($D$2:$K$2,"&gt;0"),"Incomplete","Counted"))))))))</f>
        <v/>
      </c>
      <c r="P180" s="42">
        <f>IF(O180="Counted",ROUND(SUMPRODUCT(D180:K180,$D$2:$K$2)*100/(4*SUM($D$2:$K$2)),1),"")</f>
        <v/>
      </c>
      <c r="Q180" s="27">
        <f>IF(O180="Counted",1,0)</f>
        <v/>
      </c>
      <c r="R180" s="43">
        <f>IF(ISNUMBER(D180),D180,0)</f>
        <v/>
      </c>
      <c r="S180" s="43">
        <f>IF(ISNUMBER(E180),E180,0)</f>
        <v/>
      </c>
      <c r="T180" s="43">
        <f>IF(ISNUMBER(F180),F180,0)</f>
        <v/>
      </c>
      <c r="U180" s="43">
        <f>IF(ISNUMBER(G180),G180,0)</f>
        <v/>
      </c>
      <c r="V180" s="43">
        <f>IF(ISNUMBER(H180),H180,0)</f>
        <v/>
      </c>
      <c r="W180" s="43">
        <f>IF(ISNUMBER(I180),I180,0)</f>
        <v/>
      </c>
      <c r="X180" s="43">
        <f>IF(ISNUMBER(J180),J180,0)</f>
        <v/>
      </c>
      <c r="Y180" s="43">
        <f>IF(ISNUMBER(K180),K180,0)</f>
        <v/>
      </c>
    </row>
    <row r="181">
      <c r="A181" s="35" t="n"/>
      <c r="B181" s="35" t="n"/>
      <c r="C181" s="35" t="n"/>
      <c r="D181" s="25" t="n"/>
      <c r="E181" s="25" t="n"/>
      <c r="F181" s="25" t="n"/>
      <c r="G181" s="25" t="n"/>
      <c r="H181" s="25" t="n"/>
      <c r="I181" s="25" t="n"/>
      <c r="J181" s="25" t="n"/>
      <c r="K181" s="25" t="n"/>
      <c r="L181" s="35" t="n"/>
      <c r="M181" s="40">
        <f>IF(A181="","",IFERROR(INDEX(Applications!$B$2:$B$101,MATCH(A181,Applications!$A$2:$A$101,0))&amp;"",""))</f>
        <v/>
      </c>
      <c r="N181" s="41">
        <f>IF(A181="","",SUMPRODUCT(ISNUMBER(D181:K181)*($D$2:$K$2&gt;0)))</f>
        <v/>
      </c>
      <c r="O181" s="40">
        <f>IF(A181="","",IF(ISNA(MATCH(A181,Applications!$A$2:$A$101,0)),"Check ID",IF(ISNA(MATCH(B181,Settings!$C$13:$C$18,0)),"Check reviewer",IF(LEFT(C181,3)="Yes","Conflict, not counted",IF(COUNTIFS($A$3:A181,A181,$B$3:B181,B181)&gt;1,"Duplicate, not counted",IF(SUM($D$2:$K$2)=0,"Add weights on Rubric",IF(SUMPRODUCT(ISNUMBER(D181:K181)*((D181:K181&gt;4)+(D181:K181&lt;0)))&gt;0,"Check scores",IF(N181&lt;COUNTIF($D$2:$K$2,"&gt;0"),"Incomplete","Counted"))))))))</f>
        <v/>
      </c>
      <c r="P181" s="42">
        <f>IF(O181="Counted",ROUND(SUMPRODUCT(D181:K181,$D$2:$K$2)*100/(4*SUM($D$2:$K$2)),1),"")</f>
        <v/>
      </c>
      <c r="Q181" s="27">
        <f>IF(O181="Counted",1,0)</f>
        <v/>
      </c>
      <c r="R181" s="43">
        <f>IF(ISNUMBER(D181),D181,0)</f>
        <v/>
      </c>
      <c r="S181" s="43">
        <f>IF(ISNUMBER(E181),E181,0)</f>
        <v/>
      </c>
      <c r="T181" s="43">
        <f>IF(ISNUMBER(F181),F181,0)</f>
        <v/>
      </c>
      <c r="U181" s="43">
        <f>IF(ISNUMBER(G181),G181,0)</f>
        <v/>
      </c>
      <c r="V181" s="43">
        <f>IF(ISNUMBER(H181),H181,0)</f>
        <v/>
      </c>
      <c r="W181" s="43">
        <f>IF(ISNUMBER(I181),I181,0)</f>
        <v/>
      </c>
      <c r="X181" s="43">
        <f>IF(ISNUMBER(J181),J181,0)</f>
        <v/>
      </c>
      <c r="Y181" s="43">
        <f>IF(ISNUMBER(K181),K181,0)</f>
        <v/>
      </c>
    </row>
    <row r="182">
      <c r="A182" s="35" t="n"/>
      <c r="B182" s="35" t="n"/>
      <c r="C182" s="35" t="n"/>
      <c r="D182" s="25" t="n"/>
      <c r="E182" s="25" t="n"/>
      <c r="F182" s="25" t="n"/>
      <c r="G182" s="25" t="n"/>
      <c r="H182" s="25" t="n"/>
      <c r="I182" s="25" t="n"/>
      <c r="J182" s="25" t="n"/>
      <c r="K182" s="25" t="n"/>
      <c r="L182" s="35" t="n"/>
      <c r="M182" s="40">
        <f>IF(A182="","",IFERROR(INDEX(Applications!$B$2:$B$101,MATCH(A182,Applications!$A$2:$A$101,0))&amp;"",""))</f>
        <v/>
      </c>
      <c r="N182" s="41">
        <f>IF(A182="","",SUMPRODUCT(ISNUMBER(D182:K182)*($D$2:$K$2&gt;0)))</f>
        <v/>
      </c>
      <c r="O182" s="40">
        <f>IF(A182="","",IF(ISNA(MATCH(A182,Applications!$A$2:$A$101,0)),"Check ID",IF(ISNA(MATCH(B182,Settings!$C$13:$C$18,0)),"Check reviewer",IF(LEFT(C182,3)="Yes","Conflict, not counted",IF(COUNTIFS($A$3:A182,A182,$B$3:B182,B182)&gt;1,"Duplicate, not counted",IF(SUM($D$2:$K$2)=0,"Add weights on Rubric",IF(SUMPRODUCT(ISNUMBER(D182:K182)*((D182:K182&gt;4)+(D182:K182&lt;0)))&gt;0,"Check scores",IF(N182&lt;COUNTIF($D$2:$K$2,"&gt;0"),"Incomplete","Counted"))))))))</f>
        <v/>
      </c>
      <c r="P182" s="42">
        <f>IF(O182="Counted",ROUND(SUMPRODUCT(D182:K182,$D$2:$K$2)*100/(4*SUM($D$2:$K$2)),1),"")</f>
        <v/>
      </c>
      <c r="Q182" s="27">
        <f>IF(O182="Counted",1,0)</f>
        <v/>
      </c>
      <c r="R182" s="43">
        <f>IF(ISNUMBER(D182),D182,0)</f>
        <v/>
      </c>
      <c r="S182" s="43">
        <f>IF(ISNUMBER(E182),E182,0)</f>
        <v/>
      </c>
      <c r="T182" s="43">
        <f>IF(ISNUMBER(F182),F182,0)</f>
        <v/>
      </c>
      <c r="U182" s="43">
        <f>IF(ISNUMBER(G182),G182,0)</f>
        <v/>
      </c>
      <c r="V182" s="43">
        <f>IF(ISNUMBER(H182),H182,0)</f>
        <v/>
      </c>
      <c r="W182" s="43">
        <f>IF(ISNUMBER(I182),I182,0)</f>
        <v/>
      </c>
      <c r="X182" s="43">
        <f>IF(ISNUMBER(J182),J182,0)</f>
        <v/>
      </c>
      <c r="Y182" s="43">
        <f>IF(ISNUMBER(K182),K182,0)</f>
        <v/>
      </c>
    </row>
    <row r="183">
      <c r="A183" s="35" t="n"/>
      <c r="B183" s="35" t="n"/>
      <c r="C183" s="35" t="n"/>
      <c r="D183" s="25" t="n"/>
      <c r="E183" s="25" t="n"/>
      <c r="F183" s="25" t="n"/>
      <c r="G183" s="25" t="n"/>
      <c r="H183" s="25" t="n"/>
      <c r="I183" s="25" t="n"/>
      <c r="J183" s="25" t="n"/>
      <c r="K183" s="25" t="n"/>
      <c r="L183" s="35" t="n"/>
      <c r="M183" s="40">
        <f>IF(A183="","",IFERROR(INDEX(Applications!$B$2:$B$101,MATCH(A183,Applications!$A$2:$A$101,0))&amp;"",""))</f>
        <v/>
      </c>
      <c r="N183" s="41">
        <f>IF(A183="","",SUMPRODUCT(ISNUMBER(D183:K183)*($D$2:$K$2&gt;0)))</f>
        <v/>
      </c>
      <c r="O183" s="40">
        <f>IF(A183="","",IF(ISNA(MATCH(A183,Applications!$A$2:$A$101,0)),"Check ID",IF(ISNA(MATCH(B183,Settings!$C$13:$C$18,0)),"Check reviewer",IF(LEFT(C183,3)="Yes","Conflict, not counted",IF(COUNTIFS($A$3:A183,A183,$B$3:B183,B183)&gt;1,"Duplicate, not counted",IF(SUM($D$2:$K$2)=0,"Add weights on Rubric",IF(SUMPRODUCT(ISNUMBER(D183:K183)*((D183:K183&gt;4)+(D183:K183&lt;0)))&gt;0,"Check scores",IF(N183&lt;COUNTIF($D$2:$K$2,"&gt;0"),"Incomplete","Counted"))))))))</f>
        <v/>
      </c>
      <c r="P183" s="42">
        <f>IF(O183="Counted",ROUND(SUMPRODUCT(D183:K183,$D$2:$K$2)*100/(4*SUM($D$2:$K$2)),1),"")</f>
        <v/>
      </c>
      <c r="Q183" s="27">
        <f>IF(O183="Counted",1,0)</f>
        <v/>
      </c>
      <c r="R183" s="43">
        <f>IF(ISNUMBER(D183),D183,0)</f>
        <v/>
      </c>
      <c r="S183" s="43">
        <f>IF(ISNUMBER(E183),E183,0)</f>
        <v/>
      </c>
      <c r="T183" s="43">
        <f>IF(ISNUMBER(F183),F183,0)</f>
        <v/>
      </c>
      <c r="U183" s="43">
        <f>IF(ISNUMBER(G183),G183,0)</f>
        <v/>
      </c>
      <c r="V183" s="43">
        <f>IF(ISNUMBER(H183),H183,0)</f>
        <v/>
      </c>
      <c r="W183" s="43">
        <f>IF(ISNUMBER(I183),I183,0)</f>
        <v/>
      </c>
      <c r="X183" s="43">
        <f>IF(ISNUMBER(J183),J183,0)</f>
        <v/>
      </c>
      <c r="Y183" s="43">
        <f>IF(ISNUMBER(K183),K183,0)</f>
        <v/>
      </c>
    </row>
    <row r="184">
      <c r="A184" s="35" t="n"/>
      <c r="B184" s="35" t="n"/>
      <c r="C184" s="35" t="n"/>
      <c r="D184" s="25" t="n"/>
      <c r="E184" s="25" t="n"/>
      <c r="F184" s="25" t="n"/>
      <c r="G184" s="25" t="n"/>
      <c r="H184" s="25" t="n"/>
      <c r="I184" s="25" t="n"/>
      <c r="J184" s="25" t="n"/>
      <c r="K184" s="25" t="n"/>
      <c r="L184" s="35" t="n"/>
      <c r="M184" s="40">
        <f>IF(A184="","",IFERROR(INDEX(Applications!$B$2:$B$101,MATCH(A184,Applications!$A$2:$A$101,0))&amp;"",""))</f>
        <v/>
      </c>
      <c r="N184" s="41">
        <f>IF(A184="","",SUMPRODUCT(ISNUMBER(D184:K184)*($D$2:$K$2&gt;0)))</f>
        <v/>
      </c>
      <c r="O184" s="40">
        <f>IF(A184="","",IF(ISNA(MATCH(A184,Applications!$A$2:$A$101,0)),"Check ID",IF(ISNA(MATCH(B184,Settings!$C$13:$C$18,0)),"Check reviewer",IF(LEFT(C184,3)="Yes","Conflict, not counted",IF(COUNTIFS($A$3:A184,A184,$B$3:B184,B184)&gt;1,"Duplicate, not counted",IF(SUM($D$2:$K$2)=0,"Add weights on Rubric",IF(SUMPRODUCT(ISNUMBER(D184:K184)*((D184:K184&gt;4)+(D184:K184&lt;0)))&gt;0,"Check scores",IF(N184&lt;COUNTIF($D$2:$K$2,"&gt;0"),"Incomplete","Counted"))))))))</f>
        <v/>
      </c>
      <c r="P184" s="42">
        <f>IF(O184="Counted",ROUND(SUMPRODUCT(D184:K184,$D$2:$K$2)*100/(4*SUM($D$2:$K$2)),1),"")</f>
        <v/>
      </c>
      <c r="Q184" s="27">
        <f>IF(O184="Counted",1,0)</f>
        <v/>
      </c>
      <c r="R184" s="43">
        <f>IF(ISNUMBER(D184),D184,0)</f>
        <v/>
      </c>
      <c r="S184" s="43">
        <f>IF(ISNUMBER(E184),E184,0)</f>
        <v/>
      </c>
      <c r="T184" s="43">
        <f>IF(ISNUMBER(F184),F184,0)</f>
        <v/>
      </c>
      <c r="U184" s="43">
        <f>IF(ISNUMBER(G184),G184,0)</f>
        <v/>
      </c>
      <c r="V184" s="43">
        <f>IF(ISNUMBER(H184),H184,0)</f>
        <v/>
      </c>
      <c r="W184" s="43">
        <f>IF(ISNUMBER(I184),I184,0)</f>
        <v/>
      </c>
      <c r="X184" s="43">
        <f>IF(ISNUMBER(J184),J184,0)</f>
        <v/>
      </c>
      <c r="Y184" s="43">
        <f>IF(ISNUMBER(K184),K184,0)</f>
        <v/>
      </c>
    </row>
    <row r="185">
      <c r="A185" s="35" t="n"/>
      <c r="B185" s="35" t="n"/>
      <c r="C185" s="35" t="n"/>
      <c r="D185" s="25" t="n"/>
      <c r="E185" s="25" t="n"/>
      <c r="F185" s="25" t="n"/>
      <c r="G185" s="25" t="n"/>
      <c r="H185" s="25" t="n"/>
      <c r="I185" s="25" t="n"/>
      <c r="J185" s="25" t="n"/>
      <c r="K185" s="25" t="n"/>
      <c r="L185" s="35" t="n"/>
      <c r="M185" s="40">
        <f>IF(A185="","",IFERROR(INDEX(Applications!$B$2:$B$101,MATCH(A185,Applications!$A$2:$A$101,0))&amp;"",""))</f>
        <v/>
      </c>
      <c r="N185" s="41">
        <f>IF(A185="","",SUMPRODUCT(ISNUMBER(D185:K185)*($D$2:$K$2&gt;0)))</f>
        <v/>
      </c>
      <c r="O185" s="40">
        <f>IF(A185="","",IF(ISNA(MATCH(A185,Applications!$A$2:$A$101,0)),"Check ID",IF(ISNA(MATCH(B185,Settings!$C$13:$C$18,0)),"Check reviewer",IF(LEFT(C185,3)="Yes","Conflict, not counted",IF(COUNTIFS($A$3:A185,A185,$B$3:B185,B185)&gt;1,"Duplicate, not counted",IF(SUM($D$2:$K$2)=0,"Add weights on Rubric",IF(SUMPRODUCT(ISNUMBER(D185:K185)*((D185:K185&gt;4)+(D185:K185&lt;0)))&gt;0,"Check scores",IF(N185&lt;COUNTIF($D$2:$K$2,"&gt;0"),"Incomplete","Counted"))))))))</f>
        <v/>
      </c>
      <c r="P185" s="42">
        <f>IF(O185="Counted",ROUND(SUMPRODUCT(D185:K185,$D$2:$K$2)*100/(4*SUM($D$2:$K$2)),1),"")</f>
        <v/>
      </c>
      <c r="Q185" s="27">
        <f>IF(O185="Counted",1,0)</f>
        <v/>
      </c>
      <c r="R185" s="43">
        <f>IF(ISNUMBER(D185),D185,0)</f>
        <v/>
      </c>
      <c r="S185" s="43">
        <f>IF(ISNUMBER(E185),E185,0)</f>
        <v/>
      </c>
      <c r="T185" s="43">
        <f>IF(ISNUMBER(F185),F185,0)</f>
        <v/>
      </c>
      <c r="U185" s="43">
        <f>IF(ISNUMBER(G185),G185,0)</f>
        <v/>
      </c>
      <c r="V185" s="43">
        <f>IF(ISNUMBER(H185),H185,0)</f>
        <v/>
      </c>
      <c r="W185" s="43">
        <f>IF(ISNUMBER(I185),I185,0)</f>
        <v/>
      </c>
      <c r="X185" s="43">
        <f>IF(ISNUMBER(J185),J185,0)</f>
        <v/>
      </c>
      <c r="Y185" s="43">
        <f>IF(ISNUMBER(K185),K185,0)</f>
        <v/>
      </c>
    </row>
    <row r="186">
      <c r="A186" s="35" t="n"/>
      <c r="B186" s="35" t="n"/>
      <c r="C186" s="35" t="n"/>
      <c r="D186" s="25" t="n"/>
      <c r="E186" s="25" t="n"/>
      <c r="F186" s="25" t="n"/>
      <c r="G186" s="25" t="n"/>
      <c r="H186" s="25" t="n"/>
      <c r="I186" s="25" t="n"/>
      <c r="J186" s="25" t="n"/>
      <c r="K186" s="25" t="n"/>
      <c r="L186" s="35" t="n"/>
      <c r="M186" s="40">
        <f>IF(A186="","",IFERROR(INDEX(Applications!$B$2:$B$101,MATCH(A186,Applications!$A$2:$A$101,0))&amp;"",""))</f>
        <v/>
      </c>
      <c r="N186" s="41">
        <f>IF(A186="","",SUMPRODUCT(ISNUMBER(D186:K186)*($D$2:$K$2&gt;0)))</f>
        <v/>
      </c>
      <c r="O186" s="40">
        <f>IF(A186="","",IF(ISNA(MATCH(A186,Applications!$A$2:$A$101,0)),"Check ID",IF(ISNA(MATCH(B186,Settings!$C$13:$C$18,0)),"Check reviewer",IF(LEFT(C186,3)="Yes","Conflict, not counted",IF(COUNTIFS($A$3:A186,A186,$B$3:B186,B186)&gt;1,"Duplicate, not counted",IF(SUM($D$2:$K$2)=0,"Add weights on Rubric",IF(SUMPRODUCT(ISNUMBER(D186:K186)*((D186:K186&gt;4)+(D186:K186&lt;0)))&gt;0,"Check scores",IF(N186&lt;COUNTIF($D$2:$K$2,"&gt;0"),"Incomplete","Counted"))))))))</f>
        <v/>
      </c>
      <c r="P186" s="42">
        <f>IF(O186="Counted",ROUND(SUMPRODUCT(D186:K186,$D$2:$K$2)*100/(4*SUM($D$2:$K$2)),1),"")</f>
        <v/>
      </c>
      <c r="Q186" s="27">
        <f>IF(O186="Counted",1,0)</f>
        <v/>
      </c>
      <c r="R186" s="43">
        <f>IF(ISNUMBER(D186),D186,0)</f>
        <v/>
      </c>
      <c r="S186" s="43">
        <f>IF(ISNUMBER(E186),E186,0)</f>
        <v/>
      </c>
      <c r="T186" s="43">
        <f>IF(ISNUMBER(F186),F186,0)</f>
        <v/>
      </c>
      <c r="U186" s="43">
        <f>IF(ISNUMBER(G186),G186,0)</f>
        <v/>
      </c>
      <c r="V186" s="43">
        <f>IF(ISNUMBER(H186),H186,0)</f>
        <v/>
      </c>
      <c r="W186" s="43">
        <f>IF(ISNUMBER(I186),I186,0)</f>
        <v/>
      </c>
      <c r="X186" s="43">
        <f>IF(ISNUMBER(J186),J186,0)</f>
        <v/>
      </c>
      <c r="Y186" s="43">
        <f>IF(ISNUMBER(K186),K186,0)</f>
        <v/>
      </c>
    </row>
    <row r="187">
      <c r="A187" s="35" t="n"/>
      <c r="B187" s="35" t="n"/>
      <c r="C187" s="35" t="n"/>
      <c r="D187" s="25" t="n"/>
      <c r="E187" s="25" t="n"/>
      <c r="F187" s="25" t="n"/>
      <c r="G187" s="25" t="n"/>
      <c r="H187" s="25" t="n"/>
      <c r="I187" s="25" t="n"/>
      <c r="J187" s="25" t="n"/>
      <c r="K187" s="25" t="n"/>
      <c r="L187" s="35" t="n"/>
      <c r="M187" s="40">
        <f>IF(A187="","",IFERROR(INDEX(Applications!$B$2:$B$101,MATCH(A187,Applications!$A$2:$A$101,0))&amp;"",""))</f>
        <v/>
      </c>
      <c r="N187" s="41">
        <f>IF(A187="","",SUMPRODUCT(ISNUMBER(D187:K187)*($D$2:$K$2&gt;0)))</f>
        <v/>
      </c>
      <c r="O187" s="40">
        <f>IF(A187="","",IF(ISNA(MATCH(A187,Applications!$A$2:$A$101,0)),"Check ID",IF(ISNA(MATCH(B187,Settings!$C$13:$C$18,0)),"Check reviewer",IF(LEFT(C187,3)="Yes","Conflict, not counted",IF(COUNTIFS($A$3:A187,A187,$B$3:B187,B187)&gt;1,"Duplicate, not counted",IF(SUM($D$2:$K$2)=0,"Add weights on Rubric",IF(SUMPRODUCT(ISNUMBER(D187:K187)*((D187:K187&gt;4)+(D187:K187&lt;0)))&gt;0,"Check scores",IF(N187&lt;COUNTIF($D$2:$K$2,"&gt;0"),"Incomplete","Counted"))))))))</f>
        <v/>
      </c>
      <c r="P187" s="42">
        <f>IF(O187="Counted",ROUND(SUMPRODUCT(D187:K187,$D$2:$K$2)*100/(4*SUM($D$2:$K$2)),1),"")</f>
        <v/>
      </c>
      <c r="Q187" s="27">
        <f>IF(O187="Counted",1,0)</f>
        <v/>
      </c>
      <c r="R187" s="43">
        <f>IF(ISNUMBER(D187),D187,0)</f>
        <v/>
      </c>
      <c r="S187" s="43">
        <f>IF(ISNUMBER(E187),E187,0)</f>
        <v/>
      </c>
      <c r="T187" s="43">
        <f>IF(ISNUMBER(F187),F187,0)</f>
        <v/>
      </c>
      <c r="U187" s="43">
        <f>IF(ISNUMBER(G187),G187,0)</f>
        <v/>
      </c>
      <c r="V187" s="43">
        <f>IF(ISNUMBER(H187),H187,0)</f>
        <v/>
      </c>
      <c r="W187" s="43">
        <f>IF(ISNUMBER(I187),I187,0)</f>
        <v/>
      </c>
      <c r="X187" s="43">
        <f>IF(ISNUMBER(J187),J187,0)</f>
        <v/>
      </c>
      <c r="Y187" s="43">
        <f>IF(ISNUMBER(K187),K187,0)</f>
        <v/>
      </c>
    </row>
    <row r="188">
      <c r="A188" s="35" t="n"/>
      <c r="B188" s="35" t="n"/>
      <c r="C188" s="35" t="n"/>
      <c r="D188" s="25" t="n"/>
      <c r="E188" s="25" t="n"/>
      <c r="F188" s="25" t="n"/>
      <c r="G188" s="25" t="n"/>
      <c r="H188" s="25" t="n"/>
      <c r="I188" s="25" t="n"/>
      <c r="J188" s="25" t="n"/>
      <c r="K188" s="25" t="n"/>
      <c r="L188" s="35" t="n"/>
      <c r="M188" s="40">
        <f>IF(A188="","",IFERROR(INDEX(Applications!$B$2:$B$101,MATCH(A188,Applications!$A$2:$A$101,0))&amp;"",""))</f>
        <v/>
      </c>
      <c r="N188" s="41">
        <f>IF(A188="","",SUMPRODUCT(ISNUMBER(D188:K188)*($D$2:$K$2&gt;0)))</f>
        <v/>
      </c>
      <c r="O188" s="40">
        <f>IF(A188="","",IF(ISNA(MATCH(A188,Applications!$A$2:$A$101,0)),"Check ID",IF(ISNA(MATCH(B188,Settings!$C$13:$C$18,0)),"Check reviewer",IF(LEFT(C188,3)="Yes","Conflict, not counted",IF(COUNTIFS($A$3:A188,A188,$B$3:B188,B188)&gt;1,"Duplicate, not counted",IF(SUM($D$2:$K$2)=0,"Add weights on Rubric",IF(SUMPRODUCT(ISNUMBER(D188:K188)*((D188:K188&gt;4)+(D188:K188&lt;0)))&gt;0,"Check scores",IF(N188&lt;COUNTIF($D$2:$K$2,"&gt;0"),"Incomplete","Counted"))))))))</f>
        <v/>
      </c>
      <c r="P188" s="42">
        <f>IF(O188="Counted",ROUND(SUMPRODUCT(D188:K188,$D$2:$K$2)*100/(4*SUM($D$2:$K$2)),1),"")</f>
        <v/>
      </c>
      <c r="Q188" s="27">
        <f>IF(O188="Counted",1,0)</f>
        <v/>
      </c>
      <c r="R188" s="43">
        <f>IF(ISNUMBER(D188),D188,0)</f>
        <v/>
      </c>
      <c r="S188" s="43">
        <f>IF(ISNUMBER(E188),E188,0)</f>
        <v/>
      </c>
      <c r="T188" s="43">
        <f>IF(ISNUMBER(F188),F188,0)</f>
        <v/>
      </c>
      <c r="U188" s="43">
        <f>IF(ISNUMBER(G188),G188,0)</f>
        <v/>
      </c>
      <c r="V188" s="43">
        <f>IF(ISNUMBER(H188),H188,0)</f>
        <v/>
      </c>
      <c r="W188" s="43">
        <f>IF(ISNUMBER(I188),I188,0)</f>
        <v/>
      </c>
      <c r="X188" s="43">
        <f>IF(ISNUMBER(J188),J188,0)</f>
        <v/>
      </c>
      <c r="Y188" s="43">
        <f>IF(ISNUMBER(K188),K188,0)</f>
        <v/>
      </c>
    </row>
    <row r="189">
      <c r="A189" s="35" t="n"/>
      <c r="B189" s="35" t="n"/>
      <c r="C189" s="35" t="n"/>
      <c r="D189" s="25" t="n"/>
      <c r="E189" s="25" t="n"/>
      <c r="F189" s="25" t="n"/>
      <c r="G189" s="25" t="n"/>
      <c r="H189" s="25" t="n"/>
      <c r="I189" s="25" t="n"/>
      <c r="J189" s="25" t="n"/>
      <c r="K189" s="25" t="n"/>
      <c r="L189" s="35" t="n"/>
      <c r="M189" s="40">
        <f>IF(A189="","",IFERROR(INDEX(Applications!$B$2:$B$101,MATCH(A189,Applications!$A$2:$A$101,0))&amp;"",""))</f>
        <v/>
      </c>
      <c r="N189" s="41">
        <f>IF(A189="","",SUMPRODUCT(ISNUMBER(D189:K189)*($D$2:$K$2&gt;0)))</f>
        <v/>
      </c>
      <c r="O189" s="40">
        <f>IF(A189="","",IF(ISNA(MATCH(A189,Applications!$A$2:$A$101,0)),"Check ID",IF(ISNA(MATCH(B189,Settings!$C$13:$C$18,0)),"Check reviewer",IF(LEFT(C189,3)="Yes","Conflict, not counted",IF(COUNTIFS($A$3:A189,A189,$B$3:B189,B189)&gt;1,"Duplicate, not counted",IF(SUM($D$2:$K$2)=0,"Add weights on Rubric",IF(SUMPRODUCT(ISNUMBER(D189:K189)*((D189:K189&gt;4)+(D189:K189&lt;0)))&gt;0,"Check scores",IF(N189&lt;COUNTIF($D$2:$K$2,"&gt;0"),"Incomplete","Counted"))))))))</f>
        <v/>
      </c>
      <c r="P189" s="42">
        <f>IF(O189="Counted",ROUND(SUMPRODUCT(D189:K189,$D$2:$K$2)*100/(4*SUM($D$2:$K$2)),1),"")</f>
        <v/>
      </c>
      <c r="Q189" s="27">
        <f>IF(O189="Counted",1,0)</f>
        <v/>
      </c>
      <c r="R189" s="43">
        <f>IF(ISNUMBER(D189),D189,0)</f>
        <v/>
      </c>
      <c r="S189" s="43">
        <f>IF(ISNUMBER(E189),E189,0)</f>
        <v/>
      </c>
      <c r="T189" s="43">
        <f>IF(ISNUMBER(F189),F189,0)</f>
        <v/>
      </c>
      <c r="U189" s="43">
        <f>IF(ISNUMBER(G189),G189,0)</f>
        <v/>
      </c>
      <c r="V189" s="43">
        <f>IF(ISNUMBER(H189),H189,0)</f>
        <v/>
      </c>
      <c r="W189" s="43">
        <f>IF(ISNUMBER(I189),I189,0)</f>
        <v/>
      </c>
      <c r="X189" s="43">
        <f>IF(ISNUMBER(J189),J189,0)</f>
        <v/>
      </c>
      <c r="Y189" s="43">
        <f>IF(ISNUMBER(K189),K189,0)</f>
        <v/>
      </c>
    </row>
    <row r="190">
      <c r="A190" s="35" t="n"/>
      <c r="B190" s="35" t="n"/>
      <c r="C190" s="35" t="n"/>
      <c r="D190" s="25" t="n"/>
      <c r="E190" s="25" t="n"/>
      <c r="F190" s="25" t="n"/>
      <c r="G190" s="25" t="n"/>
      <c r="H190" s="25" t="n"/>
      <c r="I190" s="25" t="n"/>
      <c r="J190" s="25" t="n"/>
      <c r="K190" s="25" t="n"/>
      <c r="L190" s="35" t="n"/>
      <c r="M190" s="40">
        <f>IF(A190="","",IFERROR(INDEX(Applications!$B$2:$B$101,MATCH(A190,Applications!$A$2:$A$101,0))&amp;"",""))</f>
        <v/>
      </c>
      <c r="N190" s="41">
        <f>IF(A190="","",SUMPRODUCT(ISNUMBER(D190:K190)*($D$2:$K$2&gt;0)))</f>
        <v/>
      </c>
      <c r="O190" s="40">
        <f>IF(A190="","",IF(ISNA(MATCH(A190,Applications!$A$2:$A$101,0)),"Check ID",IF(ISNA(MATCH(B190,Settings!$C$13:$C$18,0)),"Check reviewer",IF(LEFT(C190,3)="Yes","Conflict, not counted",IF(COUNTIFS($A$3:A190,A190,$B$3:B190,B190)&gt;1,"Duplicate, not counted",IF(SUM($D$2:$K$2)=0,"Add weights on Rubric",IF(SUMPRODUCT(ISNUMBER(D190:K190)*((D190:K190&gt;4)+(D190:K190&lt;0)))&gt;0,"Check scores",IF(N190&lt;COUNTIF($D$2:$K$2,"&gt;0"),"Incomplete","Counted"))))))))</f>
        <v/>
      </c>
      <c r="P190" s="42">
        <f>IF(O190="Counted",ROUND(SUMPRODUCT(D190:K190,$D$2:$K$2)*100/(4*SUM($D$2:$K$2)),1),"")</f>
        <v/>
      </c>
      <c r="Q190" s="27">
        <f>IF(O190="Counted",1,0)</f>
        <v/>
      </c>
      <c r="R190" s="43">
        <f>IF(ISNUMBER(D190),D190,0)</f>
        <v/>
      </c>
      <c r="S190" s="43">
        <f>IF(ISNUMBER(E190),E190,0)</f>
        <v/>
      </c>
      <c r="T190" s="43">
        <f>IF(ISNUMBER(F190),F190,0)</f>
        <v/>
      </c>
      <c r="U190" s="43">
        <f>IF(ISNUMBER(G190),G190,0)</f>
        <v/>
      </c>
      <c r="V190" s="43">
        <f>IF(ISNUMBER(H190),H190,0)</f>
        <v/>
      </c>
      <c r="W190" s="43">
        <f>IF(ISNUMBER(I190),I190,0)</f>
        <v/>
      </c>
      <c r="X190" s="43">
        <f>IF(ISNUMBER(J190),J190,0)</f>
        <v/>
      </c>
      <c r="Y190" s="43">
        <f>IF(ISNUMBER(K190),K190,0)</f>
        <v/>
      </c>
    </row>
    <row r="191">
      <c r="A191" s="35" t="n"/>
      <c r="B191" s="35" t="n"/>
      <c r="C191" s="35" t="n"/>
      <c r="D191" s="25" t="n"/>
      <c r="E191" s="25" t="n"/>
      <c r="F191" s="25" t="n"/>
      <c r="G191" s="25" t="n"/>
      <c r="H191" s="25" t="n"/>
      <c r="I191" s="25" t="n"/>
      <c r="J191" s="25" t="n"/>
      <c r="K191" s="25" t="n"/>
      <c r="L191" s="35" t="n"/>
      <c r="M191" s="40">
        <f>IF(A191="","",IFERROR(INDEX(Applications!$B$2:$B$101,MATCH(A191,Applications!$A$2:$A$101,0))&amp;"",""))</f>
        <v/>
      </c>
      <c r="N191" s="41">
        <f>IF(A191="","",SUMPRODUCT(ISNUMBER(D191:K191)*($D$2:$K$2&gt;0)))</f>
        <v/>
      </c>
      <c r="O191" s="40">
        <f>IF(A191="","",IF(ISNA(MATCH(A191,Applications!$A$2:$A$101,0)),"Check ID",IF(ISNA(MATCH(B191,Settings!$C$13:$C$18,0)),"Check reviewer",IF(LEFT(C191,3)="Yes","Conflict, not counted",IF(COUNTIFS($A$3:A191,A191,$B$3:B191,B191)&gt;1,"Duplicate, not counted",IF(SUM($D$2:$K$2)=0,"Add weights on Rubric",IF(SUMPRODUCT(ISNUMBER(D191:K191)*((D191:K191&gt;4)+(D191:K191&lt;0)))&gt;0,"Check scores",IF(N191&lt;COUNTIF($D$2:$K$2,"&gt;0"),"Incomplete","Counted"))))))))</f>
        <v/>
      </c>
      <c r="P191" s="42">
        <f>IF(O191="Counted",ROUND(SUMPRODUCT(D191:K191,$D$2:$K$2)*100/(4*SUM($D$2:$K$2)),1),"")</f>
        <v/>
      </c>
      <c r="Q191" s="27">
        <f>IF(O191="Counted",1,0)</f>
        <v/>
      </c>
      <c r="R191" s="43">
        <f>IF(ISNUMBER(D191),D191,0)</f>
        <v/>
      </c>
      <c r="S191" s="43">
        <f>IF(ISNUMBER(E191),E191,0)</f>
        <v/>
      </c>
      <c r="T191" s="43">
        <f>IF(ISNUMBER(F191),F191,0)</f>
        <v/>
      </c>
      <c r="U191" s="43">
        <f>IF(ISNUMBER(G191),G191,0)</f>
        <v/>
      </c>
      <c r="V191" s="43">
        <f>IF(ISNUMBER(H191),H191,0)</f>
        <v/>
      </c>
      <c r="W191" s="43">
        <f>IF(ISNUMBER(I191),I191,0)</f>
        <v/>
      </c>
      <c r="X191" s="43">
        <f>IF(ISNUMBER(J191),J191,0)</f>
        <v/>
      </c>
      <c r="Y191" s="43">
        <f>IF(ISNUMBER(K191),K191,0)</f>
        <v/>
      </c>
    </row>
    <row r="192">
      <c r="A192" s="35" t="n"/>
      <c r="B192" s="35" t="n"/>
      <c r="C192" s="35" t="n"/>
      <c r="D192" s="25" t="n"/>
      <c r="E192" s="25" t="n"/>
      <c r="F192" s="25" t="n"/>
      <c r="G192" s="25" t="n"/>
      <c r="H192" s="25" t="n"/>
      <c r="I192" s="25" t="n"/>
      <c r="J192" s="25" t="n"/>
      <c r="K192" s="25" t="n"/>
      <c r="L192" s="35" t="n"/>
      <c r="M192" s="40">
        <f>IF(A192="","",IFERROR(INDEX(Applications!$B$2:$B$101,MATCH(A192,Applications!$A$2:$A$101,0))&amp;"",""))</f>
        <v/>
      </c>
      <c r="N192" s="41">
        <f>IF(A192="","",SUMPRODUCT(ISNUMBER(D192:K192)*($D$2:$K$2&gt;0)))</f>
        <v/>
      </c>
      <c r="O192" s="40">
        <f>IF(A192="","",IF(ISNA(MATCH(A192,Applications!$A$2:$A$101,0)),"Check ID",IF(ISNA(MATCH(B192,Settings!$C$13:$C$18,0)),"Check reviewer",IF(LEFT(C192,3)="Yes","Conflict, not counted",IF(COUNTIFS($A$3:A192,A192,$B$3:B192,B192)&gt;1,"Duplicate, not counted",IF(SUM($D$2:$K$2)=0,"Add weights on Rubric",IF(SUMPRODUCT(ISNUMBER(D192:K192)*((D192:K192&gt;4)+(D192:K192&lt;0)))&gt;0,"Check scores",IF(N192&lt;COUNTIF($D$2:$K$2,"&gt;0"),"Incomplete","Counted"))))))))</f>
        <v/>
      </c>
      <c r="P192" s="42">
        <f>IF(O192="Counted",ROUND(SUMPRODUCT(D192:K192,$D$2:$K$2)*100/(4*SUM($D$2:$K$2)),1),"")</f>
        <v/>
      </c>
      <c r="Q192" s="27">
        <f>IF(O192="Counted",1,0)</f>
        <v/>
      </c>
      <c r="R192" s="43">
        <f>IF(ISNUMBER(D192),D192,0)</f>
        <v/>
      </c>
      <c r="S192" s="43">
        <f>IF(ISNUMBER(E192),E192,0)</f>
        <v/>
      </c>
      <c r="T192" s="43">
        <f>IF(ISNUMBER(F192),F192,0)</f>
        <v/>
      </c>
      <c r="U192" s="43">
        <f>IF(ISNUMBER(G192),G192,0)</f>
        <v/>
      </c>
      <c r="V192" s="43">
        <f>IF(ISNUMBER(H192),H192,0)</f>
        <v/>
      </c>
      <c r="W192" s="43">
        <f>IF(ISNUMBER(I192),I192,0)</f>
        <v/>
      </c>
      <c r="X192" s="43">
        <f>IF(ISNUMBER(J192),J192,0)</f>
        <v/>
      </c>
      <c r="Y192" s="43">
        <f>IF(ISNUMBER(K192),K192,0)</f>
        <v/>
      </c>
    </row>
    <row r="193">
      <c r="A193" s="35" t="n"/>
      <c r="B193" s="35" t="n"/>
      <c r="C193" s="35" t="n"/>
      <c r="D193" s="25" t="n"/>
      <c r="E193" s="25" t="n"/>
      <c r="F193" s="25" t="n"/>
      <c r="G193" s="25" t="n"/>
      <c r="H193" s="25" t="n"/>
      <c r="I193" s="25" t="n"/>
      <c r="J193" s="25" t="n"/>
      <c r="K193" s="25" t="n"/>
      <c r="L193" s="35" t="n"/>
      <c r="M193" s="40">
        <f>IF(A193="","",IFERROR(INDEX(Applications!$B$2:$B$101,MATCH(A193,Applications!$A$2:$A$101,0))&amp;"",""))</f>
        <v/>
      </c>
      <c r="N193" s="41">
        <f>IF(A193="","",SUMPRODUCT(ISNUMBER(D193:K193)*($D$2:$K$2&gt;0)))</f>
        <v/>
      </c>
      <c r="O193" s="40">
        <f>IF(A193="","",IF(ISNA(MATCH(A193,Applications!$A$2:$A$101,0)),"Check ID",IF(ISNA(MATCH(B193,Settings!$C$13:$C$18,0)),"Check reviewer",IF(LEFT(C193,3)="Yes","Conflict, not counted",IF(COUNTIFS($A$3:A193,A193,$B$3:B193,B193)&gt;1,"Duplicate, not counted",IF(SUM($D$2:$K$2)=0,"Add weights on Rubric",IF(SUMPRODUCT(ISNUMBER(D193:K193)*((D193:K193&gt;4)+(D193:K193&lt;0)))&gt;0,"Check scores",IF(N193&lt;COUNTIF($D$2:$K$2,"&gt;0"),"Incomplete","Counted"))))))))</f>
        <v/>
      </c>
      <c r="P193" s="42">
        <f>IF(O193="Counted",ROUND(SUMPRODUCT(D193:K193,$D$2:$K$2)*100/(4*SUM($D$2:$K$2)),1),"")</f>
        <v/>
      </c>
      <c r="Q193" s="27">
        <f>IF(O193="Counted",1,0)</f>
        <v/>
      </c>
      <c r="R193" s="43">
        <f>IF(ISNUMBER(D193),D193,0)</f>
        <v/>
      </c>
      <c r="S193" s="43">
        <f>IF(ISNUMBER(E193),E193,0)</f>
        <v/>
      </c>
      <c r="T193" s="43">
        <f>IF(ISNUMBER(F193),F193,0)</f>
        <v/>
      </c>
      <c r="U193" s="43">
        <f>IF(ISNUMBER(G193),G193,0)</f>
        <v/>
      </c>
      <c r="V193" s="43">
        <f>IF(ISNUMBER(H193),H193,0)</f>
        <v/>
      </c>
      <c r="W193" s="43">
        <f>IF(ISNUMBER(I193),I193,0)</f>
        <v/>
      </c>
      <c r="X193" s="43">
        <f>IF(ISNUMBER(J193),J193,0)</f>
        <v/>
      </c>
      <c r="Y193" s="43">
        <f>IF(ISNUMBER(K193),K193,0)</f>
        <v/>
      </c>
    </row>
    <row r="194">
      <c r="A194" s="35" t="n"/>
      <c r="B194" s="35" t="n"/>
      <c r="C194" s="35" t="n"/>
      <c r="D194" s="25" t="n"/>
      <c r="E194" s="25" t="n"/>
      <c r="F194" s="25" t="n"/>
      <c r="G194" s="25" t="n"/>
      <c r="H194" s="25" t="n"/>
      <c r="I194" s="25" t="n"/>
      <c r="J194" s="25" t="n"/>
      <c r="K194" s="25" t="n"/>
      <c r="L194" s="35" t="n"/>
      <c r="M194" s="40">
        <f>IF(A194="","",IFERROR(INDEX(Applications!$B$2:$B$101,MATCH(A194,Applications!$A$2:$A$101,0))&amp;"",""))</f>
        <v/>
      </c>
      <c r="N194" s="41">
        <f>IF(A194="","",SUMPRODUCT(ISNUMBER(D194:K194)*($D$2:$K$2&gt;0)))</f>
        <v/>
      </c>
      <c r="O194" s="40">
        <f>IF(A194="","",IF(ISNA(MATCH(A194,Applications!$A$2:$A$101,0)),"Check ID",IF(ISNA(MATCH(B194,Settings!$C$13:$C$18,0)),"Check reviewer",IF(LEFT(C194,3)="Yes","Conflict, not counted",IF(COUNTIFS($A$3:A194,A194,$B$3:B194,B194)&gt;1,"Duplicate, not counted",IF(SUM($D$2:$K$2)=0,"Add weights on Rubric",IF(SUMPRODUCT(ISNUMBER(D194:K194)*((D194:K194&gt;4)+(D194:K194&lt;0)))&gt;0,"Check scores",IF(N194&lt;COUNTIF($D$2:$K$2,"&gt;0"),"Incomplete","Counted"))))))))</f>
        <v/>
      </c>
      <c r="P194" s="42">
        <f>IF(O194="Counted",ROUND(SUMPRODUCT(D194:K194,$D$2:$K$2)*100/(4*SUM($D$2:$K$2)),1),"")</f>
        <v/>
      </c>
      <c r="Q194" s="27">
        <f>IF(O194="Counted",1,0)</f>
        <v/>
      </c>
      <c r="R194" s="43">
        <f>IF(ISNUMBER(D194),D194,0)</f>
        <v/>
      </c>
      <c r="S194" s="43">
        <f>IF(ISNUMBER(E194),E194,0)</f>
        <v/>
      </c>
      <c r="T194" s="43">
        <f>IF(ISNUMBER(F194),F194,0)</f>
        <v/>
      </c>
      <c r="U194" s="43">
        <f>IF(ISNUMBER(G194),G194,0)</f>
        <v/>
      </c>
      <c r="V194" s="43">
        <f>IF(ISNUMBER(H194),H194,0)</f>
        <v/>
      </c>
      <c r="W194" s="43">
        <f>IF(ISNUMBER(I194),I194,0)</f>
        <v/>
      </c>
      <c r="X194" s="43">
        <f>IF(ISNUMBER(J194),J194,0)</f>
        <v/>
      </c>
      <c r="Y194" s="43">
        <f>IF(ISNUMBER(K194),K194,0)</f>
        <v/>
      </c>
    </row>
    <row r="195">
      <c r="A195" s="35" t="n"/>
      <c r="B195" s="35" t="n"/>
      <c r="C195" s="35" t="n"/>
      <c r="D195" s="25" t="n"/>
      <c r="E195" s="25" t="n"/>
      <c r="F195" s="25" t="n"/>
      <c r="G195" s="25" t="n"/>
      <c r="H195" s="25" t="n"/>
      <c r="I195" s="25" t="n"/>
      <c r="J195" s="25" t="n"/>
      <c r="K195" s="25" t="n"/>
      <c r="L195" s="35" t="n"/>
      <c r="M195" s="40">
        <f>IF(A195="","",IFERROR(INDEX(Applications!$B$2:$B$101,MATCH(A195,Applications!$A$2:$A$101,0))&amp;"",""))</f>
        <v/>
      </c>
      <c r="N195" s="41">
        <f>IF(A195="","",SUMPRODUCT(ISNUMBER(D195:K195)*($D$2:$K$2&gt;0)))</f>
        <v/>
      </c>
      <c r="O195" s="40">
        <f>IF(A195="","",IF(ISNA(MATCH(A195,Applications!$A$2:$A$101,0)),"Check ID",IF(ISNA(MATCH(B195,Settings!$C$13:$C$18,0)),"Check reviewer",IF(LEFT(C195,3)="Yes","Conflict, not counted",IF(COUNTIFS($A$3:A195,A195,$B$3:B195,B195)&gt;1,"Duplicate, not counted",IF(SUM($D$2:$K$2)=0,"Add weights on Rubric",IF(SUMPRODUCT(ISNUMBER(D195:K195)*((D195:K195&gt;4)+(D195:K195&lt;0)))&gt;0,"Check scores",IF(N195&lt;COUNTIF($D$2:$K$2,"&gt;0"),"Incomplete","Counted"))))))))</f>
        <v/>
      </c>
      <c r="P195" s="42">
        <f>IF(O195="Counted",ROUND(SUMPRODUCT(D195:K195,$D$2:$K$2)*100/(4*SUM($D$2:$K$2)),1),"")</f>
        <v/>
      </c>
      <c r="Q195" s="27">
        <f>IF(O195="Counted",1,0)</f>
        <v/>
      </c>
      <c r="R195" s="43">
        <f>IF(ISNUMBER(D195),D195,0)</f>
        <v/>
      </c>
      <c r="S195" s="43">
        <f>IF(ISNUMBER(E195),E195,0)</f>
        <v/>
      </c>
      <c r="T195" s="43">
        <f>IF(ISNUMBER(F195),F195,0)</f>
        <v/>
      </c>
      <c r="U195" s="43">
        <f>IF(ISNUMBER(G195),G195,0)</f>
        <v/>
      </c>
      <c r="V195" s="43">
        <f>IF(ISNUMBER(H195),H195,0)</f>
        <v/>
      </c>
      <c r="W195" s="43">
        <f>IF(ISNUMBER(I195),I195,0)</f>
        <v/>
      </c>
      <c r="X195" s="43">
        <f>IF(ISNUMBER(J195),J195,0)</f>
        <v/>
      </c>
      <c r="Y195" s="43">
        <f>IF(ISNUMBER(K195),K195,0)</f>
        <v/>
      </c>
    </row>
    <row r="196">
      <c r="A196" s="35" t="n"/>
      <c r="B196" s="35" t="n"/>
      <c r="C196" s="35" t="n"/>
      <c r="D196" s="25" t="n"/>
      <c r="E196" s="25" t="n"/>
      <c r="F196" s="25" t="n"/>
      <c r="G196" s="25" t="n"/>
      <c r="H196" s="25" t="n"/>
      <c r="I196" s="25" t="n"/>
      <c r="J196" s="25" t="n"/>
      <c r="K196" s="25" t="n"/>
      <c r="L196" s="35" t="n"/>
      <c r="M196" s="40">
        <f>IF(A196="","",IFERROR(INDEX(Applications!$B$2:$B$101,MATCH(A196,Applications!$A$2:$A$101,0))&amp;"",""))</f>
        <v/>
      </c>
      <c r="N196" s="41">
        <f>IF(A196="","",SUMPRODUCT(ISNUMBER(D196:K196)*($D$2:$K$2&gt;0)))</f>
        <v/>
      </c>
      <c r="O196" s="40">
        <f>IF(A196="","",IF(ISNA(MATCH(A196,Applications!$A$2:$A$101,0)),"Check ID",IF(ISNA(MATCH(B196,Settings!$C$13:$C$18,0)),"Check reviewer",IF(LEFT(C196,3)="Yes","Conflict, not counted",IF(COUNTIFS($A$3:A196,A196,$B$3:B196,B196)&gt;1,"Duplicate, not counted",IF(SUM($D$2:$K$2)=0,"Add weights on Rubric",IF(SUMPRODUCT(ISNUMBER(D196:K196)*((D196:K196&gt;4)+(D196:K196&lt;0)))&gt;0,"Check scores",IF(N196&lt;COUNTIF($D$2:$K$2,"&gt;0"),"Incomplete","Counted"))))))))</f>
        <v/>
      </c>
      <c r="P196" s="42">
        <f>IF(O196="Counted",ROUND(SUMPRODUCT(D196:K196,$D$2:$K$2)*100/(4*SUM($D$2:$K$2)),1),"")</f>
        <v/>
      </c>
      <c r="Q196" s="27">
        <f>IF(O196="Counted",1,0)</f>
        <v/>
      </c>
      <c r="R196" s="43">
        <f>IF(ISNUMBER(D196),D196,0)</f>
        <v/>
      </c>
      <c r="S196" s="43">
        <f>IF(ISNUMBER(E196),E196,0)</f>
        <v/>
      </c>
      <c r="T196" s="43">
        <f>IF(ISNUMBER(F196),F196,0)</f>
        <v/>
      </c>
      <c r="U196" s="43">
        <f>IF(ISNUMBER(G196),G196,0)</f>
        <v/>
      </c>
      <c r="V196" s="43">
        <f>IF(ISNUMBER(H196),H196,0)</f>
        <v/>
      </c>
      <c r="W196" s="43">
        <f>IF(ISNUMBER(I196),I196,0)</f>
        <v/>
      </c>
      <c r="X196" s="43">
        <f>IF(ISNUMBER(J196),J196,0)</f>
        <v/>
      </c>
      <c r="Y196" s="43">
        <f>IF(ISNUMBER(K196),K196,0)</f>
        <v/>
      </c>
    </row>
    <row r="197">
      <c r="A197" s="35" t="n"/>
      <c r="B197" s="35" t="n"/>
      <c r="C197" s="35" t="n"/>
      <c r="D197" s="25" t="n"/>
      <c r="E197" s="25" t="n"/>
      <c r="F197" s="25" t="n"/>
      <c r="G197" s="25" t="n"/>
      <c r="H197" s="25" t="n"/>
      <c r="I197" s="25" t="n"/>
      <c r="J197" s="25" t="n"/>
      <c r="K197" s="25" t="n"/>
      <c r="L197" s="35" t="n"/>
      <c r="M197" s="40">
        <f>IF(A197="","",IFERROR(INDEX(Applications!$B$2:$B$101,MATCH(A197,Applications!$A$2:$A$101,0))&amp;"",""))</f>
        <v/>
      </c>
      <c r="N197" s="41">
        <f>IF(A197="","",SUMPRODUCT(ISNUMBER(D197:K197)*($D$2:$K$2&gt;0)))</f>
        <v/>
      </c>
      <c r="O197" s="40">
        <f>IF(A197="","",IF(ISNA(MATCH(A197,Applications!$A$2:$A$101,0)),"Check ID",IF(ISNA(MATCH(B197,Settings!$C$13:$C$18,0)),"Check reviewer",IF(LEFT(C197,3)="Yes","Conflict, not counted",IF(COUNTIFS($A$3:A197,A197,$B$3:B197,B197)&gt;1,"Duplicate, not counted",IF(SUM($D$2:$K$2)=0,"Add weights on Rubric",IF(SUMPRODUCT(ISNUMBER(D197:K197)*((D197:K197&gt;4)+(D197:K197&lt;0)))&gt;0,"Check scores",IF(N197&lt;COUNTIF($D$2:$K$2,"&gt;0"),"Incomplete","Counted"))))))))</f>
        <v/>
      </c>
      <c r="P197" s="42">
        <f>IF(O197="Counted",ROUND(SUMPRODUCT(D197:K197,$D$2:$K$2)*100/(4*SUM($D$2:$K$2)),1),"")</f>
        <v/>
      </c>
      <c r="Q197" s="27">
        <f>IF(O197="Counted",1,0)</f>
        <v/>
      </c>
      <c r="R197" s="43">
        <f>IF(ISNUMBER(D197),D197,0)</f>
        <v/>
      </c>
      <c r="S197" s="43">
        <f>IF(ISNUMBER(E197),E197,0)</f>
        <v/>
      </c>
      <c r="T197" s="43">
        <f>IF(ISNUMBER(F197),F197,0)</f>
        <v/>
      </c>
      <c r="U197" s="43">
        <f>IF(ISNUMBER(G197),G197,0)</f>
        <v/>
      </c>
      <c r="V197" s="43">
        <f>IF(ISNUMBER(H197),H197,0)</f>
        <v/>
      </c>
      <c r="W197" s="43">
        <f>IF(ISNUMBER(I197),I197,0)</f>
        <v/>
      </c>
      <c r="X197" s="43">
        <f>IF(ISNUMBER(J197),J197,0)</f>
        <v/>
      </c>
      <c r="Y197" s="43">
        <f>IF(ISNUMBER(K197),K197,0)</f>
        <v/>
      </c>
    </row>
    <row r="198">
      <c r="A198" s="35" t="n"/>
      <c r="B198" s="35" t="n"/>
      <c r="C198" s="35" t="n"/>
      <c r="D198" s="25" t="n"/>
      <c r="E198" s="25" t="n"/>
      <c r="F198" s="25" t="n"/>
      <c r="G198" s="25" t="n"/>
      <c r="H198" s="25" t="n"/>
      <c r="I198" s="25" t="n"/>
      <c r="J198" s="25" t="n"/>
      <c r="K198" s="25" t="n"/>
      <c r="L198" s="35" t="n"/>
      <c r="M198" s="40">
        <f>IF(A198="","",IFERROR(INDEX(Applications!$B$2:$B$101,MATCH(A198,Applications!$A$2:$A$101,0))&amp;"",""))</f>
        <v/>
      </c>
      <c r="N198" s="41">
        <f>IF(A198="","",SUMPRODUCT(ISNUMBER(D198:K198)*($D$2:$K$2&gt;0)))</f>
        <v/>
      </c>
      <c r="O198" s="40">
        <f>IF(A198="","",IF(ISNA(MATCH(A198,Applications!$A$2:$A$101,0)),"Check ID",IF(ISNA(MATCH(B198,Settings!$C$13:$C$18,0)),"Check reviewer",IF(LEFT(C198,3)="Yes","Conflict, not counted",IF(COUNTIFS($A$3:A198,A198,$B$3:B198,B198)&gt;1,"Duplicate, not counted",IF(SUM($D$2:$K$2)=0,"Add weights on Rubric",IF(SUMPRODUCT(ISNUMBER(D198:K198)*((D198:K198&gt;4)+(D198:K198&lt;0)))&gt;0,"Check scores",IF(N198&lt;COUNTIF($D$2:$K$2,"&gt;0"),"Incomplete","Counted"))))))))</f>
        <v/>
      </c>
      <c r="P198" s="42">
        <f>IF(O198="Counted",ROUND(SUMPRODUCT(D198:K198,$D$2:$K$2)*100/(4*SUM($D$2:$K$2)),1),"")</f>
        <v/>
      </c>
      <c r="Q198" s="27">
        <f>IF(O198="Counted",1,0)</f>
        <v/>
      </c>
      <c r="R198" s="43">
        <f>IF(ISNUMBER(D198),D198,0)</f>
        <v/>
      </c>
      <c r="S198" s="43">
        <f>IF(ISNUMBER(E198),E198,0)</f>
        <v/>
      </c>
      <c r="T198" s="43">
        <f>IF(ISNUMBER(F198),F198,0)</f>
        <v/>
      </c>
      <c r="U198" s="43">
        <f>IF(ISNUMBER(G198),G198,0)</f>
        <v/>
      </c>
      <c r="V198" s="43">
        <f>IF(ISNUMBER(H198),H198,0)</f>
        <v/>
      </c>
      <c r="W198" s="43">
        <f>IF(ISNUMBER(I198),I198,0)</f>
        <v/>
      </c>
      <c r="X198" s="43">
        <f>IF(ISNUMBER(J198),J198,0)</f>
        <v/>
      </c>
      <c r="Y198" s="43">
        <f>IF(ISNUMBER(K198),K198,0)</f>
        <v/>
      </c>
    </row>
    <row r="199">
      <c r="A199" s="35" t="n"/>
      <c r="B199" s="35" t="n"/>
      <c r="C199" s="35" t="n"/>
      <c r="D199" s="25" t="n"/>
      <c r="E199" s="25" t="n"/>
      <c r="F199" s="25" t="n"/>
      <c r="G199" s="25" t="n"/>
      <c r="H199" s="25" t="n"/>
      <c r="I199" s="25" t="n"/>
      <c r="J199" s="25" t="n"/>
      <c r="K199" s="25" t="n"/>
      <c r="L199" s="35" t="n"/>
      <c r="M199" s="40">
        <f>IF(A199="","",IFERROR(INDEX(Applications!$B$2:$B$101,MATCH(A199,Applications!$A$2:$A$101,0))&amp;"",""))</f>
        <v/>
      </c>
      <c r="N199" s="41">
        <f>IF(A199="","",SUMPRODUCT(ISNUMBER(D199:K199)*($D$2:$K$2&gt;0)))</f>
        <v/>
      </c>
      <c r="O199" s="40">
        <f>IF(A199="","",IF(ISNA(MATCH(A199,Applications!$A$2:$A$101,0)),"Check ID",IF(ISNA(MATCH(B199,Settings!$C$13:$C$18,0)),"Check reviewer",IF(LEFT(C199,3)="Yes","Conflict, not counted",IF(COUNTIFS($A$3:A199,A199,$B$3:B199,B199)&gt;1,"Duplicate, not counted",IF(SUM($D$2:$K$2)=0,"Add weights on Rubric",IF(SUMPRODUCT(ISNUMBER(D199:K199)*((D199:K199&gt;4)+(D199:K199&lt;0)))&gt;0,"Check scores",IF(N199&lt;COUNTIF($D$2:$K$2,"&gt;0"),"Incomplete","Counted"))))))))</f>
        <v/>
      </c>
      <c r="P199" s="42">
        <f>IF(O199="Counted",ROUND(SUMPRODUCT(D199:K199,$D$2:$K$2)*100/(4*SUM($D$2:$K$2)),1),"")</f>
        <v/>
      </c>
      <c r="Q199" s="27">
        <f>IF(O199="Counted",1,0)</f>
        <v/>
      </c>
      <c r="R199" s="43">
        <f>IF(ISNUMBER(D199),D199,0)</f>
        <v/>
      </c>
      <c r="S199" s="43">
        <f>IF(ISNUMBER(E199),E199,0)</f>
        <v/>
      </c>
      <c r="T199" s="43">
        <f>IF(ISNUMBER(F199),F199,0)</f>
        <v/>
      </c>
      <c r="U199" s="43">
        <f>IF(ISNUMBER(G199),G199,0)</f>
        <v/>
      </c>
      <c r="V199" s="43">
        <f>IF(ISNUMBER(H199),H199,0)</f>
        <v/>
      </c>
      <c r="W199" s="43">
        <f>IF(ISNUMBER(I199),I199,0)</f>
        <v/>
      </c>
      <c r="X199" s="43">
        <f>IF(ISNUMBER(J199),J199,0)</f>
        <v/>
      </c>
      <c r="Y199" s="43">
        <f>IF(ISNUMBER(K199),K199,0)</f>
        <v/>
      </c>
    </row>
    <row r="200">
      <c r="A200" s="35" t="n"/>
      <c r="B200" s="35" t="n"/>
      <c r="C200" s="35" t="n"/>
      <c r="D200" s="25" t="n"/>
      <c r="E200" s="25" t="n"/>
      <c r="F200" s="25" t="n"/>
      <c r="G200" s="25" t="n"/>
      <c r="H200" s="25" t="n"/>
      <c r="I200" s="25" t="n"/>
      <c r="J200" s="25" t="n"/>
      <c r="K200" s="25" t="n"/>
      <c r="L200" s="35" t="n"/>
      <c r="M200" s="40">
        <f>IF(A200="","",IFERROR(INDEX(Applications!$B$2:$B$101,MATCH(A200,Applications!$A$2:$A$101,0))&amp;"",""))</f>
        <v/>
      </c>
      <c r="N200" s="41">
        <f>IF(A200="","",SUMPRODUCT(ISNUMBER(D200:K200)*($D$2:$K$2&gt;0)))</f>
        <v/>
      </c>
      <c r="O200" s="40">
        <f>IF(A200="","",IF(ISNA(MATCH(A200,Applications!$A$2:$A$101,0)),"Check ID",IF(ISNA(MATCH(B200,Settings!$C$13:$C$18,0)),"Check reviewer",IF(LEFT(C200,3)="Yes","Conflict, not counted",IF(COUNTIFS($A$3:A200,A200,$B$3:B200,B200)&gt;1,"Duplicate, not counted",IF(SUM($D$2:$K$2)=0,"Add weights on Rubric",IF(SUMPRODUCT(ISNUMBER(D200:K200)*((D200:K200&gt;4)+(D200:K200&lt;0)))&gt;0,"Check scores",IF(N200&lt;COUNTIF($D$2:$K$2,"&gt;0"),"Incomplete","Counted"))))))))</f>
        <v/>
      </c>
      <c r="P200" s="42">
        <f>IF(O200="Counted",ROUND(SUMPRODUCT(D200:K200,$D$2:$K$2)*100/(4*SUM($D$2:$K$2)),1),"")</f>
        <v/>
      </c>
      <c r="Q200" s="27">
        <f>IF(O200="Counted",1,0)</f>
        <v/>
      </c>
      <c r="R200" s="43">
        <f>IF(ISNUMBER(D200),D200,0)</f>
        <v/>
      </c>
      <c r="S200" s="43">
        <f>IF(ISNUMBER(E200),E200,0)</f>
        <v/>
      </c>
      <c r="T200" s="43">
        <f>IF(ISNUMBER(F200),F200,0)</f>
        <v/>
      </c>
      <c r="U200" s="43">
        <f>IF(ISNUMBER(G200),G200,0)</f>
        <v/>
      </c>
      <c r="V200" s="43">
        <f>IF(ISNUMBER(H200),H200,0)</f>
        <v/>
      </c>
      <c r="W200" s="43">
        <f>IF(ISNUMBER(I200),I200,0)</f>
        <v/>
      </c>
      <c r="X200" s="43">
        <f>IF(ISNUMBER(J200),J200,0)</f>
        <v/>
      </c>
      <c r="Y200" s="43">
        <f>IF(ISNUMBER(K200),K200,0)</f>
        <v/>
      </c>
    </row>
    <row r="201">
      <c r="A201" s="35" t="n"/>
      <c r="B201" s="35" t="n"/>
      <c r="C201" s="35" t="n"/>
      <c r="D201" s="25" t="n"/>
      <c r="E201" s="25" t="n"/>
      <c r="F201" s="25" t="n"/>
      <c r="G201" s="25" t="n"/>
      <c r="H201" s="25" t="n"/>
      <c r="I201" s="25" t="n"/>
      <c r="J201" s="25" t="n"/>
      <c r="K201" s="25" t="n"/>
      <c r="L201" s="35" t="n"/>
      <c r="M201" s="40">
        <f>IF(A201="","",IFERROR(INDEX(Applications!$B$2:$B$101,MATCH(A201,Applications!$A$2:$A$101,0))&amp;"",""))</f>
        <v/>
      </c>
      <c r="N201" s="41">
        <f>IF(A201="","",SUMPRODUCT(ISNUMBER(D201:K201)*($D$2:$K$2&gt;0)))</f>
        <v/>
      </c>
      <c r="O201" s="40">
        <f>IF(A201="","",IF(ISNA(MATCH(A201,Applications!$A$2:$A$101,0)),"Check ID",IF(ISNA(MATCH(B201,Settings!$C$13:$C$18,0)),"Check reviewer",IF(LEFT(C201,3)="Yes","Conflict, not counted",IF(COUNTIFS($A$3:A201,A201,$B$3:B201,B201)&gt;1,"Duplicate, not counted",IF(SUM($D$2:$K$2)=0,"Add weights on Rubric",IF(SUMPRODUCT(ISNUMBER(D201:K201)*((D201:K201&gt;4)+(D201:K201&lt;0)))&gt;0,"Check scores",IF(N201&lt;COUNTIF($D$2:$K$2,"&gt;0"),"Incomplete","Counted"))))))))</f>
        <v/>
      </c>
      <c r="P201" s="42">
        <f>IF(O201="Counted",ROUND(SUMPRODUCT(D201:K201,$D$2:$K$2)*100/(4*SUM($D$2:$K$2)),1),"")</f>
        <v/>
      </c>
      <c r="Q201" s="27">
        <f>IF(O201="Counted",1,0)</f>
        <v/>
      </c>
      <c r="R201" s="43">
        <f>IF(ISNUMBER(D201),D201,0)</f>
        <v/>
      </c>
      <c r="S201" s="43">
        <f>IF(ISNUMBER(E201),E201,0)</f>
        <v/>
      </c>
      <c r="T201" s="43">
        <f>IF(ISNUMBER(F201),F201,0)</f>
        <v/>
      </c>
      <c r="U201" s="43">
        <f>IF(ISNUMBER(G201),G201,0)</f>
        <v/>
      </c>
      <c r="V201" s="43">
        <f>IF(ISNUMBER(H201),H201,0)</f>
        <v/>
      </c>
      <c r="W201" s="43">
        <f>IF(ISNUMBER(I201),I201,0)</f>
        <v/>
      </c>
      <c r="X201" s="43">
        <f>IF(ISNUMBER(J201),J201,0)</f>
        <v/>
      </c>
      <c r="Y201" s="43">
        <f>IF(ISNUMBER(K201),K201,0)</f>
        <v/>
      </c>
    </row>
    <row r="202">
      <c r="A202" s="35" t="n"/>
      <c r="B202" s="35" t="n"/>
      <c r="C202" s="35" t="n"/>
      <c r="D202" s="25" t="n"/>
      <c r="E202" s="25" t="n"/>
      <c r="F202" s="25" t="n"/>
      <c r="G202" s="25" t="n"/>
      <c r="H202" s="25" t="n"/>
      <c r="I202" s="25" t="n"/>
      <c r="J202" s="25" t="n"/>
      <c r="K202" s="25" t="n"/>
      <c r="L202" s="35" t="n"/>
      <c r="M202" s="40">
        <f>IF(A202="","",IFERROR(INDEX(Applications!$B$2:$B$101,MATCH(A202,Applications!$A$2:$A$101,0))&amp;"",""))</f>
        <v/>
      </c>
      <c r="N202" s="41">
        <f>IF(A202="","",SUMPRODUCT(ISNUMBER(D202:K202)*($D$2:$K$2&gt;0)))</f>
        <v/>
      </c>
      <c r="O202" s="40">
        <f>IF(A202="","",IF(ISNA(MATCH(A202,Applications!$A$2:$A$101,0)),"Check ID",IF(ISNA(MATCH(B202,Settings!$C$13:$C$18,0)),"Check reviewer",IF(LEFT(C202,3)="Yes","Conflict, not counted",IF(COUNTIFS($A$3:A202,A202,$B$3:B202,B202)&gt;1,"Duplicate, not counted",IF(SUM($D$2:$K$2)=0,"Add weights on Rubric",IF(SUMPRODUCT(ISNUMBER(D202:K202)*((D202:K202&gt;4)+(D202:K202&lt;0)))&gt;0,"Check scores",IF(N202&lt;COUNTIF($D$2:$K$2,"&gt;0"),"Incomplete","Counted"))))))))</f>
        <v/>
      </c>
      <c r="P202" s="42">
        <f>IF(O202="Counted",ROUND(SUMPRODUCT(D202:K202,$D$2:$K$2)*100/(4*SUM($D$2:$K$2)),1),"")</f>
        <v/>
      </c>
      <c r="Q202" s="27">
        <f>IF(O202="Counted",1,0)</f>
        <v/>
      </c>
      <c r="R202" s="43">
        <f>IF(ISNUMBER(D202),D202,0)</f>
        <v/>
      </c>
      <c r="S202" s="43">
        <f>IF(ISNUMBER(E202),E202,0)</f>
        <v/>
      </c>
      <c r="T202" s="43">
        <f>IF(ISNUMBER(F202),F202,0)</f>
        <v/>
      </c>
      <c r="U202" s="43">
        <f>IF(ISNUMBER(G202),G202,0)</f>
        <v/>
      </c>
      <c r="V202" s="43">
        <f>IF(ISNUMBER(H202),H202,0)</f>
        <v/>
      </c>
      <c r="W202" s="43">
        <f>IF(ISNUMBER(I202),I202,0)</f>
        <v/>
      </c>
      <c r="X202" s="43">
        <f>IF(ISNUMBER(J202),J202,0)</f>
        <v/>
      </c>
      <c r="Y202" s="43">
        <f>IF(ISNUMBER(K202),K202,0)</f>
        <v/>
      </c>
    </row>
    <row r="203">
      <c r="A203" s="35" t="n"/>
      <c r="B203" s="35" t="n"/>
      <c r="C203" s="35" t="n"/>
      <c r="D203" s="25" t="n"/>
      <c r="E203" s="25" t="n"/>
      <c r="F203" s="25" t="n"/>
      <c r="G203" s="25" t="n"/>
      <c r="H203" s="25" t="n"/>
      <c r="I203" s="25" t="n"/>
      <c r="J203" s="25" t="n"/>
      <c r="K203" s="25" t="n"/>
      <c r="L203" s="35" t="n"/>
      <c r="M203" s="40">
        <f>IF(A203="","",IFERROR(INDEX(Applications!$B$2:$B$101,MATCH(A203,Applications!$A$2:$A$101,0))&amp;"",""))</f>
        <v/>
      </c>
      <c r="N203" s="41">
        <f>IF(A203="","",SUMPRODUCT(ISNUMBER(D203:K203)*($D$2:$K$2&gt;0)))</f>
        <v/>
      </c>
      <c r="O203" s="40">
        <f>IF(A203="","",IF(ISNA(MATCH(A203,Applications!$A$2:$A$101,0)),"Check ID",IF(ISNA(MATCH(B203,Settings!$C$13:$C$18,0)),"Check reviewer",IF(LEFT(C203,3)="Yes","Conflict, not counted",IF(COUNTIFS($A$3:A203,A203,$B$3:B203,B203)&gt;1,"Duplicate, not counted",IF(SUM($D$2:$K$2)=0,"Add weights on Rubric",IF(SUMPRODUCT(ISNUMBER(D203:K203)*((D203:K203&gt;4)+(D203:K203&lt;0)))&gt;0,"Check scores",IF(N203&lt;COUNTIF($D$2:$K$2,"&gt;0"),"Incomplete","Counted"))))))))</f>
        <v/>
      </c>
      <c r="P203" s="42">
        <f>IF(O203="Counted",ROUND(SUMPRODUCT(D203:K203,$D$2:$K$2)*100/(4*SUM($D$2:$K$2)),1),"")</f>
        <v/>
      </c>
      <c r="Q203" s="27">
        <f>IF(O203="Counted",1,0)</f>
        <v/>
      </c>
      <c r="R203" s="43">
        <f>IF(ISNUMBER(D203),D203,0)</f>
        <v/>
      </c>
      <c r="S203" s="43">
        <f>IF(ISNUMBER(E203),E203,0)</f>
        <v/>
      </c>
      <c r="T203" s="43">
        <f>IF(ISNUMBER(F203),F203,0)</f>
        <v/>
      </c>
      <c r="U203" s="43">
        <f>IF(ISNUMBER(G203),G203,0)</f>
        <v/>
      </c>
      <c r="V203" s="43">
        <f>IF(ISNUMBER(H203),H203,0)</f>
        <v/>
      </c>
      <c r="W203" s="43">
        <f>IF(ISNUMBER(I203),I203,0)</f>
        <v/>
      </c>
      <c r="X203" s="43">
        <f>IF(ISNUMBER(J203),J203,0)</f>
        <v/>
      </c>
      <c r="Y203" s="43">
        <f>IF(ISNUMBER(K203),K203,0)</f>
        <v/>
      </c>
    </row>
    <row r="204">
      <c r="A204" s="35" t="n"/>
      <c r="B204" s="35" t="n"/>
      <c r="C204" s="35" t="n"/>
      <c r="D204" s="25" t="n"/>
      <c r="E204" s="25" t="n"/>
      <c r="F204" s="25" t="n"/>
      <c r="G204" s="25" t="n"/>
      <c r="H204" s="25" t="n"/>
      <c r="I204" s="25" t="n"/>
      <c r="J204" s="25" t="n"/>
      <c r="K204" s="25" t="n"/>
      <c r="L204" s="35" t="n"/>
      <c r="M204" s="40">
        <f>IF(A204="","",IFERROR(INDEX(Applications!$B$2:$B$101,MATCH(A204,Applications!$A$2:$A$101,0))&amp;"",""))</f>
        <v/>
      </c>
      <c r="N204" s="41">
        <f>IF(A204="","",SUMPRODUCT(ISNUMBER(D204:K204)*($D$2:$K$2&gt;0)))</f>
        <v/>
      </c>
      <c r="O204" s="40">
        <f>IF(A204="","",IF(ISNA(MATCH(A204,Applications!$A$2:$A$101,0)),"Check ID",IF(ISNA(MATCH(B204,Settings!$C$13:$C$18,0)),"Check reviewer",IF(LEFT(C204,3)="Yes","Conflict, not counted",IF(COUNTIFS($A$3:A204,A204,$B$3:B204,B204)&gt;1,"Duplicate, not counted",IF(SUM($D$2:$K$2)=0,"Add weights on Rubric",IF(SUMPRODUCT(ISNUMBER(D204:K204)*((D204:K204&gt;4)+(D204:K204&lt;0)))&gt;0,"Check scores",IF(N204&lt;COUNTIF($D$2:$K$2,"&gt;0"),"Incomplete","Counted"))))))))</f>
        <v/>
      </c>
      <c r="P204" s="42">
        <f>IF(O204="Counted",ROUND(SUMPRODUCT(D204:K204,$D$2:$K$2)*100/(4*SUM($D$2:$K$2)),1),"")</f>
        <v/>
      </c>
      <c r="Q204" s="27">
        <f>IF(O204="Counted",1,0)</f>
        <v/>
      </c>
      <c r="R204" s="43">
        <f>IF(ISNUMBER(D204),D204,0)</f>
        <v/>
      </c>
      <c r="S204" s="43">
        <f>IF(ISNUMBER(E204),E204,0)</f>
        <v/>
      </c>
      <c r="T204" s="43">
        <f>IF(ISNUMBER(F204),F204,0)</f>
        <v/>
      </c>
      <c r="U204" s="43">
        <f>IF(ISNUMBER(G204),G204,0)</f>
        <v/>
      </c>
      <c r="V204" s="43">
        <f>IF(ISNUMBER(H204),H204,0)</f>
        <v/>
      </c>
      <c r="W204" s="43">
        <f>IF(ISNUMBER(I204),I204,0)</f>
        <v/>
      </c>
      <c r="X204" s="43">
        <f>IF(ISNUMBER(J204),J204,0)</f>
        <v/>
      </c>
      <c r="Y204" s="43">
        <f>IF(ISNUMBER(K204),K204,0)</f>
        <v/>
      </c>
    </row>
    <row r="205">
      <c r="A205" s="35" t="n"/>
      <c r="B205" s="35" t="n"/>
      <c r="C205" s="35" t="n"/>
      <c r="D205" s="25" t="n"/>
      <c r="E205" s="25" t="n"/>
      <c r="F205" s="25" t="n"/>
      <c r="G205" s="25" t="n"/>
      <c r="H205" s="25" t="n"/>
      <c r="I205" s="25" t="n"/>
      <c r="J205" s="25" t="n"/>
      <c r="K205" s="25" t="n"/>
      <c r="L205" s="35" t="n"/>
      <c r="M205" s="40">
        <f>IF(A205="","",IFERROR(INDEX(Applications!$B$2:$B$101,MATCH(A205,Applications!$A$2:$A$101,0))&amp;"",""))</f>
        <v/>
      </c>
      <c r="N205" s="41">
        <f>IF(A205="","",SUMPRODUCT(ISNUMBER(D205:K205)*($D$2:$K$2&gt;0)))</f>
        <v/>
      </c>
      <c r="O205" s="40">
        <f>IF(A205="","",IF(ISNA(MATCH(A205,Applications!$A$2:$A$101,0)),"Check ID",IF(ISNA(MATCH(B205,Settings!$C$13:$C$18,0)),"Check reviewer",IF(LEFT(C205,3)="Yes","Conflict, not counted",IF(COUNTIFS($A$3:A205,A205,$B$3:B205,B205)&gt;1,"Duplicate, not counted",IF(SUM($D$2:$K$2)=0,"Add weights on Rubric",IF(SUMPRODUCT(ISNUMBER(D205:K205)*((D205:K205&gt;4)+(D205:K205&lt;0)))&gt;0,"Check scores",IF(N205&lt;COUNTIF($D$2:$K$2,"&gt;0"),"Incomplete","Counted"))))))))</f>
        <v/>
      </c>
      <c r="P205" s="42">
        <f>IF(O205="Counted",ROUND(SUMPRODUCT(D205:K205,$D$2:$K$2)*100/(4*SUM($D$2:$K$2)),1),"")</f>
        <v/>
      </c>
      <c r="Q205" s="27">
        <f>IF(O205="Counted",1,0)</f>
        <v/>
      </c>
      <c r="R205" s="43">
        <f>IF(ISNUMBER(D205),D205,0)</f>
        <v/>
      </c>
      <c r="S205" s="43">
        <f>IF(ISNUMBER(E205),E205,0)</f>
        <v/>
      </c>
      <c r="T205" s="43">
        <f>IF(ISNUMBER(F205),F205,0)</f>
        <v/>
      </c>
      <c r="U205" s="43">
        <f>IF(ISNUMBER(G205),G205,0)</f>
        <v/>
      </c>
      <c r="V205" s="43">
        <f>IF(ISNUMBER(H205),H205,0)</f>
        <v/>
      </c>
      <c r="W205" s="43">
        <f>IF(ISNUMBER(I205),I205,0)</f>
        <v/>
      </c>
      <c r="X205" s="43">
        <f>IF(ISNUMBER(J205),J205,0)</f>
        <v/>
      </c>
      <c r="Y205" s="43">
        <f>IF(ISNUMBER(K205),K205,0)</f>
        <v/>
      </c>
    </row>
    <row r="206">
      <c r="A206" s="35" t="n"/>
      <c r="B206" s="35" t="n"/>
      <c r="C206" s="35" t="n"/>
      <c r="D206" s="25" t="n"/>
      <c r="E206" s="25" t="n"/>
      <c r="F206" s="25" t="n"/>
      <c r="G206" s="25" t="n"/>
      <c r="H206" s="25" t="n"/>
      <c r="I206" s="25" t="n"/>
      <c r="J206" s="25" t="n"/>
      <c r="K206" s="25" t="n"/>
      <c r="L206" s="35" t="n"/>
      <c r="M206" s="40">
        <f>IF(A206="","",IFERROR(INDEX(Applications!$B$2:$B$101,MATCH(A206,Applications!$A$2:$A$101,0))&amp;"",""))</f>
        <v/>
      </c>
      <c r="N206" s="41">
        <f>IF(A206="","",SUMPRODUCT(ISNUMBER(D206:K206)*($D$2:$K$2&gt;0)))</f>
        <v/>
      </c>
      <c r="O206" s="40">
        <f>IF(A206="","",IF(ISNA(MATCH(A206,Applications!$A$2:$A$101,0)),"Check ID",IF(ISNA(MATCH(B206,Settings!$C$13:$C$18,0)),"Check reviewer",IF(LEFT(C206,3)="Yes","Conflict, not counted",IF(COUNTIFS($A$3:A206,A206,$B$3:B206,B206)&gt;1,"Duplicate, not counted",IF(SUM($D$2:$K$2)=0,"Add weights on Rubric",IF(SUMPRODUCT(ISNUMBER(D206:K206)*((D206:K206&gt;4)+(D206:K206&lt;0)))&gt;0,"Check scores",IF(N206&lt;COUNTIF($D$2:$K$2,"&gt;0"),"Incomplete","Counted"))))))))</f>
        <v/>
      </c>
      <c r="P206" s="42">
        <f>IF(O206="Counted",ROUND(SUMPRODUCT(D206:K206,$D$2:$K$2)*100/(4*SUM($D$2:$K$2)),1),"")</f>
        <v/>
      </c>
      <c r="Q206" s="27">
        <f>IF(O206="Counted",1,0)</f>
        <v/>
      </c>
      <c r="R206" s="43">
        <f>IF(ISNUMBER(D206),D206,0)</f>
        <v/>
      </c>
      <c r="S206" s="43">
        <f>IF(ISNUMBER(E206),E206,0)</f>
        <v/>
      </c>
      <c r="T206" s="43">
        <f>IF(ISNUMBER(F206),F206,0)</f>
        <v/>
      </c>
      <c r="U206" s="43">
        <f>IF(ISNUMBER(G206),G206,0)</f>
        <v/>
      </c>
      <c r="V206" s="43">
        <f>IF(ISNUMBER(H206),H206,0)</f>
        <v/>
      </c>
      <c r="W206" s="43">
        <f>IF(ISNUMBER(I206),I206,0)</f>
        <v/>
      </c>
      <c r="X206" s="43">
        <f>IF(ISNUMBER(J206),J206,0)</f>
        <v/>
      </c>
      <c r="Y206" s="43">
        <f>IF(ISNUMBER(K206),K206,0)</f>
        <v/>
      </c>
    </row>
    <row r="207">
      <c r="A207" s="35" t="n"/>
      <c r="B207" s="35" t="n"/>
      <c r="C207" s="35" t="n"/>
      <c r="D207" s="25" t="n"/>
      <c r="E207" s="25" t="n"/>
      <c r="F207" s="25" t="n"/>
      <c r="G207" s="25" t="n"/>
      <c r="H207" s="25" t="n"/>
      <c r="I207" s="25" t="n"/>
      <c r="J207" s="25" t="n"/>
      <c r="K207" s="25" t="n"/>
      <c r="L207" s="35" t="n"/>
      <c r="M207" s="40">
        <f>IF(A207="","",IFERROR(INDEX(Applications!$B$2:$B$101,MATCH(A207,Applications!$A$2:$A$101,0))&amp;"",""))</f>
        <v/>
      </c>
      <c r="N207" s="41">
        <f>IF(A207="","",SUMPRODUCT(ISNUMBER(D207:K207)*($D$2:$K$2&gt;0)))</f>
        <v/>
      </c>
      <c r="O207" s="40">
        <f>IF(A207="","",IF(ISNA(MATCH(A207,Applications!$A$2:$A$101,0)),"Check ID",IF(ISNA(MATCH(B207,Settings!$C$13:$C$18,0)),"Check reviewer",IF(LEFT(C207,3)="Yes","Conflict, not counted",IF(COUNTIFS($A$3:A207,A207,$B$3:B207,B207)&gt;1,"Duplicate, not counted",IF(SUM($D$2:$K$2)=0,"Add weights on Rubric",IF(SUMPRODUCT(ISNUMBER(D207:K207)*((D207:K207&gt;4)+(D207:K207&lt;0)))&gt;0,"Check scores",IF(N207&lt;COUNTIF($D$2:$K$2,"&gt;0"),"Incomplete","Counted"))))))))</f>
        <v/>
      </c>
      <c r="P207" s="42">
        <f>IF(O207="Counted",ROUND(SUMPRODUCT(D207:K207,$D$2:$K$2)*100/(4*SUM($D$2:$K$2)),1),"")</f>
        <v/>
      </c>
      <c r="Q207" s="27">
        <f>IF(O207="Counted",1,0)</f>
        <v/>
      </c>
      <c r="R207" s="43">
        <f>IF(ISNUMBER(D207),D207,0)</f>
        <v/>
      </c>
      <c r="S207" s="43">
        <f>IF(ISNUMBER(E207),E207,0)</f>
        <v/>
      </c>
      <c r="T207" s="43">
        <f>IF(ISNUMBER(F207),F207,0)</f>
        <v/>
      </c>
      <c r="U207" s="43">
        <f>IF(ISNUMBER(G207),G207,0)</f>
        <v/>
      </c>
      <c r="V207" s="43">
        <f>IF(ISNUMBER(H207),H207,0)</f>
        <v/>
      </c>
      <c r="W207" s="43">
        <f>IF(ISNUMBER(I207),I207,0)</f>
        <v/>
      </c>
      <c r="X207" s="43">
        <f>IF(ISNUMBER(J207),J207,0)</f>
        <v/>
      </c>
      <c r="Y207" s="43">
        <f>IF(ISNUMBER(K207),K207,0)</f>
        <v/>
      </c>
    </row>
    <row r="208">
      <c r="A208" s="35" t="n"/>
      <c r="B208" s="35" t="n"/>
      <c r="C208" s="35" t="n"/>
      <c r="D208" s="25" t="n"/>
      <c r="E208" s="25" t="n"/>
      <c r="F208" s="25" t="n"/>
      <c r="G208" s="25" t="n"/>
      <c r="H208" s="25" t="n"/>
      <c r="I208" s="25" t="n"/>
      <c r="J208" s="25" t="n"/>
      <c r="K208" s="25" t="n"/>
      <c r="L208" s="35" t="n"/>
      <c r="M208" s="40">
        <f>IF(A208="","",IFERROR(INDEX(Applications!$B$2:$B$101,MATCH(A208,Applications!$A$2:$A$101,0))&amp;"",""))</f>
        <v/>
      </c>
      <c r="N208" s="41">
        <f>IF(A208="","",SUMPRODUCT(ISNUMBER(D208:K208)*($D$2:$K$2&gt;0)))</f>
        <v/>
      </c>
      <c r="O208" s="40">
        <f>IF(A208="","",IF(ISNA(MATCH(A208,Applications!$A$2:$A$101,0)),"Check ID",IF(ISNA(MATCH(B208,Settings!$C$13:$C$18,0)),"Check reviewer",IF(LEFT(C208,3)="Yes","Conflict, not counted",IF(COUNTIFS($A$3:A208,A208,$B$3:B208,B208)&gt;1,"Duplicate, not counted",IF(SUM($D$2:$K$2)=0,"Add weights on Rubric",IF(SUMPRODUCT(ISNUMBER(D208:K208)*((D208:K208&gt;4)+(D208:K208&lt;0)))&gt;0,"Check scores",IF(N208&lt;COUNTIF($D$2:$K$2,"&gt;0"),"Incomplete","Counted"))))))))</f>
        <v/>
      </c>
      <c r="P208" s="42">
        <f>IF(O208="Counted",ROUND(SUMPRODUCT(D208:K208,$D$2:$K$2)*100/(4*SUM($D$2:$K$2)),1),"")</f>
        <v/>
      </c>
      <c r="Q208" s="27">
        <f>IF(O208="Counted",1,0)</f>
        <v/>
      </c>
      <c r="R208" s="43">
        <f>IF(ISNUMBER(D208),D208,0)</f>
        <v/>
      </c>
      <c r="S208" s="43">
        <f>IF(ISNUMBER(E208),E208,0)</f>
        <v/>
      </c>
      <c r="T208" s="43">
        <f>IF(ISNUMBER(F208),F208,0)</f>
        <v/>
      </c>
      <c r="U208" s="43">
        <f>IF(ISNUMBER(G208),G208,0)</f>
        <v/>
      </c>
      <c r="V208" s="43">
        <f>IF(ISNUMBER(H208),H208,0)</f>
        <v/>
      </c>
      <c r="W208" s="43">
        <f>IF(ISNUMBER(I208),I208,0)</f>
        <v/>
      </c>
      <c r="X208" s="43">
        <f>IF(ISNUMBER(J208),J208,0)</f>
        <v/>
      </c>
      <c r="Y208" s="43">
        <f>IF(ISNUMBER(K208),K208,0)</f>
        <v/>
      </c>
    </row>
    <row r="209">
      <c r="A209" s="35" t="n"/>
      <c r="B209" s="35" t="n"/>
      <c r="C209" s="35" t="n"/>
      <c r="D209" s="25" t="n"/>
      <c r="E209" s="25" t="n"/>
      <c r="F209" s="25" t="n"/>
      <c r="G209" s="25" t="n"/>
      <c r="H209" s="25" t="n"/>
      <c r="I209" s="25" t="n"/>
      <c r="J209" s="25" t="n"/>
      <c r="K209" s="25" t="n"/>
      <c r="L209" s="35" t="n"/>
      <c r="M209" s="40">
        <f>IF(A209="","",IFERROR(INDEX(Applications!$B$2:$B$101,MATCH(A209,Applications!$A$2:$A$101,0))&amp;"",""))</f>
        <v/>
      </c>
      <c r="N209" s="41">
        <f>IF(A209="","",SUMPRODUCT(ISNUMBER(D209:K209)*($D$2:$K$2&gt;0)))</f>
        <v/>
      </c>
      <c r="O209" s="40">
        <f>IF(A209="","",IF(ISNA(MATCH(A209,Applications!$A$2:$A$101,0)),"Check ID",IF(ISNA(MATCH(B209,Settings!$C$13:$C$18,0)),"Check reviewer",IF(LEFT(C209,3)="Yes","Conflict, not counted",IF(COUNTIFS($A$3:A209,A209,$B$3:B209,B209)&gt;1,"Duplicate, not counted",IF(SUM($D$2:$K$2)=0,"Add weights on Rubric",IF(SUMPRODUCT(ISNUMBER(D209:K209)*((D209:K209&gt;4)+(D209:K209&lt;0)))&gt;0,"Check scores",IF(N209&lt;COUNTIF($D$2:$K$2,"&gt;0"),"Incomplete","Counted"))))))))</f>
        <v/>
      </c>
      <c r="P209" s="42">
        <f>IF(O209="Counted",ROUND(SUMPRODUCT(D209:K209,$D$2:$K$2)*100/(4*SUM($D$2:$K$2)),1),"")</f>
        <v/>
      </c>
      <c r="Q209" s="27">
        <f>IF(O209="Counted",1,0)</f>
        <v/>
      </c>
      <c r="R209" s="43">
        <f>IF(ISNUMBER(D209),D209,0)</f>
        <v/>
      </c>
      <c r="S209" s="43">
        <f>IF(ISNUMBER(E209),E209,0)</f>
        <v/>
      </c>
      <c r="T209" s="43">
        <f>IF(ISNUMBER(F209),F209,0)</f>
        <v/>
      </c>
      <c r="U209" s="43">
        <f>IF(ISNUMBER(G209),G209,0)</f>
        <v/>
      </c>
      <c r="V209" s="43">
        <f>IF(ISNUMBER(H209),H209,0)</f>
        <v/>
      </c>
      <c r="W209" s="43">
        <f>IF(ISNUMBER(I209),I209,0)</f>
        <v/>
      </c>
      <c r="X209" s="43">
        <f>IF(ISNUMBER(J209),J209,0)</f>
        <v/>
      </c>
      <c r="Y209" s="43">
        <f>IF(ISNUMBER(K209),K209,0)</f>
        <v/>
      </c>
    </row>
    <row r="210">
      <c r="A210" s="35" t="n"/>
      <c r="B210" s="35" t="n"/>
      <c r="C210" s="35" t="n"/>
      <c r="D210" s="25" t="n"/>
      <c r="E210" s="25" t="n"/>
      <c r="F210" s="25" t="n"/>
      <c r="G210" s="25" t="n"/>
      <c r="H210" s="25" t="n"/>
      <c r="I210" s="25" t="n"/>
      <c r="J210" s="25" t="n"/>
      <c r="K210" s="25" t="n"/>
      <c r="L210" s="35" t="n"/>
      <c r="M210" s="40">
        <f>IF(A210="","",IFERROR(INDEX(Applications!$B$2:$B$101,MATCH(A210,Applications!$A$2:$A$101,0))&amp;"",""))</f>
        <v/>
      </c>
      <c r="N210" s="41">
        <f>IF(A210="","",SUMPRODUCT(ISNUMBER(D210:K210)*($D$2:$K$2&gt;0)))</f>
        <v/>
      </c>
      <c r="O210" s="40">
        <f>IF(A210="","",IF(ISNA(MATCH(A210,Applications!$A$2:$A$101,0)),"Check ID",IF(ISNA(MATCH(B210,Settings!$C$13:$C$18,0)),"Check reviewer",IF(LEFT(C210,3)="Yes","Conflict, not counted",IF(COUNTIFS($A$3:A210,A210,$B$3:B210,B210)&gt;1,"Duplicate, not counted",IF(SUM($D$2:$K$2)=0,"Add weights on Rubric",IF(SUMPRODUCT(ISNUMBER(D210:K210)*((D210:K210&gt;4)+(D210:K210&lt;0)))&gt;0,"Check scores",IF(N210&lt;COUNTIF($D$2:$K$2,"&gt;0"),"Incomplete","Counted"))))))))</f>
        <v/>
      </c>
      <c r="P210" s="42">
        <f>IF(O210="Counted",ROUND(SUMPRODUCT(D210:K210,$D$2:$K$2)*100/(4*SUM($D$2:$K$2)),1),"")</f>
        <v/>
      </c>
      <c r="Q210" s="27">
        <f>IF(O210="Counted",1,0)</f>
        <v/>
      </c>
      <c r="R210" s="43">
        <f>IF(ISNUMBER(D210),D210,0)</f>
        <v/>
      </c>
      <c r="S210" s="43">
        <f>IF(ISNUMBER(E210),E210,0)</f>
        <v/>
      </c>
      <c r="T210" s="43">
        <f>IF(ISNUMBER(F210),F210,0)</f>
        <v/>
      </c>
      <c r="U210" s="43">
        <f>IF(ISNUMBER(G210),G210,0)</f>
        <v/>
      </c>
      <c r="V210" s="43">
        <f>IF(ISNUMBER(H210),H210,0)</f>
        <v/>
      </c>
      <c r="W210" s="43">
        <f>IF(ISNUMBER(I210),I210,0)</f>
        <v/>
      </c>
      <c r="X210" s="43">
        <f>IF(ISNUMBER(J210),J210,0)</f>
        <v/>
      </c>
      <c r="Y210" s="43">
        <f>IF(ISNUMBER(K210),K210,0)</f>
        <v/>
      </c>
    </row>
    <row r="211">
      <c r="A211" s="35" t="n"/>
      <c r="B211" s="35" t="n"/>
      <c r="C211" s="35" t="n"/>
      <c r="D211" s="25" t="n"/>
      <c r="E211" s="25" t="n"/>
      <c r="F211" s="25" t="n"/>
      <c r="G211" s="25" t="n"/>
      <c r="H211" s="25" t="n"/>
      <c r="I211" s="25" t="n"/>
      <c r="J211" s="25" t="n"/>
      <c r="K211" s="25" t="n"/>
      <c r="L211" s="35" t="n"/>
      <c r="M211" s="40">
        <f>IF(A211="","",IFERROR(INDEX(Applications!$B$2:$B$101,MATCH(A211,Applications!$A$2:$A$101,0))&amp;"",""))</f>
        <v/>
      </c>
      <c r="N211" s="41">
        <f>IF(A211="","",SUMPRODUCT(ISNUMBER(D211:K211)*($D$2:$K$2&gt;0)))</f>
        <v/>
      </c>
      <c r="O211" s="40">
        <f>IF(A211="","",IF(ISNA(MATCH(A211,Applications!$A$2:$A$101,0)),"Check ID",IF(ISNA(MATCH(B211,Settings!$C$13:$C$18,0)),"Check reviewer",IF(LEFT(C211,3)="Yes","Conflict, not counted",IF(COUNTIFS($A$3:A211,A211,$B$3:B211,B211)&gt;1,"Duplicate, not counted",IF(SUM($D$2:$K$2)=0,"Add weights on Rubric",IF(SUMPRODUCT(ISNUMBER(D211:K211)*((D211:K211&gt;4)+(D211:K211&lt;0)))&gt;0,"Check scores",IF(N211&lt;COUNTIF($D$2:$K$2,"&gt;0"),"Incomplete","Counted"))))))))</f>
        <v/>
      </c>
      <c r="P211" s="42">
        <f>IF(O211="Counted",ROUND(SUMPRODUCT(D211:K211,$D$2:$K$2)*100/(4*SUM($D$2:$K$2)),1),"")</f>
        <v/>
      </c>
      <c r="Q211" s="27">
        <f>IF(O211="Counted",1,0)</f>
        <v/>
      </c>
      <c r="R211" s="43">
        <f>IF(ISNUMBER(D211),D211,0)</f>
        <v/>
      </c>
      <c r="S211" s="43">
        <f>IF(ISNUMBER(E211),E211,0)</f>
        <v/>
      </c>
      <c r="T211" s="43">
        <f>IF(ISNUMBER(F211),F211,0)</f>
        <v/>
      </c>
      <c r="U211" s="43">
        <f>IF(ISNUMBER(G211),G211,0)</f>
        <v/>
      </c>
      <c r="V211" s="43">
        <f>IF(ISNUMBER(H211),H211,0)</f>
        <v/>
      </c>
      <c r="W211" s="43">
        <f>IF(ISNUMBER(I211),I211,0)</f>
        <v/>
      </c>
      <c r="X211" s="43">
        <f>IF(ISNUMBER(J211),J211,0)</f>
        <v/>
      </c>
      <c r="Y211" s="43">
        <f>IF(ISNUMBER(K211),K211,0)</f>
        <v/>
      </c>
    </row>
    <row r="212">
      <c r="A212" s="35" t="n"/>
      <c r="B212" s="35" t="n"/>
      <c r="C212" s="35" t="n"/>
      <c r="D212" s="25" t="n"/>
      <c r="E212" s="25" t="n"/>
      <c r="F212" s="25" t="n"/>
      <c r="G212" s="25" t="n"/>
      <c r="H212" s="25" t="n"/>
      <c r="I212" s="25" t="n"/>
      <c r="J212" s="25" t="n"/>
      <c r="K212" s="25" t="n"/>
      <c r="L212" s="35" t="n"/>
      <c r="M212" s="40">
        <f>IF(A212="","",IFERROR(INDEX(Applications!$B$2:$B$101,MATCH(A212,Applications!$A$2:$A$101,0))&amp;"",""))</f>
        <v/>
      </c>
      <c r="N212" s="41">
        <f>IF(A212="","",SUMPRODUCT(ISNUMBER(D212:K212)*($D$2:$K$2&gt;0)))</f>
        <v/>
      </c>
      <c r="O212" s="40">
        <f>IF(A212="","",IF(ISNA(MATCH(A212,Applications!$A$2:$A$101,0)),"Check ID",IF(ISNA(MATCH(B212,Settings!$C$13:$C$18,0)),"Check reviewer",IF(LEFT(C212,3)="Yes","Conflict, not counted",IF(COUNTIFS($A$3:A212,A212,$B$3:B212,B212)&gt;1,"Duplicate, not counted",IF(SUM($D$2:$K$2)=0,"Add weights on Rubric",IF(SUMPRODUCT(ISNUMBER(D212:K212)*((D212:K212&gt;4)+(D212:K212&lt;0)))&gt;0,"Check scores",IF(N212&lt;COUNTIF($D$2:$K$2,"&gt;0"),"Incomplete","Counted"))))))))</f>
        <v/>
      </c>
      <c r="P212" s="42">
        <f>IF(O212="Counted",ROUND(SUMPRODUCT(D212:K212,$D$2:$K$2)*100/(4*SUM($D$2:$K$2)),1),"")</f>
        <v/>
      </c>
      <c r="Q212" s="27">
        <f>IF(O212="Counted",1,0)</f>
        <v/>
      </c>
      <c r="R212" s="43">
        <f>IF(ISNUMBER(D212),D212,0)</f>
        <v/>
      </c>
      <c r="S212" s="43">
        <f>IF(ISNUMBER(E212),E212,0)</f>
        <v/>
      </c>
      <c r="T212" s="43">
        <f>IF(ISNUMBER(F212),F212,0)</f>
        <v/>
      </c>
      <c r="U212" s="43">
        <f>IF(ISNUMBER(G212),G212,0)</f>
        <v/>
      </c>
      <c r="V212" s="43">
        <f>IF(ISNUMBER(H212),H212,0)</f>
        <v/>
      </c>
      <c r="W212" s="43">
        <f>IF(ISNUMBER(I212),I212,0)</f>
        <v/>
      </c>
      <c r="X212" s="43">
        <f>IF(ISNUMBER(J212),J212,0)</f>
        <v/>
      </c>
      <c r="Y212" s="43">
        <f>IF(ISNUMBER(K212),K212,0)</f>
        <v/>
      </c>
    </row>
    <row r="213">
      <c r="A213" s="35" t="n"/>
      <c r="B213" s="35" t="n"/>
      <c r="C213" s="35" t="n"/>
      <c r="D213" s="25" t="n"/>
      <c r="E213" s="25" t="n"/>
      <c r="F213" s="25" t="n"/>
      <c r="G213" s="25" t="n"/>
      <c r="H213" s="25" t="n"/>
      <c r="I213" s="25" t="n"/>
      <c r="J213" s="25" t="n"/>
      <c r="K213" s="25" t="n"/>
      <c r="L213" s="35" t="n"/>
      <c r="M213" s="40">
        <f>IF(A213="","",IFERROR(INDEX(Applications!$B$2:$B$101,MATCH(A213,Applications!$A$2:$A$101,0))&amp;"",""))</f>
        <v/>
      </c>
      <c r="N213" s="41">
        <f>IF(A213="","",SUMPRODUCT(ISNUMBER(D213:K213)*($D$2:$K$2&gt;0)))</f>
        <v/>
      </c>
      <c r="O213" s="40">
        <f>IF(A213="","",IF(ISNA(MATCH(A213,Applications!$A$2:$A$101,0)),"Check ID",IF(ISNA(MATCH(B213,Settings!$C$13:$C$18,0)),"Check reviewer",IF(LEFT(C213,3)="Yes","Conflict, not counted",IF(COUNTIFS($A$3:A213,A213,$B$3:B213,B213)&gt;1,"Duplicate, not counted",IF(SUM($D$2:$K$2)=0,"Add weights on Rubric",IF(SUMPRODUCT(ISNUMBER(D213:K213)*((D213:K213&gt;4)+(D213:K213&lt;0)))&gt;0,"Check scores",IF(N213&lt;COUNTIF($D$2:$K$2,"&gt;0"),"Incomplete","Counted"))))))))</f>
        <v/>
      </c>
      <c r="P213" s="42">
        <f>IF(O213="Counted",ROUND(SUMPRODUCT(D213:K213,$D$2:$K$2)*100/(4*SUM($D$2:$K$2)),1),"")</f>
        <v/>
      </c>
      <c r="Q213" s="27">
        <f>IF(O213="Counted",1,0)</f>
        <v/>
      </c>
      <c r="R213" s="43">
        <f>IF(ISNUMBER(D213),D213,0)</f>
        <v/>
      </c>
      <c r="S213" s="43">
        <f>IF(ISNUMBER(E213),E213,0)</f>
        <v/>
      </c>
      <c r="T213" s="43">
        <f>IF(ISNUMBER(F213),F213,0)</f>
        <v/>
      </c>
      <c r="U213" s="43">
        <f>IF(ISNUMBER(G213),G213,0)</f>
        <v/>
      </c>
      <c r="V213" s="43">
        <f>IF(ISNUMBER(H213),H213,0)</f>
        <v/>
      </c>
      <c r="W213" s="43">
        <f>IF(ISNUMBER(I213),I213,0)</f>
        <v/>
      </c>
      <c r="X213" s="43">
        <f>IF(ISNUMBER(J213),J213,0)</f>
        <v/>
      </c>
      <c r="Y213" s="43">
        <f>IF(ISNUMBER(K213),K213,0)</f>
        <v/>
      </c>
    </row>
    <row r="214">
      <c r="A214" s="35" t="n"/>
      <c r="B214" s="35" t="n"/>
      <c r="C214" s="35" t="n"/>
      <c r="D214" s="25" t="n"/>
      <c r="E214" s="25" t="n"/>
      <c r="F214" s="25" t="n"/>
      <c r="G214" s="25" t="n"/>
      <c r="H214" s="25" t="n"/>
      <c r="I214" s="25" t="n"/>
      <c r="J214" s="25" t="n"/>
      <c r="K214" s="25" t="n"/>
      <c r="L214" s="35" t="n"/>
      <c r="M214" s="40">
        <f>IF(A214="","",IFERROR(INDEX(Applications!$B$2:$B$101,MATCH(A214,Applications!$A$2:$A$101,0))&amp;"",""))</f>
        <v/>
      </c>
      <c r="N214" s="41">
        <f>IF(A214="","",SUMPRODUCT(ISNUMBER(D214:K214)*($D$2:$K$2&gt;0)))</f>
        <v/>
      </c>
      <c r="O214" s="40">
        <f>IF(A214="","",IF(ISNA(MATCH(A214,Applications!$A$2:$A$101,0)),"Check ID",IF(ISNA(MATCH(B214,Settings!$C$13:$C$18,0)),"Check reviewer",IF(LEFT(C214,3)="Yes","Conflict, not counted",IF(COUNTIFS($A$3:A214,A214,$B$3:B214,B214)&gt;1,"Duplicate, not counted",IF(SUM($D$2:$K$2)=0,"Add weights on Rubric",IF(SUMPRODUCT(ISNUMBER(D214:K214)*((D214:K214&gt;4)+(D214:K214&lt;0)))&gt;0,"Check scores",IF(N214&lt;COUNTIF($D$2:$K$2,"&gt;0"),"Incomplete","Counted"))))))))</f>
        <v/>
      </c>
      <c r="P214" s="42">
        <f>IF(O214="Counted",ROUND(SUMPRODUCT(D214:K214,$D$2:$K$2)*100/(4*SUM($D$2:$K$2)),1),"")</f>
        <v/>
      </c>
      <c r="Q214" s="27">
        <f>IF(O214="Counted",1,0)</f>
        <v/>
      </c>
      <c r="R214" s="43">
        <f>IF(ISNUMBER(D214),D214,0)</f>
        <v/>
      </c>
      <c r="S214" s="43">
        <f>IF(ISNUMBER(E214),E214,0)</f>
        <v/>
      </c>
      <c r="T214" s="43">
        <f>IF(ISNUMBER(F214),F214,0)</f>
        <v/>
      </c>
      <c r="U214" s="43">
        <f>IF(ISNUMBER(G214),G214,0)</f>
        <v/>
      </c>
      <c r="V214" s="43">
        <f>IF(ISNUMBER(H214),H214,0)</f>
        <v/>
      </c>
      <c r="W214" s="43">
        <f>IF(ISNUMBER(I214),I214,0)</f>
        <v/>
      </c>
      <c r="X214" s="43">
        <f>IF(ISNUMBER(J214),J214,0)</f>
        <v/>
      </c>
      <c r="Y214" s="43">
        <f>IF(ISNUMBER(K214),K214,0)</f>
        <v/>
      </c>
    </row>
    <row r="215">
      <c r="A215" s="35" t="n"/>
      <c r="B215" s="35" t="n"/>
      <c r="C215" s="35" t="n"/>
      <c r="D215" s="25" t="n"/>
      <c r="E215" s="25" t="n"/>
      <c r="F215" s="25" t="n"/>
      <c r="G215" s="25" t="n"/>
      <c r="H215" s="25" t="n"/>
      <c r="I215" s="25" t="n"/>
      <c r="J215" s="25" t="n"/>
      <c r="K215" s="25" t="n"/>
      <c r="L215" s="35" t="n"/>
      <c r="M215" s="40">
        <f>IF(A215="","",IFERROR(INDEX(Applications!$B$2:$B$101,MATCH(A215,Applications!$A$2:$A$101,0))&amp;"",""))</f>
        <v/>
      </c>
      <c r="N215" s="41">
        <f>IF(A215="","",SUMPRODUCT(ISNUMBER(D215:K215)*($D$2:$K$2&gt;0)))</f>
        <v/>
      </c>
      <c r="O215" s="40">
        <f>IF(A215="","",IF(ISNA(MATCH(A215,Applications!$A$2:$A$101,0)),"Check ID",IF(ISNA(MATCH(B215,Settings!$C$13:$C$18,0)),"Check reviewer",IF(LEFT(C215,3)="Yes","Conflict, not counted",IF(COUNTIFS($A$3:A215,A215,$B$3:B215,B215)&gt;1,"Duplicate, not counted",IF(SUM($D$2:$K$2)=0,"Add weights on Rubric",IF(SUMPRODUCT(ISNUMBER(D215:K215)*((D215:K215&gt;4)+(D215:K215&lt;0)))&gt;0,"Check scores",IF(N215&lt;COUNTIF($D$2:$K$2,"&gt;0"),"Incomplete","Counted"))))))))</f>
        <v/>
      </c>
      <c r="P215" s="42">
        <f>IF(O215="Counted",ROUND(SUMPRODUCT(D215:K215,$D$2:$K$2)*100/(4*SUM($D$2:$K$2)),1),"")</f>
        <v/>
      </c>
      <c r="Q215" s="27">
        <f>IF(O215="Counted",1,0)</f>
        <v/>
      </c>
      <c r="R215" s="43">
        <f>IF(ISNUMBER(D215),D215,0)</f>
        <v/>
      </c>
      <c r="S215" s="43">
        <f>IF(ISNUMBER(E215),E215,0)</f>
        <v/>
      </c>
      <c r="T215" s="43">
        <f>IF(ISNUMBER(F215),F215,0)</f>
        <v/>
      </c>
      <c r="U215" s="43">
        <f>IF(ISNUMBER(G215),G215,0)</f>
        <v/>
      </c>
      <c r="V215" s="43">
        <f>IF(ISNUMBER(H215),H215,0)</f>
        <v/>
      </c>
      <c r="W215" s="43">
        <f>IF(ISNUMBER(I215),I215,0)</f>
        <v/>
      </c>
      <c r="X215" s="43">
        <f>IF(ISNUMBER(J215),J215,0)</f>
        <v/>
      </c>
      <c r="Y215" s="43">
        <f>IF(ISNUMBER(K215),K215,0)</f>
        <v/>
      </c>
    </row>
    <row r="216">
      <c r="A216" s="35" t="n"/>
      <c r="B216" s="35" t="n"/>
      <c r="C216" s="35" t="n"/>
      <c r="D216" s="25" t="n"/>
      <c r="E216" s="25" t="n"/>
      <c r="F216" s="25" t="n"/>
      <c r="G216" s="25" t="n"/>
      <c r="H216" s="25" t="n"/>
      <c r="I216" s="25" t="n"/>
      <c r="J216" s="25" t="n"/>
      <c r="K216" s="25" t="n"/>
      <c r="L216" s="35" t="n"/>
      <c r="M216" s="40">
        <f>IF(A216="","",IFERROR(INDEX(Applications!$B$2:$B$101,MATCH(A216,Applications!$A$2:$A$101,0))&amp;"",""))</f>
        <v/>
      </c>
      <c r="N216" s="41">
        <f>IF(A216="","",SUMPRODUCT(ISNUMBER(D216:K216)*($D$2:$K$2&gt;0)))</f>
        <v/>
      </c>
      <c r="O216" s="40">
        <f>IF(A216="","",IF(ISNA(MATCH(A216,Applications!$A$2:$A$101,0)),"Check ID",IF(ISNA(MATCH(B216,Settings!$C$13:$C$18,0)),"Check reviewer",IF(LEFT(C216,3)="Yes","Conflict, not counted",IF(COUNTIFS($A$3:A216,A216,$B$3:B216,B216)&gt;1,"Duplicate, not counted",IF(SUM($D$2:$K$2)=0,"Add weights on Rubric",IF(SUMPRODUCT(ISNUMBER(D216:K216)*((D216:K216&gt;4)+(D216:K216&lt;0)))&gt;0,"Check scores",IF(N216&lt;COUNTIF($D$2:$K$2,"&gt;0"),"Incomplete","Counted"))))))))</f>
        <v/>
      </c>
      <c r="P216" s="42">
        <f>IF(O216="Counted",ROUND(SUMPRODUCT(D216:K216,$D$2:$K$2)*100/(4*SUM($D$2:$K$2)),1),"")</f>
        <v/>
      </c>
      <c r="Q216" s="27">
        <f>IF(O216="Counted",1,0)</f>
        <v/>
      </c>
      <c r="R216" s="43">
        <f>IF(ISNUMBER(D216),D216,0)</f>
        <v/>
      </c>
      <c r="S216" s="43">
        <f>IF(ISNUMBER(E216),E216,0)</f>
        <v/>
      </c>
      <c r="T216" s="43">
        <f>IF(ISNUMBER(F216),F216,0)</f>
        <v/>
      </c>
      <c r="U216" s="43">
        <f>IF(ISNUMBER(G216),G216,0)</f>
        <v/>
      </c>
      <c r="V216" s="43">
        <f>IF(ISNUMBER(H216),H216,0)</f>
        <v/>
      </c>
      <c r="W216" s="43">
        <f>IF(ISNUMBER(I216),I216,0)</f>
        <v/>
      </c>
      <c r="X216" s="43">
        <f>IF(ISNUMBER(J216),J216,0)</f>
        <v/>
      </c>
      <c r="Y216" s="43">
        <f>IF(ISNUMBER(K216),K216,0)</f>
        <v/>
      </c>
    </row>
    <row r="217">
      <c r="A217" s="35" t="n"/>
      <c r="B217" s="35" t="n"/>
      <c r="C217" s="35" t="n"/>
      <c r="D217" s="25" t="n"/>
      <c r="E217" s="25" t="n"/>
      <c r="F217" s="25" t="n"/>
      <c r="G217" s="25" t="n"/>
      <c r="H217" s="25" t="n"/>
      <c r="I217" s="25" t="n"/>
      <c r="J217" s="25" t="n"/>
      <c r="K217" s="25" t="n"/>
      <c r="L217" s="35" t="n"/>
      <c r="M217" s="40">
        <f>IF(A217="","",IFERROR(INDEX(Applications!$B$2:$B$101,MATCH(A217,Applications!$A$2:$A$101,0))&amp;"",""))</f>
        <v/>
      </c>
      <c r="N217" s="41">
        <f>IF(A217="","",SUMPRODUCT(ISNUMBER(D217:K217)*($D$2:$K$2&gt;0)))</f>
        <v/>
      </c>
      <c r="O217" s="40">
        <f>IF(A217="","",IF(ISNA(MATCH(A217,Applications!$A$2:$A$101,0)),"Check ID",IF(ISNA(MATCH(B217,Settings!$C$13:$C$18,0)),"Check reviewer",IF(LEFT(C217,3)="Yes","Conflict, not counted",IF(COUNTIFS($A$3:A217,A217,$B$3:B217,B217)&gt;1,"Duplicate, not counted",IF(SUM($D$2:$K$2)=0,"Add weights on Rubric",IF(SUMPRODUCT(ISNUMBER(D217:K217)*((D217:K217&gt;4)+(D217:K217&lt;0)))&gt;0,"Check scores",IF(N217&lt;COUNTIF($D$2:$K$2,"&gt;0"),"Incomplete","Counted"))))))))</f>
        <v/>
      </c>
      <c r="P217" s="42">
        <f>IF(O217="Counted",ROUND(SUMPRODUCT(D217:K217,$D$2:$K$2)*100/(4*SUM($D$2:$K$2)),1),"")</f>
        <v/>
      </c>
      <c r="Q217" s="27">
        <f>IF(O217="Counted",1,0)</f>
        <v/>
      </c>
      <c r="R217" s="43">
        <f>IF(ISNUMBER(D217),D217,0)</f>
        <v/>
      </c>
      <c r="S217" s="43">
        <f>IF(ISNUMBER(E217),E217,0)</f>
        <v/>
      </c>
      <c r="T217" s="43">
        <f>IF(ISNUMBER(F217),F217,0)</f>
        <v/>
      </c>
      <c r="U217" s="43">
        <f>IF(ISNUMBER(G217),G217,0)</f>
        <v/>
      </c>
      <c r="V217" s="43">
        <f>IF(ISNUMBER(H217),H217,0)</f>
        <v/>
      </c>
      <c r="W217" s="43">
        <f>IF(ISNUMBER(I217),I217,0)</f>
        <v/>
      </c>
      <c r="X217" s="43">
        <f>IF(ISNUMBER(J217),J217,0)</f>
        <v/>
      </c>
      <c r="Y217" s="43">
        <f>IF(ISNUMBER(K217),K217,0)</f>
        <v/>
      </c>
    </row>
    <row r="218">
      <c r="A218" s="35" t="n"/>
      <c r="B218" s="35" t="n"/>
      <c r="C218" s="35" t="n"/>
      <c r="D218" s="25" t="n"/>
      <c r="E218" s="25" t="n"/>
      <c r="F218" s="25" t="n"/>
      <c r="G218" s="25" t="n"/>
      <c r="H218" s="25" t="n"/>
      <c r="I218" s="25" t="n"/>
      <c r="J218" s="25" t="n"/>
      <c r="K218" s="25" t="n"/>
      <c r="L218" s="35" t="n"/>
      <c r="M218" s="40">
        <f>IF(A218="","",IFERROR(INDEX(Applications!$B$2:$B$101,MATCH(A218,Applications!$A$2:$A$101,0))&amp;"",""))</f>
        <v/>
      </c>
      <c r="N218" s="41">
        <f>IF(A218="","",SUMPRODUCT(ISNUMBER(D218:K218)*($D$2:$K$2&gt;0)))</f>
        <v/>
      </c>
      <c r="O218" s="40">
        <f>IF(A218="","",IF(ISNA(MATCH(A218,Applications!$A$2:$A$101,0)),"Check ID",IF(ISNA(MATCH(B218,Settings!$C$13:$C$18,0)),"Check reviewer",IF(LEFT(C218,3)="Yes","Conflict, not counted",IF(COUNTIFS($A$3:A218,A218,$B$3:B218,B218)&gt;1,"Duplicate, not counted",IF(SUM($D$2:$K$2)=0,"Add weights on Rubric",IF(SUMPRODUCT(ISNUMBER(D218:K218)*((D218:K218&gt;4)+(D218:K218&lt;0)))&gt;0,"Check scores",IF(N218&lt;COUNTIF($D$2:$K$2,"&gt;0"),"Incomplete","Counted"))))))))</f>
        <v/>
      </c>
      <c r="P218" s="42">
        <f>IF(O218="Counted",ROUND(SUMPRODUCT(D218:K218,$D$2:$K$2)*100/(4*SUM($D$2:$K$2)),1),"")</f>
        <v/>
      </c>
      <c r="Q218" s="27">
        <f>IF(O218="Counted",1,0)</f>
        <v/>
      </c>
      <c r="R218" s="43">
        <f>IF(ISNUMBER(D218),D218,0)</f>
        <v/>
      </c>
      <c r="S218" s="43">
        <f>IF(ISNUMBER(E218),E218,0)</f>
        <v/>
      </c>
      <c r="T218" s="43">
        <f>IF(ISNUMBER(F218),F218,0)</f>
        <v/>
      </c>
      <c r="U218" s="43">
        <f>IF(ISNUMBER(G218),G218,0)</f>
        <v/>
      </c>
      <c r="V218" s="43">
        <f>IF(ISNUMBER(H218),H218,0)</f>
        <v/>
      </c>
      <c r="W218" s="43">
        <f>IF(ISNUMBER(I218),I218,0)</f>
        <v/>
      </c>
      <c r="X218" s="43">
        <f>IF(ISNUMBER(J218),J218,0)</f>
        <v/>
      </c>
      <c r="Y218" s="43">
        <f>IF(ISNUMBER(K218),K218,0)</f>
        <v/>
      </c>
    </row>
    <row r="219">
      <c r="A219" s="35" t="n"/>
      <c r="B219" s="35" t="n"/>
      <c r="C219" s="35" t="n"/>
      <c r="D219" s="25" t="n"/>
      <c r="E219" s="25" t="n"/>
      <c r="F219" s="25" t="n"/>
      <c r="G219" s="25" t="n"/>
      <c r="H219" s="25" t="n"/>
      <c r="I219" s="25" t="n"/>
      <c r="J219" s="25" t="n"/>
      <c r="K219" s="25" t="n"/>
      <c r="L219" s="35" t="n"/>
      <c r="M219" s="40">
        <f>IF(A219="","",IFERROR(INDEX(Applications!$B$2:$B$101,MATCH(A219,Applications!$A$2:$A$101,0))&amp;"",""))</f>
        <v/>
      </c>
      <c r="N219" s="41">
        <f>IF(A219="","",SUMPRODUCT(ISNUMBER(D219:K219)*($D$2:$K$2&gt;0)))</f>
        <v/>
      </c>
      <c r="O219" s="40">
        <f>IF(A219="","",IF(ISNA(MATCH(A219,Applications!$A$2:$A$101,0)),"Check ID",IF(ISNA(MATCH(B219,Settings!$C$13:$C$18,0)),"Check reviewer",IF(LEFT(C219,3)="Yes","Conflict, not counted",IF(COUNTIFS($A$3:A219,A219,$B$3:B219,B219)&gt;1,"Duplicate, not counted",IF(SUM($D$2:$K$2)=0,"Add weights on Rubric",IF(SUMPRODUCT(ISNUMBER(D219:K219)*((D219:K219&gt;4)+(D219:K219&lt;0)))&gt;0,"Check scores",IF(N219&lt;COUNTIF($D$2:$K$2,"&gt;0"),"Incomplete","Counted"))))))))</f>
        <v/>
      </c>
      <c r="P219" s="42">
        <f>IF(O219="Counted",ROUND(SUMPRODUCT(D219:K219,$D$2:$K$2)*100/(4*SUM($D$2:$K$2)),1),"")</f>
        <v/>
      </c>
      <c r="Q219" s="27">
        <f>IF(O219="Counted",1,0)</f>
        <v/>
      </c>
      <c r="R219" s="43">
        <f>IF(ISNUMBER(D219),D219,0)</f>
        <v/>
      </c>
      <c r="S219" s="43">
        <f>IF(ISNUMBER(E219),E219,0)</f>
        <v/>
      </c>
      <c r="T219" s="43">
        <f>IF(ISNUMBER(F219),F219,0)</f>
        <v/>
      </c>
      <c r="U219" s="43">
        <f>IF(ISNUMBER(G219),G219,0)</f>
        <v/>
      </c>
      <c r="V219" s="43">
        <f>IF(ISNUMBER(H219),H219,0)</f>
        <v/>
      </c>
      <c r="W219" s="43">
        <f>IF(ISNUMBER(I219),I219,0)</f>
        <v/>
      </c>
      <c r="X219" s="43">
        <f>IF(ISNUMBER(J219),J219,0)</f>
        <v/>
      </c>
      <c r="Y219" s="43">
        <f>IF(ISNUMBER(K219),K219,0)</f>
        <v/>
      </c>
    </row>
    <row r="220">
      <c r="A220" s="35" t="n"/>
      <c r="B220" s="35" t="n"/>
      <c r="C220" s="35" t="n"/>
      <c r="D220" s="25" t="n"/>
      <c r="E220" s="25" t="n"/>
      <c r="F220" s="25" t="n"/>
      <c r="G220" s="25" t="n"/>
      <c r="H220" s="25" t="n"/>
      <c r="I220" s="25" t="n"/>
      <c r="J220" s="25" t="n"/>
      <c r="K220" s="25" t="n"/>
      <c r="L220" s="35" t="n"/>
      <c r="M220" s="40">
        <f>IF(A220="","",IFERROR(INDEX(Applications!$B$2:$B$101,MATCH(A220,Applications!$A$2:$A$101,0))&amp;"",""))</f>
        <v/>
      </c>
      <c r="N220" s="41">
        <f>IF(A220="","",SUMPRODUCT(ISNUMBER(D220:K220)*($D$2:$K$2&gt;0)))</f>
        <v/>
      </c>
      <c r="O220" s="40">
        <f>IF(A220="","",IF(ISNA(MATCH(A220,Applications!$A$2:$A$101,0)),"Check ID",IF(ISNA(MATCH(B220,Settings!$C$13:$C$18,0)),"Check reviewer",IF(LEFT(C220,3)="Yes","Conflict, not counted",IF(COUNTIFS($A$3:A220,A220,$B$3:B220,B220)&gt;1,"Duplicate, not counted",IF(SUM($D$2:$K$2)=0,"Add weights on Rubric",IF(SUMPRODUCT(ISNUMBER(D220:K220)*((D220:K220&gt;4)+(D220:K220&lt;0)))&gt;0,"Check scores",IF(N220&lt;COUNTIF($D$2:$K$2,"&gt;0"),"Incomplete","Counted"))))))))</f>
        <v/>
      </c>
      <c r="P220" s="42">
        <f>IF(O220="Counted",ROUND(SUMPRODUCT(D220:K220,$D$2:$K$2)*100/(4*SUM($D$2:$K$2)),1),"")</f>
        <v/>
      </c>
      <c r="Q220" s="27">
        <f>IF(O220="Counted",1,0)</f>
        <v/>
      </c>
      <c r="R220" s="43">
        <f>IF(ISNUMBER(D220),D220,0)</f>
        <v/>
      </c>
      <c r="S220" s="43">
        <f>IF(ISNUMBER(E220),E220,0)</f>
        <v/>
      </c>
      <c r="T220" s="43">
        <f>IF(ISNUMBER(F220),F220,0)</f>
        <v/>
      </c>
      <c r="U220" s="43">
        <f>IF(ISNUMBER(G220),G220,0)</f>
        <v/>
      </c>
      <c r="V220" s="43">
        <f>IF(ISNUMBER(H220),H220,0)</f>
        <v/>
      </c>
      <c r="W220" s="43">
        <f>IF(ISNUMBER(I220),I220,0)</f>
        <v/>
      </c>
      <c r="X220" s="43">
        <f>IF(ISNUMBER(J220),J220,0)</f>
        <v/>
      </c>
      <c r="Y220" s="43">
        <f>IF(ISNUMBER(K220),K220,0)</f>
        <v/>
      </c>
    </row>
    <row r="221">
      <c r="A221" s="35" t="n"/>
      <c r="B221" s="35" t="n"/>
      <c r="C221" s="35" t="n"/>
      <c r="D221" s="25" t="n"/>
      <c r="E221" s="25" t="n"/>
      <c r="F221" s="25" t="n"/>
      <c r="G221" s="25" t="n"/>
      <c r="H221" s="25" t="n"/>
      <c r="I221" s="25" t="n"/>
      <c r="J221" s="25" t="n"/>
      <c r="K221" s="25" t="n"/>
      <c r="L221" s="35" t="n"/>
      <c r="M221" s="40">
        <f>IF(A221="","",IFERROR(INDEX(Applications!$B$2:$B$101,MATCH(A221,Applications!$A$2:$A$101,0))&amp;"",""))</f>
        <v/>
      </c>
      <c r="N221" s="41">
        <f>IF(A221="","",SUMPRODUCT(ISNUMBER(D221:K221)*($D$2:$K$2&gt;0)))</f>
        <v/>
      </c>
      <c r="O221" s="40">
        <f>IF(A221="","",IF(ISNA(MATCH(A221,Applications!$A$2:$A$101,0)),"Check ID",IF(ISNA(MATCH(B221,Settings!$C$13:$C$18,0)),"Check reviewer",IF(LEFT(C221,3)="Yes","Conflict, not counted",IF(COUNTIFS($A$3:A221,A221,$B$3:B221,B221)&gt;1,"Duplicate, not counted",IF(SUM($D$2:$K$2)=0,"Add weights on Rubric",IF(SUMPRODUCT(ISNUMBER(D221:K221)*((D221:K221&gt;4)+(D221:K221&lt;0)))&gt;0,"Check scores",IF(N221&lt;COUNTIF($D$2:$K$2,"&gt;0"),"Incomplete","Counted"))))))))</f>
        <v/>
      </c>
      <c r="P221" s="42">
        <f>IF(O221="Counted",ROUND(SUMPRODUCT(D221:K221,$D$2:$K$2)*100/(4*SUM($D$2:$K$2)),1),"")</f>
        <v/>
      </c>
      <c r="Q221" s="27">
        <f>IF(O221="Counted",1,0)</f>
        <v/>
      </c>
      <c r="R221" s="43">
        <f>IF(ISNUMBER(D221),D221,0)</f>
        <v/>
      </c>
      <c r="S221" s="43">
        <f>IF(ISNUMBER(E221),E221,0)</f>
        <v/>
      </c>
      <c r="T221" s="43">
        <f>IF(ISNUMBER(F221),F221,0)</f>
        <v/>
      </c>
      <c r="U221" s="43">
        <f>IF(ISNUMBER(G221),G221,0)</f>
        <v/>
      </c>
      <c r="V221" s="43">
        <f>IF(ISNUMBER(H221),H221,0)</f>
        <v/>
      </c>
      <c r="W221" s="43">
        <f>IF(ISNUMBER(I221),I221,0)</f>
        <v/>
      </c>
      <c r="X221" s="43">
        <f>IF(ISNUMBER(J221),J221,0)</f>
        <v/>
      </c>
      <c r="Y221" s="43">
        <f>IF(ISNUMBER(K221),K221,0)</f>
        <v/>
      </c>
    </row>
    <row r="222">
      <c r="A222" s="35" t="n"/>
      <c r="B222" s="35" t="n"/>
      <c r="C222" s="35" t="n"/>
      <c r="D222" s="25" t="n"/>
      <c r="E222" s="25" t="n"/>
      <c r="F222" s="25" t="n"/>
      <c r="G222" s="25" t="n"/>
      <c r="H222" s="25" t="n"/>
      <c r="I222" s="25" t="n"/>
      <c r="J222" s="25" t="n"/>
      <c r="K222" s="25" t="n"/>
      <c r="L222" s="35" t="n"/>
      <c r="M222" s="40">
        <f>IF(A222="","",IFERROR(INDEX(Applications!$B$2:$B$101,MATCH(A222,Applications!$A$2:$A$101,0))&amp;"",""))</f>
        <v/>
      </c>
      <c r="N222" s="41">
        <f>IF(A222="","",SUMPRODUCT(ISNUMBER(D222:K222)*($D$2:$K$2&gt;0)))</f>
        <v/>
      </c>
      <c r="O222" s="40">
        <f>IF(A222="","",IF(ISNA(MATCH(A222,Applications!$A$2:$A$101,0)),"Check ID",IF(ISNA(MATCH(B222,Settings!$C$13:$C$18,0)),"Check reviewer",IF(LEFT(C222,3)="Yes","Conflict, not counted",IF(COUNTIFS($A$3:A222,A222,$B$3:B222,B222)&gt;1,"Duplicate, not counted",IF(SUM($D$2:$K$2)=0,"Add weights on Rubric",IF(SUMPRODUCT(ISNUMBER(D222:K222)*((D222:K222&gt;4)+(D222:K222&lt;0)))&gt;0,"Check scores",IF(N222&lt;COUNTIF($D$2:$K$2,"&gt;0"),"Incomplete","Counted"))))))))</f>
        <v/>
      </c>
      <c r="P222" s="42">
        <f>IF(O222="Counted",ROUND(SUMPRODUCT(D222:K222,$D$2:$K$2)*100/(4*SUM($D$2:$K$2)),1),"")</f>
        <v/>
      </c>
      <c r="Q222" s="27">
        <f>IF(O222="Counted",1,0)</f>
        <v/>
      </c>
      <c r="R222" s="43">
        <f>IF(ISNUMBER(D222),D222,0)</f>
        <v/>
      </c>
      <c r="S222" s="43">
        <f>IF(ISNUMBER(E222),E222,0)</f>
        <v/>
      </c>
      <c r="T222" s="43">
        <f>IF(ISNUMBER(F222),F222,0)</f>
        <v/>
      </c>
      <c r="U222" s="43">
        <f>IF(ISNUMBER(G222),G222,0)</f>
        <v/>
      </c>
      <c r="V222" s="43">
        <f>IF(ISNUMBER(H222),H222,0)</f>
        <v/>
      </c>
      <c r="W222" s="43">
        <f>IF(ISNUMBER(I222),I222,0)</f>
        <v/>
      </c>
      <c r="X222" s="43">
        <f>IF(ISNUMBER(J222),J222,0)</f>
        <v/>
      </c>
      <c r="Y222" s="43">
        <f>IF(ISNUMBER(K222),K222,0)</f>
        <v/>
      </c>
    </row>
    <row r="223">
      <c r="A223" s="35" t="n"/>
      <c r="B223" s="35" t="n"/>
      <c r="C223" s="35" t="n"/>
      <c r="D223" s="25" t="n"/>
      <c r="E223" s="25" t="n"/>
      <c r="F223" s="25" t="n"/>
      <c r="G223" s="25" t="n"/>
      <c r="H223" s="25" t="n"/>
      <c r="I223" s="25" t="n"/>
      <c r="J223" s="25" t="n"/>
      <c r="K223" s="25" t="n"/>
      <c r="L223" s="35" t="n"/>
      <c r="M223" s="40">
        <f>IF(A223="","",IFERROR(INDEX(Applications!$B$2:$B$101,MATCH(A223,Applications!$A$2:$A$101,0))&amp;"",""))</f>
        <v/>
      </c>
      <c r="N223" s="41">
        <f>IF(A223="","",SUMPRODUCT(ISNUMBER(D223:K223)*($D$2:$K$2&gt;0)))</f>
        <v/>
      </c>
      <c r="O223" s="40">
        <f>IF(A223="","",IF(ISNA(MATCH(A223,Applications!$A$2:$A$101,0)),"Check ID",IF(ISNA(MATCH(B223,Settings!$C$13:$C$18,0)),"Check reviewer",IF(LEFT(C223,3)="Yes","Conflict, not counted",IF(COUNTIFS($A$3:A223,A223,$B$3:B223,B223)&gt;1,"Duplicate, not counted",IF(SUM($D$2:$K$2)=0,"Add weights on Rubric",IF(SUMPRODUCT(ISNUMBER(D223:K223)*((D223:K223&gt;4)+(D223:K223&lt;0)))&gt;0,"Check scores",IF(N223&lt;COUNTIF($D$2:$K$2,"&gt;0"),"Incomplete","Counted"))))))))</f>
        <v/>
      </c>
      <c r="P223" s="42">
        <f>IF(O223="Counted",ROUND(SUMPRODUCT(D223:K223,$D$2:$K$2)*100/(4*SUM($D$2:$K$2)),1),"")</f>
        <v/>
      </c>
      <c r="Q223" s="27">
        <f>IF(O223="Counted",1,0)</f>
        <v/>
      </c>
      <c r="R223" s="43">
        <f>IF(ISNUMBER(D223),D223,0)</f>
        <v/>
      </c>
      <c r="S223" s="43">
        <f>IF(ISNUMBER(E223),E223,0)</f>
        <v/>
      </c>
      <c r="T223" s="43">
        <f>IF(ISNUMBER(F223),F223,0)</f>
        <v/>
      </c>
      <c r="U223" s="43">
        <f>IF(ISNUMBER(G223),G223,0)</f>
        <v/>
      </c>
      <c r="V223" s="43">
        <f>IF(ISNUMBER(H223),H223,0)</f>
        <v/>
      </c>
      <c r="W223" s="43">
        <f>IF(ISNUMBER(I223),I223,0)</f>
        <v/>
      </c>
      <c r="X223" s="43">
        <f>IF(ISNUMBER(J223),J223,0)</f>
        <v/>
      </c>
      <c r="Y223" s="43">
        <f>IF(ISNUMBER(K223),K223,0)</f>
        <v/>
      </c>
    </row>
    <row r="224">
      <c r="A224" s="35" t="n"/>
      <c r="B224" s="35" t="n"/>
      <c r="C224" s="35" t="n"/>
      <c r="D224" s="25" t="n"/>
      <c r="E224" s="25" t="n"/>
      <c r="F224" s="25" t="n"/>
      <c r="G224" s="25" t="n"/>
      <c r="H224" s="25" t="n"/>
      <c r="I224" s="25" t="n"/>
      <c r="J224" s="25" t="n"/>
      <c r="K224" s="25" t="n"/>
      <c r="L224" s="35" t="n"/>
      <c r="M224" s="40">
        <f>IF(A224="","",IFERROR(INDEX(Applications!$B$2:$B$101,MATCH(A224,Applications!$A$2:$A$101,0))&amp;"",""))</f>
        <v/>
      </c>
      <c r="N224" s="41">
        <f>IF(A224="","",SUMPRODUCT(ISNUMBER(D224:K224)*($D$2:$K$2&gt;0)))</f>
        <v/>
      </c>
      <c r="O224" s="40">
        <f>IF(A224="","",IF(ISNA(MATCH(A224,Applications!$A$2:$A$101,0)),"Check ID",IF(ISNA(MATCH(B224,Settings!$C$13:$C$18,0)),"Check reviewer",IF(LEFT(C224,3)="Yes","Conflict, not counted",IF(COUNTIFS($A$3:A224,A224,$B$3:B224,B224)&gt;1,"Duplicate, not counted",IF(SUM($D$2:$K$2)=0,"Add weights on Rubric",IF(SUMPRODUCT(ISNUMBER(D224:K224)*((D224:K224&gt;4)+(D224:K224&lt;0)))&gt;0,"Check scores",IF(N224&lt;COUNTIF($D$2:$K$2,"&gt;0"),"Incomplete","Counted"))))))))</f>
        <v/>
      </c>
      <c r="P224" s="42">
        <f>IF(O224="Counted",ROUND(SUMPRODUCT(D224:K224,$D$2:$K$2)*100/(4*SUM($D$2:$K$2)),1),"")</f>
        <v/>
      </c>
      <c r="Q224" s="27">
        <f>IF(O224="Counted",1,0)</f>
        <v/>
      </c>
      <c r="R224" s="43">
        <f>IF(ISNUMBER(D224),D224,0)</f>
        <v/>
      </c>
      <c r="S224" s="43">
        <f>IF(ISNUMBER(E224),E224,0)</f>
        <v/>
      </c>
      <c r="T224" s="43">
        <f>IF(ISNUMBER(F224),F224,0)</f>
        <v/>
      </c>
      <c r="U224" s="43">
        <f>IF(ISNUMBER(G224),G224,0)</f>
        <v/>
      </c>
      <c r="V224" s="43">
        <f>IF(ISNUMBER(H224),H224,0)</f>
        <v/>
      </c>
      <c r="W224" s="43">
        <f>IF(ISNUMBER(I224),I224,0)</f>
        <v/>
      </c>
      <c r="X224" s="43">
        <f>IF(ISNUMBER(J224),J224,0)</f>
        <v/>
      </c>
      <c r="Y224" s="43">
        <f>IF(ISNUMBER(K224),K224,0)</f>
        <v/>
      </c>
    </row>
    <row r="225">
      <c r="A225" s="35" t="n"/>
      <c r="B225" s="35" t="n"/>
      <c r="C225" s="35" t="n"/>
      <c r="D225" s="25" t="n"/>
      <c r="E225" s="25" t="n"/>
      <c r="F225" s="25" t="n"/>
      <c r="G225" s="25" t="n"/>
      <c r="H225" s="25" t="n"/>
      <c r="I225" s="25" t="n"/>
      <c r="J225" s="25" t="n"/>
      <c r="K225" s="25" t="n"/>
      <c r="L225" s="35" t="n"/>
      <c r="M225" s="40">
        <f>IF(A225="","",IFERROR(INDEX(Applications!$B$2:$B$101,MATCH(A225,Applications!$A$2:$A$101,0))&amp;"",""))</f>
        <v/>
      </c>
      <c r="N225" s="41">
        <f>IF(A225="","",SUMPRODUCT(ISNUMBER(D225:K225)*($D$2:$K$2&gt;0)))</f>
        <v/>
      </c>
      <c r="O225" s="40">
        <f>IF(A225="","",IF(ISNA(MATCH(A225,Applications!$A$2:$A$101,0)),"Check ID",IF(ISNA(MATCH(B225,Settings!$C$13:$C$18,0)),"Check reviewer",IF(LEFT(C225,3)="Yes","Conflict, not counted",IF(COUNTIFS($A$3:A225,A225,$B$3:B225,B225)&gt;1,"Duplicate, not counted",IF(SUM($D$2:$K$2)=0,"Add weights on Rubric",IF(SUMPRODUCT(ISNUMBER(D225:K225)*((D225:K225&gt;4)+(D225:K225&lt;0)))&gt;0,"Check scores",IF(N225&lt;COUNTIF($D$2:$K$2,"&gt;0"),"Incomplete","Counted"))))))))</f>
        <v/>
      </c>
      <c r="P225" s="42">
        <f>IF(O225="Counted",ROUND(SUMPRODUCT(D225:K225,$D$2:$K$2)*100/(4*SUM($D$2:$K$2)),1),"")</f>
        <v/>
      </c>
      <c r="Q225" s="27">
        <f>IF(O225="Counted",1,0)</f>
        <v/>
      </c>
      <c r="R225" s="43">
        <f>IF(ISNUMBER(D225),D225,0)</f>
        <v/>
      </c>
      <c r="S225" s="43">
        <f>IF(ISNUMBER(E225),E225,0)</f>
        <v/>
      </c>
      <c r="T225" s="43">
        <f>IF(ISNUMBER(F225),F225,0)</f>
        <v/>
      </c>
      <c r="U225" s="43">
        <f>IF(ISNUMBER(G225),G225,0)</f>
        <v/>
      </c>
      <c r="V225" s="43">
        <f>IF(ISNUMBER(H225),H225,0)</f>
        <v/>
      </c>
      <c r="W225" s="43">
        <f>IF(ISNUMBER(I225),I225,0)</f>
        <v/>
      </c>
      <c r="X225" s="43">
        <f>IF(ISNUMBER(J225),J225,0)</f>
        <v/>
      </c>
      <c r="Y225" s="43">
        <f>IF(ISNUMBER(K225),K225,0)</f>
        <v/>
      </c>
    </row>
    <row r="226">
      <c r="A226" s="35" t="n"/>
      <c r="B226" s="35" t="n"/>
      <c r="C226" s="35" t="n"/>
      <c r="D226" s="25" t="n"/>
      <c r="E226" s="25" t="n"/>
      <c r="F226" s="25" t="n"/>
      <c r="G226" s="25" t="n"/>
      <c r="H226" s="25" t="n"/>
      <c r="I226" s="25" t="n"/>
      <c r="J226" s="25" t="n"/>
      <c r="K226" s="25" t="n"/>
      <c r="L226" s="35" t="n"/>
      <c r="M226" s="40">
        <f>IF(A226="","",IFERROR(INDEX(Applications!$B$2:$B$101,MATCH(A226,Applications!$A$2:$A$101,0))&amp;"",""))</f>
        <v/>
      </c>
      <c r="N226" s="41">
        <f>IF(A226="","",SUMPRODUCT(ISNUMBER(D226:K226)*($D$2:$K$2&gt;0)))</f>
        <v/>
      </c>
      <c r="O226" s="40">
        <f>IF(A226="","",IF(ISNA(MATCH(A226,Applications!$A$2:$A$101,0)),"Check ID",IF(ISNA(MATCH(B226,Settings!$C$13:$C$18,0)),"Check reviewer",IF(LEFT(C226,3)="Yes","Conflict, not counted",IF(COUNTIFS($A$3:A226,A226,$B$3:B226,B226)&gt;1,"Duplicate, not counted",IF(SUM($D$2:$K$2)=0,"Add weights on Rubric",IF(SUMPRODUCT(ISNUMBER(D226:K226)*((D226:K226&gt;4)+(D226:K226&lt;0)))&gt;0,"Check scores",IF(N226&lt;COUNTIF($D$2:$K$2,"&gt;0"),"Incomplete","Counted"))))))))</f>
        <v/>
      </c>
      <c r="P226" s="42">
        <f>IF(O226="Counted",ROUND(SUMPRODUCT(D226:K226,$D$2:$K$2)*100/(4*SUM($D$2:$K$2)),1),"")</f>
        <v/>
      </c>
      <c r="Q226" s="27">
        <f>IF(O226="Counted",1,0)</f>
        <v/>
      </c>
      <c r="R226" s="43">
        <f>IF(ISNUMBER(D226),D226,0)</f>
        <v/>
      </c>
      <c r="S226" s="43">
        <f>IF(ISNUMBER(E226),E226,0)</f>
        <v/>
      </c>
      <c r="T226" s="43">
        <f>IF(ISNUMBER(F226),F226,0)</f>
        <v/>
      </c>
      <c r="U226" s="43">
        <f>IF(ISNUMBER(G226),G226,0)</f>
        <v/>
      </c>
      <c r="V226" s="43">
        <f>IF(ISNUMBER(H226),H226,0)</f>
        <v/>
      </c>
      <c r="W226" s="43">
        <f>IF(ISNUMBER(I226),I226,0)</f>
        <v/>
      </c>
      <c r="X226" s="43">
        <f>IF(ISNUMBER(J226),J226,0)</f>
        <v/>
      </c>
      <c r="Y226" s="43">
        <f>IF(ISNUMBER(K226),K226,0)</f>
        <v/>
      </c>
    </row>
    <row r="227">
      <c r="A227" s="35" t="n"/>
      <c r="B227" s="35" t="n"/>
      <c r="C227" s="35" t="n"/>
      <c r="D227" s="25" t="n"/>
      <c r="E227" s="25" t="n"/>
      <c r="F227" s="25" t="n"/>
      <c r="G227" s="25" t="n"/>
      <c r="H227" s="25" t="n"/>
      <c r="I227" s="25" t="n"/>
      <c r="J227" s="25" t="n"/>
      <c r="K227" s="25" t="n"/>
      <c r="L227" s="35" t="n"/>
      <c r="M227" s="40">
        <f>IF(A227="","",IFERROR(INDEX(Applications!$B$2:$B$101,MATCH(A227,Applications!$A$2:$A$101,0))&amp;"",""))</f>
        <v/>
      </c>
      <c r="N227" s="41">
        <f>IF(A227="","",SUMPRODUCT(ISNUMBER(D227:K227)*($D$2:$K$2&gt;0)))</f>
        <v/>
      </c>
      <c r="O227" s="40">
        <f>IF(A227="","",IF(ISNA(MATCH(A227,Applications!$A$2:$A$101,0)),"Check ID",IF(ISNA(MATCH(B227,Settings!$C$13:$C$18,0)),"Check reviewer",IF(LEFT(C227,3)="Yes","Conflict, not counted",IF(COUNTIFS($A$3:A227,A227,$B$3:B227,B227)&gt;1,"Duplicate, not counted",IF(SUM($D$2:$K$2)=0,"Add weights on Rubric",IF(SUMPRODUCT(ISNUMBER(D227:K227)*((D227:K227&gt;4)+(D227:K227&lt;0)))&gt;0,"Check scores",IF(N227&lt;COUNTIF($D$2:$K$2,"&gt;0"),"Incomplete","Counted"))))))))</f>
        <v/>
      </c>
      <c r="P227" s="42">
        <f>IF(O227="Counted",ROUND(SUMPRODUCT(D227:K227,$D$2:$K$2)*100/(4*SUM($D$2:$K$2)),1),"")</f>
        <v/>
      </c>
      <c r="Q227" s="27">
        <f>IF(O227="Counted",1,0)</f>
        <v/>
      </c>
      <c r="R227" s="43">
        <f>IF(ISNUMBER(D227),D227,0)</f>
        <v/>
      </c>
      <c r="S227" s="43">
        <f>IF(ISNUMBER(E227),E227,0)</f>
        <v/>
      </c>
      <c r="T227" s="43">
        <f>IF(ISNUMBER(F227),F227,0)</f>
        <v/>
      </c>
      <c r="U227" s="43">
        <f>IF(ISNUMBER(G227),G227,0)</f>
        <v/>
      </c>
      <c r="V227" s="43">
        <f>IF(ISNUMBER(H227),H227,0)</f>
        <v/>
      </c>
      <c r="W227" s="43">
        <f>IF(ISNUMBER(I227),I227,0)</f>
        <v/>
      </c>
      <c r="X227" s="43">
        <f>IF(ISNUMBER(J227),J227,0)</f>
        <v/>
      </c>
      <c r="Y227" s="43">
        <f>IF(ISNUMBER(K227),K227,0)</f>
        <v/>
      </c>
    </row>
    <row r="228">
      <c r="A228" s="35" t="n"/>
      <c r="B228" s="35" t="n"/>
      <c r="C228" s="35" t="n"/>
      <c r="D228" s="25" t="n"/>
      <c r="E228" s="25" t="n"/>
      <c r="F228" s="25" t="n"/>
      <c r="G228" s="25" t="n"/>
      <c r="H228" s="25" t="n"/>
      <c r="I228" s="25" t="n"/>
      <c r="J228" s="25" t="n"/>
      <c r="K228" s="25" t="n"/>
      <c r="L228" s="35" t="n"/>
      <c r="M228" s="40">
        <f>IF(A228="","",IFERROR(INDEX(Applications!$B$2:$B$101,MATCH(A228,Applications!$A$2:$A$101,0))&amp;"",""))</f>
        <v/>
      </c>
      <c r="N228" s="41">
        <f>IF(A228="","",SUMPRODUCT(ISNUMBER(D228:K228)*($D$2:$K$2&gt;0)))</f>
        <v/>
      </c>
      <c r="O228" s="40">
        <f>IF(A228="","",IF(ISNA(MATCH(A228,Applications!$A$2:$A$101,0)),"Check ID",IF(ISNA(MATCH(B228,Settings!$C$13:$C$18,0)),"Check reviewer",IF(LEFT(C228,3)="Yes","Conflict, not counted",IF(COUNTIFS($A$3:A228,A228,$B$3:B228,B228)&gt;1,"Duplicate, not counted",IF(SUM($D$2:$K$2)=0,"Add weights on Rubric",IF(SUMPRODUCT(ISNUMBER(D228:K228)*((D228:K228&gt;4)+(D228:K228&lt;0)))&gt;0,"Check scores",IF(N228&lt;COUNTIF($D$2:$K$2,"&gt;0"),"Incomplete","Counted"))))))))</f>
        <v/>
      </c>
      <c r="P228" s="42">
        <f>IF(O228="Counted",ROUND(SUMPRODUCT(D228:K228,$D$2:$K$2)*100/(4*SUM($D$2:$K$2)),1),"")</f>
        <v/>
      </c>
      <c r="Q228" s="27">
        <f>IF(O228="Counted",1,0)</f>
        <v/>
      </c>
      <c r="R228" s="43">
        <f>IF(ISNUMBER(D228),D228,0)</f>
        <v/>
      </c>
      <c r="S228" s="43">
        <f>IF(ISNUMBER(E228),E228,0)</f>
        <v/>
      </c>
      <c r="T228" s="43">
        <f>IF(ISNUMBER(F228),F228,0)</f>
        <v/>
      </c>
      <c r="U228" s="43">
        <f>IF(ISNUMBER(G228),G228,0)</f>
        <v/>
      </c>
      <c r="V228" s="43">
        <f>IF(ISNUMBER(H228),H228,0)</f>
        <v/>
      </c>
      <c r="W228" s="43">
        <f>IF(ISNUMBER(I228),I228,0)</f>
        <v/>
      </c>
      <c r="X228" s="43">
        <f>IF(ISNUMBER(J228),J228,0)</f>
        <v/>
      </c>
      <c r="Y228" s="43">
        <f>IF(ISNUMBER(K228),K228,0)</f>
        <v/>
      </c>
    </row>
    <row r="229">
      <c r="A229" s="35" t="n"/>
      <c r="B229" s="35" t="n"/>
      <c r="C229" s="35" t="n"/>
      <c r="D229" s="25" t="n"/>
      <c r="E229" s="25" t="n"/>
      <c r="F229" s="25" t="n"/>
      <c r="G229" s="25" t="n"/>
      <c r="H229" s="25" t="n"/>
      <c r="I229" s="25" t="n"/>
      <c r="J229" s="25" t="n"/>
      <c r="K229" s="25" t="n"/>
      <c r="L229" s="35" t="n"/>
      <c r="M229" s="40">
        <f>IF(A229="","",IFERROR(INDEX(Applications!$B$2:$B$101,MATCH(A229,Applications!$A$2:$A$101,0))&amp;"",""))</f>
        <v/>
      </c>
      <c r="N229" s="41">
        <f>IF(A229="","",SUMPRODUCT(ISNUMBER(D229:K229)*($D$2:$K$2&gt;0)))</f>
        <v/>
      </c>
      <c r="O229" s="40">
        <f>IF(A229="","",IF(ISNA(MATCH(A229,Applications!$A$2:$A$101,0)),"Check ID",IF(ISNA(MATCH(B229,Settings!$C$13:$C$18,0)),"Check reviewer",IF(LEFT(C229,3)="Yes","Conflict, not counted",IF(COUNTIFS($A$3:A229,A229,$B$3:B229,B229)&gt;1,"Duplicate, not counted",IF(SUM($D$2:$K$2)=0,"Add weights on Rubric",IF(SUMPRODUCT(ISNUMBER(D229:K229)*((D229:K229&gt;4)+(D229:K229&lt;0)))&gt;0,"Check scores",IF(N229&lt;COUNTIF($D$2:$K$2,"&gt;0"),"Incomplete","Counted"))))))))</f>
        <v/>
      </c>
      <c r="P229" s="42">
        <f>IF(O229="Counted",ROUND(SUMPRODUCT(D229:K229,$D$2:$K$2)*100/(4*SUM($D$2:$K$2)),1),"")</f>
        <v/>
      </c>
      <c r="Q229" s="27">
        <f>IF(O229="Counted",1,0)</f>
        <v/>
      </c>
      <c r="R229" s="43">
        <f>IF(ISNUMBER(D229),D229,0)</f>
        <v/>
      </c>
      <c r="S229" s="43">
        <f>IF(ISNUMBER(E229),E229,0)</f>
        <v/>
      </c>
      <c r="T229" s="43">
        <f>IF(ISNUMBER(F229),F229,0)</f>
        <v/>
      </c>
      <c r="U229" s="43">
        <f>IF(ISNUMBER(G229),G229,0)</f>
        <v/>
      </c>
      <c r="V229" s="43">
        <f>IF(ISNUMBER(H229),H229,0)</f>
        <v/>
      </c>
      <c r="W229" s="43">
        <f>IF(ISNUMBER(I229),I229,0)</f>
        <v/>
      </c>
      <c r="X229" s="43">
        <f>IF(ISNUMBER(J229),J229,0)</f>
        <v/>
      </c>
      <c r="Y229" s="43">
        <f>IF(ISNUMBER(K229),K229,0)</f>
        <v/>
      </c>
    </row>
    <row r="230">
      <c r="A230" s="35" t="n"/>
      <c r="B230" s="35" t="n"/>
      <c r="C230" s="35" t="n"/>
      <c r="D230" s="25" t="n"/>
      <c r="E230" s="25" t="n"/>
      <c r="F230" s="25" t="n"/>
      <c r="G230" s="25" t="n"/>
      <c r="H230" s="25" t="n"/>
      <c r="I230" s="25" t="n"/>
      <c r="J230" s="25" t="n"/>
      <c r="K230" s="25" t="n"/>
      <c r="L230" s="35" t="n"/>
      <c r="M230" s="40">
        <f>IF(A230="","",IFERROR(INDEX(Applications!$B$2:$B$101,MATCH(A230,Applications!$A$2:$A$101,0))&amp;"",""))</f>
        <v/>
      </c>
      <c r="N230" s="41">
        <f>IF(A230="","",SUMPRODUCT(ISNUMBER(D230:K230)*($D$2:$K$2&gt;0)))</f>
        <v/>
      </c>
      <c r="O230" s="40">
        <f>IF(A230="","",IF(ISNA(MATCH(A230,Applications!$A$2:$A$101,0)),"Check ID",IF(ISNA(MATCH(B230,Settings!$C$13:$C$18,0)),"Check reviewer",IF(LEFT(C230,3)="Yes","Conflict, not counted",IF(COUNTIFS($A$3:A230,A230,$B$3:B230,B230)&gt;1,"Duplicate, not counted",IF(SUM($D$2:$K$2)=0,"Add weights on Rubric",IF(SUMPRODUCT(ISNUMBER(D230:K230)*((D230:K230&gt;4)+(D230:K230&lt;0)))&gt;0,"Check scores",IF(N230&lt;COUNTIF($D$2:$K$2,"&gt;0"),"Incomplete","Counted"))))))))</f>
        <v/>
      </c>
      <c r="P230" s="42">
        <f>IF(O230="Counted",ROUND(SUMPRODUCT(D230:K230,$D$2:$K$2)*100/(4*SUM($D$2:$K$2)),1),"")</f>
        <v/>
      </c>
      <c r="Q230" s="27">
        <f>IF(O230="Counted",1,0)</f>
        <v/>
      </c>
      <c r="R230" s="43">
        <f>IF(ISNUMBER(D230),D230,0)</f>
        <v/>
      </c>
      <c r="S230" s="43">
        <f>IF(ISNUMBER(E230),E230,0)</f>
        <v/>
      </c>
      <c r="T230" s="43">
        <f>IF(ISNUMBER(F230),F230,0)</f>
        <v/>
      </c>
      <c r="U230" s="43">
        <f>IF(ISNUMBER(G230),G230,0)</f>
        <v/>
      </c>
      <c r="V230" s="43">
        <f>IF(ISNUMBER(H230),H230,0)</f>
        <v/>
      </c>
      <c r="W230" s="43">
        <f>IF(ISNUMBER(I230),I230,0)</f>
        <v/>
      </c>
      <c r="X230" s="43">
        <f>IF(ISNUMBER(J230),J230,0)</f>
        <v/>
      </c>
      <c r="Y230" s="43">
        <f>IF(ISNUMBER(K230),K230,0)</f>
        <v/>
      </c>
    </row>
    <row r="231">
      <c r="A231" s="35" t="n"/>
      <c r="B231" s="35" t="n"/>
      <c r="C231" s="35" t="n"/>
      <c r="D231" s="25" t="n"/>
      <c r="E231" s="25" t="n"/>
      <c r="F231" s="25" t="n"/>
      <c r="G231" s="25" t="n"/>
      <c r="H231" s="25" t="n"/>
      <c r="I231" s="25" t="n"/>
      <c r="J231" s="25" t="n"/>
      <c r="K231" s="25" t="n"/>
      <c r="L231" s="35" t="n"/>
      <c r="M231" s="40">
        <f>IF(A231="","",IFERROR(INDEX(Applications!$B$2:$B$101,MATCH(A231,Applications!$A$2:$A$101,0))&amp;"",""))</f>
        <v/>
      </c>
      <c r="N231" s="41">
        <f>IF(A231="","",SUMPRODUCT(ISNUMBER(D231:K231)*($D$2:$K$2&gt;0)))</f>
        <v/>
      </c>
      <c r="O231" s="40">
        <f>IF(A231="","",IF(ISNA(MATCH(A231,Applications!$A$2:$A$101,0)),"Check ID",IF(ISNA(MATCH(B231,Settings!$C$13:$C$18,0)),"Check reviewer",IF(LEFT(C231,3)="Yes","Conflict, not counted",IF(COUNTIFS($A$3:A231,A231,$B$3:B231,B231)&gt;1,"Duplicate, not counted",IF(SUM($D$2:$K$2)=0,"Add weights on Rubric",IF(SUMPRODUCT(ISNUMBER(D231:K231)*((D231:K231&gt;4)+(D231:K231&lt;0)))&gt;0,"Check scores",IF(N231&lt;COUNTIF($D$2:$K$2,"&gt;0"),"Incomplete","Counted"))))))))</f>
        <v/>
      </c>
      <c r="P231" s="42">
        <f>IF(O231="Counted",ROUND(SUMPRODUCT(D231:K231,$D$2:$K$2)*100/(4*SUM($D$2:$K$2)),1),"")</f>
        <v/>
      </c>
      <c r="Q231" s="27">
        <f>IF(O231="Counted",1,0)</f>
        <v/>
      </c>
      <c r="R231" s="43">
        <f>IF(ISNUMBER(D231),D231,0)</f>
        <v/>
      </c>
      <c r="S231" s="43">
        <f>IF(ISNUMBER(E231),E231,0)</f>
        <v/>
      </c>
      <c r="T231" s="43">
        <f>IF(ISNUMBER(F231),F231,0)</f>
        <v/>
      </c>
      <c r="U231" s="43">
        <f>IF(ISNUMBER(G231),G231,0)</f>
        <v/>
      </c>
      <c r="V231" s="43">
        <f>IF(ISNUMBER(H231),H231,0)</f>
        <v/>
      </c>
      <c r="W231" s="43">
        <f>IF(ISNUMBER(I231),I231,0)</f>
        <v/>
      </c>
      <c r="X231" s="43">
        <f>IF(ISNUMBER(J231),J231,0)</f>
        <v/>
      </c>
      <c r="Y231" s="43">
        <f>IF(ISNUMBER(K231),K231,0)</f>
        <v/>
      </c>
    </row>
    <row r="232">
      <c r="A232" s="35" t="n"/>
      <c r="B232" s="35" t="n"/>
      <c r="C232" s="35" t="n"/>
      <c r="D232" s="25" t="n"/>
      <c r="E232" s="25" t="n"/>
      <c r="F232" s="25" t="n"/>
      <c r="G232" s="25" t="n"/>
      <c r="H232" s="25" t="n"/>
      <c r="I232" s="25" t="n"/>
      <c r="J232" s="25" t="n"/>
      <c r="K232" s="25" t="n"/>
      <c r="L232" s="35" t="n"/>
      <c r="M232" s="40">
        <f>IF(A232="","",IFERROR(INDEX(Applications!$B$2:$B$101,MATCH(A232,Applications!$A$2:$A$101,0))&amp;"",""))</f>
        <v/>
      </c>
      <c r="N232" s="41">
        <f>IF(A232="","",SUMPRODUCT(ISNUMBER(D232:K232)*($D$2:$K$2&gt;0)))</f>
        <v/>
      </c>
      <c r="O232" s="40">
        <f>IF(A232="","",IF(ISNA(MATCH(A232,Applications!$A$2:$A$101,0)),"Check ID",IF(ISNA(MATCH(B232,Settings!$C$13:$C$18,0)),"Check reviewer",IF(LEFT(C232,3)="Yes","Conflict, not counted",IF(COUNTIFS($A$3:A232,A232,$B$3:B232,B232)&gt;1,"Duplicate, not counted",IF(SUM($D$2:$K$2)=0,"Add weights on Rubric",IF(SUMPRODUCT(ISNUMBER(D232:K232)*((D232:K232&gt;4)+(D232:K232&lt;0)))&gt;0,"Check scores",IF(N232&lt;COUNTIF($D$2:$K$2,"&gt;0"),"Incomplete","Counted"))))))))</f>
        <v/>
      </c>
      <c r="P232" s="42">
        <f>IF(O232="Counted",ROUND(SUMPRODUCT(D232:K232,$D$2:$K$2)*100/(4*SUM($D$2:$K$2)),1),"")</f>
        <v/>
      </c>
      <c r="Q232" s="27">
        <f>IF(O232="Counted",1,0)</f>
        <v/>
      </c>
      <c r="R232" s="43">
        <f>IF(ISNUMBER(D232),D232,0)</f>
        <v/>
      </c>
      <c r="S232" s="43">
        <f>IF(ISNUMBER(E232),E232,0)</f>
        <v/>
      </c>
      <c r="T232" s="43">
        <f>IF(ISNUMBER(F232),F232,0)</f>
        <v/>
      </c>
      <c r="U232" s="43">
        <f>IF(ISNUMBER(G232),G232,0)</f>
        <v/>
      </c>
      <c r="V232" s="43">
        <f>IF(ISNUMBER(H232),H232,0)</f>
        <v/>
      </c>
      <c r="W232" s="43">
        <f>IF(ISNUMBER(I232),I232,0)</f>
        <v/>
      </c>
      <c r="X232" s="43">
        <f>IF(ISNUMBER(J232),J232,0)</f>
        <v/>
      </c>
      <c r="Y232" s="43">
        <f>IF(ISNUMBER(K232),K232,0)</f>
        <v/>
      </c>
    </row>
    <row r="233">
      <c r="A233" s="35" t="n"/>
      <c r="B233" s="35" t="n"/>
      <c r="C233" s="35" t="n"/>
      <c r="D233" s="25" t="n"/>
      <c r="E233" s="25" t="n"/>
      <c r="F233" s="25" t="n"/>
      <c r="G233" s="25" t="n"/>
      <c r="H233" s="25" t="n"/>
      <c r="I233" s="25" t="n"/>
      <c r="J233" s="25" t="n"/>
      <c r="K233" s="25" t="n"/>
      <c r="L233" s="35" t="n"/>
      <c r="M233" s="40">
        <f>IF(A233="","",IFERROR(INDEX(Applications!$B$2:$B$101,MATCH(A233,Applications!$A$2:$A$101,0))&amp;"",""))</f>
        <v/>
      </c>
      <c r="N233" s="41">
        <f>IF(A233="","",SUMPRODUCT(ISNUMBER(D233:K233)*($D$2:$K$2&gt;0)))</f>
        <v/>
      </c>
      <c r="O233" s="40">
        <f>IF(A233="","",IF(ISNA(MATCH(A233,Applications!$A$2:$A$101,0)),"Check ID",IF(ISNA(MATCH(B233,Settings!$C$13:$C$18,0)),"Check reviewer",IF(LEFT(C233,3)="Yes","Conflict, not counted",IF(COUNTIFS($A$3:A233,A233,$B$3:B233,B233)&gt;1,"Duplicate, not counted",IF(SUM($D$2:$K$2)=0,"Add weights on Rubric",IF(SUMPRODUCT(ISNUMBER(D233:K233)*((D233:K233&gt;4)+(D233:K233&lt;0)))&gt;0,"Check scores",IF(N233&lt;COUNTIF($D$2:$K$2,"&gt;0"),"Incomplete","Counted"))))))))</f>
        <v/>
      </c>
      <c r="P233" s="42">
        <f>IF(O233="Counted",ROUND(SUMPRODUCT(D233:K233,$D$2:$K$2)*100/(4*SUM($D$2:$K$2)),1),"")</f>
        <v/>
      </c>
      <c r="Q233" s="27">
        <f>IF(O233="Counted",1,0)</f>
        <v/>
      </c>
      <c r="R233" s="43">
        <f>IF(ISNUMBER(D233),D233,0)</f>
        <v/>
      </c>
      <c r="S233" s="43">
        <f>IF(ISNUMBER(E233),E233,0)</f>
        <v/>
      </c>
      <c r="T233" s="43">
        <f>IF(ISNUMBER(F233),F233,0)</f>
        <v/>
      </c>
      <c r="U233" s="43">
        <f>IF(ISNUMBER(G233),G233,0)</f>
        <v/>
      </c>
      <c r="V233" s="43">
        <f>IF(ISNUMBER(H233),H233,0)</f>
        <v/>
      </c>
      <c r="W233" s="43">
        <f>IF(ISNUMBER(I233),I233,0)</f>
        <v/>
      </c>
      <c r="X233" s="43">
        <f>IF(ISNUMBER(J233),J233,0)</f>
        <v/>
      </c>
      <c r="Y233" s="43">
        <f>IF(ISNUMBER(K233),K233,0)</f>
        <v/>
      </c>
    </row>
    <row r="234">
      <c r="A234" s="35" t="n"/>
      <c r="B234" s="35" t="n"/>
      <c r="C234" s="35" t="n"/>
      <c r="D234" s="25" t="n"/>
      <c r="E234" s="25" t="n"/>
      <c r="F234" s="25" t="n"/>
      <c r="G234" s="25" t="n"/>
      <c r="H234" s="25" t="n"/>
      <c r="I234" s="25" t="n"/>
      <c r="J234" s="25" t="n"/>
      <c r="K234" s="25" t="n"/>
      <c r="L234" s="35" t="n"/>
      <c r="M234" s="40">
        <f>IF(A234="","",IFERROR(INDEX(Applications!$B$2:$B$101,MATCH(A234,Applications!$A$2:$A$101,0))&amp;"",""))</f>
        <v/>
      </c>
      <c r="N234" s="41">
        <f>IF(A234="","",SUMPRODUCT(ISNUMBER(D234:K234)*($D$2:$K$2&gt;0)))</f>
        <v/>
      </c>
      <c r="O234" s="40">
        <f>IF(A234="","",IF(ISNA(MATCH(A234,Applications!$A$2:$A$101,0)),"Check ID",IF(ISNA(MATCH(B234,Settings!$C$13:$C$18,0)),"Check reviewer",IF(LEFT(C234,3)="Yes","Conflict, not counted",IF(COUNTIFS($A$3:A234,A234,$B$3:B234,B234)&gt;1,"Duplicate, not counted",IF(SUM($D$2:$K$2)=0,"Add weights on Rubric",IF(SUMPRODUCT(ISNUMBER(D234:K234)*((D234:K234&gt;4)+(D234:K234&lt;0)))&gt;0,"Check scores",IF(N234&lt;COUNTIF($D$2:$K$2,"&gt;0"),"Incomplete","Counted"))))))))</f>
        <v/>
      </c>
      <c r="P234" s="42">
        <f>IF(O234="Counted",ROUND(SUMPRODUCT(D234:K234,$D$2:$K$2)*100/(4*SUM($D$2:$K$2)),1),"")</f>
        <v/>
      </c>
      <c r="Q234" s="27">
        <f>IF(O234="Counted",1,0)</f>
        <v/>
      </c>
      <c r="R234" s="43">
        <f>IF(ISNUMBER(D234),D234,0)</f>
        <v/>
      </c>
      <c r="S234" s="43">
        <f>IF(ISNUMBER(E234),E234,0)</f>
        <v/>
      </c>
      <c r="T234" s="43">
        <f>IF(ISNUMBER(F234),F234,0)</f>
        <v/>
      </c>
      <c r="U234" s="43">
        <f>IF(ISNUMBER(G234),G234,0)</f>
        <v/>
      </c>
      <c r="V234" s="43">
        <f>IF(ISNUMBER(H234),H234,0)</f>
        <v/>
      </c>
      <c r="W234" s="43">
        <f>IF(ISNUMBER(I234),I234,0)</f>
        <v/>
      </c>
      <c r="X234" s="43">
        <f>IF(ISNUMBER(J234),J234,0)</f>
        <v/>
      </c>
      <c r="Y234" s="43">
        <f>IF(ISNUMBER(K234),K234,0)</f>
        <v/>
      </c>
    </row>
    <row r="235">
      <c r="A235" s="35" t="n"/>
      <c r="B235" s="35" t="n"/>
      <c r="C235" s="35" t="n"/>
      <c r="D235" s="25" t="n"/>
      <c r="E235" s="25" t="n"/>
      <c r="F235" s="25" t="n"/>
      <c r="G235" s="25" t="n"/>
      <c r="H235" s="25" t="n"/>
      <c r="I235" s="25" t="n"/>
      <c r="J235" s="25" t="n"/>
      <c r="K235" s="25" t="n"/>
      <c r="L235" s="35" t="n"/>
      <c r="M235" s="40">
        <f>IF(A235="","",IFERROR(INDEX(Applications!$B$2:$B$101,MATCH(A235,Applications!$A$2:$A$101,0))&amp;"",""))</f>
        <v/>
      </c>
      <c r="N235" s="41">
        <f>IF(A235="","",SUMPRODUCT(ISNUMBER(D235:K235)*($D$2:$K$2&gt;0)))</f>
        <v/>
      </c>
      <c r="O235" s="40">
        <f>IF(A235="","",IF(ISNA(MATCH(A235,Applications!$A$2:$A$101,0)),"Check ID",IF(ISNA(MATCH(B235,Settings!$C$13:$C$18,0)),"Check reviewer",IF(LEFT(C235,3)="Yes","Conflict, not counted",IF(COUNTIFS($A$3:A235,A235,$B$3:B235,B235)&gt;1,"Duplicate, not counted",IF(SUM($D$2:$K$2)=0,"Add weights on Rubric",IF(SUMPRODUCT(ISNUMBER(D235:K235)*((D235:K235&gt;4)+(D235:K235&lt;0)))&gt;0,"Check scores",IF(N235&lt;COUNTIF($D$2:$K$2,"&gt;0"),"Incomplete","Counted"))))))))</f>
        <v/>
      </c>
      <c r="P235" s="42">
        <f>IF(O235="Counted",ROUND(SUMPRODUCT(D235:K235,$D$2:$K$2)*100/(4*SUM($D$2:$K$2)),1),"")</f>
        <v/>
      </c>
      <c r="Q235" s="27">
        <f>IF(O235="Counted",1,0)</f>
        <v/>
      </c>
      <c r="R235" s="43">
        <f>IF(ISNUMBER(D235),D235,0)</f>
        <v/>
      </c>
      <c r="S235" s="43">
        <f>IF(ISNUMBER(E235),E235,0)</f>
        <v/>
      </c>
      <c r="T235" s="43">
        <f>IF(ISNUMBER(F235),F235,0)</f>
        <v/>
      </c>
      <c r="U235" s="43">
        <f>IF(ISNUMBER(G235),G235,0)</f>
        <v/>
      </c>
      <c r="V235" s="43">
        <f>IF(ISNUMBER(H235),H235,0)</f>
        <v/>
      </c>
      <c r="W235" s="43">
        <f>IF(ISNUMBER(I235),I235,0)</f>
        <v/>
      </c>
      <c r="X235" s="43">
        <f>IF(ISNUMBER(J235),J235,0)</f>
        <v/>
      </c>
      <c r="Y235" s="43">
        <f>IF(ISNUMBER(K235),K235,0)</f>
        <v/>
      </c>
    </row>
    <row r="236">
      <c r="A236" s="35" t="n"/>
      <c r="B236" s="35" t="n"/>
      <c r="C236" s="35" t="n"/>
      <c r="D236" s="25" t="n"/>
      <c r="E236" s="25" t="n"/>
      <c r="F236" s="25" t="n"/>
      <c r="G236" s="25" t="n"/>
      <c r="H236" s="25" t="n"/>
      <c r="I236" s="25" t="n"/>
      <c r="J236" s="25" t="n"/>
      <c r="K236" s="25" t="n"/>
      <c r="L236" s="35" t="n"/>
      <c r="M236" s="40">
        <f>IF(A236="","",IFERROR(INDEX(Applications!$B$2:$B$101,MATCH(A236,Applications!$A$2:$A$101,0))&amp;"",""))</f>
        <v/>
      </c>
      <c r="N236" s="41">
        <f>IF(A236="","",SUMPRODUCT(ISNUMBER(D236:K236)*($D$2:$K$2&gt;0)))</f>
        <v/>
      </c>
      <c r="O236" s="40">
        <f>IF(A236="","",IF(ISNA(MATCH(A236,Applications!$A$2:$A$101,0)),"Check ID",IF(ISNA(MATCH(B236,Settings!$C$13:$C$18,0)),"Check reviewer",IF(LEFT(C236,3)="Yes","Conflict, not counted",IF(COUNTIFS($A$3:A236,A236,$B$3:B236,B236)&gt;1,"Duplicate, not counted",IF(SUM($D$2:$K$2)=0,"Add weights on Rubric",IF(SUMPRODUCT(ISNUMBER(D236:K236)*((D236:K236&gt;4)+(D236:K236&lt;0)))&gt;0,"Check scores",IF(N236&lt;COUNTIF($D$2:$K$2,"&gt;0"),"Incomplete","Counted"))))))))</f>
        <v/>
      </c>
      <c r="P236" s="42">
        <f>IF(O236="Counted",ROUND(SUMPRODUCT(D236:K236,$D$2:$K$2)*100/(4*SUM($D$2:$K$2)),1),"")</f>
        <v/>
      </c>
      <c r="Q236" s="27">
        <f>IF(O236="Counted",1,0)</f>
        <v/>
      </c>
      <c r="R236" s="43">
        <f>IF(ISNUMBER(D236),D236,0)</f>
        <v/>
      </c>
      <c r="S236" s="43">
        <f>IF(ISNUMBER(E236),E236,0)</f>
        <v/>
      </c>
      <c r="T236" s="43">
        <f>IF(ISNUMBER(F236),F236,0)</f>
        <v/>
      </c>
      <c r="U236" s="43">
        <f>IF(ISNUMBER(G236),G236,0)</f>
        <v/>
      </c>
      <c r="V236" s="43">
        <f>IF(ISNUMBER(H236),H236,0)</f>
        <v/>
      </c>
      <c r="W236" s="43">
        <f>IF(ISNUMBER(I236),I236,0)</f>
        <v/>
      </c>
      <c r="X236" s="43">
        <f>IF(ISNUMBER(J236),J236,0)</f>
        <v/>
      </c>
      <c r="Y236" s="43">
        <f>IF(ISNUMBER(K236),K236,0)</f>
        <v/>
      </c>
    </row>
    <row r="237">
      <c r="A237" s="35" t="n"/>
      <c r="B237" s="35" t="n"/>
      <c r="C237" s="35" t="n"/>
      <c r="D237" s="25" t="n"/>
      <c r="E237" s="25" t="n"/>
      <c r="F237" s="25" t="n"/>
      <c r="G237" s="25" t="n"/>
      <c r="H237" s="25" t="n"/>
      <c r="I237" s="25" t="n"/>
      <c r="J237" s="25" t="n"/>
      <c r="K237" s="25" t="n"/>
      <c r="L237" s="35" t="n"/>
      <c r="M237" s="40">
        <f>IF(A237="","",IFERROR(INDEX(Applications!$B$2:$B$101,MATCH(A237,Applications!$A$2:$A$101,0))&amp;"",""))</f>
        <v/>
      </c>
      <c r="N237" s="41">
        <f>IF(A237="","",SUMPRODUCT(ISNUMBER(D237:K237)*($D$2:$K$2&gt;0)))</f>
        <v/>
      </c>
      <c r="O237" s="40">
        <f>IF(A237="","",IF(ISNA(MATCH(A237,Applications!$A$2:$A$101,0)),"Check ID",IF(ISNA(MATCH(B237,Settings!$C$13:$C$18,0)),"Check reviewer",IF(LEFT(C237,3)="Yes","Conflict, not counted",IF(COUNTIFS($A$3:A237,A237,$B$3:B237,B237)&gt;1,"Duplicate, not counted",IF(SUM($D$2:$K$2)=0,"Add weights on Rubric",IF(SUMPRODUCT(ISNUMBER(D237:K237)*((D237:K237&gt;4)+(D237:K237&lt;0)))&gt;0,"Check scores",IF(N237&lt;COUNTIF($D$2:$K$2,"&gt;0"),"Incomplete","Counted"))))))))</f>
        <v/>
      </c>
      <c r="P237" s="42">
        <f>IF(O237="Counted",ROUND(SUMPRODUCT(D237:K237,$D$2:$K$2)*100/(4*SUM($D$2:$K$2)),1),"")</f>
        <v/>
      </c>
      <c r="Q237" s="27">
        <f>IF(O237="Counted",1,0)</f>
        <v/>
      </c>
      <c r="R237" s="43">
        <f>IF(ISNUMBER(D237),D237,0)</f>
        <v/>
      </c>
      <c r="S237" s="43">
        <f>IF(ISNUMBER(E237),E237,0)</f>
        <v/>
      </c>
      <c r="T237" s="43">
        <f>IF(ISNUMBER(F237),F237,0)</f>
        <v/>
      </c>
      <c r="U237" s="43">
        <f>IF(ISNUMBER(G237),G237,0)</f>
        <v/>
      </c>
      <c r="V237" s="43">
        <f>IF(ISNUMBER(H237),H237,0)</f>
        <v/>
      </c>
      <c r="W237" s="43">
        <f>IF(ISNUMBER(I237),I237,0)</f>
        <v/>
      </c>
      <c r="X237" s="43">
        <f>IF(ISNUMBER(J237),J237,0)</f>
        <v/>
      </c>
      <c r="Y237" s="43">
        <f>IF(ISNUMBER(K237),K237,0)</f>
        <v/>
      </c>
    </row>
    <row r="238">
      <c r="A238" s="35" t="n"/>
      <c r="B238" s="35" t="n"/>
      <c r="C238" s="35" t="n"/>
      <c r="D238" s="25" t="n"/>
      <c r="E238" s="25" t="n"/>
      <c r="F238" s="25" t="n"/>
      <c r="G238" s="25" t="n"/>
      <c r="H238" s="25" t="n"/>
      <c r="I238" s="25" t="n"/>
      <c r="J238" s="25" t="n"/>
      <c r="K238" s="25" t="n"/>
      <c r="L238" s="35" t="n"/>
      <c r="M238" s="40">
        <f>IF(A238="","",IFERROR(INDEX(Applications!$B$2:$B$101,MATCH(A238,Applications!$A$2:$A$101,0))&amp;"",""))</f>
        <v/>
      </c>
      <c r="N238" s="41">
        <f>IF(A238="","",SUMPRODUCT(ISNUMBER(D238:K238)*($D$2:$K$2&gt;0)))</f>
        <v/>
      </c>
      <c r="O238" s="40">
        <f>IF(A238="","",IF(ISNA(MATCH(A238,Applications!$A$2:$A$101,0)),"Check ID",IF(ISNA(MATCH(B238,Settings!$C$13:$C$18,0)),"Check reviewer",IF(LEFT(C238,3)="Yes","Conflict, not counted",IF(COUNTIFS($A$3:A238,A238,$B$3:B238,B238)&gt;1,"Duplicate, not counted",IF(SUM($D$2:$K$2)=0,"Add weights on Rubric",IF(SUMPRODUCT(ISNUMBER(D238:K238)*((D238:K238&gt;4)+(D238:K238&lt;0)))&gt;0,"Check scores",IF(N238&lt;COUNTIF($D$2:$K$2,"&gt;0"),"Incomplete","Counted"))))))))</f>
        <v/>
      </c>
      <c r="P238" s="42">
        <f>IF(O238="Counted",ROUND(SUMPRODUCT(D238:K238,$D$2:$K$2)*100/(4*SUM($D$2:$K$2)),1),"")</f>
        <v/>
      </c>
      <c r="Q238" s="27">
        <f>IF(O238="Counted",1,0)</f>
        <v/>
      </c>
      <c r="R238" s="43">
        <f>IF(ISNUMBER(D238),D238,0)</f>
        <v/>
      </c>
      <c r="S238" s="43">
        <f>IF(ISNUMBER(E238),E238,0)</f>
        <v/>
      </c>
      <c r="T238" s="43">
        <f>IF(ISNUMBER(F238),F238,0)</f>
        <v/>
      </c>
      <c r="U238" s="43">
        <f>IF(ISNUMBER(G238),G238,0)</f>
        <v/>
      </c>
      <c r="V238" s="43">
        <f>IF(ISNUMBER(H238),H238,0)</f>
        <v/>
      </c>
      <c r="W238" s="43">
        <f>IF(ISNUMBER(I238),I238,0)</f>
        <v/>
      </c>
      <c r="X238" s="43">
        <f>IF(ISNUMBER(J238),J238,0)</f>
        <v/>
      </c>
      <c r="Y238" s="43">
        <f>IF(ISNUMBER(K238),K238,0)</f>
        <v/>
      </c>
    </row>
    <row r="239">
      <c r="A239" s="35" t="n"/>
      <c r="B239" s="35" t="n"/>
      <c r="C239" s="35" t="n"/>
      <c r="D239" s="25" t="n"/>
      <c r="E239" s="25" t="n"/>
      <c r="F239" s="25" t="n"/>
      <c r="G239" s="25" t="n"/>
      <c r="H239" s="25" t="n"/>
      <c r="I239" s="25" t="n"/>
      <c r="J239" s="25" t="n"/>
      <c r="K239" s="25" t="n"/>
      <c r="L239" s="35" t="n"/>
      <c r="M239" s="40">
        <f>IF(A239="","",IFERROR(INDEX(Applications!$B$2:$B$101,MATCH(A239,Applications!$A$2:$A$101,0))&amp;"",""))</f>
        <v/>
      </c>
      <c r="N239" s="41">
        <f>IF(A239="","",SUMPRODUCT(ISNUMBER(D239:K239)*($D$2:$K$2&gt;0)))</f>
        <v/>
      </c>
      <c r="O239" s="40">
        <f>IF(A239="","",IF(ISNA(MATCH(A239,Applications!$A$2:$A$101,0)),"Check ID",IF(ISNA(MATCH(B239,Settings!$C$13:$C$18,0)),"Check reviewer",IF(LEFT(C239,3)="Yes","Conflict, not counted",IF(COUNTIFS($A$3:A239,A239,$B$3:B239,B239)&gt;1,"Duplicate, not counted",IF(SUM($D$2:$K$2)=0,"Add weights on Rubric",IF(SUMPRODUCT(ISNUMBER(D239:K239)*((D239:K239&gt;4)+(D239:K239&lt;0)))&gt;0,"Check scores",IF(N239&lt;COUNTIF($D$2:$K$2,"&gt;0"),"Incomplete","Counted"))))))))</f>
        <v/>
      </c>
      <c r="P239" s="42">
        <f>IF(O239="Counted",ROUND(SUMPRODUCT(D239:K239,$D$2:$K$2)*100/(4*SUM($D$2:$K$2)),1),"")</f>
        <v/>
      </c>
      <c r="Q239" s="27">
        <f>IF(O239="Counted",1,0)</f>
        <v/>
      </c>
      <c r="R239" s="43">
        <f>IF(ISNUMBER(D239),D239,0)</f>
        <v/>
      </c>
      <c r="S239" s="43">
        <f>IF(ISNUMBER(E239),E239,0)</f>
        <v/>
      </c>
      <c r="T239" s="43">
        <f>IF(ISNUMBER(F239),F239,0)</f>
        <v/>
      </c>
      <c r="U239" s="43">
        <f>IF(ISNUMBER(G239),G239,0)</f>
        <v/>
      </c>
      <c r="V239" s="43">
        <f>IF(ISNUMBER(H239),H239,0)</f>
        <v/>
      </c>
      <c r="W239" s="43">
        <f>IF(ISNUMBER(I239),I239,0)</f>
        <v/>
      </c>
      <c r="X239" s="43">
        <f>IF(ISNUMBER(J239),J239,0)</f>
        <v/>
      </c>
      <c r="Y239" s="43">
        <f>IF(ISNUMBER(K239),K239,0)</f>
        <v/>
      </c>
    </row>
    <row r="240">
      <c r="A240" s="35" t="n"/>
      <c r="B240" s="35" t="n"/>
      <c r="C240" s="35" t="n"/>
      <c r="D240" s="25" t="n"/>
      <c r="E240" s="25" t="n"/>
      <c r="F240" s="25" t="n"/>
      <c r="G240" s="25" t="n"/>
      <c r="H240" s="25" t="n"/>
      <c r="I240" s="25" t="n"/>
      <c r="J240" s="25" t="n"/>
      <c r="K240" s="25" t="n"/>
      <c r="L240" s="35" t="n"/>
      <c r="M240" s="40">
        <f>IF(A240="","",IFERROR(INDEX(Applications!$B$2:$B$101,MATCH(A240,Applications!$A$2:$A$101,0))&amp;"",""))</f>
        <v/>
      </c>
      <c r="N240" s="41">
        <f>IF(A240="","",SUMPRODUCT(ISNUMBER(D240:K240)*($D$2:$K$2&gt;0)))</f>
        <v/>
      </c>
      <c r="O240" s="40">
        <f>IF(A240="","",IF(ISNA(MATCH(A240,Applications!$A$2:$A$101,0)),"Check ID",IF(ISNA(MATCH(B240,Settings!$C$13:$C$18,0)),"Check reviewer",IF(LEFT(C240,3)="Yes","Conflict, not counted",IF(COUNTIFS($A$3:A240,A240,$B$3:B240,B240)&gt;1,"Duplicate, not counted",IF(SUM($D$2:$K$2)=0,"Add weights on Rubric",IF(SUMPRODUCT(ISNUMBER(D240:K240)*((D240:K240&gt;4)+(D240:K240&lt;0)))&gt;0,"Check scores",IF(N240&lt;COUNTIF($D$2:$K$2,"&gt;0"),"Incomplete","Counted"))))))))</f>
        <v/>
      </c>
      <c r="P240" s="42">
        <f>IF(O240="Counted",ROUND(SUMPRODUCT(D240:K240,$D$2:$K$2)*100/(4*SUM($D$2:$K$2)),1),"")</f>
        <v/>
      </c>
      <c r="Q240" s="27">
        <f>IF(O240="Counted",1,0)</f>
        <v/>
      </c>
      <c r="R240" s="43">
        <f>IF(ISNUMBER(D240),D240,0)</f>
        <v/>
      </c>
      <c r="S240" s="43">
        <f>IF(ISNUMBER(E240),E240,0)</f>
        <v/>
      </c>
      <c r="T240" s="43">
        <f>IF(ISNUMBER(F240),F240,0)</f>
        <v/>
      </c>
      <c r="U240" s="43">
        <f>IF(ISNUMBER(G240),G240,0)</f>
        <v/>
      </c>
      <c r="V240" s="43">
        <f>IF(ISNUMBER(H240),H240,0)</f>
        <v/>
      </c>
      <c r="W240" s="43">
        <f>IF(ISNUMBER(I240),I240,0)</f>
        <v/>
      </c>
      <c r="X240" s="43">
        <f>IF(ISNUMBER(J240),J240,0)</f>
        <v/>
      </c>
      <c r="Y240" s="43">
        <f>IF(ISNUMBER(K240),K240,0)</f>
        <v/>
      </c>
    </row>
    <row r="241">
      <c r="A241" s="35" t="n"/>
      <c r="B241" s="35" t="n"/>
      <c r="C241" s="35" t="n"/>
      <c r="D241" s="25" t="n"/>
      <c r="E241" s="25" t="n"/>
      <c r="F241" s="25" t="n"/>
      <c r="G241" s="25" t="n"/>
      <c r="H241" s="25" t="n"/>
      <c r="I241" s="25" t="n"/>
      <c r="J241" s="25" t="n"/>
      <c r="K241" s="25" t="n"/>
      <c r="L241" s="35" t="n"/>
      <c r="M241" s="40">
        <f>IF(A241="","",IFERROR(INDEX(Applications!$B$2:$B$101,MATCH(A241,Applications!$A$2:$A$101,0))&amp;"",""))</f>
        <v/>
      </c>
      <c r="N241" s="41">
        <f>IF(A241="","",SUMPRODUCT(ISNUMBER(D241:K241)*($D$2:$K$2&gt;0)))</f>
        <v/>
      </c>
      <c r="O241" s="40">
        <f>IF(A241="","",IF(ISNA(MATCH(A241,Applications!$A$2:$A$101,0)),"Check ID",IF(ISNA(MATCH(B241,Settings!$C$13:$C$18,0)),"Check reviewer",IF(LEFT(C241,3)="Yes","Conflict, not counted",IF(COUNTIFS($A$3:A241,A241,$B$3:B241,B241)&gt;1,"Duplicate, not counted",IF(SUM($D$2:$K$2)=0,"Add weights on Rubric",IF(SUMPRODUCT(ISNUMBER(D241:K241)*((D241:K241&gt;4)+(D241:K241&lt;0)))&gt;0,"Check scores",IF(N241&lt;COUNTIF($D$2:$K$2,"&gt;0"),"Incomplete","Counted"))))))))</f>
        <v/>
      </c>
      <c r="P241" s="42">
        <f>IF(O241="Counted",ROUND(SUMPRODUCT(D241:K241,$D$2:$K$2)*100/(4*SUM($D$2:$K$2)),1),"")</f>
        <v/>
      </c>
      <c r="Q241" s="27">
        <f>IF(O241="Counted",1,0)</f>
        <v/>
      </c>
      <c r="R241" s="43">
        <f>IF(ISNUMBER(D241),D241,0)</f>
        <v/>
      </c>
      <c r="S241" s="43">
        <f>IF(ISNUMBER(E241),E241,0)</f>
        <v/>
      </c>
      <c r="T241" s="43">
        <f>IF(ISNUMBER(F241),F241,0)</f>
        <v/>
      </c>
      <c r="U241" s="43">
        <f>IF(ISNUMBER(G241),G241,0)</f>
        <v/>
      </c>
      <c r="V241" s="43">
        <f>IF(ISNUMBER(H241),H241,0)</f>
        <v/>
      </c>
      <c r="W241" s="43">
        <f>IF(ISNUMBER(I241),I241,0)</f>
        <v/>
      </c>
      <c r="X241" s="43">
        <f>IF(ISNUMBER(J241),J241,0)</f>
        <v/>
      </c>
      <c r="Y241" s="43">
        <f>IF(ISNUMBER(K241),K241,0)</f>
        <v/>
      </c>
    </row>
    <row r="242">
      <c r="A242" s="35" t="n"/>
      <c r="B242" s="35" t="n"/>
      <c r="C242" s="35" t="n"/>
      <c r="D242" s="25" t="n"/>
      <c r="E242" s="25" t="n"/>
      <c r="F242" s="25" t="n"/>
      <c r="G242" s="25" t="n"/>
      <c r="H242" s="25" t="n"/>
      <c r="I242" s="25" t="n"/>
      <c r="J242" s="25" t="n"/>
      <c r="K242" s="25" t="n"/>
      <c r="L242" s="35" t="n"/>
      <c r="M242" s="40">
        <f>IF(A242="","",IFERROR(INDEX(Applications!$B$2:$B$101,MATCH(A242,Applications!$A$2:$A$101,0))&amp;"",""))</f>
        <v/>
      </c>
      <c r="N242" s="41">
        <f>IF(A242="","",SUMPRODUCT(ISNUMBER(D242:K242)*($D$2:$K$2&gt;0)))</f>
        <v/>
      </c>
      <c r="O242" s="40">
        <f>IF(A242="","",IF(ISNA(MATCH(A242,Applications!$A$2:$A$101,0)),"Check ID",IF(ISNA(MATCH(B242,Settings!$C$13:$C$18,0)),"Check reviewer",IF(LEFT(C242,3)="Yes","Conflict, not counted",IF(COUNTIFS($A$3:A242,A242,$B$3:B242,B242)&gt;1,"Duplicate, not counted",IF(SUM($D$2:$K$2)=0,"Add weights on Rubric",IF(SUMPRODUCT(ISNUMBER(D242:K242)*((D242:K242&gt;4)+(D242:K242&lt;0)))&gt;0,"Check scores",IF(N242&lt;COUNTIF($D$2:$K$2,"&gt;0"),"Incomplete","Counted"))))))))</f>
        <v/>
      </c>
      <c r="P242" s="42">
        <f>IF(O242="Counted",ROUND(SUMPRODUCT(D242:K242,$D$2:$K$2)*100/(4*SUM($D$2:$K$2)),1),"")</f>
        <v/>
      </c>
      <c r="Q242" s="27">
        <f>IF(O242="Counted",1,0)</f>
        <v/>
      </c>
      <c r="R242" s="43">
        <f>IF(ISNUMBER(D242),D242,0)</f>
        <v/>
      </c>
      <c r="S242" s="43">
        <f>IF(ISNUMBER(E242),E242,0)</f>
        <v/>
      </c>
      <c r="T242" s="43">
        <f>IF(ISNUMBER(F242),F242,0)</f>
        <v/>
      </c>
      <c r="U242" s="43">
        <f>IF(ISNUMBER(G242),G242,0)</f>
        <v/>
      </c>
      <c r="V242" s="43">
        <f>IF(ISNUMBER(H242),H242,0)</f>
        <v/>
      </c>
      <c r="W242" s="43">
        <f>IF(ISNUMBER(I242),I242,0)</f>
        <v/>
      </c>
      <c r="X242" s="43">
        <f>IF(ISNUMBER(J242),J242,0)</f>
        <v/>
      </c>
      <c r="Y242" s="43">
        <f>IF(ISNUMBER(K242),K242,0)</f>
        <v/>
      </c>
    </row>
    <row r="243">
      <c r="A243" s="35" t="n"/>
      <c r="B243" s="35" t="n"/>
      <c r="C243" s="35" t="n"/>
      <c r="D243" s="25" t="n"/>
      <c r="E243" s="25" t="n"/>
      <c r="F243" s="25" t="n"/>
      <c r="G243" s="25" t="n"/>
      <c r="H243" s="25" t="n"/>
      <c r="I243" s="25" t="n"/>
      <c r="J243" s="25" t="n"/>
      <c r="K243" s="25" t="n"/>
      <c r="L243" s="35" t="n"/>
      <c r="M243" s="40">
        <f>IF(A243="","",IFERROR(INDEX(Applications!$B$2:$B$101,MATCH(A243,Applications!$A$2:$A$101,0))&amp;"",""))</f>
        <v/>
      </c>
      <c r="N243" s="41">
        <f>IF(A243="","",SUMPRODUCT(ISNUMBER(D243:K243)*($D$2:$K$2&gt;0)))</f>
        <v/>
      </c>
      <c r="O243" s="40">
        <f>IF(A243="","",IF(ISNA(MATCH(A243,Applications!$A$2:$A$101,0)),"Check ID",IF(ISNA(MATCH(B243,Settings!$C$13:$C$18,0)),"Check reviewer",IF(LEFT(C243,3)="Yes","Conflict, not counted",IF(COUNTIFS($A$3:A243,A243,$B$3:B243,B243)&gt;1,"Duplicate, not counted",IF(SUM($D$2:$K$2)=0,"Add weights on Rubric",IF(SUMPRODUCT(ISNUMBER(D243:K243)*((D243:K243&gt;4)+(D243:K243&lt;0)))&gt;0,"Check scores",IF(N243&lt;COUNTIF($D$2:$K$2,"&gt;0"),"Incomplete","Counted"))))))))</f>
        <v/>
      </c>
      <c r="P243" s="42">
        <f>IF(O243="Counted",ROUND(SUMPRODUCT(D243:K243,$D$2:$K$2)*100/(4*SUM($D$2:$K$2)),1),"")</f>
        <v/>
      </c>
      <c r="Q243" s="27">
        <f>IF(O243="Counted",1,0)</f>
        <v/>
      </c>
      <c r="R243" s="43">
        <f>IF(ISNUMBER(D243),D243,0)</f>
        <v/>
      </c>
      <c r="S243" s="43">
        <f>IF(ISNUMBER(E243),E243,0)</f>
        <v/>
      </c>
      <c r="T243" s="43">
        <f>IF(ISNUMBER(F243),F243,0)</f>
        <v/>
      </c>
      <c r="U243" s="43">
        <f>IF(ISNUMBER(G243),G243,0)</f>
        <v/>
      </c>
      <c r="V243" s="43">
        <f>IF(ISNUMBER(H243),H243,0)</f>
        <v/>
      </c>
      <c r="W243" s="43">
        <f>IF(ISNUMBER(I243),I243,0)</f>
        <v/>
      </c>
      <c r="X243" s="43">
        <f>IF(ISNUMBER(J243),J243,0)</f>
        <v/>
      </c>
      <c r="Y243" s="43">
        <f>IF(ISNUMBER(K243),K243,0)</f>
        <v/>
      </c>
    </row>
    <row r="244">
      <c r="A244" s="35" t="n"/>
      <c r="B244" s="35" t="n"/>
      <c r="C244" s="35" t="n"/>
      <c r="D244" s="25" t="n"/>
      <c r="E244" s="25" t="n"/>
      <c r="F244" s="25" t="n"/>
      <c r="G244" s="25" t="n"/>
      <c r="H244" s="25" t="n"/>
      <c r="I244" s="25" t="n"/>
      <c r="J244" s="25" t="n"/>
      <c r="K244" s="25" t="n"/>
      <c r="L244" s="35" t="n"/>
      <c r="M244" s="40">
        <f>IF(A244="","",IFERROR(INDEX(Applications!$B$2:$B$101,MATCH(A244,Applications!$A$2:$A$101,0))&amp;"",""))</f>
        <v/>
      </c>
      <c r="N244" s="41">
        <f>IF(A244="","",SUMPRODUCT(ISNUMBER(D244:K244)*($D$2:$K$2&gt;0)))</f>
        <v/>
      </c>
      <c r="O244" s="40">
        <f>IF(A244="","",IF(ISNA(MATCH(A244,Applications!$A$2:$A$101,0)),"Check ID",IF(ISNA(MATCH(B244,Settings!$C$13:$C$18,0)),"Check reviewer",IF(LEFT(C244,3)="Yes","Conflict, not counted",IF(COUNTIFS($A$3:A244,A244,$B$3:B244,B244)&gt;1,"Duplicate, not counted",IF(SUM($D$2:$K$2)=0,"Add weights on Rubric",IF(SUMPRODUCT(ISNUMBER(D244:K244)*((D244:K244&gt;4)+(D244:K244&lt;0)))&gt;0,"Check scores",IF(N244&lt;COUNTIF($D$2:$K$2,"&gt;0"),"Incomplete","Counted"))))))))</f>
        <v/>
      </c>
      <c r="P244" s="42">
        <f>IF(O244="Counted",ROUND(SUMPRODUCT(D244:K244,$D$2:$K$2)*100/(4*SUM($D$2:$K$2)),1),"")</f>
        <v/>
      </c>
      <c r="Q244" s="27">
        <f>IF(O244="Counted",1,0)</f>
        <v/>
      </c>
      <c r="R244" s="43">
        <f>IF(ISNUMBER(D244),D244,0)</f>
        <v/>
      </c>
      <c r="S244" s="43">
        <f>IF(ISNUMBER(E244),E244,0)</f>
        <v/>
      </c>
      <c r="T244" s="43">
        <f>IF(ISNUMBER(F244),F244,0)</f>
        <v/>
      </c>
      <c r="U244" s="43">
        <f>IF(ISNUMBER(G244),G244,0)</f>
        <v/>
      </c>
      <c r="V244" s="43">
        <f>IF(ISNUMBER(H244),H244,0)</f>
        <v/>
      </c>
      <c r="W244" s="43">
        <f>IF(ISNUMBER(I244),I244,0)</f>
        <v/>
      </c>
      <c r="X244" s="43">
        <f>IF(ISNUMBER(J244),J244,0)</f>
        <v/>
      </c>
      <c r="Y244" s="43">
        <f>IF(ISNUMBER(K244),K244,0)</f>
        <v/>
      </c>
    </row>
    <row r="245">
      <c r="A245" s="35" t="n"/>
      <c r="B245" s="35" t="n"/>
      <c r="C245" s="35" t="n"/>
      <c r="D245" s="25" t="n"/>
      <c r="E245" s="25" t="n"/>
      <c r="F245" s="25" t="n"/>
      <c r="G245" s="25" t="n"/>
      <c r="H245" s="25" t="n"/>
      <c r="I245" s="25" t="n"/>
      <c r="J245" s="25" t="n"/>
      <c r="K245" s="25" t="n"/>
      <c r="L245" s="35" t="n"/>
      <c r="M245" s="40">
        <f>IF(A245="","",IFERROR(INDEX(Applications!$B$2:$B$101,MATCH(A245,Applications!$A$2:$A$101,0))&amp;"",""))</f>
        <v/>
      </c>
      <c r="N245" s="41">
        <f>IF(A245="","",SUMPRODUCT(ISNUMBER(D245:K245)*($D$2:$K$2&gt;0)))</f>
        <v/>
      </c>
      <c r="O245" s="40">
        <f>IF(A245="","",IF(ISNA(MATCH(A245,Applications!$A$2:$A$101,0)),"Check ID",IF(ISNA(MATCH(B245,Settings!$C$13:$C$18,0)),"Check reviewer",IF(LEFT(C245,3)="Yes","Conflict, not counted",IF(COUNTIFS($A$3:A245,A245,$B$3:B245,B245)&gt;1,"Duplicate, not counted",IF(SUM($D$2:$K$2)=0,"Add weights on Rubric",IF(SUMPRODUCT(ISNUMBER(D245:K245)*((D245:K245&gt;4)+(D245:K245&lt;0)))&gt;0,"Check scores",IF(N245&lt;COUNTIF($D$2:$K$2,"&gt;0"),"Incomplete","Counted"))))))))</f>
        <v/>
      </c>
      <c r="P245" s="42">
        <f>IF(O245="Counted",ROUND(SUMPRODUCT(D245:K245,$D$2:$K$2)*100/(4*SUM($D$2:$K$2)),1),"")</f>
        <v/>
      </c>
      <c r="Q245" s="27">
        <f>IF(O245="Counted",1,0)</f>
        <v/>
      </c>
      <c r="R245" s="43">
        <f>IF(ISNUMBER(D245),D245,0)</f>
        <v/>
      </c>
      <c r="S245" s="43">
        <f>IF(ISNUMBER(E245),E245,0)</f>
        <v/>
      </c>
      <c r="T245" s="43">
        <f>IF(ISNUMBER(F245),F245,0)</f>
        <v/>
      </c>
      <c r="U245" s="43">
        <f>IF(ISNUMBER(G245),G245,0)</f>
        <v/>
      </c>
      <c r="V245" s="43">
        <f>IF(ISNUMBER(H245),H245,0)</f>
        <v/>
      </c>
      <c r="W245" s="43">
        <f>IF(ISNUMBER(I245),I245,0)</f>
        <v/>
      </c>
      <c r="X245" s="43">
        <f>IF(ISNUMBER(J245),J245,0)</f>
        <v/>
      </c>
      <c r="Y245" s="43">
        <f>IF(ISNUMBER(K245),K245,0)</f>
        <v/>
      </c>
    </row>
    <row r="246">
      <c r="A246" s="35" t="n"/>
      <c r="B246" s="35" t="n"/>
      <c r="C246" s="35" t="n"/>
      <c r="D246" s="25" t="n"/>
      <c r="E246" s="25" t="n"/>
      <c r="F246" s="25" t="n"/>
      <c r="G246" s="25" t="n"/>
      <c r="H246" s="25" t="n"/>
      <c r="I246" s="25" t="n"/>
      <c r="J246" s="25" t="n"/>
      <c r="K246" s="25" t="n"/>
      <c r="L246" s="35" t="n"/>
      <c r="M246" s="40">
        <f>IF(A246="","",IFERROR(INDEX(Applications!$B$2:$B$101,MATCH(A246,Applications!$A$2:$A$101,0))&amp;"",""))</f>
        <v/>
      </c>
      <c r="N246" s="41">
        <f>IF(A246="","",SUMPRODUCT(ISNUMBER(D246:K246)*($D$2:$K$2&gt;0)))</f>
        <v/>
      </c>
      <c r="O246" s="40">
        <f>IF(A246="","",IF(ISNA(MATCH(A246,Applications!$A$2:$A$101,0)),"Check ID",IF(ISNA(MATCH(B246,Settings!$C$13:$C$18,0)),"Check reviewer",IF(LEFT(C246,3)="Yes","Conflict, not counted",IF(COUNTIFS($A$3:A246,A246,$B$3:B246,B246)&gt;1,"Duplicate, not counted",IF(SUM($D$2:$K$2)=0,"Add weights on Rubric",IF(SUMPRODUCT(ISNUMBER(D246:K246)*((D246:K246&gt;4)+(D246:K246&lt;0)))&gt;0,"Check scores",IF(N246&lt;COUNTIF($D$2:$K$2,"&gt;0"),"Incomplete","Counted"))))))))</f>
        <v/>
      </c>
      <c r="P246" s="42">
        <f>IF(O246="Counted",ROUND(SUMPRODUCT(D246:K246,$D$2:$K$2)*100/(4*SUM($D$2:$K$2)),1),"")</f>
        <v/>
      </c>
      <c r="Q246" s="27">
        <f>IF(O246="Counted",1,0)</f>
        <v/>
      </c>
      <c r="R246" s="43">
        <f>IF(ISNUMBER(D246),D246,0)</f>
        <v/>
      </c>
      <c r="S246" s="43">
        <f>IF(ISNUMBER(E246),E246,0)</f>
        <v/>
      </c>
      <c r="T246" s="43">
        <f>IF(ISNUMBER(F246),F246,0)</f>
        <v/>
      </c>
      <c r="U246" s="43">
        <f>IF(ISNUMBER(G246),G246,0)</f>
        <v/>
      </c>
      <c r="V246" s="43">
        <f>IF(ISNUMBER(H246),H246,0)</f>
        <v/>
      </c>
      <c r="W246" s="43">
        <f>IF(ISNUMBER(I246),I246,0)</f>
        <v/>
      </c>
      <c r="X246" s="43">
        <f>IF(ISNUMBER(J246),J246,0)</f>
        <v/>
      </c>
      <c r="Y246" s="43">
        <f>IF(ISNUMBER(K246),K246,0)</f>
        <v/>
      </c>
    </row>
    <row r="247">
      <c r="A247" s="35" t="n"/>
      <c r="B247" s="35" t="n"/>
      <c r="C247" s="35" t="n"/>
      <c r="D247" s="25" t="n"/>
      <c r="E247" s="25" t="n"/>
      <c r="F247" s="25" t="n"/>
      <c r="G247" s="25" t="n"/>
      <c r="H247" s="25" t="n"/>
      <c r="I247" s="25" t="n"/>
      <c r="J247" s="25" t="n"/>
      <c r="K247" s="25" t="n"/>
      <c r="L247" s="35" t="n"/>
      <c r="M247" s="40">
        <f>IF(A247="","",IFERROR(INDEX(Applications!$B$2:$B$101,MATCH(A247,Applications!$A$2:$A$101,0))&amp;"",""))</f>
        <v/>
      </c>
      <c r="N247" s="41">
        <f>IF(A247="","",SUMPRODUCT(ISNUMBER(D247:K247)*($D$2:$K$2&gt;0)))</f>
        <v/>
      </c>
      <c r="O247" s="40">
        <f>IF(A247="","",IF(ISNA(MATCH(A247,Applications!$A$2:$A$101,0)),"Check ID",IF(ISNA(MATCH(B247,Settings!$C$13:$C$18,0)),"Check reviewer",IF(LEFT(C247,3)="Yes","Conflict, not counted",IF(COUNTIFS($A$3:A247,A247,$B$3:B247,B247)&gt;1,"Duplicate, not counted",IF(SUM($D$2:$K$2)=0,"Add weights on Rubric",IF(SUMPRODUCT(ISNUMBER(D247:K247)*((D247:K247&gt;4)+(D247:K247&lt;0)))&gt;0,"Check scores",IF(N247&lt;COUNTIF($D$2:$K$2,"&gt;0"),"Incomplete","Counted"))))))))</f>
        <v/>
      </c>
      <c r="P247" s="42">
        <f>IF(O247="Counted",ROUND(SUMPRODUCT(D247:K247,$D$2:$K$2)*100/(4*SUM($D$2:$K$2)),1),"")</f>
        <v/>
      </c>
      <c r="Q247" s="27">
        <f>IF(O247="Counted",1,0)</f>
        <v/>
      </c>
      <c r="R247" s="43">
        <f>IF(ISNUMBER(D247),D247,0)</f>
        <v/>
      </c>
      <c r="S247" s="43">
        <f>IF(ISNUMBER(E247),E247,0)</f>
        <v/>
      </c>
      <c r="T247" s="43">
        <f>IF(ISNUMBER(F247),F247,0)</f>
        <v/>
      </c>
      <c r="U247" s="43">
        <f>IF(ISNUMBER(G247),G247,0)</f>
        <v/>
      </c>
      <c r="V247" s="43">
        <f>IF(ISNUMBER(H247),H247,0)</f>
        <v/>
      </c>
      <c r="W247" s="43">
        <f>IF(ISNUMBER(I247),I247,0)</f>
        <v/>
      </c>
      <c r="X247" s="43">
        <f>IF(ISNUMBER(J247),J247,0)</f>
        <v/>
      </c>
      <c r="Y247" s="43">
        <f>IF(ISNUMBER(K247),K247,0)</f>
        <v/>
      </c>
    </row>
    <row r="248">
      <c r="A248" s="35" t="n"/>
      <c r="B248" s="35" t="n"/>
      <c r="C248" s="35" t="n"/>
      <c r="D248" s="25" t="n"/>
      <c r="E248" s="25" t="n"/>
      <c r="F248" s="25" t="n"/>
      <c r="G248" s="25" t="n"/>
      <c r="H248" s="25" t="n"/>
      <c r="I248" s="25" t="n"/>
      <c r="J248" s="25" t="n"/>
      <c r="K248" s="25" t="n"/>
      <c r="L248" s="35" t="n"/>
      <c r="M248" s="40">
        <f>IF(A248="","",IFERROR(INDEX(Applications!$B$2:$B$101,MATCH(A248,Applications!$A$2:$A$101,0))&amp;"",""))</f>
        <v/>
      </c>
      <c r="N248" s="41">
        <f>IF(A248="","",SUMPRODUCT(ISNUMBER(D248:K248)*($D$2:$K$2&gt;0)))</f>
        <v/>
      </c>
      <c r="O248" s="40">
        <f>IF(A248="","",IF(ISNA(MATCH(A248,Applications!$A$2:$A$101,0)),"Check ID",IF(ISNA(MATCH(B248,Settings!$C$13:$C$18,0)),"Check reviewer",IF(LEFT(C248,3)="Yes","Conflict, not counted",IF(COUNTIFS($A$3:A248,A248,$B$3:B248,B248)&gt;1,"Duplicate, not counted",IF(SUM($D$2:$K$2)=0,"Add weights on Rubric",IF(SUMPRODUCT(ISNUMBER(D248:K248)*((D248:K248&gt;4)+(D248:K248&lt;0)))&gt;0,"Check scores",IF(N248&lt;COUNTIF($D$2:$K$2,"&gt;0"),"Incomplete","Counted"))))))))</f>
        <v/>
      </c>
      <c r="P248" s="42">
        <f>IF(O248="Counted",ROUND(SUMPRODUCT(D248:K248,$D$2:$K$2)*100/(4*SUM($D$2:$K$2)),1),"")</f>
        <v/>
      </c>
      <c r="Q248" s="27">
        <f>IF(O248="Counted",1,0)</f>
        <v/>
      </c>
      <c r="R248" s="43">
        <f>IF(ISNUMBER(D248),D248,0)</f>
        <v/>
      </c>
      <c r="S248" s="43">
        <f>IF(ISNUMBER(E248),E248,0)</f>
        <v/>
      </c>
      <c r="T248" s="43">
        <f>IF(ISNUMBER(F248),F248,0)</f>
        <v/>
      </c>
      <c r="U248" s="43">
        <f>IF(ISNUMBER(G248),G248,0)</f>
        <v/>
      </c>
      <c r="V248" s="43">
        <f>IF(ISNUMBER(H248),H248,0)</f>
        <v/>
      </c>
      <c r="W248" s="43">
        <f>IF(ISNUMBER(I248),I248,0)</f>
        <v/>
      </c>
      <c r="X248" s="43">
        <f>IF(ISNUMBER(J248),J248,0)</f>
        <v/>
      </c>
      <c r="Y248" s="43">
        <f>IF(ISNUMBER(K248),K248,0)</f>
        <v/>
      </c>
    </row>
    <row r="249">
      <c r="A249" s="35" t="n"/>
      <c r="B249" s="35" t="n"/>
      <c r="C249" s="35" t="n"/>
      <c r="D249" s="25" t="n"/>
      <c r="E249" s="25" t="n"/>
      <c r="F249" s="25" t="n"/>
      <c r="G249" s="25" t="n"/>
      <c r="H249" s="25" t="n"/>
      <c r="I249" s="25" t="n"/>
      <c r="J249" s="25" t="n"/>
      <c r="K249" s="25" t="n"/>
      <c r="L249" s="35" t="n"/>
      <c r="M249" s="40">
        <f>IF(A249="","",IFERROR(INDEX(Applications!$B$2:$B$101,MATCH(A249,Applications!$A$2:$A$101,0))&amp;"",""))</f>
        <v/>
      </c>
      <c r="N249" s="41">
        <f>IF(A249="","",SUMPRODUCT(ISNUMBER(D249:K249)*($D$2:$K$2&gt;0)))</f>
        <v/>
      </c>
      <c r="O249" s="40">
        <f>IF(A249="","",IF(ISNA(MATCH(A249,Applications!$A$2:$A$101,0)),"Check ID",IF(ISNA(MATCH(B249,Settings!$C$13:$C$18,0)),"Check reviewer",IF(LEFT(C249,3)="Yes","Conflict, not counted",IF(COUNTIFS($A$3:A249,A249,$B$3:B249,B249)&gt;1,"Duplicate, not counted",IF(SUM($D$2:$K$2)=0,"Add weights on Rubric",IF(SUMPRODUCT(ISNUMBER(D249:K249)*((D249:K249&gt;4)+(D249:K249&lt;0)))&gt;0,"Check scores",IF(N249&lt;COUNTIF($D$2:$K$2,"&gt;0"),"Incomplete","Counted"))))))))</f>
        <v/>
      </c>
      <c r="P249" s="42">
        <f>IF(O249="Counted",ROUND(SUMPRODUCT(D249:K249,$D$2:$K$2)*100/(4*SUM($D$2:$K$2)),1),"")</f>
        <v/>
      </c>
      <c r="Q249" s="27">
        <f>IF(O249="Counted",1,0)</f>
        <v/>
      </c>
      <c r="R249" s="43">
        <f>IF(ISNUMBER(D249),D249,0)</f>
        <v/>
      </c>
      <c r="S249" s="43">
        <f>IF(ISNUMBER(E249),E249,0)</f>
        <v/>
      </c>
      <c r="T249" s="43">
        <f>IF(ISNUMBER(F249),F249,0)</f>
        <v/>
      </c>
      <c r="U249" s="43">
        <f>IF(ISNUMBER(G249),G249,0)</f>
        <v/>
      </c>
      <c r="V249" s="43">
        <f>IF(ISNUMBER(H249),H249,0)</f>
        <v/>
      </c>
      <c r="W249" s="43">
        <f>IF(ISNUMBER(I249),I249,0)</f>
        <v/>
      </c>
      <c r="X249" s="43">
        <f>IF(ISNUMBER(J249),J249,0)</f>
        <v/>
      </c>
      <c r="Y249" s="43">
        <f>IF(ISNUMBER(K249),K249,0)</f>
        <v/>
      </c>
    </row>
    <row r="250">
      <c r="A250" s="35" t="n"/>
      <c r="B250" s="35" t="n"/>
      <c r="C250" s="35" t="n"/>
      <c r="D250" s="25" t="n"/>
      <c r="E250" s="25" t="n"/>
      <c r="F250" s="25" t="n"/>
      <c r="G250" s="25" t="n"/>
      <c r="H250" s="25" t="n"/>
      <c r="I250" s="25" t="n"/>
      <c r="J250" s="25" t="n"/>
      <c r="K250" s="25" t="n"/>
      <c r="L250" s="35" t="n"/>
      <c r="M250" s="40">
        <f>IF(A250="","",IFERROR(INDEX(Applications!$B$2:$B$101,MATCH(A250,Applications!$A$2:$A$101,0))&amp;"",""))</f>
        <v/>
      </c>
      <c r="N250" s="41">
        <f>IF(A250="","",SUMPRODUCT(ISNUMBER(D250:K250)*($D$2:$K$2&gt;0)))</f>
        <v/>
      </c>
      <c r="O250" s="40">
        <f>IF(A250="","",IF(ISNA(MATCH(A250,Applications!$A$2:$A$101,0)),"Check ID",IF(ISNA(MATCH(B250,Settings!$C$13:$C$18,0)),"Check reviewer",IF(LEFT(C250,3)="Yes","Conflict, not counted",IF(COUNTIFS($A$3:A250,A250,$B$3:B250,B250)&gt;1,"Duplicate, not counted",IF(SUM($D$2:$K$2)=0,"Add weights on Rubric",IF(SUMPRODUCT(ISNUMBER(D250:K250)*((D250:K250&gt;4)+(D250:K250&lt;0)))&gt;0,"Check scores",IF(N250&lt;COUNTIF($D$2:$K$2,"&gt;0"),"Incomplete","Counted"))))))))</f>
        <v/>
      </c>
      <c r="P250" s="42">
        <f>IF(O250="Counted",ROUND(SUMPRODUCT(D250:K250,$D$2:$K$2)*100/(4*SUM($D$2:$K$2)),1),"")</f>
        <v/>
      </c>
      <c r="Q250" s="27">
        <f>IF(O250="Counted",1,0)</f>
        <v/>
      </c>
      <c r="R250" s="43">
        <f>IF(ISNUMBER(D250),D250,0)</f>
        <v/>
      </c>
      <c r="S250" s="43">
        <f>IF(ISNUMBER(E250),E250,0)</f>
        <v/>
      </c>
      <c r="T250" s="43">
        <f>IF(ISNUMBER(F250),F250,0)</f>
        <v/>
      </c>
      <c r="U250" s="43">
        <f>IF(ISNUMBER(G250),G250,0)</f>
        <v/>
      </c>
      <c r="V250" s="43">
        <f>IF(ISNUMBER(H250),H250,0)</f>
        <v/>
      </c>
      <c r="W250" s="43">
        <f>IF(ISNUMBER(I250),I250,0)</f>
        <v/>
      </c>
      <c r="X250" s="43">
        <f>IF(ISNUMBER(J250),J250,0)</f>
        <v/>
      </c>
      <c r="Y250" s="43">
        <f>IF(ISNUMBER(K250),K250,0)</f>
        <v/>
      </c>
    </row>
    <row r="251">
      <c r="A251" s="35" t="n"/>
      <c r="B251" s="35" t="n"/>
      <c r="C251" s="35" t="n"/>
      <c r="D251" s="25" t="n"/>
      <c r="E251" s="25" t="n"/>
      <c r="F251" s="25" t="n"/>
      <c r="G251" s="25" t="n"/>
      <c r="H251" s="25" t="n"/>
      <c r="I251" s="25" t="n"/>
      <c r="J251" s="25" t="n"/>
      <c r="K251" s="25" t="n"/>
      <c r="L251" s="35" t="n"/>
      <c r="M251" s="40">
        <f>IF(A251="","",IFERROR(INDEX(Applications!$B$2:$B$101,MATCH(A251,Applications!$A$2:$A$101,0))&amp;"",""))</f>
        <v/>
      </c>
      <c r="N251" s="41">
        <f>IF(A251="","",SUMPRODUCT(ISNUMBER(D251:K251)*($D$2:$K$2&gt;0)))</f>
        <v/>
      </c>
      <c r="O251" s="40">
        <f>IF(A251="","",IF(ISNA(MATCH(A251,Applications!$A$2:$A$101,0)),"Check ID",IF(ISNA(MATCH(B251,Settings!$C$13:$C$18,0)),"Check reviewer",IF(LEFT(C251,3)="Yes","Conflict, not counted",IF(COUNTIFS($A$3:A251,A251,$B$3:B251,B251)&gt;1,"Duplicate, not counted",IF(SUM($D$2:$K$2)=0,"Add weights on Rubric",IF(SUMPRODUCT(ISNUMBER(D251:K251)*((D251:K251&gt;4)+(D251:K251&lt;0)))&gt;0,"Check scores",IF(N251&lt;COUNTIF($D$2:$K$2,"&gt;0"),"Incomplete","Counted"))))))))</f>
        <v/>
      </c>
      <c r="P251" s="42">
        <f>IF(O251="Counted",ROUND(SUMPRODUCT(D251:K251,$D$2:$K$2)*100/(4*SUM($D$2:$K$2)),1),"")</f>
        <v/>
      </c>
      <c r="Q251" s="27">
        <f>IF(O251="Counted",1,0)</f>
        <v/>
      </c>
      <c r="R251" s="43">
        <f>IF(ISNUMBER(D251),D251,0)</f>
        <v/>
      </c>
      <c r="S251" s="43">
        <f>IF(ISNUMBER(E251),E251,0)</f>
        <v/>
      </c>
      <c r="T251" s="43">
        <f>IF(ISNUMBER(F251),F251,0)</f>
        <v/>
      </c>
      <c r="U251" s="43">
        <f>IF(ISNUMBER(G251),G251,0)</f>
        <v/>
      </c>
      <c r="V251" s="43">
        <f>IF(ISNUMBER(H251),H251,0)</f>
        <v/>
      </c>
      <c r="W251" s="43">
        <f>IF(ISNUMBER(I251),I251,0)</f>
        <v/>
      </c>
      <c r="X251" s="43">
        <f>IF(ISNUMBER(J251),J251,0)</f>
        <v/>
      </c>
      <c r="Y251" s="43">
        <f>IF(ISNUMBER(K251),K251,0)</f>
        <v/>
      </c>
    </row>
    <row r="252">
      <c r="A252" s="35" t="n"/>
      <c r="B252" s="35" t="n"/>
      <c r="C252" s="35" t="n"/>
      <c r="D252" s="25" t="n"/>
      <c r="E252" s="25" t="n"/>
      <c r="F252" s="25" t="n"/>
      <c r="G252" s="25" t="n"/>
      <c r="H252" s="25" t="n"/>
      <c r="I252" s="25" t="n"/>
      <c r="J252" s="25" t="n"/>
      <c r="K252" s="25" t="n"/>
      <c r="L252" s="35" t="n"/>
      <c r="M252" s="40">
        <f>IF(A252="","",IFERROR(INDEX(Applications!$B$2:$B$101,MATCH(A252,Applications!$A$2:$A$101,0))&amp;"",""))</f>
        <v/>
      </c>
      <c r="N252" s="41">
        <f>IF(A252="","",SUMPRODUCT(ISNUMBER(D252:K252)*($D$2:$K$2&gt;0)))</f>
        <v/>
      </c>
      <c r="O252" s="40">
        <f>IF(A252="","",IF(ISNA(MATCH(A252,Applications!$A$2:$A$101,0)),"Check ID",IF(ISNA(MATCH(B252,Settings!$C$13:$C$18,0)),"Check reviewer",IF(LEFT(C252,3)="Yes","Conflict, not counted",IF(COUNTIFS($A$3:A252,A252,$B$3:B252,B252)&gt;1,"Duplicate, not counted",IF(SUM($D$2:$K$2)=0,"Add weights on Rubric",IF(SUMPRODUCT(ISNUMBER(D252:K252)*((D252:K252&gt;4)+(D252:K252&lt;0)))&gt;0,"Check scores",IF(N252&lt;COUNTIF($D$2:$K$2,"&gt;0"),"Incomplete","Counted"))))))))</f>
        <v/>
      </c>
      <c r="P252" s="42">
        <f>IF(O252="Counted",ROUND(SUMPRODUCT(D252:K252,$D$2:$K$2)*100/(4*SUM($D$2:$K$2)),1),"")</f>
        <v/>
      </c>
      <c r="Q252" s="27">
        <f>IF(O252="Counted",1,0)</f>
        <v/>
      </c>
      <c r="R252" s="43">
        <f>IF(ISNUMBER(D252),D252,0)</f>
        <v/>
      </c>
      <c r="S252" s="43">
        <f>IF(ISNUMBER(E252),E252,0)</f>
        <v/>
      </c>
      <c r="T252" s="43">
        <f>IF(ISNUMBER(F252),F252,0)</f>
        <v/>
      </c>
      <c r="U252" s="43">
        <f>IF(ISNUMBER(G252),G252,0)</f>
        <v/>
      </c>
      <c r="V252" s="43">
        <f>IF(ISNUMBER(H252),H252,0)</f>
        <v/>
      </c>
      <c r="W252" s="43">
        <f>IF(ISNUMBER(I252),I252,0)</f>
        <v/>
      </c>
      <c r="X252" s="43">
        <f>IF(ISNUMBER(J252),J252,0)</f>
        <v/>
      </c>
      <c r="Y252" s="43">
        <f>IF(ISNUMBER(K252),K252,0)</f>
        <v/>
      </c>
    </row>
    <row r="253">
      <c r="A253" s="35" t="n"/>
      <c r="B253" s="35" t="n"/>
      <c r="C253" s="35" t="n"/>
      <c r="D253" s="25" t="n"/>
      <c r="E253" s="25" t="n"/>
      <c r="F253" s="25" t="n"/>
      <c r="G253" s="25" t="n"/>
      <c r="H253" s="25" t="n"/>
      <c r="I253" s="25" t="n"/>
      <c r="J253" s="25" t="n"/>
      <c r="K253" s="25" t="n"/>
      <c r="L253" s="35" t="n"/>
      <c r="M253" s="40">
        <f>IF(A253="","",IFERROR(INDEX(Applications!$B$2:$B$101,MATCH(A253,Applications!$A$2:$A$101,0))&amp;"",""))</f>
        <v/>
      </c>
      <c r="N253" s="41">
        <f>IF(A253="","",SUMPRODUCT(ISNUMBER(D253:K253)*($D$2:$K$2&gt;0)))</f>
        <v/>
      </c>
      <c r="O253" s="40">
        <f>IF(A253="","",IF(ISNA(MATCH(A253,Applications!$A$2:$A$101,0)),"Check ID",IF(ISNA(MATCH(B253,Settings!$C$13:$C$18,0)),"Check reviewer",IF(LEFT(C253,3)="Yes","Conflict, not counted",IF(COUNTIFS($A$3:A253,A253,$B$3:B253,B253)&gt;1,"Duplicate, not counted",IF(SUM($D$2:$K$2)=0,"Add weights on Rubric",IF(SUMPRODUCT(ISNUMBER(D253:K253)*((D253:K253&gt;4)+(D253:K253&lt;0)))&gt;0,"Check scores",IF(N253&lt;COUNTIF($D$2:$K$2,"&gt;0"),"Incomplete","Counted"))))))))</f>
        <v/>
      </c>
      <c r="P253" s="42">
        <f>IF(O253="Counted",ROUND(SUMPRODUCT(D253:K253,$D$2:$K$2)*100/(4*SUM($D$2:$K$2)),1),"")</f>
        <v/>
      </c>
      <c r="Q253" s="27">
        <f>IF(O253="Counted",1,0)</f>
        <v/>
      </c>
      <c r="R253" s="43">
        <f>IF(ISNUMBER(D253),D253,0)</f>
        <v/>
      </c>
      <c r="S253" s="43">
        <f>IF(ISNUMBER(E253),E253,0)</f>
        <v/>
      </c>
      <c r="T253" s="43">
        <f>IF(ISNUMBER(F253),F253,0)</f>
        <v/>
      </c>
      <c r="U253" s="43">
        <f>IF(ISNUMBER(G253),G253,0)</f>
        <v/>
      </c>
      <c r="V253" s="43">
        <f>IF(ISNUMBER(H253),H253,0)</f>
        <v/>
      </c>
      <c r="W253" s="43">
        <f>IF(ISNUMBER(I253),I253,0)</f>
        <v/>
      </c>
      <c r="X253" s="43">
        <f>IF(ISNUMBER(J253),J253,0)</f>
        <v/>
      </c>
      <c r="Y253" s="43">
        <f>IF(ISNUMBER(K253),K253,0)</f>
        <v/>
      </c>
    </row>
    <row r="254">
      <c r="A254" s="35" t="n"/>
      <c r="B254" s="35" t="n"/>
      <c r="C254" s="35" t="n"/>
      <c r="D254" s="25" t="n"/>
      <c r="E254" s="25" t="n"/>
      <c r="F254" s="25" t="n"/>
      <c r="G254" s="25" t="n"/>
      <c r="H254" s="25" t="n"/>
      <c r="I254" s="25" t="n"/>
      <c r="J254" s="25" t="n"/>
      <c r="K254" s="25" t="n"/>
      <c r="L254" s="35" t="n"/>
      <c r="M254" s="40">
        <f>IF(A254="","",IFERROR(INDEX(Applications!$B$2:$B$101,MATCH(A254,Applications!$A$2:$A$101,0))&amp;"",""))</f>
        <v/>
      </c>
      <c r="N254" s="41">
        <f>IF(A254="","",SUMPRODUCT(ISNUMBER(D254:K254)*($D$2:$K$2&gt;0)))</f>
        <v/>
      </c>
      <c r="O254" s="40">
        <f>IF(A254="","",IF(ISNA(MATCH(A254,Applications!$A$2:$A$101,0)),"Check ID",IF(ISNA(MATCH(B254,Settings!$C$13:$C$18,0)),"Check reviewer",IF(LEFT(C254,3)="Yes","Conflict, not counted",IF(COUNTIFS($A$3:A254,A254,$B$3:B254,B254)&gt;1,"Duplicate, not counted",IF(SUM($D$2:$K$2)=0,"Add weights on Rubric",IF(SUMPRODUCT(ISNUMBER(D254:K254)*((D254:K254&gt;4)+(D254:K254&lt;0)))&gt;0,"Check scores",IF(N254&lt;COUNTIF($D$2:$K$2,"&gt;0"),"Incomplete","Counted"))))))))</f>
        <v/>
      </c>
      <c r="P254" s="42">
        <f>IF(O254="Counted",ROUND(SUMPRODUCT(D254:K254,$D$2:$K$2)*100/(4*SUM($D$2:$K$2)),1),"")</f>
        <v/>
      </c>
      <c r="Q254" s="27">
        <f>IF(O254="Counted",1,0)</f>
        <v/>
      </c>
      <c r="R254" s="43">
        <f>IF(ISNUMBER(D254),D254,0)</f>
        <v/>
      </c>
      <c r="S254" s="43">
        <f>IF(ISNUMBER(E254),E254,0)</f>
        <v/>
      </c>
      <c r="T254" s="43">
        <f>IF(ISNUMBER(F254),F254,0)</f>
        <v/>
      </c>
      <c r="U254" s="43">
        <f>IF(ISNUMBER(G254),G254,0)</f>
        <v/>
      </c>
      <c r="V254" s="43">
        <f>IF(ISNUMBER(H254),H254,0)</f>
        <v/>
      </c>
      <c r="W254" s="43">
        <f>IF(ISNUMBER(I254),I254,0)</f>
        <v/>
      </c>
      <c r="X254" s="43">
        <f>IF(ISNUMBER(J254),J254,0)</f>
        <v/>
      </c>
      <c r="Y254" s="43">
        <f>IF(ISNUMBER(K254),K254,0)</f>
        <v/>
      </c>
    </row>
    <row r="255">
      <c r="A255" s="35" t="n"/>
      <c r="B255" s="35" t="n"/>
      <c r="C255" s="35" t="n"/>
      <c r="D255" s="25" t="n"/>
      <c r="E255" s="25" t="n"/>
      <c r="F255" s="25" t="n"/>
      <c r="G255" s="25" t="n"/>
      <c r="H255" s="25" t="n"/>
      <c r="I255" s="25" t="n"/>
      <c r="J255" s="25" t="n"/>
      <c r="K255" s="25" t="n"/>
      <c r="L255" s="35" t="n"/>
      <c r="M255" s="40">
        <f>IF(A255="","",IFERROR(INDEX(Applications!$B$2:$B$101,MATCH(A255,Applications!$A$2:$A$101,0))&amp;"",""))</f>
        <v/>
      </c>
      <c r="N255" s="41">
        <f>IF(A255="","",SUMPRODUCT(ISNUMBER(D255:K255)*($D$2:$K$2&gt;0)))</f>
        <v/>
      </c>
      <c r="O255" s="40">
        <f>IF(A255="","",IF(ISNA(MATCH(A255,Applications!$A$2:$A$101,0)),"Check ID",IF(ISNA(MATCH(B255,Settings!$C$13:$C$18,0)),"Check reviewer",IF(LEFT(C255,3)="Yes","Conflict, not counted",IF(COUNTIFS($A$3:A255,A255,$B$3:B255,B255)&gt;1,"Duplicate, not counted",IF(SUM($D$2:$K$2)=0,"Add weights on Rubric",IF(SUMPRODUCT(ISNUMBER(D255:K255)*((D255:K255&gt;4)+(D255:K255&lt;0)))&gt;0,"Check scores",IF(N255&lt;COUNTIF($D$2:$K$2,"&gt;0"),"Incomplete","Counted"))))))))</f>
        <v/>
      </c>
      <c r="P255" s="42">
        <f>IF(O255="Counted",ROUND(SUMPRODUCT(D255:K255,$D$2:$K$2)*100/(4*SUM($D$2:$K$2)),1),"")</f>
        <v/>
      </c>
      <c r="Q255" s="27">
        <f>IF(O255="Counted",1,0)</f>
        <v/>
      </c>
      <c r="R255" s="43">
        <f>IF(ISNUMBER(D255),D255,0)</f>
        <v/>
      </c>
      <c r="S255" s="43">
        <f>IF(ISNUMBER(E255),E255,0)</f>
        <v/>
      </c>
      <c r="T255" s="43">
        <f>IF(ISNUMBER(F255),F255,0)</f>
        <v/>
      </c>
      <c r="U255" s="43">
        <f>IF(ISNUMBER(G255),G255,0)</f>
        <v/>
      </c>
      <c r="V255" s="43">
        <f>IF(ISNUMBER(H255),H255,0)</f>
        <v/>
      </c>
      <c r="W255" s="43">
        <f>IF(ISNUMBER(I255),I255,0)</f>
        <v/>
      </c>
      <c r="X255" s="43">
        <f>IF(ISNUMBER(J255),J255,0)</f>
        <v/>
      </c>
      <c r="Y255" s="43">
        <f>IF(ISNUMBER(K255),K255,0)</f>
        <v/>
      </c>
    </row>
    <row r="256">
      <c r="A256" s="35" t="n"/>
      <c r="B256" s="35" t="n"/>
      <c r="C256" s="35" t="n"/>
      <c r="D256" s="25" t="n"/>
      <c r="E256" s="25" t="n"/>
      <c r="F256" s="25" t="n"/>
      <c r="G256" s="25" t="n"/>
      <c r="H256" s="25" t="n"/>
      <c r="I256" s="25" t="n"/>
      <c r="J256" s="25" t="n"/>
      <c r="K256" s="25" t="n"/>
      <c r="L256" s="35" t="n"/>
      <c r="M256" s="40">
        <f>IF(A256="","",IFERROR(INDEX(Applications!$B$2:$B$101,MATCH(A256,Applications!$A$2:$A$101,0))&amp;"",""))</f>
        <v/>
      </c>
      <c r="N256" s="41">
        <f>IF(A256="","",SUMPRODUCT(ISNUMBER(D256:K256)*($D$2:$K$2&gt;0)))</f>
        <v/>
      </c>
      <c r="O256" s="40">
        <f>IF(A256="","",IF(ISNA(MATCH(A256,Applications!$A$2:$A$101,0)),"Check ID",IF(ISNA(MATCH(B256,Settings!$C$13:$C$18,0)),"Check reviewer",IF(LEFT(C256,3)="Yes","Conflict, not counted",IF(COUNTIFS($A$3:A256,A256,$B$3:B256,B256)&gt;1,"Duplicate, not counted",IF(SUM($D$2:$K$2)=0,"Add weights on Rubric",IF(SUMPRODUCT(ISNUMBER(D256:K256)*((D256:K256&gt;4)+(D256:K256&lt;0)))&gt;0,"Check scores",IF(N256&lt;COUNTIF($D$2:$K$2,"&gt;0"),"Incomplete","Counted"))))))))</f>
        <v/>
      </c>
      <c r="P256" s="42">
        <f>IF(O256="Counted",ROUND(SUMPRODUCT(D256:K256,$D$2:$K$2)*100/(4*SUM($D$2:$K$2)),1),"")</f>
        <v/>
      </c>
      <c r="Q256" s="27">
        <f>IF(O256="Counted",1,0)</f>
        <v/>
      </c>
      <c r="R256" s="43">
        <f>IF(ISNUMBER(D256),D256,0)</f>
        <v/>
      </c>
      <c r="S256" s="43">
        <f>IF(ISNUMBER(E256),E256,0)</f>
        <v/>
      </c>
      <c r="T256" s="43">
        <f>IF(ISNUMBER(F256),F256,0)</f>
        <v/>
      </c>
      <c r="U256" s="43">
        <f>IF(ISNUMBER(G256),G256,0)</f>
        <v/>
      </c>
      <c r="V256" s="43">
        <f>IF(ISNUMBER(H256),H256,0)</f>
        <v/>
      </c>
      <c r="W256" s="43">
        <f>IF(ISNUMBER(I256),I256,0)</f>
        <v/>
      </c>
      <c r="X256" s="43">
        <f>IF(ISNUMBER(J256),J256,0)</f>
        <v/>
      </c>
      <c r="Y256" s="43">
        <f>IF(ISNUMBER(K256),K256,0)</f>
        <v/>
      </c>
    </row>
    <row r="257">
      <c r="A257" s="35" t="n"/>
      <c r="B257" s="35" t="n"/>
      <c r="C257" s="35" t="n"/>
      <c r="D257" s="25" t="n"/>
      <c r="E257" s="25" t="n"/>
      <c r="F257" s="25" t="n"/>
      <c r="G257" s="25" t="n"/>
      <c r="H257" s="25" t="n"/>
      <c r="I257" s="25" t="n"/>
      <c r="J257" s="25" t="n"/>
      <c r="K257" s="25" t="n"/>
      <c r="L257" s="35" t="n"/>
      <c r="M257" s="40">
        <f>IF(A257="","",IFERROR(INDEX(Applications!$B$2:$B$101,MATCH(A257,Applications!$A$2:$A$101,0))&amp;"",""))</f>
        <v/>
      </c>
      <c r="N257" s="41">
        <f>IF(A257="","",SUMPRODUCT(ISNUMBER(D257:K257)*($D$2:$K$2&gt;0)))</f>
        <v/>
      </c>
      <c r="O257" s="40">
        <f>IF(A257="","",IF(ISNA(MATCH(A257,Applications!$A$2:$A$101,0)),"Check ID",IF(ISNA(MATCH(B257,Settings!$C$13:$C$18,0)),"Check reviewer",IF(LEFT(C257,3)="Yes","Conflict, not counted",IF(COUNTIFS($A$3:A257,A257,$B$3:B257,B257)&gt;1,"Duplicate, not counted",IF(SUM($D$2:$K$2)=0,"Add weights on Rubric",IF(SUMPRODUCT(ISNUMBER(D257:K257)*((D257:K257&gt;4)+(D257:K257&lt;0)))&gt;0,"Check scores",IF(N257&lt;COUNTIF($D$2:$K$2,"&gt;0"),"Incomplete","Counted"))))))))</f>
        <v/>
      </c>
      <c r="P257" s="42">
        <f>IF(O257="Counted",ROUND(SUMPRODUCT(D257:K257,$D$2:$K$2)*100/(4*SUM($D$2:$K$2)),1),"")</f>
        <v/>
      </c>
      <c r="Q257" s="27">
        <f>IF(O257="Counted",1,0)</f>
        <v/>
      </c>
      <c r="R257" s="43">
        <f>IF(ISNUMBER(D257),D257,0)</f>
        <v/>
      </c>
      <c r="S257" s="43">
        <f>IF(ISNUMBER(E257),E257,0)</f>
        <v/>
      </c>
      <c r="T257" s="43">
        <f>IF(ISNUMBER(F257),F257,0)</f>
        <v/>
      </c>
      <c r="U257" s="43">
        <f>IF(ISNUMBER(G257),G257,0)</f>
        <v/>
      </c>
      <c r="V257" s="43">
        <f>IF(ISNUMBER(H257),H257,0)</f>
        <v/>
      </c>
      <c r="W257" s="43">
        <f>IF(ISNUMBER(I257),I257,0)</f>
        <v/>
      </c>
      <c r="X257" s="43">
        <f>IF(ISNUMBER(J257),J257,0)</f>
        <v/>
      </c>
      <c r="Y257" s="43">
        <f>IF(ISNUMBER(K257),K257,0)</f>
        <v/>
      </c>
    </row>
    <row r="258">
      <c r="A258" s="35" t="n"/>
      <c r="B258" s="35" t="n"/>
      <c r="C258" s="35" t="n"/>
      <c r="D258" s="25" t="n"/>
      <c r="E258" s="25" t="n"/>
      <c r="F258" s="25" t="n"/>
      <c r="G258" s="25" t="n"/>
      <c r="H258" s="25" t="n"/>
      <c r="I258" s="25" t="n"/>
      <c r="J258" s="25" t="n"/>
      <c r="K258" s="25" t="n"/>
      <c r="L258" s="35" t="n"/>
      <c r="M258" s="40">
        <f>IF(A258="","",IFERROR(INDEX(Applications!$B$2:$B$101,MATCH(A258,Applications!$A$2:$A$101,0))&amp;"",""))</f>
        <v/>
      </c>
      <c r="N258" s="41">
        <f>IF(A258="","",SUMPRODUCT(ISNUMBER(D258:K258)*($D$2:$K$2&gt;0)))</f>
        <v/>
      </c>
      <c r="O258" s="40">
        <f>IF(A258="","",IF(ISNA(MATCH(A258,Applications!$A$2:$A$101,0)),"Check ID",IF(ISNA(MATCH(B258,Settings!$C$13:$C$18,0)),"Check reviewer",IF(LEFT(C258,3)="Yes","Conflict, not counted",IF(COUNTIFS($A$3:A258,A258,$B$3:B258,B258)&gt;1,"Duplicate, not counted",IF(SUM($D$2:$K$2)=0,"Add weights on Rubric",IF(SUMPRODUCT(ISNUMBER(D258:K258)*((D258:K258&gt;4)+(D258:K258&lt;0)))&gt;0,"Check scores",IF(N258&lt;COUNTIF($D$2:$K$2,"&gt;0"),"Incomplete","Counted"))))))))</f>
        <v/>
      </c>
      <c r="P258" s="42">
        <f>IF(O258="Counted",ROUND(SUMPRODUCT(D258:K258,$D$2:$K$2)*100/(4*SUM($D$2:$K$2)),1),"")</f>
        <v/>
      </c>
      <c r="Q258" s="27">
        <f>IF(O258="Counted",1,0)</f>
        <v/>
      </c>
      <c r="R258" s="43">
        <f>IF(ISNUMBER(D258),D258,0)</f>
        <v/>
      </c>
      <c r="S258" s="43">
        <f>IF(ISNUMBER(E258),E258,0)</f>
        <v/>
      </c>
      <c r="T258" s="43">
        <f>IF(ISNUMBER(F258),F258,0)</f>
        <v/>
      </c>
      <c r="U258" s="43">
        <f>IF(ISNUMBER(G258),G258,0)</f>
        <v/>
      </c>
      <c r="V258" s="43">
        <f>IF(ISNUMBER(H258),H258,0)</f>
        <v/>
      </c>
      <c r="W258" s="43">
        <f>IF(ISNUMBER(I258),I258,0)</f>
        <v/>
      </c>
      <c r="X258" s="43">
        <f>IF(ISNUMBER(J258),J258,0)</f>
        <v/>
      </c>
      <c r="Y258" s="43">
        <f>IF(ISNUMBER(K258),K258,0)</f>
        <v/>
      </c>
    </row>
    <row r="259">
      <c r="A259" s="35" t="n"/>
      <c r="B259" s="35" t="n"/>
      <c r="C259" s="35" t="n"/>
      <c r="D259" s="25" t="n"/>
      <c r="E259" s="25" t="n"/>
      <c r="F259" s="25" t="n"/>
      <c r="G259" s="25" t="n"/>
      <c r="H259" s="25" t="n"/>
      <c r="I259" s="25" t="n"/>
      <c r="J259" s="25" t="n"/>
      <c r="K259" s="25" t="n"/>
      <c r="L259" s="35" t="n"/>
      <c r="M259" s="40">
        <f>IF(A259="","",IFERROR(INDEX(Applications!$B$2:$B$101,MATCH(A259,Applications!$A$2:$A$101,0))&amp;"",""))</f>
        <v/>
      </c>
      <c r="N259" s="41">
        <f>IF(A259="","",SUMPRODUCT(ISNUMBER(D259:K259)*($D$2:$K$2&gt;0)))</f>
        <v/>
      </c>
      <c r="O259" s="40">
        <f>IF(A259="","",IF(ISNA(MATCH(A259,Applications!$A$2:$A$101,0)),"Check ID",IF(ISNA(MATCH(B259,Settings!$C$13:$C$18,0)),"Check reviewer",IF(LEFT(C259,3)="Yes","Conflict, not counted",IF(COUNTIFS($A$3:A259,A259,$B$3:B259,B259)&gt;1,"Duplicate, not counted",IF(SUM($D$2:$K$2)=0,"Add weights on Rubric",IF(SUMPRODUCT(ISNUMBER(D259:K259)*((D259:K259&gt;4)+(D259:K259&lt;0)))&gt;0,"Check scores",IF(N259&lt;COUNTIF($D$2:$K$2,"&gt;0"),"Incomplete","Counted"))))))))</f>
        <v/>
      </c>
      <c r="P259" s="42">
        <f>IF(O259="Counted",ROUND(SUMPRODUCT(D259:K259,$D$2:$K$2)*100/(4*SUM($D$2:$K$2)),1),"")</f>
        <v/>
      </c>
      <c r="Q259" s="27">
        <f>IF(O259="Counted",1,0)</f>
        <v/>
      </c>
      <c r="R259" s="43">
        <f>IF(ISNUMBER(D259),D259,0)</f>
        <v/>
      </c>
      <c r="S259" s="43">
        <f>IF(ISNUMBER(E259),E259,0)</f>
        <v/>
      </c>
      <c r="T259" s="43">
        <f>IF(ISNUMBER(F259),F259,0)</f>
        <v/>
      </c>
      <c r="U259" s="43">
        <f>IF(ISNUMBER(G259),G259,0)</f>
        <v/>
      </c>
      <c r="V259" s="43">
        <f>IF(ISNUMBER(H259),H259,0)</f>
        <v/>
      </c>
      <c r="W259" s="43">
        <f>IF(ISNUMBER(I259),I259,0)</f>
        <v/>
      </c>
      <c r="X259" s="43">
        <f>IF(ISNUMBER(J259),J259,0)</f>
        <v/>
      </c>
      <c r="Y259" s="43">
        <f>IF(ISNUMBER(K259),K259,0)</f>
        <v/>
      </c>
    </row>
    <row r="260">
      <c r="A260" s="35" t="n"/>
      <c r="B260" s="35" t="n"/>
      <c r="C260" s="35" t="n"/>
      <c r="D260" s="25" t="n"/>
      <c r="E260" s="25" t="n"/>
      <c r="F260" s="25" t="n"/>
      <c r="G260" s="25" t="n"/>
      <c r="H260" s="25" t="n"/>
      <c r="I260" s="25" t="n"/>
      <c r="J260" s="25" t="n"/>
      <c r="K260" s="25" t="n"/>
      <c r="L260" s="35" t="n"/>
      <c r="M260" s="40">
        <f>IF(A260="","",IFERROR(INDEX(Applications!$B$2:$B$101,MATCH(A260,Applications!$A$2:$A$101,0))&amp;"",""))</f>
        <v/>
      </c>
      <c r="N260" s="41">
        <f>IF(A260="","",SUMPRODUCT(ISNUMBER(D260:K260)*($D$2:$K$2&gt;0)))</f>
        <v/>
      </c>
      <c r="O260" s="40">
        <f>IF(A260="","",IF(ISNA(MATCH(A260,Applications!$A$2:$A$101,0)),"Check ID",IF(ISNA(MATCH(B260,Settings!$C$13:$C$18,0)),"Check reviewer",IF(LEFT(C260,3)="Yes","Conflict, not counted",IF(COUNTIFS($A$3:A260,A260,$B$3:B260,B260)&gt;1,"Duplicate, not counted",IF(SUM($D$2:$K$2)=0,"Add weights on Rubric",IF(SUMPRODUCT(ISNUMBER(D260:K260)*((D260:K260&gt;4)+(D260:K260&lt;0)))&gt;0,"Check scores",IF(N260&lt;COUNTIF($D$2:$K$2,"&gt;0"),"Incomplete","Counted"))))))))</f>
        <v/>
      </c>
      <c r="P260" s="42">
        <f>IF(O260="Counted",ROUND(SUMPRODUCT(D260:K260,$D$2:$K$2)*100/(4*SUM($D$2:$K$2)),1),"")</f>
        <v/>
      </c>
      <c r="Q260" s="27">
        <f>IF(O260="Counted",1,0)</f>
        <v/>
      </c>
      <c r="R260" s="43">
        <f>IF(ISNUMBER(D260),D260,0)</f>
        <v/>
      </c>
      <c r="S260" s="43">
        <f>IF(ISNUMBER(E260),E260,0)</f>
        <v/>
      </c>
      <c r="T260" s="43">
        <f>IF(ISNUMBER(F260),F260,0)</f>
        <v/>
      </c>
      <c r="U260" s="43">
        <f>IF(ISNUMBER(G260),G260,0)</f>
        <v/>
      </c>
      <c r="V260" s="43">
        <f>IF(ISNUMBER(H260),H260,0)</f>
        <v/>
      </c>
      <c r="W260" s="43">
        <f>IF(ISNUMBER(I260),I260,0)</f>
        <v/>
      </c>
      <c r="X260" s="43">
        <f>IF(ISNUMBER(J260),J260,0)</f>
        <v/>
      </c>
      <c r="Y260" s="43">
        <f>IF(ISNUMBER(K260),K260,0)</f>
        <v/>
      </c>
    </row>
    <row r="261">
      <c r="A261" s="35" t="n"/>
      <c r="B261" s="35" t="n"/>
      <c r="C261" s="35" t="n"/>
      <c r="D261" s="25" t="n"/>
      <c r="E261" s="25" t="n"/>
      <c r="F261" s="25" t="n"/>
      <c r="G261" s="25" t="n"/>
      <c r="H261" s="25" t="n"/>
      <c r="I261" s="25" t="n"/>
      <c r="J261" s="25" t="n"/>
      <c r="K261" s="25" t="n"/>
      <c r="L261" s="35" t="n"/>
      <c r="M261" s="40">
        <f>IF(A261="","",IFERROR(INDEX(Applications!$B$2:$B$101,MATCH(A261,Applications!$A$2:$A$101,0))&amp;"",""))</f>
        <v/>
      </c>
      <c r="N261" s="41">
        <f>IF(A261="","",SUMPRODUCT(ISNUMBER(D261:K261)*($D$2:$K$2&gt;0)))</f>
        <v/>
      </c>
      <c r="O261" s="40">
        <f>IF(A261="","",IF(ISNA(MATCH(A261,Applications!$A$2:$A$101,0)),"Check ID",IF(ISNA(MATCH(B261,Settings!$C$13:$C$18,0)),"Check reviewer",IF(LEFT(C261,3)="Yes","Conflict, not counted",IF(COUNTIFS($A$3:A261,A261,$B$3:B261,B261)&gt;1,"Duplicate, not counted",IF(SUM($D$2:$K$2)=0,"Add weights on Rubric",IF(SUMPRODUCT(ISNUMBER(D261:K261)*((D261:K261&gt;4)+(D261:K261&lt;0)))&gt;0,"Check scores",IF(N261&lt;COUNTIF($D$2:$K$2,"&gt;0"),"Incomplete","Counted"))))))))</f>
        <v/>
      </c>
      <c r="P261" s="42">
        <f>IF(O261="Counted",ROUND(SUMPRODUCT(D261:K261,$D$2:$K$2)*100/(4*SUM($D$2:$K$2)),1),"")</f>
        <v/>
      </c>
      <c r="Q261" s="27">
        <f>IF(O261="Counted",1,0)</f>
        <v/>
      </c>
      <c r="R261" s="43">
        <f>IF(ISNUMBER(D261),D261,0)</f>
        <v/>
      </c>
      <c r="S261" s="43">
        <f>IF(ISNUMBER(E261),E261,0)</f>
        <v/>
      </c>
      <c r="T261" s="43">
        <f>IF(ISNUMBER(F261),F261,0)</f>
        <v/>
      </c>
      <c r="U261" s="43">
        <f>IF(ISNUMBER(G261),G261,0)</f>
        <v/>
      </c>
      <c r="V261" s="43">
        <f>IF(ISNUMBER(H261),H261,0)</f>
        <v/>
      </c>
      <c r="W261" s="43">
        <f>IF(ISNUMBER(I261),I261,0)</f>
        <v/>
      </c>
      <c r="X261" s="43">
        <f>IF(ISNUMBER(J261),J261,0)</f>
        <v/>
      </c>
      <c r="Y261" s="43">
        <f>IF(ISNUMBER(K261),K261,0)</f>
        <v/>
      </c>
    </row>
    <row r="262">
      <c r="A262" s="35" t="n"/>
      <c r="B262" s="35" t="n"/>
      <c r="C262" s="35" t="n"/>
      <c r="D262" s="25" t="n"/>
      <c r="E262" s="25" t="n"/>
      <c r="F262" s="25" t="n"/>
      <c r="G262" s="25" t="n"/>
      <c r="H262" s="25" t="n"/>
      <c r="I262" s="25" t="n"/>
      <c r="J262" s="25" t="n"/>
      <c r="K262" s="25" t="n"/>
      <c r="L262" s="35" t="n"/>
      <c r="M262" s="40">
        <f>IF(A262="","",IFERROR(INDEX(Applications!$B$2:$B$101,MATCH(A262,Applications!$A$2:$A$101,0))&amp;"",""))</f>
        <v/>
      </c>
      <c r="N262" s="41">
        <f>IF(A262="","",SUMPRODUCT(ISNUMBER(D262:K262)*($D$2:$K$2&gt;0)))</f>
        <v/>
      </c>
      <c r="O262" s="40">
        <f>IF(A262="","",IF(ISNA(MATCH(A262,Applications!$A$2:$A$101,0)),"Check ID",IF(ISNA(MATCH(B262,Settings!$C$13:$C$18,0)),"Check reviewer",IF(LEFT(C262,3)="Yes","Conflict, not counted",IF(COUNTIFS($A$3:A262,A262,$B$3:B262,B262)&gt;1,"Duplicate, not counted",IF(SUM($D$2:$K$2)=0,"Add weights on Rubric",IF(SUMPRODUCT(ISNUMBER(D262:K262)*((D262:K262&gt;4)+(D262:K262&lt;0)))&gt;0,"Check scores",IF(N262&lt;COUNTIF($D$2:$K$2,"&gt;0"),"Incomplete","Counted"))))))))</f>
        <v/>
      </c>
      <c r="P262" s="42">
        <f>IF(O262="Counted",ROUND(SUMPRODUCT(D262:K262,$D$2:$K$2)*100/(4*SUM($D$2:$K$2)),1),"")</f>
        <v/>
      </c>
      <c r="Q262" s="27">
        <f>IF(O262="Counted",1,0)</f>
        <v/>
      </c>
      <c r="R262" s="43">
        <f>IF(ISNUMBER(D262),D262,0)</f>
        <v/>
      </c>
      <c r="S262" s="43">
        <f>IF(ISNUMBER(E262),E262,0)</f>
        <v/>
      </c>
      <c r="T262" s="43">
        <f>IF(ISNUMBER(F262),F262,0)</f>
        <v/>
      </c>
      <c r="U262" s="43">
        <f>IF(ISNUMBER(G262),G262,0)</f>
        <v/>
      </c>
      <c r="V262" s="43">
        <f>IF(ISNUMBER(H262),H262,0)</f>
        <v/>
      </c>
      <c r="W262" s="43">
        <f>IF(ISNUMBER(I262),I262,0)</f>
        <v/>
      </c>
      <c r="X262" s="43">
        <f>IF(ISNUMBER(J262),J262,0)</f>
        <v/>
      </c>
      <c r="Y262" s="43">
        <f>IF(ISNUMBER(K262),K262,0)</f>
        <v/>
      </c>
    </row>
    <row r="263">
      <c r="A263" s="35" t="n"/>
      <c r="B263" s="35" t="n"/>
      <c r="C263" s="35" t="n"/>
      <c r="D263" s="25" t="n"/>
      <c r="E263" s="25" t="n"/>
      <c r="F263" s="25" t="n"/>
      <c r="G263" s="25" t="n"/>
      <c r="H263" s="25" t="n"/>
      <c r="I263" s="25" t="n"/>
      <c r="J263" s="25" t="n"/>
      <c r="K263" s="25" t="n"/>
      <c r="L263" s="35" t="n"/>
      <c r="M263" s="40">
        <f>IF(A263="","",IFERROR(INDEX(Applications!$B$2:$B$101,MATCH(A263,Applications!$A$2:$A$101,0))&amp;"",""))</f>
        <v/>
      </c>
      <c r="N263" s="41">
        <f>IF(A263="","",SUMPRODUCT(ISNUMBER(D263:K263)*($D$2:$K$2&gt;0)))</f>
        <v/>
      </c>
      <c r="O263" s="40">
        <f>IF(A263="","",IF(ISNA(MATCH(A263,Applications!$A$2:$A$101,0)),"Check ID",IF(ISNA(MATCH(B263,Settings!$C$13:$C$18,0)),"Check reviewer",IF(LEFT(C263,3)="Yes","Conflict, not counted",IF(COUNTIFS($A$3:A263,A263,$B$3:B263,B263)&gt;1,"Duplicate, not counted",IF(SUM($D$2:$K$2)=0,"Add weights on Rubric",IF(SUMPRODUCT(ISNUMBER(D263:K263)*((D263:K263&gt;4)+(D263:K263&lt;0)))&gt;0,"Check scores",IF(N263&lt;COUNTIF($D$2:$K$2,"&gt;0"),"Incomplete","Counted"))))))))</f>
        <v/>
      </c>
      <c r="P263" s="42">
        <f>IF(O263="Counted",ROUND(SUMPRODUCT(D263:K263,$D$2:$K$2)*100/(4*SUM($D$2:$K$2)),1),"")</f>
        <v/>
      </c>
      <c r="Q263" s="27">
        <f>IF(O263="Counted",1,0)</f>
        <v/>
      </c>
      <c r="R263" s="43">
        <f>IF(ISNUMBER(D263),D263,0)</f>
        <v/>
      </c>
      <c r="S263" s="43">
        <f>IF(ISNUMBER(E263),E263,0)</f>
        <v/>
      </c>
      <c r="T263" s="43">
        <f>IF(ISNUMBER(F263),F263,0)</f>
        <v/>
      </c>
      <c r="U263" s="43">
        <f>IF(ISNUMBER(G263),G263,0)</f>
        <v/>
      </c>
      <c r="V263" s="43">
        <f>IF(ISNUMBER(H263),H263,0)</f>
        <v/>
      </c>
      <c r="W263" s="43">
        <f>IF(ISNUMBER(I263),I263,0)</f>
        <v/>
      </c>
      <c r="X263" s="43">
        <f>IF(ISNUMBER(J263),J263,0)</f>
        <v/>
      </c>
      <c r="Y263" s="43">
        <f>IF(ISNUMBER(K263),K263,0)</f>
        <v/>
      </c>
    </row>
    <row r="264">
      <c r="A264" s="35" t="n"/>
      <c r="B264" s="35" t="n"/>
      <c r="C264" s="35" t="n"/>
      <c r="D264" s="25" t="n"/>
      <c r="E264" s="25" t="n"/>
      <c r="F264" s="25" t="n"/>
      <c r="G264" s="25" t="n"/>
      <c r="H264" s="25" t="n"/>
      <c r="I264" s="25" t="n"/>
      <c r="J264" s="25" t="n"/>
      <c r="K264" s="25" t="n"/>
      <c r="L264" s="35" t="n"/>
      <c r="M264" s="40">
        <f>IF(A264="","",IFERROR(INDEX(Applications!$B$2:$B$101,MATCH(A264,Applications!$A$2:$A$101,0))&amp;"",""))</f>
        <v/>
      </c>
      <c r="N264" s="41">
        <f>IF(A264="","",SUMPRODUCT(ISNUMBER(D264:K264)*($D$2:$K$2&gt;0)))</f>
        <v/>
      </c>
      <c r="O264" s="40">
        <f>IF(A264="","",IF(ISNA(MATCH(A264,Applications!$A$2:$A$101,0)),"Check ID",IF(ISNA(MATCH(B264,Settings!$C$13:$C$18,0)),"Check reviewer",IF(LEFT(C264,3)="Yes","Conflict, not counted",IF(COUNTIFS($A$3:A264,A264,$B$3:B264,B264)&gt;1,"Duplicate, not counted",IF(SUM($D$2:$K$2)=0,"Add weights on Rubric",IF(SUMPRODUCT(ISNUMBER(D264:K264)*((D264:K264&gt;4)+(D264:K264&lt;0)))&gt;0,"Check scores",IF(N264&lt;COUNTIF($D$2:$K$2,"&gt;0"),"Incomplete","Counted"))))))))</f>
        <v/>
      </c>
      <c r="P264" s="42">
        <f>IF(O264="Counted",ROUND(SUMPRODUCT(D264:K264,$D$2:$K$2)*100/(4*SUM($D$2:$K$2)),1),"")</f>
        <v/>
      </c>
      <c r="Q264" s="27">
        <f>IF(O264="Counted",1,0)</f>
        <v/>
      </c>
      <c r="R264" s="43">
        <f>IF(ISNUMBER(D264),D264,0)</f>
        <v/>
      </c>
      <c r="S264" s="43">
        <f>IF(ISNUMBER(E264),E264,0)</f>
        <v/>
      </c>
      <c r="T264" s="43">
        <f>IF(ISNUMBER(F264),F264,0)</f>
        <v/>
      </c>
      <c r="U264" s="43">
        <f>IF(ISNUMBER(G264),G264,0)</f>
        <v/>
      </c>
      <c r="V264" s="43">
        <f>IF(ISNUMBER(H264),H264,0)</f>
        <v/>
      </c>
      <c r="W264" s="43">
        <f>IF(ISNUMBER(I264),I264,0)</f>
        <v/>
      </c>
      <c r="X264" s="43">
        <f>IF(ISNUMBER(J264),J264,0)</f>
        <v/>
      </c>
      <c r="Y264" s="43">
        <f>IF(ISNUMBER(K264),K264,0)</f>
        <v/>
      </c>
    </row>
    <row r="265">
      <c r="A265" s="35" t="n"/>
      <c r="B265" s="35" t="n"/>
      <c r="C265" s="35" t="n"/>
      <c r="D265" s="25" t="n"/>
      <c r="E265" s="25" t="n"/>
      <c r="F265" s="25" t="n"/>
      <c r="G265" s="25" t="n"/>
      <c r="H265" s="25" t="n"/>
      <c r="I265" s="25" t="n"/>
      <c r="J265" s="25" t="n"/>
      <c r="K265" s="25" t="n"/>
      <c r="L265" s="35" t="n"/>
      <c r="M265" s="40">
        <f>IF(A265="","",IFERROR(INDEX(Applications!$B$2:$B$101,MATCH(A265,Applications!$A$2:$A$101,0))&amp;"",""))</f>
        <v/>
      </c>
      <c r="N265" s="41">
        <f>IF(A265="","",SUMPRODUCT(ISNUMBER(D265:K265)*($D$2:$K$2&gt;0)))</f>
        <v/>
      </c>
      <c r="O265" s="40">
        <f>IF(A265="","",IF(ISNA(MATCH(A265,Applications!$A$2:$A$101,0)),"Check ID",IF(ISNA(MATCH(B265,Settings!$C$13:$C$18,0)),"Check reviewer",IF(LEFT(C265,3)="Yes","Conflict, not counted",IF(COUNTIFS($A$3:A265,A265,$B$3:B265,B265)&gt;1,"Duplicate, not counted",IF(SUM($D$2:$K$2)=0,"Add weights on Rubric",IF(SUMPRODUCT(ISNUMBER(D265:K265)*((D265:K265&gt;4)+(D265:K265&lt;0)))&gt;0,"Check scores",IF(N265&lt;COUNTIF($D$2:$K$2,"&gt;0"),"Incomplete","Counted"))))))))</f>
        <v/>
      </c>
      <c r="P265" s="42">
        <f>IF(O265="Counted",ROUND(SUMPRODUCT(D265:K265,$D$2:$K$2)*100/(4*SUM($D$2:$K$2)),1),"")</f>
        <v/>
      </c>
      <c r="Q265" s="27">
        <f>IF(O265="Counted",1,0)</f>
        <v/>
      </c>
      <c r="R265" s="43">
        <f>IF(ISNUMBER(D265),D265,0)</f>
        <v/>
      </c>
      <c r="S265" s="43">
        <f>IF(ISNUMBER(E265),E265,0)</f>
        <v/>
      </c>
      <c r="T265" s="43">
        <f>IF(ISNUMBER(F265),F265,0)</f>
        <v/>
      </c>
      <c r="U265" s="43">
        <f>IF(ISNUMBER(G265),G265,0)</f>
        <v/>
      </c>
      <c r="V265" s="43">
        <f>IF(ISNUMBER(H265),H265,0)</f>
        <v/>
      </c>
      <c r="W265" s="43">
        <f>IF(ISNUMBER(I265),I265,0)</f>
        <v/>
      </c>
      <c r="X265" s="43">
        <f>IF(ISNUMBER(J265),J265,0)</f>
        <v/>
      </c>
      <c r="Y265" s="43">
        <f>IF(ISNUMBER(K265),K265,0)</f>
        <v/>
      </c>
    </row>
    <row r="266">
      <c r="A266" s="35" t="n"/>
      <c r="B266" s="35" t="n"/>
      <c r="C266" s="35" t="n"/>
      <c r="D266" s="25" t="n"/>
      <c r="E266" s="25" t="n"/>
      <c r="F266" s="25" t="n"/>
      <c r="G266" s="25" t="n"/>
      <c r="H266" s="25" t="n"/>
      <c r="I266" s="25" t="n"/>
      <c r="J266" s="25" t="n"/>
      <c r="K266" s="25" t="n"/>
      <c r="L266" s="35" t="n"/>
      <c r="M266" s="40">
        <f>IF(A266="","",IFERROR(INDEX(Applications!$B$2:$B$101,MATCH(A266,Applications!$A$2:$A$101,0))&amp;"",""))</f>
        <v/>
      </c>
      <c r="N266" s="41">
        <f>IF(A266="","",SUMPRODUCT(ISNUMBER(D266:K266)*($D$2:$K$2&gt;0)))</f>
        <v/>
      </c>
      <c r="O266" s="40">
        <f>IF(A266="","",IF(ISNA(MATCH(A266,Applications!$A$2:$A$101,0)),"Check ID",IF(ISNA(MATCH(B266,Settings!$C$13:$C$18,0)),"Check reviewer",IF(LEFT(C266,3)="Yes","Conflict, not counted",IF(COUNTIFS($A$3:A266,A266,$B$3:B266,B266)&gt;1,"Duplicate, not counted",IF(SUM($D$2:$K$2)=0,"Add weights on Rubric",IF(SUMPRODUCT(ISNUMBER(D266:K266)*((D266:K266&gt;4)+(D266:K266&lt;0)))&gt;0,"Check scores",IF(N266&lt;COUNTIF($D$2:$K$2,"&gt;0"),"Incomplete","Counted"))))))))</f>
        <v/>
      </c>
      <c r="P266" s="42">
        <f>IF(O266="Counted",ROUND(SUMPRODUCT(D266:K266,$D$2:$K$2)*100/(4*SUM($D$2:$K$2)),1),"")</f>
        <v/>
      </c>
      <c r="Q266" s="27">
        <f>IF(O266="Counted",1,0)</f>
        <v/>
      </c>
      <c r="R266" s="43">
        <f>IF(ISNUMBER(D266),D266,0)</f>
        <v/>
      </c>
      <c r="S266" s="43">
        <f>IF(ISNUMBER(E266),E266,0)</f>
        <v/>
      </c>
      <c r="T266" s="43">
        <f>IF(ISNUMBER(F266),F266,0)</f>
        <v/>
      </c>
      <c r="U266" s="43">
        <f>IF(ISNUMBER(G266),G266,0)</f>
        <v/>
      </c>
      <c r="V266" s="43">
        <f>IF(ISNUMBER(H266),H266,0)</f>
        <v/>
      </c>
      <c r="W266" s="43">
        <f>IF(ISNUMBER(I266),I266,0)</f>
        <v/>
      </c>
      <c r="X266" s="43">
        <f>IF(ISNUMBER(J266),J266,0)</f>
        <v/>
      </c>
      <c r="Y266" s="43">
        <f>IF(ISNUMBER(K266),K266,0)</f>
        <v/>
      </c>
    </row>
    <row r="267">
      <c r="A267" s="35" t="n"/>
      <c r="B267" s="35" t="n"/>
      <c r="C267" s="35" t="n"/>
      <c r="D267" s="25" t="n"/>
      <c r="E267" s="25" t="n"/>
      <c r="F267" s="25" t="n"/>
      <c r="G267" s="25" t="n"/>
      <c r="H267" s="25" t="n"/>
      <c r="I267" s="25" t="n"/>
      <c r="J267" s="25" t="n"/>
      <c r="K267" s="25" t="n"/>
      <c r="L267" s="35" t="n"/>
      <c r="M267" s="40">
        <f>IF(A267="","",IFERROR(INDEX(Applications!$B$2:$B$101,MATCH(A267,Applications!$A$2:$A$101,0))&amp;"",""))</f>
        <v/>
      </c>
      <c r="N267" s="41">
        <f>IF(A267="","",SUMPRODUCT(ISNUMBER(D267:K267)*($D$2:$K$2&gt;0)))</f>
        <v/>
      </c>
      <c r="O267" s="40">
        <f>IF(A267="","",IF(ISNA(MATCH(A267,Applications!$A$2:$A$101,0)),"Check ID",IF(ISNA(MATCH(B267,Settings!$C$13:$C$18,0)),"Check reviewer",IF(LEFT(C267,3)="Yes","Conflict, not counted",IF(COUNTIFS($A$3:A267,A267,$B$3:B267,B267)&gt;1,"Duplicate, not counted",IF(SUM($D$2:$K$2)=0,"Add weights on Rubric",IF(SUMPRODUCT(ISNUMBER(D267:K267)*((D267:K267&gt;4)+(D267:K267&lt;0)))&gt;0,"Check scores",IF(N267&lt;COUNTIF($D$2:$K$2,"&gt;0"),"Incomplete","Counted"))))))))</f>
        <v/>
      </c>
      <c r="P267" s="42">
        <f>IF(O267="Counted",ROUND(SUMPRODUCT(D267:K267,$D$2:$K$2)*100/(4*SUM($D$2:$K$2)),1),"")</f>
        <v/>
      </c>
      <c r="Q267" s="27">
        <f>IF(O267="Counted",1,0)</f>
        <v/>
      </c>
      <c r="R267" s="43">
        <f>IF(ISNUMBER(D267),D267,0)</f>
        <v/>
      </c>
      <c r="S267" s="43">
        <f>IF(ISNUMBER(E267),E267,0)</f>
        <v/>
      </c>
      <c r="T267" s="43">
        <f>IF(ISNUMBER(F267),F267,0)</f>
        <v/>
      </c>
      <c r="U267" s="43">
        <f>IF(ISNUMBER(G267),G267,0)</f>
        <v/>
      </c>
      <c r="V267" s="43">
        <f>IF(ISNUMBER(H267),H267,0)</f>
        <v/>
      </c>
      <c r="W267" s="43">
        <f>IF(ISNUMBER(I267),I267,0)</f>
        <v/>
      </c>
      <c r="X267" s="43">
        <f>IF(ISNUMBER(J267),J267,0)</f>
        <v/>
      </c>
      <c r="Y267" s="43">
        <f>IF(ISNUMBER(K267),K267,0)</f>
        <v/>
      </c>
    </row>
    <row r="268">
      <c r="A268" s="35" t="n"/>
      <c r="B268" s="35" t="n"/>
      <c r="C268" s="35" t="n"/>
      <c r="D268" s="25" t="n"/>
      <c r="E268" s="25" t="n"/>
      <c r="F268" s="25" t="n"/>
      <c r="G268" s="25" t="n"/>
      <c r="H268" s="25" t="n"/>
      <c r="I268" s="25" t="n"/>
      <c r="J268" s="25" t="n"/>
      <c r="K268" s="25" t="n"/>
      <c r="L268" s="35" t="n"/>
      <c r="M268" s="40">
        <f>IF(A268="","",IFERROR(INDEX(Applications!$B$2:$B$101,MATCH(A268,Applications!$A$2:$A$101,0))&amp;"",""))</f>
        <v/>
      </c>
      <c r="N268" s="41">
        <f>IF(A268="","",SUMPRODUCT(ISNUMBER(D268:K268)*($D$2:$K$2&gt;0)))</f>
        <v/>
      </c>
      <c r="O268" s="40">
        <f>IF(A268="","",IF(ISNA(MATCH(A268,Applications!$A$2:$A$101,0)),"Check ID",IF(ISNA(MATCH(B268,Settings!$C$13:$C$18,0)),"Check reviewer",IF(LEFT(C268,3)="Yes","Conflict, not counted",IF(COUNTIFS($A$3:A268,A268,$B$3:B268,B268)&gt;1,"Duplicate, not counted",IF(SUM($D$2:$K$2)=0,"Add weights on Rubric",IF(SUMPRODUCT(ISNUMBER(D268:K268)*((D268:K268&gt;4)+(D268:K268&lt;0)))&gt;0,"Check scores",IF(N268&lt;COUNTIF($D$2:$K$2,"&gt;0"),"Incomplete","Counted"))))))))</f>
        <v/>
      </c>
      <c r="P268" s="42">
        <f>IF(O268="Counted",ROUND(SUMPRODUCT(D268:K268,$D$2:$K$2)*100/(4*SUM($D$2:$K$2)),1),"")</f>
        <v/>
      </c>
      <c r="Q268" s="27">
        <f>IF(O268="Counted",1,0)</f>
        <v/>
      </c>
      <c r="R268" s="43">
        <f>IF(ISNUMBER(D268),D268,0)</f>
        <v/>
      </c>
      <c r="S268" s="43">
        <f>IF(ISNUMBER(E268),E268,0)</f>
        <v/>
      </c>
      <c r="T268" s="43">
        <f>IF(ISNUMBER(F268),F268,0)</f>
        <v/>
      </c>
      <c r="U268" s="43">
        <f>IF(ISNUMBER(G268),G268,0)</f>
        <v/>
      </c>
      <c r="V268" s="43">
        <f>IF(ISNUMBER(H268),H268,0)</f>
        <v/>
      </c>
      <c r="W268" s="43">
        <f>IF(ISNUMBER(I268),I268,0)</f>
        <v/>
      </c>
      <c r="X268" s="43">
        <f>IF(ISNUMBER(J268),J268,0)</f>
        <v/>
      </c>
      <c r="Y268" s="43">
        <f>IF(ISNUMBER(K268),K268,0)</f>
        <v/>
      </c>
    </row>
    <row r="269">
      <c r="A269" s="35" t="n"/>
      <c r="B269" s="35" t="n"/>
      <c r="C269" s="35" t="n"/>
      <c r="D269" s="25" t="n"/>
      <c r="E269" s="25" t="n"/>
      <c r="F269" s="25" t="n"/>
      <c r="G269" s="25" t="n"/>
      <c r="H269" s="25" t="n"/>
      <c r="I269" s="25" t="n"/>
      <c r="J269" s="25" t="n"/>
      <c r="K269" s="25" t="n"/>
      <c r="L269" s="35" t="n"/>
      <c r="M269" s="40">
        <f>IF(A269="","",IFERROR(INDEX(Applications!$B$2:$B$101,MATCH(A269,Applications!$A$2:$A$101,0))&amp;"",""))</f>
        <v/>
      </c>
      <c r="N269" s="41">
        <f>IF(A269="","",SUMPRODUCT(ISNUMBER(D269:K269)*($D$2:$K$2&gt;0)))</f>
        <v/>
      </c>
      <c r="O269" s="40">
        <f>IF(A269="","",IF(ISNA(MATCH(A269,Applications!$A$2:$A$101,0)),"Check ID",IF(ISNA(MATCH(B269,Settings!$C$13:$C$18,0)),"Check reviewer",IF(LEFT(C269,3)="Yes","Conflict, not counted",IF(COUNTIFS($A$3:A269,A269,$B$3:B269,B269)&gt;1,"Duplicate, not counted",IF(SUM($D$2:$K$2)=0,"Add weights on Rubric",IF(SUMPRODUCT(ISNUMBER(D269:K269)*((D269:K269&gt;4)+(D269:K269&lt;0)))&gt;0,"Check scores",IF(N269&lt;COUNTIF($D$2:$K$2,"&gt;0"),"Incomplete","Counted"))))))))</f>
        <v/>
      </c>
      <c r="P269" s="42">
        <f>IF(O269="Counted",ROUND(SUMPRODUCT(D269:K269,$D$2:$K$2)*100/(4*SUM($D$2:$K$2)),1),"")</f>
        <v/>
      </c>
      <c r="Q269" s="27">
        <f>IF(O269="Counted",1,0)</f>
        <v/>
      </c>
      <c r="R269" s="43">
        <f>IF(ISNUMBER(D269),D269,0)</f>
        <v/>
      </c>
      <c r="S269" s="43">
        <f>IF(ISNUMBER(E269),E269,0)</f>
        <v/>
      </c>
      <c r="T269" s="43">
        <f>IF(ISNUMBER(F269),F269,0)</f>
        <v/>
      </c>
      <c r="U269" s="43">
        <f>IF(ISNUMBER(G269),G269,0)</f>
        <v/>
      </c>
      <c r="V269" s="43">
        <f>IF(ISNUMBER(H269),H269,0)</f>
        <v/>
      </c>
      <c r="W269" s="43">
        <f>IF(ISNUMBER(I269),I269,0)</f>
        <v/>
      </c>
      <c r="X269" s="43">
        <f>IF(ISNUMBER(J269),J269,0)</f>
        <v/>
      </c>
      <c r="Y269" s="43">
        <f>IF(ISNUMBER(K269),K269,0)</f>
        <v/>
      </c>
    </row>
    <row r="270">
      <c r="A270" s="35" t="n"/>
      <c r="B270" s="35" t="n"/>
      <c r="C270" s="35" t="n"/>
      <c r="D270" s="25" t="n"/>
      <c r="E270" s="25" t="n"/>
      <c r="F270" s="25" t="n"/>
      <c r="G270" s="25" t="n"/>
      <c r="H270" s="25" t="n"/>
      <c r="I270" s="25" t="n"/>
      <c r="J270" s="25" t="n"/>
      <c r="K270" s="25" t="n"/>
      <c r="L270" s="35" t="n"/>
      <c r="M270" s="40">
        <f>IF(A270="","",IFERROR(INDEX(Applications!$B$2:$B$101,MATCH(A270,Applications!$A$2:$A$101,0))&amp;"",""))</f>
        <v/>
      </c>
      <c r="N270" s="41">
        <f>IF(A270="","",SUMPRODUCT(ISNUMBER(D270:K270)*($D$2:$K$2&gt;0)))</f>
        <v/>
      </c>
      <c r="O270" s="40">
        <f>IF(A270="","",IF(ISNA(MATCH(A270,Applications!$A$2:$A$101,0)),"Check ID",IF(ISNA(MATCH(B270,Settings!$C$13:$C$18,0)),"Check reviewer",IF(LEFT(C270,3)="Yes","Conflict, not counted",IF(COUNTIFS($A$3:A270,A270,$B$3:B270,B270)&gt;1,"Duplicate, not counted",IF(SUM($D$2:$K$2)=0,"Add weights on Rubric",IF(SUMPRODUCT(ISNUMBER(D270:K270)*((D270:K270&gt;4)+(D270:K270&lt;0)))&gt;0,"Check scores",IF(N270&lt;COUNTIF($D$2:$K$2,"&gt;0"),"Incomplete","Counted"))))))))</f>
        <v/>
      </c>
      <c r="P270" s="42">
        <f>IF(O270="Counted",ROUND(SUMPRODUCT(D270:K270,$D$2:$K$2)*100/(4*SUM($D$2:$K$2)),1),"")</f>
        <v/>
      </c>
      <c r="Q270" s="27">
        <f>IF(O270="Counted",1,0)</f>
        <v/>
      </c>
      <c r="R270" s="43">
        <f>IF(ISNUMBER(D270),D270,0)</f>
        <v/>
      </c>
      <c r="S270" s="43">
        <f>IF(ISNUMBER(E270),E270,0)</f>
        <v/>
      </c>
      <c r="T270" s="43">
        <f>IF(ISNUMBER(F270),F270,0)</f>
        <v/>
      </c>
      <c r="U270" s="43">
        <f>IF(ISNUMBER(G270),G270,0)</f>
        <v/>
      </c>
      <c r="V270" s="43">
        <f>IF(ISNUMBER(H270),H270,0)</f>
        <v/>
      </c>
      <c r="W270" s="43">
        <f>IF(ISNUMBER(I270),I270,0)</f>
        <v/>
      </c>
      <c r="X270" s="43">
        <f>IF(ISNUMBER(J270),J270,0)</f>
        <v/>
      </c>
      <c r="Y270" s="43">
        <f>IF(ISNUMBER(K270),K270,0)</f>
        <v/>
      </c>
    </row>
    <row r="271">
      <c r="A271" s="35" t="n"/>
      <c r="B271" s="35" t="n"/>
      <c r="C271" s="35" t="n"/>
      <c r="D271" s="25" t="n"/>
      <c r="E271" s="25" t="n"/>
      <c r="F271" s="25" t="n"/>
      <c r="G271" s="25" t="n"/>
      <c r="H271" s="25" t="n"/>
      <c r="I271" s="25" t="n"/>
      <c r="J271" s="25" t="n"/>
      <c r="K271" s="25" t="n"/>
      <c r="L271" s="35" t="n"/>
      <c r="M271" s="40">
        <f>IF(A271="","",IFERROR(INDEX(Applications!$B$2:$B$101,MATCH(A271,Applications!$A$2:$A$101,0))&amp;"",""))</f>
        <v/>
      </c>
      <c r="N271" s="41">
        <f>IF(A271="","",SUMPRODUCT(ISNUMBER(D271:K271)*($D$2:$K$2&gt;0)))</f>
        <v/>
      </c>
      <c r="O271" s="40">
        <f>IF(A271="","",IF(ISNA(MATCH(A271,Applications!$A$2:$A$101,0)),"Check ID",IF(ISNA(MATCH(B271,Settings!$C$13:$C$18,0)),"Check reviewer",IF(LEFT(C271,3)="Yes","Conflict, not counted",IF(COUNTIFS($A$3:A271,A271,$B$3:B271,B271)&gt;1,"Duplicate, not counted",IF(SUM($D$2:$K$2)=0,"Add weights on Rubric",IF(SUMPRODUCT(ISNUMBER(D271:K271)*((D271:K271&gt;4)+(D271:K271&lt;0)))&gt;0,"Check scores",IF(N271&lt;COUNTIF($D$2:$K$2,"&gt;0"),"Incomplete","Counted"))))))))</f>
        <v/>
      </c>
      <c r="P271" s="42">
        <f>IF(O271="Counted",ROUND(SUMPRODUCT(D271:K271,$D$2:$K$2)*100/(4*SUM($D$2:$K$2)),1),"")</f>
        <v/>
      </c>
      <c r="Q271" s="27">
        <f>IF(O271="Counted",1,0)</f>
        <v/>
      </c>
      <c r="R271" s="43">
        <f>IF(ISNUMBER(D271),D271,0)</f>
        <v/>
      </c>
      <c r="S271" s="43">
        <f>IF(ISNUMBER(E271),E271,0)</f>
        <v/>
      </c>
      <c r="T271" s="43">
        <f>IF(ISNUMBER(F271),F271,0)</f>
        <v/>
      </c>
      <c r="U271" s="43">
        <f>IF(ISNUMBER(G271),G271,0)</f>
        <v/>
      </c>
      <c r="V271" s="43">
        <f>IF(ISNUMBER(H271),H271,0)</f>
        <v/>
      </c>
      <c r="W271" s="43">
        <f>IF(ISNUMBER(I271),I271,0)</f>
        <v/>
      </c>
      <c r="X271" s="43">
        <f>IF(ISNUMBER(J271),J271,0)</f>
        <v/>
      </c>
      <c r="Y271" s="43">
        <f>IF(ISNUMBER(K271),K271,0)</f>
        <v/>
      </c>
    </row>
    <row r="272">
      <c r="A272" s="35" t="n"/>
      <c r="B272" s="35" t="n"/>
      <c r="C272" s="35" t="n"/>
      <c r="D272" s="25" t="n"/>
      <c r="E272" s="25" t="n"/>
      <c r="F272" s="25" t="n"/>
      <c r="G272" s="25" t="n"/>
      <c r="H272" s="25" t="n"/>
      <c r="I272" s="25" t="n"/>
      <c r="J272" s="25" t="n"/>
      <c r="K272" s="25" t="n"/>
      <c r="L272" s="35" t="n"/>
      <c r="M272" s="40">
        <f>IF(A272="","",IFERROR(INDEX(Applications!$B$2:$B$101,MATCH(A272,Applications!$A$2:$A$101,0))&amp;"",""))</f>
        <v/>
      </c>
      <c r="N272" s="41">
        <f>IF(A272="","",SUMPRODUCT(ISNUMBER(D272:K272)*($D$2:$K$2&gt;0)))</f>
        <v/>
      </c>
      <c r="O272" s="40">
        <f>IF(A272="","",IF(ISNA(MATCH(A272,Applications!$A$2:$A$101,0)),"Check ID",IF(ISNA(MATCH(B272,Settings!$C$13:$C$18,0)),"Check reviewer",IF(LEFT(C272,3)="Yes","Conflict, not counted",IF(COUNTIFS($A$3:A272,A272,$B$3:B272,B272)&gt;1,"Duplicate, not counted",IF(SUM($D$2:$K$2)=0,"Add weights on Rubric",IF(SUMPRODUCT(ISNUMBER(D272:K272)*((D272:K272&gt;4)+(D272:K272&lt;0)))&gt;0,"Check scores",IF(N272&lt;COUNTIF($D$2:$K$2,"&gt;0"),"Incomplete","Counted"))))))))</f>
        <v/>
      </c>
      <c r="P272" s="42">
        <f>IF(O272="Counted",ROUND(SUMPRODUCT(D272:K272,$D$2:$K$2)*100/(4*SUM($D$2:$K$2)),1),"")</f>
        <v/>
      </c>
      <c r="Q272" s="27">
        <f>IF(O272="Counted",1,0)</f>
        <v/>
      </c>
      <c r="R272" s="43">
        <f>IF(ISNUMBER(D272),D272,0)</f>
        <v/>
      </c>
      <c r="S272" s="43">
        <f>IF(ISNUMBER(E272),E272,0)</f>
        <v/>
      </c>
      <c r="T272" s="43">
        <f>IF(ISNUMBER(F272),F272,0)</f>
        <v/>
      </c>
      <c r="U272" s="43">
        <f>IF(ISNUMBER(G272),G272,0)</f>
        <v/>
      </c>
      <c r="V272" s="43">
        <f>IF(ISNUMBER(H272),H272,0)</f>
        <v/>
      </c>
      <c r="W272" s="43">
        <f>IF(ISNUMBER(I272),I272,0)</f>
        <v/>
      </c>
      <c r="X272" s="43">
        <f>IF(ISNUMBER(J272),J272,0)</f>
        <v/>
      </c>
      <c r="Y272" s="43">
        <f>IF(ISNUMBER(K272),K272,0)</f>
        <v/>
      </c>
    </row>
    <row r="273">
      <c r="A273" s="35" t="n"/>
      <c r="B273" s="35" t="n"/>
      <c r="C273" s="35" t="n"/>
      <c r="D273" s="25" t="n"/>
      <c r="E273" s="25" t="n"/>
      <c r="F273" s="25" t="n"/>
      <c r="G273" s="25" t="n"/>
      <c r="H273" s="25" t="n"/>
      <c r="I273" s="25" t="n"/>
      <c r="J273" s="25" t="n"/>
      <c r="K273" s="25" t="n"/>
      <c r="L273" s="35" t="n"/>
      <c r="M273" s="40">
        <f>IF(A273="","",IFERROR(INDEX(Applications!$B$2:$B$101,MATCH(A273,Applications!$A$2:$A$101,0))&amp;"",""))</f>
        <v/>
      </c>
      <c r="N273" s="41">
        <f>IF(A273="","",SUMPRODUCT(ISNUMBER(D273:K273)*($D$2:$K$2&gt;0)))</f>
        <v/>
      </c>
      <c r="O273" s="40">
        <f>IF(A273="","",IF(ISNA(MATCH(A273,Applications!$A$2:$A$101,0)),"Check ID",IF(ISNA(MATCH(B273,Settings!$C$13:$C$18,0)),"Check reviewer",IF(LEFT(C273,3)="Yes","Conflict, not counted",IF(COUNTIFS($A$3:A273,A273,$B$3:B273,B273)&gt;1,"Duplicate, not counted",IF(SUM($D$2:$K$2)=0,"Add weights on Rubric",IF(SUMPRODUCT(ISNUMBER(D273:K273)*((D273:K273&gt;4)+(D273:K273&lt;0)))&gt;0,"Check scores",IF(N273&lt;COUNTIF($D$2:$K$2,"&gt;0"),"Incomplete","Counted"))))))))</f>
        <v/>
      </c>
      <c r="P273" s="42">
        <f>IF(O273="Counted",ROUND(SUMPRODUCT(D273:K273,$D$2:$K$2)*100/(4*SUM($D$2:$K$2)),1),"")</f>
        <v/>
      </c>
      <c r="Q273" s="27">
        <f>IF(O273="Counted",1,0)</f>
        <v/>
      </c>
      <c r="R273" s="43">
        <f>IF(ISNUMBER(D273),D273,0)</f>
        <v/>
      </c>
      <c r="S273" s="43">
        <f>IF(ISNUMBER(E273),E273,0)</f>
        <v/>
      </c>
      <c r="T273" s="43">
        <f>IF(ISNUMBER(F273),F273,0)</f>
        <v/>
      </c>
      <c r="U273" s="43">
        <f>IF(ISNUMBER(G273),G273,0)</f>
        <v/>
      </c>
      <c r="V273" s="43">
        <f>IF(ISNUMBER(H273),H273,0)</f>
        <v/>
      </c>
      <c r="W273" s="43">
        <f>IF(ISNUMBER(I273),I273,0)</f>
        <v/>
      </c>
      <c r="X273" s="43">
        <f>IF(ISNUMBER(J273),J273,0)</f>
        <v/>
      </c>
      <c r="Y273" s="43">
        <f>IF(ISNUMBER(K273),K273,0)</f>
        <v/>
      </c>
    </row>
    <row r="274">
      <c r="A274" s="35" t="n"/>
      <c r="B274" s="35" t="n"/>
      <c r="C274" s="35" t="n"/>
      <c r="D274" s="25" t="n"/>
      <c r="E274" s="25" t="n"/>
      <c r="F274" s="25" t="n"/>
      <c r="G274" s="25" t="n"/>
      <c r="H274" s="25" t="n"/>
      <c r="I274" s="25" t="n"/>
      <c r="J274" s="25" t="n"/>
      <c r="K274" s="25" t="n"/>
      <c r="L274" s="35" t="n"/>
      <c r="M274" s="40">
        <f>IF(A274="","",IFERROR(INDEX(Applications!$B$2:$B$101,MATCH(A274,Applications!$A$2:$A$101,0))&amp;"",""))</f>
        <v/>
      </c>
      <c r="N274" s="41">
        <f>IF(A274="","",SUMPRODUCT(ISNUMBER(D274:K274)*($D$2:$K$2&gt;0)))</f>
        <v/>
      </c>
      <c r="O274" s="40">
        <f>IF(A274="","",IF(ISNA(MATCH(A274,Applications!$A$2:$A$101,0)),"Check ID",IF(ISNA(MATCH(B274,Settings!$C$13:$C$18,0)),"Check reviewer",IF(LEFT(C274,3)="Yes","Conflict, not counted",IF(COUNTIFS($A$3:A274,A274,$B$3:B274,B274)&gt;1,"Duplicate, not counted",IF(SUM($D$2:$K$2)=0,"Add weights on Rubric",IF(SUMPRODUCT(ISNUMBER(D274:K274)*((D274:K274&gt;4)+(D274:K274&lt;0)))&gt;0,"Check scores",IF(N274&lt;COUNTIF($D$2:$K$2,"&gt;0"),"Incomplete","Counted"))))))))</f>
        <v/>
      </c>
      <c r="P274" s="42">
        <f>IF(O274="Counted",ROUND(SUMPRODUCT(D274:K274,$D$2:$K$2)*100/(4*SUM($D$2:$K$2)),1),"")</f>
        <v/>
      </c>
      <c r="Q274" s="27">
        <f>IF(O274="Counted",1,0)</f>
        <v/>
      </c>
      <c r="R274" s="43">
        <f>IF(ISNUMBER(D274),D274,0)</f>
        <v/>
      </c>
      <c r="S274" s="43">
        <f>IF(ISNUMBER(E274),E274,0)</f>
        <v/>
      </c>
      <c r="T274" s="43">
        <f>IF(ISNUMBER(F274),F274,0)</f>
        <v/>
      </c>
      <c r="U274" s="43">
        <f>IF(ISNUMBER(G274),G274,0)</f>
        <v/>
      </c>
      <c r="V274" s="43">
        <f>IF(ISNUMBER(H274),H274,0)</f>
        <v/>
      </c>
      <c r="W274" s="43">
        <f>IF(ISNUMBER(I274),I274,0)</f>
        <v/>
      </c>
      <c r="X274" s="43">
        <f>IF(ISNUMBER(J274),J274,0)</f>
        <v/>
      </c>
      <c r="Y274" s="43">
        <f>IF(ISNUMBER(K274),K274,0)</f>
        <v/>
      </c>
    </row>
    <row r="275">
      <c r="A275" s="35" t="n"/>
      <c r="B275" s="35" t="n"/>
      <c r="C275" s="35" t="n"/>
      <c r="D275" s="25" t="n"/>
      <c r="E275" s="25" t="n"/>
      <c r="F275" s="25" t="n"/>
      <c r="G275" s="25" t="n"/>
      <c r="H275" s="25" t="n"/>
      <c r="I275" s="25" t="n"/>
      <c r="J275" s="25" t="n"/>
      <c r="K275" s="25" t="n"/>
      <c r="L275" s="35" t="n"/>
      <c r="M275" s="40">
        <f>IF(A275="","",IFERROR(INDEX(Applications!$B$2:$B$101,MATCH(A275,Applications!$A$2:$A$101,0))&amp;"",""))</f>
        <v/>
      </c>
      <c r="N275" s="41">
        <f>IF(A275="","",SUMPRODUCT(ISNUMBER(D275:K275)*($D$2:$K$2&gt;0)))</f>
        <v/>
      </c>
      <c r="O275" s="40">
        <f>IF(A275="","",IF(ISNA(MATCH(A275,Applications!$A$2:$A$101,0)),"Check ID",IF(ISNA(MATCH(B275,Settings!$C$13:$C$18,0)),"Check reviewer",IF(LEFT(C275,3)="Yes","Conflict, not counted",IF(COUNTIFS($A$3:A275,A275,$B$3:B275,B275)&gt;1,"Duplicate, not counted",IF(SUM($D$2:$K$2)=0,"Add weights on Rubric",IF(SUMPRODUCT(ISNUMBER(D275:K275)*((D275:K275&gt;4)+(D275:K275&lt;0)))&gt;0,"Check scores",IF(N275&lt;COUNTIF($D$2:$K$2,"&gt;0"),"Incomplete","Counted"))))))))</f>
        <v/>
      </c>
      <c r="P275" s="42">
        <f>IF(O275="Counted",ROUND(SUMPRODUCT(D275:K275,$D$2:$K$2)*100/(4*SUM($D$2:$K$2)),1),"")</f>
        <v/>
      </c>
      <c r="Q275" s="27">
        <f>IF(O275="Counted",1,0)</f>
        <v/>
      </c>
      <c r="R275" s="43">
        <f>IF(ISNUMBER(D275),D275,0)</f>
        <v/>
      </c>
      <c r="S275" s="43">
        <f>IF(ISNUMBER(E275),E275,0)</f>
        <v/>
      </c>
      <c r="T275" s="43">
        <f>IF(ISNUMBER(F275),F275,0)</f>
        <v/>
      </c>
      <c r="U275" s="43">
        <f>IF(ISNUMBER(G275),G275,0)</f>
        <v/>
      </c>
      <c r="V275" s="43">
        <f>IF(ISNUMBER(H275),H275,0)</f>
        <v/>
      </c>
      <c r="W275" s="43">
        <f>IF(ISNUMBER(I275),I275,0)</f>
        <v/>
      </c>
      <c r="X275" s="43">
        <f>IF(ISNUMBER(J275),J275,0)</f>
        <v/>
      </c>
      <c r="Y275" s="43">
        <f>IF(ISNUMBER(K275),K275,0)</f>
        <v/>
      </c>
    </row>
    <row r="276">
      <c r="A276" s="35" t="n"/>
      <c r="B276" s="35" t="n"/>
      <c r="C276" s="35" t="n"/>
      <c r="D276" s="25" t="n"/>
      <c r="E276" s="25" t="n"/>
      <c r="F276" s="25" t="n"/>
      <c r="G276" s="25" t="n"/>
      <c r="H276" s="25" t="n"/>
      <c r="I276" s="25" t="n"/>
      <c r="J276" s="25" t="n"/>
      <c r="K276" s="25" t="n"/>
      <c r="L276" s="35" t="n"/>
      <c r="M276" s="40">
        <f>IF(A276="","",IFERROR(INDEX(Applications!$B$2:$B$101,MATCH(A276,Applications!$A$2:$A$101,0))&amp;"",""))</f>
        <v/>
      </c>
      <c r="N276" s="41">
        <f>IF(A276="","",SUMPRODUCT(ISNUMBER(D276:K276)*($D$2:$K$2&gt;0)))</f>
        <v/>
      </c>
      <c r="O276" s="40">
        <f>IF(A276="","",IF(ISNA(MATCH(A276,Applications!$A$2:$A$101,0)),"Check ID",IF(ISNA(MATCH(B276,Settings!$C$13:$C$18,0)),"Check reviewer",IF(LEFT(C276,3)="Yes","Conflict, not counted",IF(COUNTIFS($A$3:A276,A276,$B$3:B276,B276)&gt;1,"Duplicate, not counted",IF(SUM($D$2:$K$2)=0,"Add weights on Rubric",IF(SUMPRODUCT(ISNUMBER(D276:K276)*((D276:K276&gt;4)+(D276:K276&lt;0)))&gt;0,"Check scores",IF(N276&lt;COUNTIF($D$2:$K$2,"&gt;0"),"Incomplete","Counted"))))))))</f>
        <v/>
      </c>
      <c r="P276" s="42">
        <f>IF(O276="Counted",ROUND(SUMPRODUCT(D276:K276,$D$2:$K$2)*100/(4*SUM($D$2:$K$2)),1),"")</f>
        <v/>
      </c>
      <c r="Q276" s="27">
        <f>IF(O276="Counted",1,0)</f>
        <v/>
      </c>
      <c r="R276" s="43">
        <f>IF(ISNUMBER(D276),D276,0)</f>
        <v/>
      </c>
      <c r="S276" s="43">
        <f>IF(ISNUMBER(E276),E276,0)</f>
        <v/>
      </c>
      <c r="T276" s="43">
        <f>IF(ISNUMBER(F276),F276,0)</f>
        <v/>
      </c>
      <c r="U276" s="43">
        <f>IF(ISNUMBER(G276),G276,0)</f>
        <v/>
      </c>
      <c r="V276" s="43">
        <f>IF(ISNUMBER(H276),H276,0)</f>
        <v/>
      </c>
      <c r="W276" s="43">
        <f>IF(ISNUMBER(I276),I276,0)</f>
        <v/>
      </c>
      <c r="X276" s="43">
        <f>IF(ISNUMBER(J276),J276,0)</f>
        <v/>
      </c>
      <c r="Y276" s="43">
        <f>IF(ISNUMBER(K276),K276,0)</f>
        <v/>
      </c>
    </row>
    <row r="277">
      <c r="A277" s="35" t="n"/>
      <c r="B277" s="35" t="n"/>
      <c r="C277" s="35" t="n"/>
      <c r="D277" s="25" t="n"/>
      <c r="E277" s="25" t="n"/>
      <c r="F277" s="25" t="n"/>
      <c r="G277" s="25" t="n"/>
      <c r="H277" s="25" t="n"/>
      <c r="I277" s="25" t="n"/>
      <c r="J277" s="25" t="n"/>
      <c r="K277" s="25" t="n"/>
      <c r="L277" s="35" t="n"/>
      <c r="M277" s="40">
        <f>IF(A277="","",IFERROR(INDEX(Applications!$B$2:$B$101,MATCH(A277,Applications!$A$2:$A$101,0))&amp;"",""))</f>
        <v/>
      </c>
      <c r="N277" s="41">
        <f>IF(A277="","",SUMPRODUCT(ISNUMBER(D277:K277)*($D$2:$K$2&gt;0)))</f>
        <v/>
      </c>
      <c r="O277" s="40">
        <f>IF(A277="","",IF(ISNA(MATCH(A277,Applications!$A$2:$A$101,0)),"Check ID",IF(ISNA(MATCH(B277,Settings!$C$13:$C$18,0)),"Check reviewer",IF(LEFT(C277,3)="Yes","Conflict, not counted",IF(COUNTIFS($A$3:A277,A277,$B$3:B277,B277)&gt;1,"Duplicate, not counted",IF(SUM($D$2:$K$2)=0,"Add weights on Rubric",IF(SUMPRODUCT(ISNUMBER(D277:K277)*((D277:K277&gt;4)+(D277:K277&lt;0)))&gt;0,"Check scores",IF(N277&lt;COUNTIF($D$2:$K$2,"&gt;0"),"Incomplete","Counted"))))))))</f>
        <v/>
      </c>
      <c r="P277" s="42">
        <f>IF(O277="Counted",ROUND(SUMPRODUCT(D277:K277,$D$2:$K$2)*100/(4*SUM($D$2:$K$2)),1),"")</f>
        <v/>
      </c>
      <c r="Q277" s="27">
        <f>IF(O277="Counted",1,0)</f>
        <v/>
      </c>
      <c r="R277" s="43">
        <f>IF(ISNUMBER(D277),D277,0)</f>
        <v/>
      </c>
      <c r="S277" s="43">
        <f>IF(ISNUMBER(E277),E277,0)</f>
        <v/>
      </c>
      <c r="T277" s="43">
        <f>IF(ISNUMBER(F277),F277,0)</f>
        <v/>
      </c>
      <c r="U277" s="43">
        <f>IF(ISNUMBER(G277),G277,0)</f>
        <v/>
      </c>
      <c r="V277" s="43">
        <f>IF(ISNUMBER(H277),H277,0)</f>
        <v/>
      </c>
      <c r="W277" s="43">
        <f>IF(ISNUMBER(I277),I277,0)</f>
        <v/>
      </c>
      <c r="X277" s="43">
        <f>IF(ISNUMBER(J277),J277,0)</f>
        <v/>
      </c>
      <c r="Y277" s="43">
        <f>IF(ISNUMBER(K277),K277,0)</f>
        <v/>
      </c>
    </row>
    <row r="278">
      <c r="A278" s="35" t="n"/>
      <c r="B278" s="35" t="n"/>
      <c r="C278" s="35" t="n"/>
      <c r="D278" s="25" t="n"/>
      <c r="E278" s="25" t="n"/>
      <c r="F278" s="25" t="n"/>
      <c r="G278" s="25" t="n"/>
      <c r="H278" s="25" t="n"/>
      <c r="I278" s="25" t="n"/>
      <c r="J278" s="25" t="n"/>
      <c r="K278" s="25" t="n"/>
      <c r="L278" s="35" t="n"/>
      <c r="M278" s="40">
        <f>IF(A278="","",IFERROR(INDEX(Applications!$B$2:$B$101,MATCH(A278,Applications!$A$2:$A$101,0))&amp;"",""))</f>
        <v/>
      </c>
      <c r="N278" s="41">
        <f>IF(A278="","",SUMPRODUCT(ISNUMBER(D278:K278)*($D$2:$K$2&gt;0)))</f>
        <v/>
      </c>
      <c r="O278" s="40">
        <f>IF(A278="","",IF(ISNA(MATCH(A278,Applications!$A$2:$A$101,0)),"Check ID",IF(ISNA(MATCH(B278,Settings!$C$13:$C$18,0)),"Check reviewer",IF(LEFT(C278,3)="Yes","Conflict, not counted",IF(COUNTIFS($A$3:A278,A278,$B$3:B278,B278)&gt;1,"Duplicate, not counted",IF(SUM($D$2:$K$2)=0,"Add weights on Rubric",IF(SUMPRODUCT(ISNUMBER(D278:K278)*((D278:K278&gt;4)+(D278:K278&lt;0)))&gt;0,"Check scores",IF(N278&lt;COUNTIF($D$2:$K$2,"&gt;0"),"Incomplete","Counted"))))))))</f>
        <v/>
      </c>
      <c r="P278" s="42">
        <f>IF(O278="Counted",ROUND(SUMPRODUCT(D278:K278,$D$2:$K$2)*100/(4*SUM($D$2:$K$2)),1),"")</f>
        <v/>
      </c>
      <c r="Q278" s="27">
        <f>IF(O278="Counted",1,0)</f>
        <v/>
      </c>
      <c r="R278" s="43">
        <f>IF(ISNUMBER(D278),D278,0)</f>
        <v/>
      </c>
      <c r="S278" s="43">
        <f>IF(ISNUMBER(E278),E278,0)</f>
        <v/>
      </c>
      <c r="T278" s="43">
        <f>IF(ISNUMBER(F278),F278,0)</f>
        <v/>
      </c>
      <c r="U278" s="43">
        <f>IF(ISNUMBER(G278),G278,0)</f>
        <v/>
      </c>
      <c r="V278" s="43">
        <f>IF(ISNUMBER(H278),H278,0)</f>
        <v/>
      </c>
      <c r="W278" s="43">
        <f>IF(ISNUMBER(I278),I278,0)</f>
        <v/>
      </c>
      <c r="X278" s="43">
        <f>IF(ISNUMBER(J278),J278,0)</f>
        <v/>
      </c>
      <c r="Y278" s="43">
        <f>IF(ISNUMBER(K278),K278,0)</f>
        <v/>
      </c>
    </row>
    <row r="279">
      <c r="A279" s="35" t="n"/>
      <c r="B279" s="35" t="n"/>
      <c r="C279" s="35" t="n"/>
      <c r="D279" s="25" t="n"/>
      <c r="E279" s="25" t="n"/>
      <c r="F279" s="25" t="n"/>
      <c r="G279" s="25" t="n"/>
      <c r="H279" s="25" t="n"/>
      <c r="I279" s="25" t="n"/>
      <c r="J279" s="25" t="n"/>
      <c r="K279" s="25" t="n"/>
      <c r="L279" s="35" t="n"/>
      <c r="M279" s="40">
        <f>IF(A279="","",IFERROR(INDEX(Applications!$B$2:$B$101,MATCH(A279,Applications!$A$2:$A$101,0))&amp;"",""))</f>
        <v/>
      </c>
      <c r="N279" s="41">
        <f>IF(A279="","",SUMPRODUCT(ISNUMBER(D279:K279)*($D$2:$K$2&gt;0)))</f>
        <v/>
      </c>
      <c r="O279" s="40">
        <f>IF(A279="","",IF(ISNA(MATCH(A279,Applications!$A$2:$A$101,0)),"Check ID",IF(ISNA(MATCH(B279,Settings!$C$13:$C$18,0)),"Check reviewer",IF(LEFT(C279,3)="Yes","Conflict, not counted",IF(COUNTIFS($A$3:A279,A279,$B$3:B279,B279)&gt;1,"Duplicate, not counted",IF(SUM($D$2:$K$2)=0,"Add weights on Rubric",IF(SUMPRODUCT(ISNUMBER(D279:K279)*((D279:K279&gt;4)+(D279:K279&lt;0)))&gt;0,"Check scores",IF(N279&lt;COUNTIF($D$2:$K$2,"&gt;0"),"Incomplete","Counted"))))))))</f>
        <v/>
      </c>
      <c r="P279" s="42">
        <f>IF(O279="Counted",ROUND(SUMPRODUCT(D279:K279,$D$2:$K$2)*100/(4*SUM($D$2:$K$2)),1),"")</f>
        <v/>
      </c>
      <c r="Q279" s="27">
        <f>IF(O279="Counted",1,0)</f>
        <v/>
      </c>
      <c r="R279" s="43">
        <f>IF(ISNUMBER(D279),D279,0)</f>
        <v/>
      </c>
      <c r="S279" s="43">
        <f>IF(ISNUMBER(E279),E279,0)</f>
        <v/>
      </c>
      <c r="T279" s="43">
        <f>IF(ISNUMBER(F279),F279,0)</f>
        <v/>
      </c>
      <c r="U279" s="43">
        <f>IF(ISNUMBER(G279),G279,0)</f>
        <v/>
      </c>
      <c r="V279" s="43">
        <f>IF(ISNUMBER(H279),H279,0)</f>
        <v/>
      </c>
      <c r="W279" s="43">
        <f>IF(ISNUMBER(I279),I279,0)</f>
        <v/>
      </c>
      <c r="X279" s="43">
        <f>IF(ISNUMBER(J279),J279,0)</f>
        <v/>
      </c>
      <c r="Y279" s="43">
        <f>IF(ISNUMBER(K279),K279,0)</f>
        <v/>
      </c>
    </row>
    <row r="280">
      <c r="A280" s="35" t="n"/>
      <c r="B280" s="35" t="n"/>
      <c r="C280" s="35" t="n"/>
      <c r="D280" s="25" t="n"/>
      <c r="E280" s="25" t="n"/>
      <c r="F280" s="25" t="n"/>
      <c r="G280" s="25" t="n"/>
      <c r="H280" s="25" t="n"/>
      <c r="I280" s="25" t="n"/>
      <c r="J280" s="25" t="n"/>
      <c r="K280" s="25" t="n"/>
      <c r="L280" s="35" t="n"/>
      <c r="M280" s="40">
        <f>IF(A280="","",IFERROR(INDEX(Applications!$B$2:$B$101,MATCH(A280,Applications!$A$2:$A$101,0))&amp;"",""))</f>
        <v/>
      </c>
      <c r="N280" s="41">
        <f>IF(A280="","",SUMPRODUCT(ISNUMBER(D280:K280)*($D$2:$K$2&gt;0)))</f>
        <v/>
      </c>
      <c r="O280" s="40">
        <f>IF(A280="","",IF(ISNA(MATCH(A280,Applications!$A$2:$A$101,0)),"Check ID",IF(ISNA(MATCH(B280,Settings!$C$13:$C$18,0)),"Check reviewer",IF(LEFT(C280,3)="Yes","Conflict, not counted",IF(COUNTIFS($A$3:A280,A280,$B$3:B280,B280)&gt;1,"Duplicate, not counted",IF(SUM($D$2:$K$2)=0,"Add weights on Rubric",IF(SUMPRODUCT(ISNUMBER(D280:K280)*((D280:K280&gt;4)+(D280:K280&lt;0)))&gt;0,"Check scores",IF(N280&lt;COUNTIF($D$2:$K$2,"&gt;0"),"Incomplete","Counted"))))))))</f>
        <v/>
      </c>
      <c r="P280" s="42">
        <f>IF(O280="Counted",ROUND(SUMPRODUCT(D280:K280,$D$2:$K$2)*100/(4*SUM($D$2:$K$2)),1),"")</f>
        <v/>
      </c>
      <c r="Q280" s="27">
        <f>IF(O280="Counted",1,0)</f>
        <v/>
      </c>
      <c r="R280" s="43">
        <f>IF(ISNUMBER(D280),D280,0)</f>
        <v/>
      </c>
      <c r="S280" s="43">
        <f>IF(ISNUMBER(E280),E280,0)</f>
        <v/>
      </c>
      <c r="T280" s="43">
        <f>IF(ISNUMBER(F280),F280,0)</f>
        <v/>
      </c>
      <c r="U280" s="43">
        <f>IF(ISNUMBER(G280),G280,0)</f>
        <v/>
      </c>
      <c r="V280" s="43">
        <f>IF(ISNUMBER(H280),H280,0)</f>
        <v/>
      </c>
      <c r="W280" s="43">
        <f>IF(ISNUMBER(I280),I280,0)</f>
        <v/>
      </c>
      <c r="X280" s="43">
        <f>IF(ISNUMBER(J280),J280,0)</f>
        <v/>
      </c>
      <c r="Y280" s="43">
        <f>IF(ISNUMBER(K280),K280,0)</f>
        <v/>
      </c>
    </row>
    <row r="281">
      <c r="A281" s="35" t="n"/>
      <c r="B281" s="35" t="n"/>
      <c r="C281" s="35" t="n"/>
      <c r="D281" s="25" t="n"/>
      <c r="E281" s="25" t="n"/>
      <c r="F281" s="25" t="n"/>
      <c r="G281" s="25" t="n"/>
      <c r="H281" s="25" t="n"/>
      <c r="I281" s="25" t="n"/>
      <c r="J281" s="25" t="n"/>
      <c r="K281" s="25" t="n"/>
      <c r="L281" s="35" t="n"/>
      <c r="M281" s="40">
        <f>IF(A281="","",IFERROR(INDEX(Applications!$B$2:$B$101,MATCH(A281,Applications!$A$2:$A$101,0))&amp;"",""))</f>
        <v/>
      </c>
      <c r="N281" s="41">
        <f>IF(A281="","",SUMPRODUCT(ISNUMBER(D281:K281)*($D$2:$K$2&gt;0)))</f>
        <v/>
      </c>
      <c r="O281" s="40">
        <f>IF(A281="","",IF(ISNA(MATCH(A281,Applications!$A$2:$A$101,0)),"Check ID",IF(ISNA(MATCH(B281,Settings!$C$13:$C$18,0)),"Check reviewer",IF(LEFT(C281,3)="Yes","Conflict, not counted",IF(COUNTIFS($A$3:A281,A281,$B$3:B281,B281)&gt;1,"Duplicate, not counted",IF(SUM($D$2:$K$2)=0,"Add weights on Rubric",IF(SUMPRODUCT(ISNUMBER(D281:K281)*((D281:K281&gt;4)+(D281:K281&lt;0)))&gt;0,"Check scores",IF(N281&lt;COUNTIF($D$2:$K$2,"&gt;0"),"Incomplete","Counted"))))))))</f>
        <v/>
      </c>
      <c r="P281" s="42">
        <f>IF(O281="Counted",ROUND(SUMPRODUCT(D281:K281,$D$2:$K$2)*100/(4*SUM($D$2:$K$2)),1),"")</f>
        <v/>
      </c>
      <c r="Q281" s="27">
        <f>IF(O281="Counted",1,0)</f>
        <v/>
      </c>
      <c r="R281" s="43">
        <f>IF(ISNUMBER(D281),D281,0)</f>
        <v/>
      </c>
      <c r="S281" s="43">
        <f>IF(ISNUMBER(E281),E281,0)</f>
        <v/>
      </c>
      <c r="T281" s="43">
        <f>IF(ISNUMBER(F281),F281,0)</f>
        <v/>
      </c>
      <c r="U281" s="43">
        <f>IF(ISNUMBER(G281),G281,0)</f>
        <v/>
      </c>
      <c r="V281" s="43">
        <f>IF(ISNUMBER(H281),H281,0)</f>
        <v/>
      </c>
      <c r="W281" s="43">
        <f>IF(ISNUMBER(I281),I281,0)</f>
        <v/>
      </c>
      <c r="X281" s="43">
        <f>IF(ISNUMBER(J281),J281,0)</f>
        <v/>
      </c>
      <c r="Y281" s="43">
        <f>IF(ISNUMBER(K281),K281,0)</f>
        <v/>
      </c>
    </row>
    <row r="282">
      <c r="A282" s="35" t="n"/>
      <c r="B282" s="35" t="n"/>
      <c r="C282" s="35" t="n"/>
      <c r="D282" s="25" t="n"/>
      <c r="E282" s="25" t="n"/>
      <c r="F282" s="25" t="n"/>
      <c r="G282" s="25" t="n"/>
      <c r="H282" s="25" t="n"/>
      <c r="I282" s="25" t="n"/>
      <c r="J282" s="25" t="n"/>
      <c r="K282" s="25" t="n"/>
      <c r="L282" s="35" t="n"/>
      <c r="M282" s="40">
        <f>IF(A282="","",IFERROR(INDEX(Applications!$B$2:$B$101,MATCH(A282,Applications!$A$2:$A$101,0))&amp;"",""))</f>
        <v/>
      </c>
      <c r="N282" s="41">
        <f>IF(A282="","",SUMPRODUCT(ISNUMBER(D282:K282)*($D$2:$K$2&gt;0)))</f>
        <v/>
      </c>
      <c r="O282" s="40">
        <f>IF(A282="","",IF(ISNA(MATCH(A282,Applications!$A$2:$A$101,0)),"Check ID",IF(ISNA(MATCH(B282,Settings!$C$13:$C$18,0)),"Check reviewer",IF(LEFT(C282,3)="Yes","Conflict, not counted",IF(COUNTIFS($A$3:A282,A282,$B$3:B282,B282)&gt;1,"Duplicate, not counted",IF(SUM($D$2:$K$2)=0,"Add weights on Rubric",IF(SUMPRODUCT(ISNUMBER(D282:K282)*((D282:K282&gt;4)+(D282:K282&lt;0)))&gt;0,"Check scores",IF(N282&lt;COUNTIF($D$2:$K$2,"&gt;0"),"Incomplete","Counted"))))))))</f>
        <v/>
      </c>
      <c r="P282" s="42">
        <f>IF(O282="Counted",ROUND(SUMPRODUCT(D282:K282,$D$2:$K$2)*100/(4*SUM($D$2:$K$2)),1),"")</f>
        <v/>
      </c>
      <c r="Q282" s="27">
        <f>IF(O282="Counted",1,0)</f>
        <v/>
      </c>
      <c r="R282" s="43">
        <f>IF(ISNUMBER(D282),D282,0)</f>
        <v/>
      </c>
      <c r="S282" s="43">
        <f>IF(ISNUMBER(E282),E282,0)</f>
        <v/>
      </c>
      <c r="T282" s="43">
        <f>IF(ISNUMBER(F282),F282,0)</f>
        <v/>
      </c>
      <c r="U282" s="43">
        <f>IF(ISNUMBER(G282),G282,0)</f>
        <v/>
      </c>
      <c r="V282" s="43">
        <f>IF(ISNUMBER(H282),H282,0)</f>
        <v/>
      </c>
      <c r="W282" s="43">
        <f>IF(ISNUMBER(I282),I282,0)</f>
        <v/>
      </c>
      <c r="X282" s="43">
        <f>IF(ISNUMBER(J282),J282,0)</f>
        <v/>
      </c>
      <c r="Y282" s="43">
        <f>IF(ISNUMBER(K282),K282,0)</f>
        <v/>
      </c>
    </row>
    <row r="283">
      <c r="A283" s="35" t="n"/>
      <c r="B283" s="35" t="n"/>
      <c r="C283" s="35" t="n"/>
      <c r="D283" s="25" t="n"/>
      <c r="E283" s="25" t="n"/>
      <c r="F283" s="25" t="n"/>
      <c r="G283" s="25" t="n"/>
      <c r="H283" s="25" t="n"/>
      <c r="I283" s="25" t="n"/>
      <c r="J283" s="25" t="n"/>
      <c r="K283" s="25" t="n"/>
      <c r="L283" s="35" t="n"/>
      <c r="M283" s="40">
        <f>IF(A283="","",IFERROR(INDEX(Applications!$B$2:$B$101,MATCH(A283,Applications!$A$2:$A$101,0))&amp;"",""))</f>
        <v/>
      </c>
      <c r="N283" s="41">
        <f>IF(A283="","",SUMPRODUCT(ISNUMBER(D283:K283)*($D$2:$K$2&gt;0)))</f>
        <v/>
      </c>
      <c r="O283" s="40">
        <f>IF(A283="","",IF(ISNA(MATCH(A283,Applications!$A$2:$A$101,0)),"Check ID",IF(ISNA(MATCH(B283,Settings!$C$13:$C$18,0)),"Check reviewer",IF(LEFT(C283,3)="Yes","Conflict, not counted",IF(COUNTIFS($A$3:A283,A283,$B$3:B283,B283)&gt;1,"Duplicate, not counted",IF(SUM($D$2:$K$2)=0,"Add weights on Rubric",IF(SUMPRODUCT(ISNUMBER(D283:K283)*((D283:K283&gt;4)+(D283:K283&lt;0)))&gt;0,"Check scores",IF(N283&lt;COUNTIF($D$2:$K$2,"&gt;0"),"Incomplete","Counted"))))))))</f>
        <v/>
      </c>
      <c r="P283" s="42">
        <f>IF(O283="Counted",ROUND(SUMPRODUCT(D283:K283,$D$2:$K$2)*100/(4*SUM($D$2:$K$2)),1),"")</f>
        <v/>
      </c>
      <c r="Q283" s="27">
        <f>IF(O283="Counted",1,0)</f>
        <v/>
      </c>
      <c r="R283" s="43">
        <f>IF(ISNUMBER(D283),D283,0)</f>
        <v/>
      </c>
      <c r="S283" s="43">
        <f>IF(ISNUMBER(E283),E283,0)</f>
        <v/>
      </c>
      <c r="T283" s="43">
        <f>IF(ISNUMBER(F283),F283,0)</f>
        <v/>
      </c>
      <c r="U283" s="43">
        <f>IF(ISNUMBER(G283),G283,0)</f>
        <v/>
      </c>
      <c r="V283" s="43">
        <f>IF(ISNUMBER(H283),H283,0)</f>
        <v/>
      </c>
      <c r="W283" s="43">
        <f>IF(ISNUMBER(I283),I283,0)</f>
        <v/>
      </c>
      <c r="X283" s="43">
        <f>IF(ISNUMBER(J283),J283,0)</f>
        <v/>
      </c>
      <c r="Y283" s="43">
        <f>IF(ISNUMBER(K283),K283,0)</f>
        <v/>
      </c>
    </row>
    <row r="284">
      <c r="A284" s="35" t="n"/>
      <c r="B284" s="35" t="n"/>
      <c r="C284" s="35" t="n"/>
      <c r="D284" s="25" t="n"/>
      <c r="E284" s="25" t="n"/>
      <c r="F284" s="25" t="n"/>
      <c r="G284" s="25" t="n"/>
      <c r="H284" s="25" t="n"/>
      <c r="I284" s="25" t="n"/>
      <c r="J284" s="25" t="n"/>
      <c r="K284" s="25" t="n"/>
      <c r="L284" s="35" t="n"/>
      <c r="M284" s="40">
        <f>IF(A284="","",IFERROR(INDEX(Applications!$B$2:$B$101,MATCH(A284,Applications!$A$2:$A$101,0))&amp;"",""))</f>
        <v/>
      </c>
      <c r="N284" s="41">
        <f>IF(A284="","",SUMPRODUCT(ISNUMBER(D284:K284)*($D$2:$K$2&gt;0)))</f>
        <v/>
      </c>
      <c r="O284" s="40">
        <f>IF(A284="","",IF(ISNA(MATCH(A284,Applications!$A$2:$A$101,0)),"Check ID",IF(ISNA(MATCH(B284,Settings!$C$13:$C$18,0)),"Check reviewer",IF(LEFT(C284,3)="Yes","Conflict, not counted",IF(COUNTIFS($A$3:A284,A284,$B$3:B284,B284)&gt;1,"Duplicate, not counted",IF(SUM($D$2:$K$2)=0,"Add weights on Rubric",IF(SUMPRODUCT(ISNUMBER(D284:K284)*((D284:K284&gt;4)+(D284:K284&lt;0)))&gt;0,"Check scores",IF(N284&lt;COUNTIF($D$2:$K$2,"&gt;0"),"Incomplete","Counted"))))))))</f>
        <v/>
      </c>
      <c r="P284" s="42">
        <f>IF(O284="Counted",ROUND(SUMPRODUCT(D284:K284,$D$2:$K$2)*100/(4*SUM($D$2:$K$2)),1),"")</f>
        <v/>
      </c>
      <c r="Q284" s="27">
        <f>IF(O284="Counted",1,0)</f>
        <v/>
      </c>
      <c r="R284" s="43">
        <f>IF(ISNUMBER(D284),D284,0)</f>
        <v/>
      </c>
      <c r="S284" s="43">
        <f>IF(ISNUMBER(E284),E284,0)</f>
        <v/>
      </c>
      <c r="T284" s="43">
        <f>IF(ISNUMBER(F284),F284,0)</f>
        <v/>
      </c>
      <c r="U284" s="43">
        <f>IF(ISNUMBER(G284),G284,0)</f>
        <v/>
      </c>
      <c r="V284" s="43">
        <f>IF(ISNUMBER(H284),H284,0)</f>
        <v/>
      </c>
      <c r="W284" s="43">
        <f>IF(ISNUMBER(I284),I284,0)</f>
        <v/>
      </c>
      <c r="X284" s="43">
        <f>IF(ISNUMBER(J284),J284,0)</f>
        <v/>
      </c>
      <c r="Y284" s="43">
        <f>IF(ISNUMBER(K284),K284,0)</f>
        <v/>
      </c>
    </row>
    <row r="285">
      <c r="A285" s="35" t="n"/>
      <c r="B285" s="35" t="n"/>
      <c r="C285" s="35" t="n"/>
      <c r="D285" s="25" t="n"/>
      <c r="E285" s="25" t="n"/>
      <c r="F285" s="25" t="n"/>
      <c r="G285" s="25" t="n"/>
      <c r="H285" s="25" t="n"/>
      <c r="I285" s="25" t="n"/>
      <c r="J285" s="25" t="n"/>
      <c r="K285" s="25" t="n"/>
      <c r="L285" s="35" t="n"/>
      <c r="M285" s="40">
        <f>IF(A285="","",IFERROR(INDEX(Applications!$B$2:$B$101,MATCH(A285,Applications!$A$2:$A$101,0))&amp;"",""))</f>
        <v/>
      </c>
      <c r="N285" s="41">
        <f>IF(A285="","",SUMPRODUCT(ISNUMBER(D285:K285)*($D$2:$K$2&gt;0)))</f>
        <v/>
      </c>
      <c r="O285" s="40">
        <f>IF(A285="","",IF(ISNA(MATCH(A285,Applications!$A$2:$A$101,0)),"Check ID",IF(ISNA(MATCH(B285,Settings!$C$13:$C$18,0)),"Check reviewer",IF(LEFT(C285,3)="Yes","Conflict, not counted",IF(COUNTIFS($A$3:A285,A285,$B$3:B285,B285)&gt;1,"Duplicate, not counted",IF(SUM($D$2:$K$2)=0,"Add weights on Rubric",IF(SUMPRODUCT(ISNUMBER(D285:K285)*((D285:K285&gt;4)+(D285:K285&lt;0)))&gt;0,"Check scores",IF(N285&lt;COUNTIF($D$2:$K$2,"&gt;0"),"Incomplete","Counted"))))))))</f>
        <v/>
      </c>
      <c r="P285" s="42">
        <f>IF(O285="Counted",ROUND(SUMPRODUCT(D285:K285,$D$2:$K$2)*100/(4*SUM($D$2:$K$2)),1),"")</f>
        <v/>
      </c>
      <c r="Q285" s="27">
        <f>IF(O285="Counted",1,0)</f>
        <v/>
      </c>
      <c r="R285" s="43">
        <f>IF(ISNUMBER(D285),D285,0)</f>
        <v/>
      </c>
      <c r="S285" s="43">
        <f>IF(ISNUMBER(E285),E285,0)</f>
        <v/>
      </c>
      <c r="T285" s="43">
        <f>IF(ISNUMBER(F285),F285,0)</f>
        <v/>
      </c>
      <c r="U285" s="43">
        <f>IF(ISNUMBER(G285),G285,0)</f>
        <v/>
      </c>
      <c r="V285" s="43">
        <f>IF(ISNUMBER(H285),H285,0)</f>
        <v/>
      </c>
      <c r="W285" s="43">
        <f>IF(ISNUMBER(I285),I285,0)</f>
        <v/>
      </c>
      <c r="X285" s="43">
        <f>IF(ISNUMBER(J285),J285,0)</f>
        <v/>
      </c>
      <c r="Y285" s="43">
        <f>IF(ISNUMBER(K285),K285,0)</f>
        <v/>
      </c>
    </row>
    <row r="286">
      <c r="A286" s="35" t="n"/>
      <c r="B286" s="35" t="n"/>
      <c r="C286" s="35" t="n"/>
      <c r="D286" s="25" t="n"/>
      <c r="E286" s="25" t="n"/>
      <c r="F286" s="25" t="n"/>
      <c r="G286" s="25" t="n"/>
      <c r="H286" s="25" t="n"/>
      <c r="I286" s="25" t="n"/>
      <c r="J286" s="25" t="n"/>
      <c r="K286" s="25" t="n"/>
      <c r="L286" s="35" t="n"/>
      <c r="M286" s="40">
        <f>IF(A286="","",IFERROR(INDEX(Applications!$B$2:$B$101,MATCH(A286,Applications!$A$2:$A$101,0))&amp;"",""))</f>
        <v/>
      </c>
      <c r="N286" s="41">
        <f>IF(A286="","",SUMPRODUCT(ISNUMBER(D286:K286)*($D$2:$K$2&gt;0)))</f>
        <v/>
      </c>
      <c r="O286" s="40">
        <f>IF(A286="","",IF(ISNA(MATCH(A286,Applications!$A$2:$A$101,0)),"Check ID",IF(ISNA(MATCH(B286,Settings!$C$13:$C$18,0)),"Check reviewer",IF(LEFT(C286,3)="Yes","Conflict, not counted",IF(COUNTIFS($A$3:A286,A286,$B$3:B286,B286)&gt;1,"Duplicate, not counted",IF(SUM($D$2:$K$2)=0,"Add weights on Rubric",IF(SUMPRODUCT(ISNUMBER(D286:K286)*((D286:K286&gt;4)+(D286:K286&lt;0)))&gt;0,"Check scores",IF(N286&lt;COUNTIF($D$2:$K$2,"&gt;0"),"Incomplete","Counted"))))))))</f>
        <v/>
      </c>
      <c r="P286" s="42">
        <f>IF(O286="Counted",ROUND(SUMPRODUCT(D286:K286,$D$2:$K$2)*100/(4*SUM($D$2:$K$2)),1),"")</f>
        <v/>
      </c>
      <c r="Q286" s="27">
        <f>IF(O286="Counted",1,0)</f>
        <v/>
      </c>
      <c r="R286" s="43">
        <f>IF(ISNUMBER(D286),D286,0)</f>
        <v/>
      </c>
      <c r="S286" s="43">
        <f>IF(ISNUMBER(E286),E286,0)</f>
        <v/>
      </c>
      <c r="T286" s="43">
        <f>IF(ISNUMBER(F286),F286,0)</f>
        <v/>
      </c>
      <c r="U286" s="43">
        <f>IF(ISNUMBER(G286),G286,0)</f>
        <v/>
      </c>
      <c r="V286" s="43">
        <f>IF(ISNUMBER(H286),H286,0)</f>
        <v/>
      </c>
      <c r="W286" s="43">
        <f>IF(ISNUMBER(I286),I286,0)</f>
        <v/>
      </c>
      <c r="X286" s="43">
        <f>IF(ISNUMBER(J286),J286,0)</f>
        <v/>
      </c>
      <c r="Y286" s="43">
        <f>IF(ISNUMBER(K286),K286,0)</f>
        <v/>
      </c>
    </row>
    <row r="287">
      <c r="A287" s="35" t="n"/>
      <c r="B287" s="35" t="n"/>
      <c r="C287" s="35" t="n"/>
      <c r="D287" s="25" t="n"/>
      <c r="E287" s="25" t="n"/>
      <c r="F287" s="25" t="n"/>
      <c r="G287" s="25" t="n"/>
      <c r="H287" s="25" t="n"/>
      <c r="I287" s="25" t="n"/>
      <c r="J287" s="25" t="n"/>
      <c r="K287" s="25" t="n"/>
      <c r="L287" s="35" t="n"/>
      <c r="M287" s="40">
        <f>IF(A287="","",IFERROR(INDEX(Applications!$B$2:$B$101,MATCH(A287,Applications!$A$2:$A$101,0))&amp;"",""))</f>
        <v/>
      </c>
      <c r="N287" s="41">
        <f>IF(A287="","",SUMPRODUCT(ISNUMBER(D287:K287)*($D$2:$K$2&gt;0)))</f>
        <v/>
      </c>
      <c r="O287" s="40">
        <f>IF(A287="","",IF(ISNA(MATCH(A287,Applications!$A$2:$A$101,0)),"Check ID",IF(ISNA(MATCH(B287,Settings!$C$13:$C$18,0)),"Check reviewer",IF(LEFT(C287,3)="Yes","Conflict, not counted",IF(COUNTIFS($A$3:A287,A287,$B$3:B287,B287)&gt;1,"Duplicate, not counted",IF(SUM($D$2:$K$2)=0,"Add weights on Rubric",IF(SUMPRODUCT(ISNUMBER(D287:K287)*((D287:K287&gt;4)+(D287:K287&lt;0)))&gt;0,"Check scores",IF(N287&lt;COUNTIF($D$2:$K$2,"&gt;0"),"Incomplete","Counted"))))))))</f>
        <v/>
      </c>
      <c r="P287" s="42">
        <f>IF(O287="Counted",ROUND(SUMPRODUCT(D287:K287,$D$2:$K$2)*100/(4*SUM($D$2:$K$2)),1),"")</f>
        <v/>
      </c>
      <c r="Q287" s="27">
        <f>IF(O287="Counted",1,0)</f>
        <v/>
      </c>
      <c r="R287" s="43">
        <f>IF(ISNUMBER(D287),D287,0)</f>
        <v/>
      </c>
      <c r="S287" s="43">
        <f>IF(ISNUMBER(E287),E287,0)</f>
        <v/>
      </c>
      <c r="T287" s="43">
        <f>IF(ISNUMBER(F287),F287,0)</f>
        <v/>
      </c>
      <c r="U287" s="43">
        <f>IF(ISNUMBER(G287),G287,0)</f>
        <v/>
      </c>
      <c r="V287" s="43">
        <f>IF(ISNUMBER(H287),H287,0)</f>
        <v/>
      </c>
      <c r="W287" s="43">
        <f>IF(ISNUMBER(I287),I287,0)</f>
        <v/>
      </c>
      <c r="X287" s="43">
        <f>IF(ISNUMBER(J287),J287,0)</f>
        <v/>
      </c>
      <c r="Y287" s="43">
        <f>IF(ISNUMBER(K287),K287,0)</f>
        <v/>
      </c>
    </row>
    <row r="288">
      <c r="A288" s="35" t="n"/>
      <c r="B288" s="35" t="n"/>
      <c r="C288" s="35" t="n"/>
      <c r="D288" s="25" t="n"/>
      <c r="E288" s="25" t="n"/>
      <c r="F288" s="25" t="n"/>
      <c r="G288" s="25" t="n"/>
      <c r="H288" s="25" t="n"/>
      <c r="I288" s="25" t="n"/>
      <c r="J288" s="25" t="n"/>
      <c r="K288" s="25" t="n"/>
      <c r="L288" s="35" t="n"/>
      <c r="M288" s="40">
        <f>IF(A288="","",IFERROR(INDEX(Applications!$B$2:$B$101,MATCH(A288,Applications!$A$2:$A$101,0))&amp;"",""))</f>
        <v/>
      </c>
      <c r="N288" s="41">
        <f>IF(A288="","",SUMPRODUCT(ISNUMBER(D288:K288)*($D$2:$K$2&gt;0)))</f>
        <v/>
      </c>
      <c r="O288" s="40">
        <f>IF(A288="","",IF(ISNA(MATCH(A288,Applications!$A$2:$A$101,0)),"Check ID",IF(ISNA(MATCH(B288,Settings!$C$13:$C$18,0)),"Check reviewer",IF(LEFT(C288,3)="Yes","Conflict, not counted",IF(COUNTIFS($A$3:A288,A288,$B$3:B288,B288)&gt;1,"Duplicate, not counted",IF(SUM($D$2:$K$2)=0,"Add weights on Rubric",IF(SUMPRODUCT(ISNUMBER(D288:K288)*((D288:K288&gt;4)+(D288:K288&lt;0)))&gt;0,"Check scores",IF(N288&lt;COUNTIF($D$2:$K$2,"&gt;0"),"Incomplete","Counted"))))))))</f>
        <v/>
      </c>
      <c r="P288" s="42">
        <f>IF(O288="Counted",ROUND(SUMPRODUCT(D288:K288,$D$2:$K$2)*100/(4*SUM($D$2:$K$2)),1),"")</f>
        <v/>
      </c>
      <c r="Q288" s="27">
        <f>IF(O288="Counted",1,0)</f>
        <v/>
      </c>
      <c r="R288" s="43">
        <f>IF(ISNUMBER(D288),D288,0)</f>
        <v/>
      </c>
      <c r="S288" s="43">
        <f>IF(ISNUMBER(E288),E288,0)</f>
        <v/>
      </c>
      <c r="T288" s="43">
        <f>IF(ISNUMBER(F288),F288,0)</f>
        <v/>
      </c>
      <c r="U288" s="43">
        <f>IF(ISNUMBER(G288),G288,0)</f>
        <v/>
      </c>
      <c r="V288" s="43">
        <f>IF(ISNUMBER(H288),H288,0)</f>
        <v/>
      </c>
      <c r="W288" s="43">
        <f>IF(ISNUMBER(I288),I288,0)</f>
        <v/>
      </c>
      <c r="X288" s="43">
        <f>IF(ISNUMBER(J288),J288,0)</f>
        <v/>
      </c>
      <c r="Y288" s="43">
        <f>IF(ISNUMBER(K288),K288,0)</f>
        <v/>
      </c>
    </row>
    <row r="289">
      <c r="A289" s="35" t="n"/>
      <c r="B289" s="35" t="n"/>
      <c r="C289" s="35" t="n"/>
      <c r="D289" s="25" t="n"/>
      <c r="E289" s="25" t="n"/>
      <c r="F289" s="25" t="n"/>
      <c r="G289" s="25" t="n"/>
      <c r="H289" s="25" t="n"/>
      <c r="I289" s="25" t="n"/>
      <c r="J289" s="25" t="n"/>
      <c r="K289" s="25" t="n"/>
      <c r="L289" s="35" t="n"/>
      <c r="M289" s="40">
        <f>IF(A289="","",IFERROR(INDEX(Applications!$B$2:$B$101,MATCH(A289,Applications!$A$2:$A$101,0))&amp;"",""))</f>
        <v/>
      </c>
      <c r="N289" s="41">
        <f>IF(A289="","",SUMPRODUCT(ISNUMBER(D289:K289)*($D$2:$K$2&gt;0)))</f>
        <v/>
      </c>
      <c r="O289" s="40">
        <f>IF(A289="","",IF(ISNA(MATCH(A289,Applications!$A$2:$A$101,0)),"Check ID",IF(ISNA(MATCH(B289,Settings!$C$13:$C$18,0)),"Check reviewer",IF(LEFT(C289,3)="Yes","Conflict, not counted",IF(COUNTIFS($A$3:A289,A289,$B$3:B289,B289)&gt;1,"Duplicate, not counted",IF(SUM($D$2:$K$2)=0,"Add weights on Rubric",IF(SUMPRODUCT(ISNUMBER(D289:K289)*((D289:K289&gt;4)+(D289:K289&lt;0)))&gt;0,"Check scores",IF(N289&lt;COUNTIF($D$2:$K$2,"&gt;0"),"Incomplete","Counted"))))))))</f>
        <v/>
      </c>
      <c r="P289" s="42">
        <f>IF(O289="Counted",ROUND(SUMPRODUCT(D289:K289,$D$2:$K$2)*100/(4*SUM($D$2:$K$2)),1),"")</f>
        <v/>
      </c>
      <c r="Q289" s="27">
        <f>IF(O289="Counted",1,0)</f>
        <v/>
      </c>
      <c r="R289" s="43">
        <f>IF(ISNUMBER(D289),D289,0)</f>
        <v/>
      </c>
      <c r="S289" s="43">
        <f>IF(ISNUMBER(E289),E289,0)</f>
        <v/>
      </c>
      <c r="T289" s="43">
        <f>IF(ISNUMBER(F289),F289,0)</f>
        <v/>
      </c>
      <c r="U289" s="43">
        <f>IF(ISNUMBER(G289),G289,0)</f>
        <v/>
      </c>
      <c r="V289" s="43">
        <f>IF(ISNUMBER(H289),H289,0)</f>
        <v/>
      </c>
      <c r="W289" s="43">
        <f>IF(ISNUMBER(I289),I289,0)</f>
        <v/>
      </c>
      <c r="X289" s="43">
        <f>IF(ISNUMBER(J289),J289,0)</f>
        <v/>
      </c>
      <c r="Y289" s="43">
        <f>IF(ISNUMBER(K289),K289,0)</f>
        <v/>
      </c>
    </row>
    <row r="290">
      <c r="A290" s="35" t="n"/>
      <c r="B290" s="35" t="n"/>
      <c r="C290" s="35" t="n"/>
      <c r="D290" s="25" t="n"/>
      <c r="E290" s="25" t="n"/>
      <c r="F290" s="25" t="n"/>
      <c r="G290" s="25" t="n"/>
      <c r="H290" s="25" t="n"/>
      <c r="I290" s="25" t="n"/>
      <c r="J290" s="25" t="n"/>
      <c r="K290" s="25" t="n"/>
      <c r="L290" s="35" t="n"/>
      <c r="M290" s="40">
        <f>IF(A290="","",IFERROR(INDEX(Applications!$B$2:$B$101,MATCH(A290,Applications!$A$2:$A$101,0))&amp;"",""))</f>
        <v/>
      </c>
      <c r="N290" s="41">
        <f>IF(A290="","",SUMPRODUCT(ISNUMBER(D290:K290)*($D$2:$K$2&gt;0)))</f>
        <v/>
      </c>
      <c r="O290" s="40">
        <f>IF(A290="","",IF(ISNA(MATCH(A290,Applications!$A$2:$A$101,0)),"Check ID",IF(ISNA(MATCH(B290,Settings!$C$13:$C$18,0)),"Check reviewer",IF(LEFT(C290,3)="Yes","Conflict, not counted",IF(COUNTIFS($A$3:A290,A290,$B$3:B290,B290)&gt;1,"Duplicate, not counted",IF(SUM($D$2:$K$2)=0,"Add weights on Rubric",IF(SUMPRODUCT(ISNUMBER(D290:K290)*((D290:K290&gt;4)+(D290:K290&lt;0)))&gt;0,"Check scores",IF(N290&lt;COUNTIF($D$2:$K$2,"&gt;0"),"Incomplete","Counted"))))))))</f>
        <v/>
      </c>
      <c r="P290" s="42">
        <f>IF(O290="Counted",ROUND(SUMPRODUCT(D290:K290,$D$2:$K$2)*100/(4*SUM($D$2:$K$2)),1),"")</f>
        <v/>
      </c>
      <c r="Q290" s="27">
        <f>IF(O290="Counted",1,0)</f>
        <v/>
      </c>
      <c r="R290" s="43">
        <f>IF(ISNUMBER(D290),D290,0)</f>
        <v/>
      </c>
      <c r="S290" s="43">
        <f>IF(ISNUMBER(E290),E290,0)</f>
        <v/>
      </c>
      <c r="T290" s="43">
        <f>IF(ISNUMBER(F290),F290,0)</f>
        <v/>
      </c>
      <c r="U290" s="43">
        <f>IF(ISNUMBER(G290),G290,0)</f>
        <v/>
      </c>
      <c r="V290" s="43">
        <f>IF(ISNUMBER(H290),H290,0)</f>
        <v/>
      </c>
      <c r="W290" s="43">
        <f>IF(ISNUMBER(I290),I290,0)</f>
        <v/>
      </c>
      <c r="X290" s="43">
        <f>IF(ISNUMBER(J290),J290,0)</f>
        <v/>
      </c>
      <c r="Y290" s="43">
        <f>IF(ISNUMBER(K290),K290,0)</f>
        <v/>
      </c>
    </row>
    <row r="291">
      <c r="A291" s="35" t="n"/>
      <c r="B291" s="35" t="n"/>
      <c r="C291" s="35" t="n"/>
      <c r="D291" s="25" t="n"/>
      <c r="E291" s="25" t="n"/>
      <c r="F291" s="25" t="n"/>
      <c r="G291" s="25" t="n"/>
      <c r="H291" s="25" t="n"/>
      <c r="I291" s="25" t="n"/>
      <c r="J291" s="25" t="n"/>
      <c r="K291" s="25" t="n"/>
      <c r="L291" s="35" t="n"/>
      <c r="M291" s="40">
        <f>IF(A291="","",IFERROR(INDEX(Applications!$B$2:$B$101,MATCH(A291,Applications!$A$2:$A$101,0))&amp;"",""))</f>
        <v/>
      </c>
      <c r="N291" s="41">
        <f>IF(A291="","",SUMPRODUCT(ISNUMBER(D291:K291)*($D$2:$K$2&gt;0)))</f>
        <v/>
      </c>
      <c r="O291" s="40">
        <f>IF(A291="","",IF(ISNA(MATCH(A291,Applications!$A$2:$A$101,0)),"Check ID",IF(ISNA(MATCH(B291,Settings!$C$13:$C$18,0)),"Check reviewer",IF(LEFT(C291,3)="Yes","Conflict, not counted",IF(COUNTIFS($A$3:A291,A291,$B$3:B291,B291)&gt;1,"Duplicate, not counted",IF(SUM($D$2:$K$2)=0,"Add weights on Rubric",IF(SUMPRODUCT(ISNUMBER(D291:K291)*((D291:K291&gt;4)+(D291:K291&lt;0)))&gt;0,"Check scores",IF(N291&lt;COUNTIF($D$2:$K$2,"&gt;0"),"Incomplete","Counted"))))))))</f>
        <v/>
      </c>
      <c r="P291" s="42">
        <f>IF(O291="Counted",ROUND(SUMPRODUCT(D291:K291,$D$2:$K$2)*100/(4*SUM($D$2:$K$2)),1),"")</f>
        <v/>
      </c>
      <c r="Q291" s="27">
        <f>IF(O291="Counted",1,0)</f>
        <v/>
      </c>
      <c r="R291" s="43">
        <f>IF(ISNUMBER(D291),D291,0)</f>
        <v/>
      </c>
      <c r="S291" s="43">
        <f>IF(ISNUMBER(E291),E291,0)</f>
        <v/>
      </c>
      <c r="T291" s="43">
        <f>IF(ISNUMBER(F291),F291,0)</f>
        <v/>
      </c>
      <c r="U291" s="43">
        <f>IF(ISNUMBER(G291),G291,0)</f>
        <v/>
      </c>
      <c r="V291" s="43">
        <f>IF(ISNUMBER(H291),H291,0)</f>
        <v/>
      </c>
      <c r="W291" s="43">
        <f>IF(ISNUMBER(I291),I291,0)</f>
        <v/>
      </c>
      <c r="X291" s="43">
        <f>IF(ISNUMBER(J291),J291,0)</f>
        <v/>
      </c>
      <c r="Y291" s="43">
        <f>IF(ISNUMBER(K291),K291,0)</f>
        <v/>
      </c>
    </row>
    <row r="292">
      <c r="A292" s="35" t="n"/>
      <c r="B292" s="35" t="n"/>
      <c r="C292" s="35" t="n"/>
      <c r="D292" s="25" t="n"/>
      <c r="E292" s="25" t="n"/>
      <c r="F292" s="25" t="n"/>
      <c r="G292" s="25" t="n"/>
      <c r="H292" s="25" t="n"/>
      <c r="I292" s="25" t="n"/>
      <c r="J292" s="25" t="n"/>
      <c r="K292" s="25" t="n"/>
      <c r="L292" s="35" t="n"/>
      <c r="M292" s="40">
        <f>IF(A292="","",IFERROR(INDEX(Applications!$B$2:$B$101,MATCH(A292,Applications!$A$2:$A$101,0))&amp;"",""))</f>
        <v/>
      </c>
      <c r="N292" s="41">
        <f>IF(A292="","",SUMPRODUCT(ISNUMBER(D292:K292)*($D$2:$K$2&gt;0)))</f>
        <v/>
      </c>
      <c r="O292" s="40">
        <f>IF(A292="","",IF(ISNA(MATCH(A292,Applications!$A$2:$A$101,0)),"Check ID",IF(ISNA(MATCH(B292,Settings!$C$13:$C$18,0)),"Check reviewer",IF(LEFT(C292,3)="Yes","Conflict, not counted",IF(COUNTIFS($A$3:A292,A292,$B$3:B292,B292)&gt;1,"Duplicate, not counted",IF(SUM($D$2:$K$2)=0,"Add weights on Rubric",IF(SUMPRODUCT(ISNUMBER(D292:K292)*((D292:K292&gt;4)+(D292:K292&lt;0)))&gt;0,"Check scores",IF(N292&lt;COUNTIF($D$2:$K$2,"&gt;0"),"Incomplete","Counted"))))))))</f>
        <v/>
      </c>
      <c r="P292" s="42">
        <f>IF(O292="Counted",ROUND(SUMPRODUCT(D292:K292,$D$2:$K$2)*100/(4*SUM($D$2:$K$2)),1),"")</f>
        <v/>
      </c>
      <c r="Q292" s="27">
        <f>IF(O292="Counted",1,0)</f>
        <v/>
      </c>
      <c r="R292" s="43">
        <f>IF(ISNUMBER(D292),D292,0)</f>
        <v/>
      </c>
      <c r="S292" s="43">
        <f>IF(ISNUMBER(E292),E292,0)</f>
        <v/>
      </c>
      <c r="T292" s="43">
        <f>IF(ISNUMBER(F292),F292,0)</f>
        <v/>
      </c>
      <c r="U292" s="43">
        <f>IF(ISNUMBER(G292),G292,0)</f>
        <v/>
      </c>
      <c r="V292" s="43">
        <f>IF(ISNUMBER(H292),H292,0)</f>
        <v/>
      </c>
      <c r="W292" s="43">
        <f>IF(ISNUMBER(I292),I292,0)</f>
        <v/>
      </c>
      <c r="X292" s="43">
        <f>IF(ISNUMBER(J292),J292,0)</f>
        <v/>
      </c>
      <c r="Y292" s="43">
        <f>IF(ISNUMBER(K292),K292,0)</f>
        <v/>
      </c>
    </row>
    <row r="293">
      <c r="A293" s="35" t="n"/>
      <c r="B293" s="35" t="n"/>
      <c r="C293" s="35" t="n"/>
      <c r="D293" s="25" t="n"/>
      <c r="E293" s="25" t="n"/>
      <c r="F293" s="25" t="n"/>
      <c r="G293" s="25" t="n"/>
      <c r="H293" s="25" t="n"/>
      <c r="I293" s="25" t="n"/>
      <c r="J293" s="25" t="n"/>
      <c r="K293" s="25" t="n"/>
      <c r="L293" s="35" t="n"/>
      <c r="M293" s="40">
        <f>IF(A293="","",IFERROR(INDEX(Applications!$B$2:$B$101,MATCH(A293,Applications!$A$2:$A$101,0))&amp;"",""))</f>
        <v/>
      </c>
      <c r="N293" s="41">
        <f>IF(A293="","",SUMPRODUCT(ISNUMBER(D293:K293)*($D$2:$K$2&gt;0)))</f>
        <v/>
      </c>
      <c r="O293" s="40">
        <f>IF(A293="","",IF(ISNA(MATCH(A293,Applications!$A$2:$A$101,0)),"Check ID",IF(ISNA(MATCH(B293,Settings!$C$13:$C$18,0)),"Check reviewer",IF(LEFT(C293,3)="Yes","Conflict, not counted",IF(COUNTIFS($A$3:A293,A293,$B$3:B293,B293)&gt;1,"Duplicate, not counted",IF(SUM($D$2:$K$2)=0,"Add weights on Rubric",IF(SUMPRODUCT(ISNUMBER(D293:K293)*((D293:K293&gt;4)+(D293:K293&lt;0)))&gt;0,"Check scores",IF(N293&lt;COUNTIF($D$2:$K$2,"&gt;0"),"Incomplete","Counted"))))))))</f>
        <v/>
      </c>
      <c r="P293" s="42">
        <f>IF(O293="Counted",ROUND(SUMPRODUCT(D293:K293,$D$2:$K$2)*100/(4*SUM($D$2:$K$2)),1),"")</f>
        <v/>
      </c>
      <c r="Q293" s="27">
        <f>IF(O293="Counted",1,0)</f>
        <v/>
      </c>
      <c r="R293" s="43">
        <f>IF(ISNUMBER(D293),D293,0)</f>
        <v/>
      </c>
      <c r="S293" s="43">
        <f>IF(ISNUMBER(E293),E293,0)</f>
        <v/>
      </c>
      <c r="T293" s="43">
        <f>IF(ISNUMBER(F293),F293,0)</f>
        <v/>
      </c>
      <c r="U293" s="43">
        <f>IF(ISNUMBER(G293),G293,0)</f>
        <v/>
      </c>
      <c r="V293" s="43">
        <f>IF(ISNUMBER(H293),H293,0)</f>
        <v/>
      </c>
      <c r="W293" s="43">
        <f>IF(ISNUMBER(I293),I293,0)</f>
        <v/>
      </c>
      <c r="X293" s="43">
        <f>IF(ISNUMBER(J293),J293,0)</f>
        <v/>
      </c>
      <c r="Y293" s="43">
        <f>IF(ISNUMBER(K293),K293,0)</f>
        <v/>
      </c>
    </row>
    <row r="294">
      <c r="A294" s="35" t="n"/>
      <c r="B294" s="35" t="n"/>
      <c r="C294" s="35" t="n"/>
      <c r="D294" s="25" t="n"/>
      <c r="E294" s="25" t="n"/>
      <c r="F294" s="25" t="n"/>
      <c r="G294" s="25" t="n"/>
      <c r="H294" s="25" t="n"/>
      <c r="I294" s="25" t="n"/>
      <c r="J294" s="25" t="n"/>
      <c r="K294" s="25" t="n"/>
      <c r="L294" s="35" t="n"/>
      <c r="M294" s="40">
        <f>IF(A294="","",IFERROR(INDEX(Applications!$B$2:$B$101,MATCH(A294,Applications!$A$2:$A$101,0))&amp;"",""))</f>
        <v/>
      </c>
      <c r="N294" s="41">
        <f>IF(A294="","",SUMPRODUCT(ISNUMBER(D294:K294)*($D$2:$K$2&gt;0)))</f>
        <v/>
      </c>
      <c r="O294" s="40">
        <f>IF(A294="","",IF(ISNA(MATCH(A294,Applications!$A$2:$A$101,0)),"Check ID",IF(ISNA(MATCH(B294,Settings!$C$13:$C$18,0)),"Check reviewer",IF(LEFT(C294,3)="Yes","Conflict, not counted",IF(COUNTIFS($A$3:A294,A294,$B$3:B294,B294)&gt;1,"Duplicate, not counted",IF(SUM($D$2:$K$2)=0,"Add weights on Rubric",IF(SUMPRODUCT(ISNUMBER(D294:K294)*((D294:K294&gt;4)+(D294:K294&lt;0)))&gt;0,"Check scores",IF(N294&lt;COUNTIF($D$2:$K$2,"&gt;0"),"Incomplete","Counted"))))))))</f>
        <v/>
      </c>
      <c r="P294" s="42">
        <f>IF(O294="Counted",ROUND(SUMPRODUCT(D294:K294,$D$2:$K$2)*100/(4*SUM($D$2:$K$2)),1),"")</f>
        <v/>
      </c>
      <c r="Q294" s="27">
        <f>IF(O294="Counted",1,0)</f>
        <v/>
      </c>
      <c r="R294" s="43">
        <f>IF(ISNUMBER(D294),D294,0)</f>
        <v/>
      </c>
      <c r="S294" s="43">
        <f>IF(ISNUMBER(E294),E294,0)</f>
        <v/>
      </c>
      <c r="T294" s="43">
        <f>IF(ISNUMBER(F294),F294,0)</f>
        <v/>
      </c>
      <c r="U294" s="43">
        <f>IF(ISNUMBER(G294),G294,0)</f>
        <v/>
      </c>
      <c r="V294" s="43">
        <f>IF(ISNUMBER(H294),H294,0)</f>
        <v/>
      </c>
      <c r="W294" s="43">
        <f>IF(ISNUMBER(I294),I294,0)</f>
        <v/>
      </c>
      <c r="X294" s="43">
        <f>IF(ISNUMBER(J294),J294,0)</f>
        <v/>
      </c>
      <c r="Y294" s="43">
        <f>IF(ISNUMBER(K294),K294,0)</f>
        <v/>
      </c>
    </row>
    <row r="295">
      <c r="A295" s="35" t="n"/>
      <c r="B295" s="35" t="n"/>
      <c r="C295" s="35" t="n"/>
      <c r="D295" s="25" t="n"/>
      <c r="E295" s="25" t="n"/>
      <c r="F295" s="25" t="n"/>
      <c r="G295" s="25" t="n"/>
      <c r="H295" s="25" t="n"/>
      <c r="I295" s="25" t="n"/>
      <c r="J295" s="25" t="n"/>
      <c r="K295" s="25" t="n"/>
      <c r="L295" s="35" t="n"/>
      <c r="M295" s="40">
        <f>IF(A295="","",IFERROR(INDEX(Applications!$B$2:$B$101,MATCH(A295,Applications!$A$2:$A$101,0))&amp;"",""))</f>
        <v/>
      </c>
      <c r="N295" s="41">
        <f>IF(A295="","",SUMPRODUCT(ISNUMBER(D295:K295)*($D$2:$K$2&gt;0)))</f>
        <v/>
      </c>
      <c r="O295" s="40">
        <f>IF(A295="","",IF(ISNA(MATCH(A295,Applications!$A$2:$A$101,0)),"Check ID",IF(ISNA(MATCH(B295,Settings!$C$13:$C$18,0)),"Check reviewer",IF(LEFT(C295,3)="Yes","Conflict, not counted",IF(COUNTIFS($A$3:A295,A295,$B$3:B295,B295)&gt;1,"Duplicate, not counted",IF(SUM($D$2:$K$2)=0,"Add weights on Rubric",IF(SUMPRODUCT(ISNUMBER(D295:K295)*((D295:K295&gt;4)+(D295:K295&lt;0)))&gt;0,"Check scores",IF(N295&lt;COUNTIF($D$2:$K$2,"&gt;0"),"Incomplete","Counted"))))))))</f>
        <v/>
      </c>
      <c r="P295" s="42">
        <f>IF(O295="Counted",ROUND(SUMPRODUCT(D295:K295,$D$2:$K$2)*100/(4*SUM($D$2:$K$2)),1),"")</f>
        <v/>
      </c>
      <c r="Q295" s="27">
        <f>IF(O295="Counted",1,0)</f>
        <v/>
      </c>
      <c r="R295" s="43">
        <f>IF(ISNUMBER(D295),D295,0)</f>
        <v/>
      </c>
      <c r="S295" s="43">
        <f>IF(ISNUMBER(E295),E295,0)</f>
        <v/>
      </c>
      <c r="T295" s="43">
        <f>IF(ISNUMBER(F295),F295,0)</f>
        <v/>
      </c>
      <c r="U295" s="43">
        <f>IF(ISNUMBER(G295),G295,0)</f>
        <v/>
      </c>
      <c r="V295" s="43">
        <f>IF(ISNUMBER(H295),H295,0)</f>
        <v/>
      </c>
      <c r="W295" s="43">
        <f>IF(ISNUMBER(I295),I295,0)</f>
        <v/>
      </c>
      <c r="X295" s="43">
        <f>IF(ISNUMBER(J295),J295,0)</f>
        <v/>
      </c>
      <c r="Y295" s="43">
        <f>IF(ISNUMBER(K295),K295,0)</f>
        <v/>
      </c>
    </row>
    <row r="296">
      <c r="A296" s="35" t="n"/>
      <c r="B296" s="35" t="n"/>
      <c r="C296" s="35" t="n"/>
      <c r="D296" s="25" t="n"/>
      <c r="E296" s="25" t="n"/>
      <c r="F296" s="25" t="n"/>
      <c r="G296" s="25" t="n"/>
      <c r="H296" s="25" t="n"/>
      <c r="I296" s="25" t="n"/>
      <c r="J296" s="25" t="n"/>
      <c r="K296" s="25" t="n"/>
      <c r="L296" s="35" t="n"/>
      <c r="M296" s="40">
        <f>IF(A296="","",IFERROR(INDEX(Applications!$B$2:$B$101,MATCH(A296,Applications!$A$2:$A$101,0))&amp;"",""))</f>
        <v/>
      </c>
      <c r="N296" s="41">
        <f>IF(A296="","",SUMPRODUCT(ISNUMBER(D296:K296)*($D$2:$K$2&gt;0)))</f>
        <v/>
      </c>
      <c r="O296" s="40">
        <f>IF(A296="","",IF(ISNA(MATCH(A296,Applications!$A$2:$A$101,0)),"Check ID",IF(ISNA(MATCH(B296,Settings!$C$13:$C$18,0)),"Check reviewer",IF(LEFT(C296,3)="Yes","Conflict, not counted",IF(COUNTIFS($A$3:A296,A296,$B$3:B296,B296)&gt;1,"Duplicate, not counted",IF(SUM($D$2:$K$2)=0,"Add weights on Rubric",IF(SUMPRODUCT(ISNUMBER(D296:K296)*((D296:K296&gt;4)+(D296:K296&lt;0)))&gt;0,"Check scores",IF(N296&lt;COUNTIF($D$2:$K$2,"&gt;0"),"Incomplete","Counted"))))))))</f>
        <v/>
      </c>
      <c r="P296" s="42">
        <f>IF(O296="Counted",ROUND(SUMPRODUCT(D296:K296,$D$2:$K$2)*100/(4*SUM($D$2:$K$2)),1),"")</f>
        <v/>
      </c>
      <c r="Q296" s="27">
        <f>IF(O296="Counted",1,0)</f>
        <v/>
      </c>
      <c r="R296" s="43">
        <f>IF(ISNUMBER(D296),D296,0)</f>
        <v/>
      </c>
      <c r="S296" s="43">
        <f>IF(ISNUMBER(E296),E296,0)</f>
        <v/>
      </c>
      <c r="T296" s="43">
        <f>IF(ISNUMBER(F296),F296,0)</f>
        <v/>
      </c>
      <c r="U296" s="43">
        <f>IF(ISNUMBER(G296),G296,0)</f>
        <v/>
      </c>
      <c r="V296" s="43">
        <f>IF(ISNUMBER(H296),H296,0)</f>
        <v/>
      </c>
      <c r="W296" s="43">
        <f>IF(ISNUMBER(I296),I296,0)</f>
        <v/>
      </c>
      <c r="X296" s="43">
        <f>IF(ISNUMBER(J296),J296,0)</f>
        <v/>
      </c>
      <c r="Y296" s="43">
        <f>IF(ISNUMBER(K296),K296,0)</f>
        <v/>
      </c>
    </row>
    <row r="297">
      <c r="A297" s="35" t="n"/>
      <c r="B297" s="35" t="n"/>
      <c r="C297" s="35" t="n"/>
      <c r="D297" s="25" t="n"/>
      <c r="E297" s="25" t="n"/>
      <c r="F297" s="25" t="n"/>
      <c r="G297" s="25" t="n"/>
      <c r="H297" s="25" t="n"/>
      <c r="I297" s="25" t="n"/>
      <c r="J297" s="25" t="n"/>
      <c r="K297" s="25" t="n"/>
      <c r="L297" s="35" t="n"/>
      <c r="M297" s="40">
        <f>IF(A297="","",IFERROR(INDEX(Applications!$B$2:$B$101,MATCH(A297,Applications!$A$2:$A$101,0))&amp;"",""))</f>
        <v/>
      </c>
      <c r="N297" s="41">
        <f>IF(A297="","",SUMPRODUCT(ISNUMBER(D297:K297)*($D$2:$K$2&gt;0)))</f>
        <v/>
      </c>
      <c r="O297" s="40">
        <f>IF(A297="","",IF(ISNA(MATCH(A297,Applications!$A$2:$A$101,0)),"Check ID",IF(ISNA(MATCH(B297,Settings!$C$13:$C$18,0)),"Check reviewer",IF(LEFT(C297,3)="Yes","Conflict, not counted",IF(COUNTIFS($A$3:A297,A297,$B$3:B297,B297)&gt;1,"Duplicate, not counted",IF(SUM($D$2:$K$2)=0,"Add weights on Rubric",IF(SUMPRODUCT(ISNUMBER(D297:K297)*((D297:K297&gt;4)+(D297:K297&lt;0)))&gt;0,"Check scores",IF(N297&lt;COUNTIF($D$2:$K$2,"&gt;0"),"Incomplete","Counted"))))))))</f>
        <v/>
      </c>
      <c r="P297" s="42">
        <f>IF(O297="Counted",ROUND(SUMPRODUCT(D297:K297,$D$2:$K$2)*100/(4*SUM($D$2:$K$2)),1),"")</f>
        <v/>
      </c>
      <c r="Q297" s="27">
        <f>IF(O297="Counted",1,0)</f>
        <v/>
      </c>
      <c r="R297" s="43">
        <f>IF(ISNUMBER(D297),D297,0)</f>
        <v/>
      </c>
      <c r="S297" s="43">
        <f>IF(ISNUMBER(E297),E297,0)</f>
        <v/>
      </c>
      <c r="T297" s="43">
        <f>IF(ISNUMBER(F297),F297,0)</f>
        <v/>
      </c>
      <c r="U297" s="43">
        <f>IF(ISNUMBER(G297),G297,0)</f>
        <v/>
      </c>
      <c r="V297" s="43">
        <f>IF(ISNUMBER(H297),H297,0)</f>
        <v/>
      </c>
      <c r="W297" s="43">
        <f>IF(ISNUMBER(I297),I297,0)</f>
        <v/>
      </c>
      <c r="X297" s="43">
        <f>IF(ISNUMBER(J297),J297,0)</f>
        <v/>
      </c>
      <c r="Y297" s="43">
        <f>IF(ISNUMBER(K297),K297,0)</f>
        <v/>
      </c>
    </row>
    <row r="298">
      <c r="A298" s="35" t="n"/>
      <c r="B298" s="35" t="n"/>
      <c r="C298" s="35" t="n"/>
      <c r="D298" s="25" t="n"/>
      <c r="E298" s="25" t="n"/>
      <c r="F298" s="25" t="n"/>
      <c r="G298" s="25" t="n"/>
      <c r="H298" s="25" t="n"/>
      <c r="I298" s="25" t="n"/>
      <c r="J298" s="25" t="n"/>
      <c r="K298" s="25" t="n"/>
      <c r="L298" s="35" t="n"/>
      <c r="M298" s="40">
        <f>IF(A298="","",IFERROR(INDEX(Applications!$B$2:$B$101,MATCH(A298,Applications!$A$2:$A$101,0))&amp;"",""))</f>
        <v/>
      </c>
      <c r="N298" s="41">
        <f>IF(A298="","",SUMPRODUCT(ISNUMBER(D298:K298)*($D$2:$K$2&gt;0)))</f>
        <v/>
      </c>
      <c r="O298" s="40">
        <f>IF(A298="","",IF(ISNA(MATCH(A298,Applications!$A$2:$A$101,0)),"Check ID",IF(ISNA(MATCH(B298,Settings!$C$13:$C$18,0)),"Check reviewer",IF(LEFT(C298,3)="Yes","Conflict, not counted",IF(COUNTIFS($A$3:A298,A298,$B$3:B298,B298)&gt;1,"Duplicate, not counted",IF(SUM($D$2:$K$2)=0,"Add weights on Rubric",IF(SUMPRODUCT(ISNUMBER(D298:K298)*((D298:K298&gt;4)+(D298:K298&lt;0)))&gt;0,"Check scores",IF(N298&lt;COUNTIF($D$2:$K$2,"&gt;0"),"Incomplete","Counted"))))))))</f>
        <v/>
      </c>
      <c r="P298" s="42">
        <f>IF(O298="Counted",ROUND(SUMPRODUCT(D298:K298,$D$2:$K$2)*100/(4*SUM($D$2:$K$2)),1),"")</f>
        <v/>
      </c>
      <c r="Q298" s="27">
        <f>IF(O298="Counted",1,0)</f>
        <v/>
      </c>
      <c r="R298" s="43">
        <f>IF(ISNUMBER(D298),D298,0)</f>
        <v/>
      </c>
      <c r="S298" s="43">
        <f>IF(ISNUMBER(E298),E298,0)</f>
        <v/>
      </c>
      <c r="T298" s="43">
        <f>IF(ISNUMBER(F298),F298,0)</f>
        <v/>
      </c>
      <c r="U298" s="43">
        <f>IF(ISNUMBER(G298),G298,0)</f>
        <v/>
      </c>
      <c r="V298" s="43">
        <f>IF(ISNUMBER(H298),H298,0)</f>
        <v/>
      </c>
      <c r="W298" s="43">
        <f>IF(ISNUMBER(I298),I298,0)</f>
        <v/>
      </c>
      <c r="X298" s="43">
        <f>IF(ISNUMBER(J298),J298,0)</f>
        <v/>
      </c>
      <c r="Y298" s="43">
        <f>IF(ISNUMBER(K298),K298,0)</f>
        <v/>
      </c>
    </row>
    <row r="299">
      <c r="A299" s="35" t="n"/>
      <c r="B299" s="35" t="n"/>
      <c r="C299" s="35" t="n"/>
      <c r="D299" s="25" t="n"/>
      <c r="E299" s="25" t="n"/>
      <c r="F299" s="25" t="n"/>
      <c r="G299" s="25" t="n"/>
      <c r="H299" s="25" t="n"/>
      <c r="I299" s="25" t="n"/>
      <c r="J299" s="25" t="n"/>
      <c r="K299" s="25" t="n"/>
      <c r="L299" s="35" t="n"/>
      <c r="M299" s="40">
        <f>IF(A299="","",IFERROR(INDEX(Applications!$B$2:$B$101,MATCH(A299,Applications!$A$2:$A$101,0))&amp;"",""))</f>
        <v/>
      </c>
      <c r="N299" s="41">
        <f>IF(A299="","",SUMPRODUCT(ISNUMBER(D299:K299)*($D$2:$K$2&gt;0)))</f>
        <v/>
      </c>
      <c r="O299" s="40">
        <f>IF(A299="","",IF(ISNA(MATCH(A299,Applications!$A$2:$A$101,0)),"Check ID",IF(ISNA(MATCH(B299,Settings!$C$13:$C$18,0)),"Check reviewer",IF(LEFT(C299,3)="Yes","Conflict, not counted",IF(COUNTIFS($A$3:A299,A299,$B$3:B299,B299)&gt;1,"Duplicate, not counted",IF(SUM($D$2:$K$2)=0,"Add weights on Rubric",IF(SUMPRODUCT(ISNUMBER(D299:K299)*((D299:K299&gt;4)+(D299:K299&lt;0)))&gt;0,"Check scores",IF(N299&lt;COUNTIF($D$2:$K$2,"&gt;0"),"Incomplete","Counted"))))))))</f>
        <v/>
      </c>
      <c r="P299" s="42">
        <f>IF(O299="Counted",ROUND(SUMPRODUCT(D299:K299,$D$2:$K$2)*100/(4*SUM($D$2:$K$2)),1),"")</f>
        <v/>
      </c>
      <c r="Q299" s="27">
        <f>IF(O299="Counted",1,0)</f>
        <v/>
      </c>
      <c r="R299" s="43">
        <f>IF(ISNUMBER(D299),D299,0)</f>
        <v/>
      </c>
      <c r="S299" s="43">
        <f>IF(ISNUMBER(E299),E299,0)</f>
        <v/>
      </c>
      <c r="T299" s="43">
        <f>IF(ISNUMBER(F299),F299,0)</f>
        <v/>
      </c>
      <c r="U299" s="43">
        <f>IF(ISNUMBER(G299),G299,0)</f>
        <v/>
      </c>
      <c r="V299" s="43">
        <f>IF(ISNUMBER(H299),H299,0)</f>
        <v/>
      </c>
      <c r="W299" s="43">
        <f>IF(ISNUMBER(I299),I299,0)</f>
        <v/>
      </c>
      <c r="X299" s="43">
        <f>IF(ISNUMBER(J299),J299,0)</f>
        <v/>
      </c>
      <c r="Y299" s="43">
        <f>IF(ISNUMBER(K299),K299,0)</f>
        <v/>
      </c>
    </row>
    <row r="300">
      <c r="A300" s="35" t="n"/>
      <c r="B300" s="35" t="n"/>
      <c r="C300" s="35" t="n"/>
      <c r="D300" s="25" t="n"/>
      <c r="E300" s="25" t="n"/>
      <c r="F300" s="25" t="n"/>
      <c r="G300" s="25" t="n"/>
      <c r="H300" s="25" t="n"/>
      <c r="I300" s="25" t="n"/>
      <c r="J300" s="25" t="n"/>
      <c r="K300" s="25" t="n"/>
      <c r="L300" s="35" t="n"/>
      <c r="M300" s="40">
        <f>IF(A300="","",IFERROR(INDEX(Applications!$B$2:$B$101,MATCH(A300,Applications!$A$2:$A$101,0))&amp;"",""))</f>
        <v/>
      </c>
      <c r="N300" s="41">
        <f>IF(A300="","",SUMPRODUCT(ISNUMBER(D300:K300)*($D$2:$K$2&gt;0)))</f>
        <v/>
      </c>
      <c r="O300" s="40">
        <f>IF(A300="","",IF(ISNA(MATCH(A300,Applications!$A$2:$A$101,0)),"Check ID",IF(ISNA(MATCH(B300,Settings!$C$13:$C$18,0)),"Check reviewer",IF(LEFT(C300,3)="Yes","Conflict, not counted",IF(COUNTIFS($A$3:A300,A300,$B$3:B300,B300)&gt;1,"Duplicate, not counted",IF(SUM($D$2:$K$2)=0,"Add weights on Rubric",IF(SUMPRODUCT(ISNUMBER(D300:K300)*((D300:K300&gt;4)+(D300:K300&lt;0)))&gt;0,"Check scores",IF(N300&lt;COUNTIF($D$2:$K$2,"&gt;0"),"Incomplete","Counted"))))))))</f>
        <v/>
      </c>
      <c r="P300" s="42">
        <f>IF(O300="Counted",ROUND(SUMPRODUCT(D300:K300,$D$2:$K$2)*100/(4*SUM($D$2:$K$2)),1),"")</f>
        <v/>
      </c>
      <c r="Q300" s="27">
        <f>IF(O300="Counted",1,0)</f>
        <v/>
      </c>
      <c r="R300" s="43">
        <f>IF(ISNUMBER(D300),D300,0)</f>
        <v/>
      </c>
      <c r="S300" s="43">
        <f>IF(ISNUMBER(E300),E300,0)</f>
        <v/>
      </c>
      <c r="T300" s="43">
        <f>IF(ISNUMBER(F300),F300,0)</f>
        <v/>
      </c>
      <c r="U300" s="43">
        <f>IF(ISNUMBER(G300),G300,0)</f>
        <v/>
      </c>
      <c r="V300" s="43">
        <f>IF(ISNUMBER(H300),H300,0)</f>
        <v/>
      </c>
      <c r="W300" s="43">
        <f>IF(ISNUMBER(I300),I300,0)</f>
        <v/>
      </c>
      <c r="X300" s="43">
        <f>IF(ISNUMBER(J300),J300,0)</f>
        <v/>
      </c>
      <c r="Y300" s="43">
        <f>IF(ISNUMBER(K300),K300,0)</f>
        <v/>
      </c>
    </row>
    <row r="301">
      <c r="A301" s="35" t="n"/>
      <c r="B301" s="35" t="n"/>
      <c r="C301" s="35" t="n"/>
      <c r="D301" s="25" t="n"/>
      <c r="E301" s="25" t="n"/>
      <c r="F301" s="25" t="n"/>
      <c r="G301" s="25" t="n"/>
      <c r="H301" s="25" t="n"/>
      <c r="I301" s="25" t="n"/>
      <c r="J301" s="25" t="n"/>
      <c r="K301" s="25" t="n"/>
      <c r="L301" s="35" t="n"/>
      <c r="M301" s="40">
        <f>IF(A301="","",IFERROR(INDEX(Applications!$B$2:$B$101,MATCH(A301,Applications!$A$2:$A$101,0))&amp;"",""))</f>
        <v/>
      </c>
      <c r="N301" s="41">
        <f>IF(A301="","",SUMPRODUCT(ISNUMBER(D301:K301)*($D$2:$K$2&gt;0)))</f>
        <v/>
      </c>
      <c r="O301" s="40">
        <f>IF(A301="","",IF(ISNA(MATCH(A301,Applications!$A$2:$A$101,0)),"Check ID",IF(ISNA(MATCH(B301,Settings!$C$13:$C$18,0)),"Check reviewer",IF(LEFT(C301,3)="Yes","Conflict, not counted",IF(COUNTIFS($A$3:A301,A301,$B$3:B301,B301)&gt;1,"Duplicate, not counted",IF(SUM($D$2:$K$2)=0,"Add weights on Rubric",IF(SUMPRODUCT(ISNUMBER(D301:K301)*((D301:K301&gt;4)+(D301:K301&lt;0)))&gt;0,"Check scores",IF(N301&lt;COUNTIF($D$2:$K$2,"&gt;0"),"Incomplete","Counted"))))))))</f>
        <v/>
      </c>
      <c r="P301" s="42">
        <f>IF(O301="Counted",ROUND(SUMPRODUCT(D301:K301,$D$2:$K$2)*100/(4*SUM($D$2:$K$2)),1),"")</f>
        <v/>
      </c>
      <c r="Q301" s="27">
        <f>IF(O301="Counted",1,0)</f>
        <v/>
      </c>
      <c r="R301" s="43">
        <f>IF(ISNUMBER(D301),D301,0)</f>
        <v/>
      </c>
      <c r="S301" s="43">
        <f>IF(ISNUMBER(E301),E301,0)</f>
        <v/>
      </c>
      <c r="T301" s="43">
        <f>IF(ISNUMBER(F301),F301,0)</f>
        <v/>
      </c>
      <c r="U301" s="43">
        <f>IF(ISNUMBER(G301),G301,0)</f>
        <v/>
      </c>
      <c r="V301" s="43">
        <f>IF(ISNUMBER(H301),H301,0)</f>
        <v/>
      </c>
      <c r="W301" s="43">
        <f>IF(ISNUMBER(I301),I301,0)</f>
        <v/>
      </c>
      <c r="X301" s="43">
        <f>IF(ISNUMBER(J301),J301,0)</f>
        <v/>
      </c>
      <c r="Y301" s="43">
        <f>IF(ISNUMBER(K301),K301,0)</f>
        <v/>
      </c>
    </row>
    <row r="302">
      <c r="A302" s="35" t="n"/>
      <c r="B302" s="35" t="n"/>
      <c r="C302" s="35" t="n"/>
      <c r="D302" s="25" t="n"/>
      <c r="E302" s="25" t="n"/>
      <c r="F302" s="25" t="n"/>
      <c r="G302" s="25" t="n"/>
      <c r="H302" s="25" t="n"/>
      <c r="I302" s="25" t="n"/>
      <c r="J302" s="25" t="n"/>
      <c r="K302" s="25" t="n"/>
      <c r="L302" s="35" t="n"/>
      <c r="M302" s="40">
        <f>IF(A302="","",IFERROR(INDEX(Applications!$B$2:$B$101,MATCH(A302,Applications!$A$2:$A$101,0))&amp;"",""))</f>
        <v/>
      </c>
      <c r="N302" s="41">
        <f>IF(A302="","",SUMPRODUCT(ISNUMBER(D302:K302)*($D$2:$K$2&gt;0)))</f>
        <v/>
      </c>
      <c r="O302" s="40">
        <f>IF(A302="","",IF(ISNA(MATCH(A302,Applications!$A$2:$A$101,0)),"Check ID",IF(ISNA(MATCH(B302,Settings!$C$13:$C$18,0)),"Check reviewer",IF(LEFT(C302,3)="Yes","Conflict, not counted",IF(COUNTIFS($A$3:A302,A302,$B$3:B302,B302)&gt;1,"Duplicate, not counted",IF(SUM($D$2:$K$2)=0,"Add weights on Rubric",IF(SUMPRODUCT(ISNUMBER(D302:K302)*((D302:K302&gt;4)+(D302:K302&lt;0)))&gt;0,"Check scores",IF(N302&lt;COUNTIF($D$2:$K$2,"&gt;0"),"Incomplete","Counted"))))))))</f>
        <v/>
      </c>
      <c r="P302" s="42">
        <f>IF(O302="Counted",ROUND(SUMPRODUCT(D302:K302,$D$2:$K$2)*100/(4*SUM($D$2:$K$2)),1),"")</f>
        <v/>
      </c>
      <c r="Q302" s="27">
        <f>IF(O302="Counted",1,0)</f>
        <v/>
      </c>
      <c r="R302" s="43">
        <f>IF(ISNUMBER(D302),D302,0)</f>
        <v/>
      </c>
      <c r="S302" s="43">
        <f>IF(ISNUMBER(E302),E302,0)</f>
        <v/>
      </c>
      <c r="T302" s="43">
        <f>IF(ISNUMBER(F302),F302,0)</f>
        <v/>
      </c>
      <c r="U302" s="43">
        <f>IF(ISNUMBER(G302),G302,0)</f>
        <v/>
      </c>
      <c r="V302" s="43">
        <f>IF(ISNUMBER(H302),H302,0)</f>
        <v/>
      </c>
      <c r="W302" s="43">
        <f>IF(ISNUMBER(I302),I302,0)</f>
        <v/>
      </c>
      <c r="X302" s="43">
        <f>IF(ISNUMBER(J302),J302,0)</f>
        <v/>
      </c>
      <c r="Y302" s="43">
        <f>IF(ISNUMBER(K302),K302,0)</f>
        <v/>
      </c>
    </row>
    <row r="303">
      <c r="A303" s="35" t="n"/>
      <c r="B303" s="35" t="n"/>
      <c r="C303" s="35" t="n"/>
      <c r="D303" s="25" t="n"/>
      <c r="E303" s="25" t="n"/>
      <c r="F303" s="25" t="n"/>
      <c r="G303" s="25" t="n"/>
      <c r="H303" s="25" t="n"/>
      <c r="I303" s="25" t="n"/>
      <c r="J303" s="25" t="n"/>
      <c r="K303" s="25" t="n"/>
      <c r="L303" s="35" t="n"/>
      <c r="M303" s="40">
        <f>IF(A303="","",IFERROR(INDEX(Applications!$B$2:$B$101,MATCH(A303,Applications!$A$2:$A$101,0))&amp;"",""))</f>
        <v/>
      </c>
      <c r="N303" s="41">
        <f>IF(A303="","",SUMPRODUCT(ISNUMBER(D303:K303)*($D$2:$K$2&gt;0)))</f>
        <v/>
      </c>
      <c r="O303" s="40">
        <f>IF(A303="","",IF(ISNA(MATCH(A303,Applications!$A$2:$A$101,0)),"Check ID",IF(ISNA(MATCH(B303,Settings!$C$13:$C$18,0)),"Check reviewer",IF(LEFT(C303,3)="Yes","Conflict, not counted",IF(COUNTIFS($A$3:A303,A303,$B$3:B303,B303)&gt;1,"Duplicate, not counted",IF(SUM($D$2:$K$2)=0,"Add weights on Rubric",IF(SUMPRODUCT(ISNUMBER(D303:K303)*((D303:K303&gt;4)+(D303:K303&lt;0)))&gt;0,"Check scores",IF(N303&lt;COUNTIF($D$2:$K$2,"&gt;0"),"Incomplete","Counted"))))))))</f>
        <v/>
      </c>
      <c r="P303" s="42">
        <f>IF(O303="Counted",ROUND(SUMPRODUCT(D303:K303,$D$2:$K$2)*100/(4*SUM($D$2:$K$2)),1),"")</f>
        <v/>
      </c>
      <c r="Q303" s="27">
        <f>IF(O303="Counted",1,0)</f>
        <v/>
      </c>
      <c r="R303" s="43">
        <f>IF(ISNUMBER(D303),D303,0)</f>
        <v/>
      </c>
      <c r="S303" s="43">
        <f>IF(ISNUMBER(E303),E303,0)</f>
        <v/>
      </c>
      <c r="T303" s="43">
        <f>IF(ISNUMBER(F303),F303,0)</f>
        <v/>
      </c>
      <c r="U303" s="43">
        <f>IF(ISNUMBER(G303),G303,0)</f>
        <v/>
      </c>
      <c r="V303" s="43">
        <f>IF(ISNUMBER(H303),H303,0)</f>
        <v/>
      </c>
      <c r="W303" s="43">
        <f>IF(ISNUMBER(I303),I303,0)</f>
        <v/>
      </c>
      <c r="X303" s="43">
        <f>IF(ISNUMBER(J303),J303,0)</f>
        <v/>
      </c>
      <c r="Y303" s="43">
        <f>IF(ISNUMBER(K303),K303,0)</f>
        <v/>
      </c>
    </row>
    <row r="304">
      <c r="A304" s="35" t="n"/>
      <c r="B304" s="35" t="n"/>
      <c r="C304" s="35" t="n"/>
      <c r="D304" s="25" t="n"/>
      <c r="E304" s="25" t="n"/>
      <c r="F304" s="25" t="n"/>
      <c r="G304" s="25" t="n"/>
      <c r="H304" s="25" t="n"/>
      <c r="I304" s="25" t="n"/>
      <c r="J304" s="25" t="n"/>
      <c r="K304" s="25" t="n"/>
      <c r="L304" s="35" t="n"/>
      <c r="M304" s="40">
        <f>IF(A304="","",IFERROR(INDEX(Applications!$B$2:$B$101,MATCH(A304,Applications!$A$2:$A$101,0))&amp;"",""))</f>
        <v/>
      </c>
      <c r="N304" s="41">
        <f>IF(A304="","",SUMPRODUCT(ISNUMBER(D304:K304)*($D$2:$K$2&gt;0)))</f>
        <v/>
      </c>
      <c r="O304" s="40">
        <f>IF(A304="","",IF(ISNA(MATCH(A304,Applications!$A$2:$A$101,0)),"Check ID",IF(ISNA(MATCH(B304,Settings!$C$13:$C$18,0)),"Check reviewer",IF(LEFT(C304,3)="Yes","Conflict, not counted",IF(COUNTIFS($A$3:A304,A304,$B$3:B304,B304)&gt;1,"Duplicate, not counted",IF(SUM($D$2:$K$2)=0,"Add weights on Rubric",IF(SUMPRODUCT(ISNUMBER(D304:K304)*((D304:K304&gt;4)+(D304:K304&lt;0)))&gt;0,"Check scores",IF(N304&lt;COUNTIF($D$2:$K$2,"&gt;0"),"Incomplete","Counted"))))))))</f>
        <v/>
      </c>
      <c r="P304" s="42">
        <f>IF(O304="Counted",ROUND(SUMPRODUCT(D304:K304,$D$2:$K$2)*100/(4*SUM($D$2:$K$2)),1),"")</f>
        <v/>
      </c>
      <c r="Q304" s="27">
        <f>IF(O304="Counted",1,0)</f>
        <v/>
      </c>
      <c r="R304" s="43">
        <f>IF(ISNUMBER(D304),D304,0)</f>
        <v/>
      </c>
      <c r="S304" s="43">
        <f>IF(ISNUMBER(E304),E304,0)</f>
        <v/>
      </c>
      <c r="T304" s="43">
        <f>IF(ISNUMBER(F304),F304,0)</f>
        <v/>
      </c>
      <c r="U304" s="43">
        <f>IF(ISNUMBER(G304),G304,0)</f>
        <v/>
      </c>
      <c r="V304" s="43">
        <f>IF(ISNUMBER(H304),H304,0)</f>
        <v/>
      </c>
      <c r="W304" s="43">
        <f>IF(ISNUMBER(I304),I304,0)</f>
        <v/>
      </c>
      <c r="X304" s="43">
        <f>IF(ISNUMBER(J304),J304,0)</f>
        <v/>
      </c>
      <c r="Y304" s="43">
        <f>IF(ISNUMBER(K304),K304,0)</f>
        <v/>
      </c>
    </row>
    <row r="305">
      <c r="A305" s="35" t="n"/>
      <c r="B305" s="35" t="n"/>
      <c r="C305" s="35" t="n"/>
      <c r="D305" s="25" t="n"/>
      <c r="E305" s="25" t="n"/>
      <c r="F305" s="25" t="n"/>
      <c r="G305" s="25" t="n"/>
      <c r="H305" s="25" t="n"/>
      <c r="I305" s="25" t="n"/>
      <c r="J305" s="25" t="n"/>
      <c r="K305" s="25" t="n"/>
      <c r="L305" s="35" t="n"/>
      <c r="M305" s="40">
        <f>IF(A305="","",IFERROR(INDEX(Applications!$B$2:$B$101,MATCH(A305,Applications!$A$2:$A$101,0))&amp;"",""))</f>
        <v/>
      </c>
      <c r="N305" s="41">
        <f>IF(A305="","",SUMPRODUCT(ISNUMBER(D305:K305)*($D$2:$K$2&gt;0)))</f>
        <v/>
      </c>
      <c r="O305" s="40">
        <f>IF(A305="","",IF(ISNA(MATCH(A305,Applications!$A$2:$A$101,0)),"Check ID",IF(ISNA(MATCH(B305,Settings!$C$13:$C$18,0)),"Check reviewer",IF(LEFT(C305,3)="Yes","Conflict, not counted",IF(COUNTIFS($A$3:A305,A305,$B$3:B305,B305)&gt;1,"Duplicate, not counted",IF(SUM($D$2:$K$2)=0,"Add weights on Rubric",IF(SUMPRODUCT(ISNUMBER(D305:K305)*((D305:K305&gt;4)+(D305:K305&lt;0)))&gt;0,"Check scores",IF(N305&lt;COUNTIF($D$2:$K$2,"&gt;0"),"Incomplete","Counted"))))))))</f>
        <v/>
      </c>
      <c r="P305" s="42">
        <f>IF(O305="Counted",ROUND(SUMPRODUCT(D305:K305,$D$2:$K$2)*100/(4*SUM($D$2:$K$2)),1),"")</f>
        <v/>
      </c>
      <c r="Q305" s="27">
        <f>IF(O305="Counted",1,0)</f>
        <v/>
      </c>
      <c r="R305" s="43">
        <f>IF(ISNUMBER(D305),D305,0)</f>
        <v/>
      </c>
      <c r="S305" s="43">
        <f>IF(ISNUMBER(E305),E305,0)</f>
        <v/>
      </c>
      <c r="T305" s="43">
        <f>IF(ISNUMBER(F305),F305,0)</f>
        <v/>
      </c>
      <c r="U305" s="43">
        <f>IF(ISNUMBER(G305),G305,0)</f>
        <v/>
      </c>
      <c r="V305" s="43">
        <f>IF(ISNUMBER(H305),H305,0)</f>
        <v/>
      </c>
      <c r="W305" s="43">
        <f>IF(ISNUMBER(I305),I305,0)</f>
        <v/>
      </c>
      <c r="X305" s="43">
        <f>IF(ISNUMBER(J305),J305,0)</f>
        <v/>
      </c>
      <c r="Y305" s="43">
        <f>IF(ISNUMBER(K305),K305,0)</f>
        <v/>
      </c>
    </row>
    <row r="306">
      <c r="A306" s="35" t="n"/>
      <c r="B306" s="35" t="n"/>
      <c r="C306" s="35" t="n"/>
      <c r="D306" s="25" t="n"/>
      <c r="E306" s="25" t="n"/>
      <c r="F306" s="25" t="n"/>
      <c r="G306" s="25" t="n"/>
      <c r="H306" s="25" t="n"/>
      <c r="I306" s="25" t="n"/>
      <c r="J306" s="25" t="n"/>
      <c r="K306" s="25" t="n"/>
      <c r="L306" s="35" t="n"/>
      <c r="M306" s="40">
        <f>IF(A306="","",IFERROR(INDEX(Applications!$B$2:$B$101,MATCH(A306,Applications!$A$2:$A$101,0))&amp;"",""))</f>
        <v/>
      </c>
      <c r="N306" s="41">
        <f>IF(A306="","",SUMPRODUCT(ISNUMBER(D306:K306)*($D$2:$K$2&gt;0)))</f>
        <v/>
      </c>
      <c r="O306" s="40">
        <f>IF(A306="","",IF(ISNA(MATCH(A306,Applications!$A$2:$A$101,0)),"Check ID",IF(ISNA(MATCH(B306,Settings!$C$13:$C$18,0)),"Check reviewer",IF(LEFT(C306,3)="Yes","Conflict, not counted",IF(COUNTIFS($A$3:A306,A306,$B$3:B306,B306)&gt;1,"Duplicate, not counted",IF(SUM($D$2:$K$2)=0,"Add weights on Rubric",IF(SUMPRODUCT(ISNUMBER(D306:K306)*((D306:K306&gt;4)+(D306:K306&lt;0)))&gt;0,"Check scores",IF(N306&lt;COUNTIF($D$2:$K$2,"&gt;0"),"Incomplete","Counted"))))))))</f>
        <v/>
      </c>
      <c r="P306" s="42">
        <f>IF(O306="Counted",ROUND(SUMPRODUCT(D306:K306,$D$2:$K$2)*100/(4*SUM($D$2:$K$2)),1),"")</f>
        <v/>
      </c>
      <c r="Q306" s="27">
        <f>IF(O306="Counted",1,0)</f>
        <v/>
      </c>
      <c r="R306" s="43">
        <f>IF(ISNUMBER(D306),D306,0)</f>
        <v/>
      </c>
      <c r="S306" s="43">
        <f>IF(ISNUMBER(E306),E306,0)</f>
        <v/>
      </c>
      <c r="T306" s="43">
        <f>IF(ISNUMBER(F306),F306,0)</f>
        <v/>
      </c>
      <c r="U306" s="43">
        <f>IF(ISNUMBER(G306),G306,0)</f>
        <v/>
      </c>
      <c r="V306" s="43">
        <f>IF(ISNUMBER(H306),H306,0)</f>
        <v/>
      </c>
      <c r="W306" s="43">
        <f>IF(ISNUMBER(I306),I306,0)</f>
        <v/>
      </c>
      <c r="X306" s="43">
        <f>IF(ISNUMBER(J306),J306,0)</f>
        <v/>
      </c>
      <c r="Y306" s="43">
        <f>IF(ISNUMBER(K306),K306,0)</f>
        <v/>
      </c>
    </row>
    <row r="307">
      <c r="A307" s="35" t="n"/>
      <c r="B307" s="35" t="n"/>
      <c r="C307" s="35" t="n"/>
      <c r="D307" s="25" t="n"/>
      <c r="E307" s="25" t="n"/>
      <c r="F307" s="25" t="n"/>
      <c r="G307" s="25" t="n"/>
      <c r="H307" s="25" t="n"/>
      <c r="I307" s="25" t="n"/>
      <c r="J307" s="25" t="n"/>
      <c r="K307" s="25" t="n"/>
      <c r="L307" s="35" t="n"/>
      <c r="M307" s="40">
        <f>IF(A307="","",IFERROR(INDEX(Applications!$B$2:$B$101,MATCH(A307,Applications!$A$2:$A$101,0))&amp;"",""))</f>
        <v/>
      </c>
      <c r="N307" s="41">
        <f>IF(A307="","",SUMPRODUCT(ISNUMBER(D307:K307)*($D$2:$K$2&gt;0)))</f>
        <v/>
      </c>
      <c r="O307" s="40">
        <f>IF(A307="","",IF(ISNA(MATCH(A307,Applications!$A$2:$A$101,0)),"Check ID",IF(ISNA(MATCH(B307,Settings!$C$13:$C$18,0)),"Check reviewer",IF(LEFT(C307,3)="Yes","Conflict, not counted",IF(COUNTIFS($A$3:A307,A307,$B$3:B307,B307)&gt;1,"Duplicate, not counted",IF(SUM($D$2:$K$2)=0,"Add weights on Rubric",IF(SUMPRODUCT(ISNUMBER(D307:K307)*((D307:K307&gt;4)+(D307:K307&lt;0)))&gt;0,"Check scores",IF(N307&lt;COUNTIF($D$2:$K$2,"&gt;0"),"Incomplete","Counted"))))))))</f>
        <v/>
      </c>
      <c r="P307" s="42">
        <f>IF(O307="Counted",ROUND(SUMPRODUCT(D307:K307,$D$2:$K$2)*100/(4*SUM($D$2:$K$2)),1),"")</f>
        <v/>
      </c>
      <c r="Q307" s="27">
        <f>IF(O307="Counted",1,0)</f>
        <v/>
      </c>
      <c r="R307" s="43">
        <f>IF(ISNUMBER(D307),D307,0)</f>
        <v/>
      </c>
      <c r="S307" s="43">
        <f>IF(ISNUMBER(E307),E307,0)</f>
        <v/>
      </c>
      <c r="T307" s="43">
        <f>IF(ISNUMBER(F307),F307,0)</f>
        <v/>
      </c>
      <c r="U307" s="43">
        <f>IF(ISNUMBER(G307),G307,0)</f>
        <v/>
      </c>
      <c r="V307" s="43">
        <f>IF(ISNUMBER(H307),H307,0)</f>
        <v/>
      </c>
      <c r="W307" s="43">
        <f>IF(ISNUMBER(I307),I307,0)</f>
        <v/>
      </c>
      <c r="X307" s="43">
        <f>IF(ISNUMBER(J307),J307,0)</f>
        <v/>
      </c>
      <c r="Y307" s="43">
        <f>IF(ISNUMBER(K307),K307,0)</f>
        <v/>
      </c>
    </row>
    <row r="308">
      <c r="A308" s="35" t="n"/>
      <c r="B308" s="35" t="n"/>
      <c r="C308" s="35" t="n"/>
      <c r="D308" s="25" t="n"/>
      <c r="E308" s="25" t="n"/>
      <c r="F308" s="25" t="n"/>
      <c r="G308" s="25" t="n"/>
      <c r="H308" s="25" t="n"/>
      <c r="I308" s="25" t="n"/>
      <c r="J308" s="25" t="n"/>
      <c r="K308" s="25" t="n"/>
      <c r="L308" s="35" t="n"/>
      <c r="M308" s="40">
        <f>IF(A308="","",IFERROR(INDEX(Applications!$B$2:$B$101,MATCH(A308,Applications!$A$2:$A$101,0))&amp;"",""))</f>
        <v/>
      </c>
      <c r="N308" s="41">
        <f>IF(A308="","",SUMPRODUCT(ISNUMBER(D308:K308)*($D$2:$K$2&gt;0)))</f>
        <v/>
      </c>
      <c r="O308" s="40">
        <f>IF(A308="","",IF(ISNA(MATCH(A308,Applications!$A$2:$A$101,0)),"Check ID",IF(ISNA(MATCH(B308,Settings!$C$13:$C$18,0)),"Check reviewer",IF(LEFT(C308,3)="Yes","Conflict, not counted",IF(COUNTIFS($A$3:A308,A308,$B$3:B308,B308)&gt;1,"Duplicate, not counted",IF(SUM($D$2:$K$2)=0,"Add weights on Rubric",IF(SUMPRODUCT(ISNUMBER(D308:K308)*((D308:K308&gt;4)+(D308:K308&lt;0)))&gt;0,"Check scores",IF(N308&lt;COUNTIF($D$2:$K$2,"&gt;0"),"Incomplete","Counted"))))))))</f>
        <v/>
      </c>
      <c r="P308" s="42">
        <f>IF(O308="Counted",ROUND(SUMPRODUCT(D308:K308,$D$2:$K$2)*100/(4*SUM($D$2:$K$2)),1),"")</f>
        <v/>
      </c>
      <c r="Q308" s="27">
        <f>IF(O308="Counted",1,0)</f>
        <v/>
      </c>
      <c r="R308" s="43">
        <f>IF(ISNUMBER(D308),D308,0)</f>
        <v/>
      </c>
      <c r="S308" s="43">
        <f>IF(ISNUMBER(E308),E308,0)</f>
        <v/>
      </c>
      <c r="T308" s="43">
        <f>IF(ISNUMBER(F308),F308,0)</f>
        <v/>
      </c>
      <c r="U308" s="43">
        <f>IF(ISNUMBER(G308),G308,0)</f>
        <v/>
      </c>
      <c r="V308" s="43">
        <f>IF(ISNUMBER(H308),H308,0)</f>
        <v/>
      </c>
      <c r="W308" s="43">
        <f>IF(ISNUMBER(I308),I308,0)</f>
        <v/>
      </c>
      <c r="X308" s="43">
        <f>IF(ISNUMBER(J308),J308,0)</f>
        <v/>
      </c>
      <c r="Y308" s="43">
        <f>IF(ISNUMBER(K308),K308,0)</f>
        <v/>
      </c>
    </row>
    <row r="309">
      <c r="A309" s="35" t="n"/>
      <c r="B309" s="35" t="n"/>
      <c r="C309" s="35" t="n"/>
      <c r="D309" s="25" t="n"/>
      <c r="E309" s="25" t="n"/>
      <c r="F309" s="25" t="n"/>
      <c r="G309" s="25" t="n"/>
      <c r="H309" s="25" t="n"/>
      <c r="I309" s="25" t="n"/>
      <c r="J309" s="25" t="n"/>
      <c r="K309" s="25" t="n"/>
      <c r="L309" s="35" t="n"/>
      <c r="M309" s="40">
        <f>IF(A309="","",IFERROR(INDEX(Applications!$B$2:$B$101,MATCH(A309,Applications!$A$2:$A$101,0))&amp;"",""))</f>
        <v/>
      </c>
      <c r="N309" s="41">
        <f>IF(A309="","",SUMPRODUCT(ISNUMBER(D309:K309)*($D$2:$K$2&gt;0)))</f>
        <v/>
      </c>
      <c r="O309" s="40">
        <f>IF(A309="","",IF(ISNA(MATCH(A309,Applications!$A$2:$A$101,0)),"Check ID",IF(ISNA(MATCH(B309,Settings!$C$13:$C$18,0)),"Check reviewer",IF(LEFT(C309,3)="Yes","Conflict, not counted",IF(COUNTIFS($A$3:A309,A309,$B$3:B309,B309)&gt;1,"Duplicate, not counted",IF(SUM($D$2:$K$2)=0,"Add weights on Rubric",IF(SUMPRODUCT(ISNUMBER(D309:K309)*((D309:K309&gt;4)+(D309:K309&lt;0)))&gt;0,"Check scores",IF(N309&lt;COUNTIF($D$2:$K$2,"&gt;0"),"Incomplete","Counted"))))))))</f>
        <v/>
      </c>
      <c r="P309" s="42">
        <f>IF(O309="Counted",ROUND(SUMPRODUCT(D309:K309,$D$2:$K$2)*100/(4*SUM($D$2:$K$2)),1),"")</f>
        <v/>
      </c>
      <c r="Q309" s="27">
        <f>IF(O309="Counted",1,0)</f>
        <v/>
      </c>
      <c r="R309" s="43">
        <f>IF(ISNUMBER(D309),D309,0)</f>
        <v/>
      </c>
      <c r="S309" s="43">
        <f>IF(ISNUMBER(E309),E309,0)</f>
        <v/>
      </c>
      <c r="T309" s="43">
        <f>IF(ISNUMBER(F309),F309,0)</f>
        <v/>
      </c>
      <c r="U309" s="43">
        <f>IF(ISNUMBER(G309),G309,0)</f>
        <v/>
      </c>
      <c r="V309" s="43">
        <f>IF(ISNUMBER(H309),H309,0)</f>
        <v/>
      </c>
      <c r="W309" s="43">
        <f>IF(ISNUMBER(I309),I309,0)</f>
        <v/>
      </c>
      <c r="X309" s="43">
        <f>IF(ISNUMBER(J309),J309,0)</f>
        <v/>
      </c>
      <c r="Y309" s="43">
        <f>IF(ISNUMBER(K309),K309,0)</f>
        <v/>
      </c>
    </row>
    <row r="310">
      <c r="A310" s="35" t="n"/>
      <c r="B310" s="35" t="n"/>
      <c r="C310" s="35" t="n"/>
      <c r="D310" s="25" t="n"/>
      <c r="E310" s="25" t="n"/>
      <c r="F310" s="25" t="n"/>
      <c r="G310" s="25" t="n"/>
      <c r="H310" s="25" t="n"/>
      <c r="I310" s="25" t="n"/>
      <c r="J310" s="25" t="n"/>
      <c r="K310" s="25" t="n"/>
      <c r="L310" s="35" t="n"/>
      <c r="M310" s="40">
        <f>IF(A310="","",IFERROR(INDEX(Applications!$B$2:$B$101,MATCH(A310,Applications!$A$2:$A$101,0))&amp;"",""))</f>
        <v/>
      </c>
      <c r="N310" s="41">
        <f>IF(A310="","",SUMPRODUCT(ISNUMBER(D310:K310)*($D$2:$K$2&gt;0)))</f>
        <v/>
      </c>
      <c r="O310" s="40">
        <f>IF(A310="","",IF(ISNA(MATCH(A310,Applications!$A$2:$A$101,0)),"Check ID",IF(ISNA(MATCH(B310,Settings!$C$13:$C$18,0)),"Check reviewer",IF(LEFT(C310,3)="Yes","Conflict, not counted",IF(COUNTIFS($A$3:A310,A310,$B$3:B310,B310)&gt;1,"Duplicate, not counted",IF(SUM($D$2:$K$2)=0,"Add weights on Rubric",IF(SUMPRODUCT(ISNUMBER(D310:K310)*((D310:K310&gt;4)+(D310:K310&lt;0)))&gt;0,"Check scores",IF(N310&lt;COUNTIF($D$2:$K$2,"&gt;0"),"Incomplete","Counted"))))))))</f>
        <v/>
      </c>
      <c r="P310" s="42">
        <f>IF(O310="Counted",ROUND(SUMPRODUCT(D310:K310,$D$2:$K$2)*100/(4*SUM($D$2:$K$2)),1),"")</f>
        <v/>
      </c>
      <c r="Q310" s="27">
        <f>IF(O310="Counted",1,0)</f>
        <v/>
      </c>
      <c r="R310" s="43">
        <f>IF(ISNUMBER(D310),D310,0)</f>
        <v/>
      </c>
      <c r="S310" s="43">
        <f>IF(ISNUMBER(E310),E310,0)</f>
        <v/>
      </c>
      <c r="T310" s="43">
        <f>IF(ISNUMBER(F310),F310,0)</f>
        <v/>
      </c>
      <c r="U310" s="43">
        <f>IF(ISNUMBER(G310),G310,0)</f>
        <v/>
      </c>
      <c r="V310" s="43">
        <f>IF(ISNUMBER(H310),H310,0)</f>
        <v/>
      </c>
      <c r="W310" s="43">
        <f>IF(ISNUMBER(I310),I310,0)</f>
        <v/>
      </c>
      <c r="X310" s="43">
        <f>IF(ISNUMBER(J310),J310,0)</f>
        <v/>
      </c>
      <c r="Y310" s="43">
        <f>IF(ISNUMBER(K310),K310,0)</f>
        <v/>
      </c>
    </row>
    <row r="311">
      <c r="A311" s="35" t="n"/>
      <c r="B311" s="35" t="n"/>
      <c r="C311" s="35" t="n"/>
      <c r="D311" s="25" t="n"/>
      <c r="E311" s="25" t="n"/>
      <c r="F311" s="25" t="n"/>
      <c r="G311" s="25" t="n"/>
      <c r="H311" s="25" t="n"/>
      <c r="I311" s="25" t="n"/>
      <c r="J311" s="25" t="n"/>
      <c r="K311" s="25" t="n"/>
      <c r="L311" s="35" t="n"/>
      <c r="M311" s="40">
        <f>IF(A311="","",IFERROR(INDEX(Applications!$B$2:$B$101,MATCH(A311,Applications!$A$2:$A$101,0))&amp;"",""))</f>
        <v/>
      </c>
      <c r="N311" s="41">
        <f>IF(A311="","",SUMPRODUCT(ISNUMBER(D311:K311)*($D$2:$K$2&gt;0)))</f>
        <v/>
      </c>
      <c r="O311" s="40">
        <f>IF(A311="","",IF(ISNA(MATCH(A311,Applications!$A$2:$A$101,0)),"Check ID",IF(ISNA(MATCH(B311,Settings!$C$13:$C$18,0)),"Check reviewer",IF(LEFT(C311,3)="Yes","Conflict, not counted",IF(COUNTIFS($A$3:A311,A311,$B$3:B311,B311)&gt;1,"Duplicate, not counted",IF(SUM($D$2:$K$2)=0,"Add weights on Rubric",IF(SUMPRODUCT(ISNUMBER(D311:K311)*((D311:K311&gt;4)+(D311:K311&lt;0)))&gt;0,"Check scores",IF(N311&lt;COUNTIF($D$2:$K$2,"&gt;0"),"Incomplete","Counted"))))))))</f>
        <v/>
      </c>
      <c r="P311" s="42">
        <f>IF(O311="Counted",ROUND(SUMPRODUCT(D311:K311,$D$2:$K$2)*100/(4*SUM($D$2:$K$2)),1),"")</f>
        <v/>
      </c>
      <c r="Q311" s="27">
        <f>IF(O311="Counted",1,0)</f>
        <v/>
      </c>
      <c r="R311" s="43">
        <f>IF(ISNUMBER(D311),D311,0)</f>
        <v/>
      </c>
      <c r="S311" s="43">
        <f>IF(ISNUMBER(E311),E311,0)</f>
        <v/>
      </c>
      <c r="T311" s="43">
        <f>IF(ISNUMBER(F311),F311,0)</f>
        <v/>
      </c>
      <c r="U311" s="43">
        <f>IF(ISNUMBER(G311),G311,0)</f>
        <v/>
      </c>
      <c r="V311" s="43">
        <f>IF(ISNUMBER(H311),H311,0)</f>
        <v/>
      </c>
      <c r="W311" s="43">
        <f>IF(ISNUMBER(I311),I311,0)</f>
        <v/>
      </c>
      <c r="X311" s="43">
        <f>IF(ISNUMBER(J311),J311,0)</f>
        <v/>
      </c>
      <c r="Y311" s="43">
        <f>IF(ISNUMBER(K311),K311,0)</f>
        <v/>
      </c>
    </row>
    <row r="312">
      <c r="A312" s="35" t="n"/>
      <c r="B312" s="35" t="n"/>
      <c r="C312" s="35" t="n"/>
      <c r="D312" s="25" t="n"/>
      <c r="E312" s="25" t="n"/>
      <c r="F312" s="25" t="n"/>
      <c r="G312" s="25" t="n"/>
      <c r="H312" s="25" t="n"/>
      <c r="I312" s="25" t="n"/>
      <c r="J312" s="25" t="n"/>
      <c r="K312" s="25" t="n"/>
      <c r="L312" s="35" t="n"/>
      <c r="M312" s="40">
        <f>IF(A312="","",IFERROR(INDEX(Applications!$B$2:$B$101,MATCH(A312,Applications!$A$2:$A$101,0))&amp;"",""))</f>
        <v/>
      </c>
      <c r="N312" s="41">
        <f>IF(A312="","",SUMPRODUCT(ISNUMBER(D312:K312)*($D$2:$K$2&gt;0)))</f>
        <v/>
      </c>
      <c r="O312" s="40">
        <f>IF(A312="","",IF(ISNA(MATCH(A312,Applications!$A$2:$A$101,0)),"Check ID",IF(ISNA(MATCH(B312,Settings!$C$13:$C$18,0)),"Check reviewer",IF(LEFT(C312,3)="Yes","Conflict, not counted",IF(COUNTIFS($A$3:A312,A312,$B$3:B312,B312)&gt;1,"Duplicate, not counted",IF(SUM($D$2:$K$2)=0,"Add weights on Rubric",IF(SUMPRODUCT(ISNUMBER(D312:K312)*((D312:K312&gt;4)+(D312:K312&lt;0)))&gt;0,"Check scores",IF(N312&lt;COUNTIF($D$2:$K$2,"&gt;0"),"Incomplete","Counted"))))))))</f>
        <v/>
      </c>
      <c r="P312" s="42">
        <f>IF(O312="Counted",ROUND(SUMPRODUCT(D312:K312,$D$2:$K$2)*100/(4*SUM($D$2:$K$2)),1),"")</f>
        <v/>
      </c>
      <c r="Q312" s="27">
        <f>IF(O312="Counted",1,0)</f>
        <v/>
      </c>
      <c r="R312" s="43">
        <f>IF(ISNUMBER(D312),D312,0)</f>
        <v/>
      </c>
      <c r="S312" s="43">
        <f>IF(ISNUMBER(E312),E312,0)</f>
        <v/>
      </c>
      <c r="T312" s="43">
        <f>IF(ISNUMBER(F312),F312,0)</f>
        <v/>
      </c>
      <c r="U312" s="43">
        <f>IF(ISNUMBER(G312),G312,0)</f>
        <v/>
      </c>
      <c r="V312" s="43">
        <f>IF(ISNUMBER(H312),H312,0)</f>
        <v/>
      </c>
      <c r="W312" s="43">
        <f>IF(ISNUMBER(I312),I312,0)</f>
        <v/>
      </c>
      <c r="X312" s="43">
        <f>IF(ISNUMBER(J312),J312,0)</f>
        <v/>
      </c>
      <c r="Y312" s="43">
        <f>IF(ISNUMBER(K312),K312,0)</f>
        <v/>
      </c>
    </row>
    <row r="313">
      <c r="A313" s="35" t="n"/>
      <c r="B313" s="35" t="n"/>
      <c r="C313" s="35" t="n"/>
      <c r="D313" s="25" t="n"/>
      <c r="E313" s="25" t="n"/>
      <c r="F313" s="25" t="n"/>
      <c r="G313" s="25" t="n"/>
      <c r="H313" s="25" t="n"/>
      <c r="I313" s="25" t="n"/>
      <c r="J313" s="25" t="n"/>
      <c r="K313" s="25" t="n"/>
      <c r="L313" s="35" t="n"/>
      <c r="M313" s="40">
        <f>IF(A313="","",IFERROR(INDEX(Applications!$B$2:$B$101,MATCH(A313,Applications!$A$2:$A$101,0))&amp;"",""))</f>
        <v/>
      </c>
      <c r="N313" s="41">
        <f>IF(A313="","",SUMPRODUCT(ISNUMBER(D313:K313)*($D$2:$K$2&gt;0)))</f>
        <v/>
      </c>
      <c r="O313" s="40">
        <f>IF(A313="","",IF(ISNA(MATCH(A313,Applications!$A$2:$A$101,0)),"Check ID",IF(ISNA(MATCH(B313,Settings!$C$13:$C$18,0)),"Check reviewer",IF(LEFT(C313,3)="Yes","Conflict, not counted",IF(COUNTIFS($A$3:A313,A313,$B$3:B313,B313)&gt;1,"Duplicate, not counted",IF(SUM($D$2:$K$2)=0,"Add weights on Rubric",IF(SUMPRODUCT(ISNUMBER(D313:K313)*((D313:K313&gt;4)+(D313:K313&lt;0)))&gt;0,"Check scores",IF(N313&lt;COUNTIF($D$2:$K$2,"&gt;0"),"Incomplete","Counted"))))))))</f>
        <v/>
      </c>
      <c r="P313" s="42">
        <f>IF(O313="Counted",ROUND(SUMPRODUCT(D313:K313,$D$2:$K$2)*100/(4*SUM($D$2:$K$2)),1),"")</f>
        <v/>
      </c>
      <c r="Q313" s="27">
        <f>IF(O313="Counted",1,0)</f>
        <v/>
      </c>
      <c r="R313" s="43">
        <f>IF(ISNUMBER(D313),D313,0)</f>
        <v/>
      </c>
      <c r="S313" s="43">
        <f>IF(ISNUMBER(E313),E313,0)</f>
        <v/>
      </c>
      <c r="T313" s="43">
        <f>IF(ISNUMBER(F313),F313,0)</f>
        <v/>
      </c>
      <c r="U313" s="43">
        <f>IF(ISNUMBER(G313),G313,0)</f>
        <v/>
      </c>
      <c r="V313" s="43">
        <f>IF(ISNUMBER(H313),H313,0)</f>
        <v/>
      </c>
      <c r="W313" s="43">
        <f>IF(ISNUMBER(I313),I313,0)</f>
        <v/>
      </c>
      <c r="X313" s="43">
        <f>IF(ISNUMBER(J313),J313,0)</f>
        <v/>
      </c>
      <c r="Y313" s="43">
        <f>IF(ISNUMBER(K313),K313,0)</f>
        <v/>
      </c>
    </row>
    <row r="314">
      <c r="A314" s="35" t="n"/>
      <c r="B314" s="35" t="n"/>
      <c r="C314" s="35" t="n"/>
      <c r="D314" s="25" t="n"/>
      <c r="E314" s="25" t="n"/>
      <c r="F314" s="25" t="n"/>
      <c r="G314" s="25" t="n"/>
      <c r="H314" s="25" t="n"/>
      <c r="I314" s="25" t="n"/>
      <c r="J314" s="25" t="n"/>
      <c r="K314" s="25" t="n"/>
      <c r="L314" s="35" t="n"/>
      <c r="M314" s="40">
        <f>IF(A314="","",IFERROR(INDEX(Applications!$B$2:$B$101,MATCH(A314,Applications!$A$2:$A$101,0))&amp;"",""))</f>
        <v/>
      </c>
      <c r="N314" s="41">
        <f>IF(A314="","",SUMPRODUCT(ISNUMBER(D314:K314)*($D$2:$K$2&gt;0)))</f>
        <v/>
      </c>
      <c r="O314" s="40">
        <f>IF(A314="","",IF(ISNA(MATCH(A314,Applications!$A$2:$A$101,0)),"Check ID",IF(ISNA(MATCH(B314,Settings!$C$13:$C$18,0)),"Check reviewer",IF(LEFT(C314,3)="Yes","Conflict, not counted",IF(COUNTIFS($A$3:A314,A314,$B$3:B314,B314)&gt;1,"Duplicate, not counted",IF(SUM($D$2:$K$2)=0,"Add weights on Rubric",IF(SUMPRODUCT(ISNUMBER(D314:K314)*((D314:K314&gt;4)+(D314:K314&lt;0)))&gt;0,"Check scores",IF(N314&lt;COUNTIF($D$2:$K$2,"&gt;0"),"Incomplete","Counted"))))))))</f>
        <v/>
      </c>
      <c r="P314" s="42">
        <f>IF(O314="Counted",ROUND(SUMPRODUCT(D314:K314,$D$2:$K$2)*100/(4*SUM($D$2:$K$2)),1),"")</f>
        <v/>
      </c>
      <c r="Q314" s="27">
        <f>IF(O314="Counted",1,0)</f>
        <v/>
      </c>
      <c r="R314" s="43">
        <f>IF(ISNUMBER(D314),D314,0)</f>
        <v/>
      </c>
      <c r="S314" s="43">
        <f>IF(ISNUMBER(E314),E314,0)</f>
        <v/>
      </c>
      <c r="T314" s="43">
        <f>IF(ISNUMBER(F314),F314,0)</f>
        <v/>
      </c>
      <c r="U314" s="43">
        <f>IF(ISNUMBER(G314),G314,0)</f>
        <v/>
      </c>
      <c r="V314" s="43">
        <f>IF(ISNUMBER(H314),H314,0)</f>
        <v/>
      </c>
      <c r="W314" s="43">
        <f>IF(ISNUMBER(I314),I314,0)</f>
        <v/>
      </c>
      <c r="X314" s="43">
        <f>IF(ISNUMBER(J314),J314,0)</f>
        <v/>
      </c>
      <c r="Y314" s="43">
        <f>IF(ISNUMBER(K314),K314,0)</f>
        <v/>
      </c>
    </row>
    <row r="315">
      <c r="A315" s="35" t="n"/>
      <c r="B315" s="35" t="n"/>
      <c r="C315" s="35" t="n"/>
      <c r="D315" s="25" t="n"/>
      <c r="E315" s="25" t="n"/>
      <c r="F315" s="25" t="n"/>
      <c r="G315" s="25" t="n"/>
      <c r="H315" s="25" t="n"/>
      <c r="I315" s="25" t="n"/>
      <c r="J315" s="25" t="n"/>
      <c r="K315" s="25" t="n"/>
      <c r="L315" s="35" t="n"/>
      <c r="M315" s="40">
        <f>IF(A315="","",IFERROR(INDEX(Applications!$B$2:$B$101,MATCH(A315,Applications!$A$2:$A$101,0))&amp;"",""))</f>
        <v/>
      </c>
      <c r="N315" s="41">
        <f>IF(A315="","",SUMPRODUCT(ISNUMBER(D315:K315)*($D$2:$K$2&gt;0)))</f>
        <v/>
      </c>
      <c r="O315" s="40">
        <f>IF(A315="","",IF(ISNA(MATCH(A315,Applications!$A$2:$A$101,0)),"Check ID",IF(ISNA(MATCH(B315,Settings!$C$13:$C$18,0)),"Check reviewer",IF(LEFT(C315,3)="Yes","Conflict, not counted",IF(COUNTIFS($A$3:A315,A315,$B$3:B315,B315)&gt;1,"Duplicate, not counted",IF(SUM($D$2:$K$2)=0,"Add weights on Rubric",IF(SUMPRODUCT(ISNUMBER(D315:K315)*((D315:K315&gt;4)+(D315:K315&lt;0)))&gt;0,"Check scores",IF(N315&lt;COUNTIF($D$2:$K$2,"&gt;0"),"Incomplete","Counted"))))))))</f>
        <v/>
      </c>
      <c r="P315" s="42">
        <f>IF(O315="Counted",ROUND(SUMPRODUCT(D315:K315,$D$2:$K$2)*100/(4*SUM($D$2:$K$2)),1),"")</f>
        <v/>
      </c>
      <c r="Q315" s="27">
        <f>IF(O315="Counted",1,0)</f>
        <v/>
      </c>
      <c r="R315" s="43">
        <f>IF(ISNUMBER(D315),D315,0)</f>
        <v/>
      </c>
      <c r="S315" s="43">
        <f>IF(ISNUMBER(E315),E315,0)</f>
        <v/>
      </c>
      <c r="T315" s="43">
        <f>IF(ISNUMBER(F315),F315,0)</f>
        <v/>
      </c>
      <c r="U315" s="43">
        <f>IF(ISNUMBER(G315),G315,0)</f>
        <v/>
      </c>
      <c r="V315" s="43">
        <f>IF(ISNUMBER(H315),H315,0)</f>
        <v/>
      </c>
      <c r="W315" s="43">
        <f>IF(ISNUMBER(I315),I315,0)</f>
        <v/>
      </c>
      <c r="X315" s="43">
        <f>IF(ISNUMBER(J315),J315,0)</f>
        <v/>
      </c>
      <c r="Y315" s="43">
        <f>IF(ISNUMBER(K315),K315,0)</f>
        <v/>
      </c>
    </row>
    <row r="316">
      <c r="A316" s="35" t="n"/>
      <c r="B316" s="35" t="n"/>
      <c r="C316" s="35" t="n"/>
      <c r="D316" s="25" t="n"/>
      <c r="E316" s="25" t="n"/>
      <c r="F316" s="25" t="n"/>
      <c r="G316" s="25" t="n"/>
      <c r="H316" s="25" t="n"/>
      <c r="I316" s="25" t="n"/>
      <c r="J316" s="25" t="n"/>
      <c r="K316" s="25" t="n"/>
      <c r="L316" s="35" t="n"/>
      <c r="M316" s="40">
        <f>IF(A316="","",IFERROR(INDEX(Applications!$B$2:$B$101,MATCH(A316,Applications!$A$2:$A$101,0))&amp;"",""))</f>
        <v/>
      </c>
      <c r="N316" s="41">
        <f>IF(A316="","",SUMPRODUCT(ISNUMBER(D316:K316)*($D$2:$K$2&gt;0)))</f>
        <v/>
      </c>
      <c r="O316" s="40">
        <f>IF(A316="","",IF(ISNA(MATCH(A316,Applications!$A$2:$A$101,0)),"Check ID",IF(ISNA(MATCH(B316,Settings!$C$13:$C$18,0)),"Check reviewer",IF(LEFT(C316,3)="Yes","Conflict, not counted",IF(COUNTIFS($A$3:A316,A316,$B$3:B316,B316)&gt;1,"Duplicate, not counted",IF(SUM($D$2:$K$2)=0,"Add weights on Rubric",IF(SUMPRODUCT(ISNUMBER(D316:K316)*((D316:K316&gt;4)+(D316:K316&lt;0)))&gt;0,"Check scores",IF(N316&lt;COUNTIF($D$2:$K$2,"&gt;0"),"Incomplete","Counted"))))))))</f>
        <v/>
      </c>
      <c r="P316" s="42">
        <f>IF(O316="Counted",ROUND(SUMPRODUCT(D316:K316,$D$2:$K$2)*100/(4*SUM($D$2:$K$2)),1),"")</f>
        <v/>
      </c>
      <c r="Q316" s="27">
        <f>IF(O316="Counted",1,0)</f>
        <v/>
      </c>
      <c r="R316" s="43">
        <f>IF(ISNUMBER(D316),D316,0)</f>
        <v/>
      </c>
      <c r="S316" s="43">
        <f>IF(ISNUMBER(E316),E316,0)</f>
        <v/>
      </c>
      <c r="T316" s="43">
        <f>IF(ISNUMBER(F316),F316,0)</f>
        <v/>
      </c>
      <c r="U316" s="43">
        <f>IF(ISNUMBER(G316),G316,0)</f>
        <v/>
      </c>
      <c r="V316" s="43">
        <f>IF(ISNUMBER(H316),H316,0)</f>
        <v/>
      </c>
      <c r="W316" s="43">
        <f>IF(ISNUMBER(I316),I316,0)</f>
        <v/>
      </c>
      <c r="X316" s="43">
        <f>IF(ISNUMBER(J316),J316,0)</f>
        <v/>
      </c>
      <c r="Y316" s="43">
        <f>IF(ISNUMBER(K316),K316,0)</f>
        <v/>
      </c>
    </row>
    <row r="317">
      <c r="A317" s="35" t="n"/>
      <c r="B317" s="35" t="n"/>
      <c r="C317" s="35" t="n"/>
      <c r="D317" s="25" t="n"/>
      <c r="E317" s="25" t="n"/>
      <c r="F317" s="25" t="n"/>
      <c r="G317" s="25" t="n"/>
      <c r="H317" s="25" t="n"/>
      <c r="I317" s="25" t="n"/>
      <c r="J317" s="25" t="n"/>
      <c r="K317" s="25" t="n"/>
      <c r="L317" s="35" t="n"/>
      <c r="M317" s="40">
        <f>IF(A317="","",IFERROR(INDEX(Applications!$B$2:$B$101,MATCH(A317,Applications!$A$2:$A$101,0))&amp;"",""))</f>
        <v/>
      </c>
      <c r="N317" s="41">
        <f>IF(A317="","",SUMPRODUCT(ISNUMBER(D317:K317)*($D$2:$K$2&gt;0)))</f>
        <v/>
      </c>
      <c r="O317" s="40">
        <f>IF(A317="","",IF(ISNA(MATCH(A317,Applications!$A$2:$A$101,0)),"Check ID",IF(ISNA(MATCH(B317,Settings!$C$13:$C$18,0)),"Check reviewer",IF(LEFT(C317,3)="Yes","Conflict, not counted",IF(COUNTIFS($A$3:A317,A317,$B$3:B317,B317)&gt;1,"Duplicate, not counted",IF(SUM($D$2:$K$2)=0,"Add weights on Rubric",IF(SUMPRODUCT(ISNUMBER(D317:K317)*((D317:K317&gt;4)+(D317:K317&lt;0)))&gt;0,"Check scores",IF(N317&lt;COUNTIF($D$2:$K$2,"&gt;0"),"Incomplete","Counted"))))))))</f>
        <v/>
      </c>
      <c r="P317" s="42">
        <f>IF(O317="Counted",ROUND(SUMPRODUCT(D317:K317,$D$2:$K$2)*100/(4*SUM($D$2:$K$2)),1),"")</f>
        <v/>
      </c>
      <c r="Q317" s="27">
        <f>IF(O317="Counted",1,0)</f>
        <v/>
      </c>
      <c r="R317" s="43">
        <f>IF(ISNUMBER(D317),D317,0)</f>
        <v/>
      </c>
      <c r="S317" s="43">
        <f>IF(ISNUMBER(E317),E317,0)</f>
        <v/>
      </c>
      <c r="T317" s="43">
        <f>IF(ISNUMBER(F317),F317,0)</f>
        <v/>
      </c>
      <c r="U317" s="43">
        <f>IF(ISNUMBER(G317),G317,0)</f>
        <v/>
      </c>
      <c r="V317" s="43">
        <f>IF(ISNUMBER(H317),H317,0)</f>
        <v/>
      </c>
      <c r="W317" s="43">
        <f>IF(ISNUMBER(I317),I317,0)</f>
        <v/>
      </c>
      <c r="X317" s="43">
        <f>IF(ISNUMBER(J317),J317,0)</f>
        <v/>
      </c>
      <c r="Y317" s="43">
        <f>IF(ISNUMBER(K317),K317,0)</f>
        <v/>
      </c>
    </row>
    <row r="318">
      <c r="A318" s="35" t="n"/>
      <c r="B318" s="35" t="n"/>
      <c r="C318" s="35" t="n"/>
      <c r="D318" s="25" t="n"/>
      <c r="E318" s="25" t="n"/>
      <c r="F318" s="25" t="n"/>
      <c r="G318" s="25" t="n"/>
      <c r="H318" s="25" t="n"/>
      <c r="I318" s="25" t="n"/>
      <c r="J318" s="25" t="n"/>
      <c r="K318" s="25" t="n"/>
      <c r="L318" s="35" t="n"/>
      <c r="M318" s="40">
        <f>IF(A318="","",IFERROR(INDEX(Applications!$B$2:$B$101,MATCH(A318,Applications!$A$2:$A$101,0))&amp;"",""))</f>
        <v/>
      </c>
      <c r="N318" s="41">
        <f>IF(A318="","",SUMPRODUCT(ISNUMBER(D318:K318)*($D$2:$K$2&gt;0)))</f>
        <v/>
      </c>
      <c r="O318" s="40">
        <f>IF(A318="","",IF(ISNA(MATCH(A318,Applications!$A$2:$A$101,0)),"Check ID",IF(ISNA(MATCH(B318,Settings!$C$13:$C$18,0)),"Check reviewer",IF(LEFT(C318,3)="Yes","Conflict, not counted",IF(COUNTIFS($A$3:A318,A318,$B$3:B318,B318)&gt;1,"Duplicate, not counted",IF(SUM($D$2:$K$2)=0,"Add weights on Rubric",IF(SUMPRODUCT(ISNUMBER(D318:K318)*((D318:K318&gt;4)+(D318:K318&lt;0)))&gt;0,"Check scores",IF(N318&lt;COUNTIF($D$2:$K$2,"&gt;0"),"Incomplete","Counted"))))))))</f>
        <v/>
      </c>
      <c r="P318" s="42">
        <f>IF(O318="Counted",ROUND(SUMPRODUCT(D318:K318,$D$2:$K$2)*100/(4*SUM($D$2:$K$2)),1),"")</f>
        <v/>
      </c>
      <c r="Q318" s="27">
        <f>IF(O318="Counted",1,0)</f>
        <v/>
      </c>
      <c r="R318" s="43">
        <f>IF(ISNUMBER(D318),D318,0)</f>
        <v/>
      </c>
      <c r="S318" s="43">
        <f>IF(ISNUMBER(E318),E318,0)</f>
        <v/>
      </c>
      <c r="T318" s="43">
        <f>IF(ISNUMBER(F318),F318,0)</f>
        <v/>
      </c>
      <c r="U318" s="43">
        <f>IF(ISNUMBER(G318),G318,0)</f>
        <v/>
      </c>
      <c r="V318" s="43">
        <f>IF(ISNUMBER(H318),H318,0)</f>
        <v/>
      </c>
      <c r="W318" s="43">
        <f>IF(ISNUMBER(I318),I318,0)</f>
        <v/>
      </c>
      <c r="X318" s="43">
        <f>IF(ISNUMBER(J318),J318,0)</f>
        <v/>
      </c>
      <c r="Y318" s="43">
        <f>IF(ISNUMBER(K318),K318,0)</f>
        <v/>
      </c>
    </row>
    <row r="319">
      <c r="A319" s="35" t="n"/>
      <c r="B319" s="35" t="n"/>
      <c r="C319" s="35" t="n"/>
      <c r="D319" s="25" t="n"/>
      <c r="E319" s="25" t="n"/>
      <c r="F319" s="25" t="n"/>
      <c r="G319" s="25" t="n"/>
      <c r="H319" s="25" t="n"/>
      <c r="I319" s="25" t="n"/>
      <c r="J319" s="25" t="n"/>
      <c r="K319" s="25" t="n"/>
      <c r="L319" s="35" t="n"/>
      <c r="M319" s="40">
        <f>IF(A319="","",IFERROR(INDEX(Applications!$B$2:$B$101,MATCH(A319,Applications!$A$2:$A$101,0))&amp;"",""))</f>
        <v/>
      </c>
      <c r="N319" s="41">
        <f>IF(A319="","",SUMPRODUCT(ISNUMBER(D319:K319)*($D$2:$K$2&gt;0)))</f>
        <v/>
      </c>
      <c r="O319" s="40">
        <f>IF(A319="","",IF(ISNA(MATCH(A319,Applications!$A$2:$A$101,0)),"Check ID",IF(ISNA(MATCH(B319,Settings!$C$13:$C$18,0)),"Check reviewer",IF(LEFT(C319,3)="Yes","Conflict, not counted",IF(COUNTIFS($A$3:A319,A319,$B$3:B319,B319)&gt;1,"Duplicate, not counted",IF(SUM($D$2:$K$2)=0,"Add weights on Rubric",IF(SUMPRODUCT(ISNUMBER(D319:K319)*((D319:K319&gt;4)+(D319:K319&lt;0)))&gt;0,"Check scores",IF(N319&lt;COUNTIF($D$2:$K$2,"&gt;0"),"Incomplete","Counted"))))))))</f>
        <v/>
      </c>
      <c r="P319" s="42">
        <f>IF(O319="Counted",ROUND(SUMPRODUCT(D319:K319,$D$2:$K$2)*100/(4*SUM($D$2:$K$2)),1),"")</f>
        <v/>
      </c>
      <c r="Q319" s="27">
        <f>IF(O319="Counted",1,0)</f>
        <v/>
      </c>
      <c r="R319" s="43">
        <f>IF(ISNUMBER(D319),D319,0)</f>
        <v/>
      </c>
      <c r="S319" s="43">
        <f>IF(ISNUMBER(E319),E319,0)</f>
        <v/>
      </c>
      <c r="T319" s="43">
        <f>IF(ISNUMBER(F319),F319,0)</f>
        <v/>
      </c>
      <c r="U319" s="43">
        <f>IF(ISNUMBER(G319),G319,0)</f>
        <v/>
      </c>
      <c r="V319" s="43">
        <f>IF(ISNUMBER(H319),H319,0)</f>
        <v/>
      </c>
      <c r="W319" s="43">
        <f>IF(ISNUMBER(I319),I319,0)</f>
        <v/>
      </c>
      <c r="X319" s="43">
        <f>IF(ISNUMBER(J319),J319,0)</f>
        <v/>
      </c>
      <c r="Y319" s="43">
        <f>IF(ISNUMBER(K319),K319,0)</f>
        <v/>
      </c>
    </row>
    <row r="320">
      <c r="A320" s="35" t="n"/>
      <c r="B320" s="35" t="n"/>
      <c r="C320" s="35" t="n"/>
      <c r="D320" s="25" t="n"/>
      <c r="E320" s="25" t="n"/>
      <c r="F320" s="25" t="n"/>
      <c r="G320" s="25" t="n"/>
      <c r="H320" s="25" t="n"/>
      <c r="I320" s="25" t="n"/>
      <c r="J320" s="25" t="n"/>
      <c r="K320" s="25" t="n"/>
      <c r="L320" s="35" t="n"/>
      <c r="M320" s="40">
        <f>IF(A320="","",IFERROR(INDEX(Applications!$B$2:$B$101,MATCH(A320,Applications!$A$2:$A$101,0))&amp;"",""))</f>
        <v/>
      </c>
      <c r="N320" s="41">
        <f>IF(A320="","",SUMPRODUCT(ISNUMBER(D320:K320)*($D$2:$K$2&gt;0)))</f>
        <v/>
      </c>
      <c r="O320" s="40">
        <f>IF(A320="","",IF(ISNA(MATCH(A320,Applications!$A$2:$A$101,0)),"Check ID",IF(ISNA(MATCH(B320,Settings!$C$13:$C$18,0)),"Check reviewer",IF(LEFT(C320,3)="Yes","Conflict, not counted",IF(COUNTIFS($A$3:A320,A320,$B$3:B320,B320)&gt;1,"Duplicate, not counted",IF(SUM($D$2:$K$2)=0,"Add weights on Rubric",IF(SUMPRODUCT(ISNUMBER(D320:K320)*((D320:K320&gt;4)+(D320:K320&lt;0)))&gt;0,"Check scores",IF(N320&lt;COUNTIF($D$2:$K$2,"&gt;0"),"Incomplete","Counted"))))))))</f>
        <v/>
      </c>
      <c r="P320" s="42">
        <f>IF(O320="Counted",ROUND(SUMPRODUCT(D320:K320,$D$2:$K$2)*100/(4*SUM($D$2:$K$2)),1),"")</f>
        <v/>
      </c>
      <c r="Q320" s="27">
        <f>IF(O320="Counted",1,0)</f>
        <v/>
      </c>
      <c r="R320" s="43">
        <f>IF(ISNUMBER(D320),D320,0)</f>
        <v/>
      </c>
      <c r="S320" s="43">
        <f>IF(ISNUMBER(E320),E320,0)</f>
        <v/>
      </c>
      <c r="T320" s="43">
        <f>IF(ISNUMBER(F320),F320,0)</f>
        <v/>
      </c>
      <c r="U320" s="43">
        <f>IF(ISNUMBER(G320),G320,0)</f>
        <v/>
      </c>
      <c r="V320" s="43">
        <f>IF(ISNUMBER(H320),H320,0)</f>
        <v/>
      </c>
      <c r="W320" s="43">
        <f>IF(ISNUMBER(I320),I320,0)</f>
        <v/>
      </c>
      <c r="X320" s="43">
        <f>IF(ISNUMBER(J320),J320,0)</f>
        <v/>
      </c>
      <c r="Y320" s="43">
        <f>IF(ISNUMBER(K320),K320,0)</f>
        <v/>
      </c>
    </row>
    <row r="321">
      <c r="A321" s="35" t="n"/>
      <c r="B321" s="35" t="n"/>
      <c r="C321" s="35" t="n"/>
      <c r="D321" s="25" t="n"/>
      <c r="E321" s="25" t="n"/>
      <c r="F321" s="25" t="n"/>
      <c r="G321" s="25" t="n"/>
      <c r="H321" s="25" t="n"/>
      <c r="I321" s="25" t="n"/>
      <c r="J321" s="25" t="n"/>
      <c r="K321" s="25" t="n"/>
      <c r="L321" s="35" t="n"/>
      <c r="M321" s="40">
        <f>IF(A321="","",IFERROR(INDEX(Applications!$B$2:$B$101,MATCH(A321,Applications!$A$2:$A$101,0))&amp;"",""))</f>
        <v/>
      </c>
      <c r="N321" s="41">
        <f>IF(A321="","",SUMPRODUCT(ISNUMBER(D321:K321)*($D$2:$K$2&gt;0)))</f>
        <v/>
      </c>
      <c r="O321" s="40">
        <f>IF(A321="","",IF(ISNA(MATCH(A321,Applications!$A$2:$A$101,0)),"Check ID",IF(ISNA(MATCH(B321,Settings!$C$13:$C$18,0)),"Check reviewer",IF(LEFT(C321,3)="Yes","Conflict, not counted",IF(COUNTIFS($A$3:A321,A321,$B$3:B321,B321)&gt;1,"Duplicate, not counted",IF(SUM($D$2:$K$2)=0,"Add weights on Rubric",IF(SUMPRODUCT(ISNUMBER(D321:K321)*((D321:K321&gt;4)+(D321:K321&lt;0)))&gt;0,"Check scores",IF(N321&lt;COUNTIF($D$2:$K$2,"&gt;0"),"Incomplete","Counted"))))))))</f>
        <v/>
      </c>
      <c r="P321" s="42">
        <f>IF(O321="Counted",ROUND(SUMPRODUCT(D321:K321,$D$2:$K$2)*100/(4*SUM($D$2:$K$2)),1),"")</f>
        <v/>
      </c>
      <c r="Q321" s="27">
        <f>IF(O321="Counted",1,0)</f>
        <v/>
      </c>
      <c r="R321" s="43">
        <f>IF(ISNUMBER(D321),D321,0)</f>
        <v/>
      </c>
      <c r="S321" s="43">
        <f>IF(ISNUMBER(E321),E321,0)</f>
        <v/>
      </c>
      <c r="T321" s="43">
        <f>IF(ISNUMBER(F321),F321,0)</f>
        <v/>
      </c>
      <c r="U321" s="43">
        <f>IF(ISNUMBER(G321),G321,0)</f>
        <v/>
      </c>
      <c r="V321" s="43">
        <f>IF(ISNUMBER(H321),H321,0)</f>
        <v/>
      </c>
      <c r="W321" s="43">
        <f>IF(ISNUMBER(I321),I321,0)</f>
        <v/>
      </c>
      <c r="X321" s="43">
        <f>IF(ISNUMBER(J321),J321,0)</f>
        <v/>
      </c>
      <c r="Y321" s="43">
        <f>IF(ISNUMBER(K321),K321,0)</f>
        <v/>
      </c>
    </row>
    <row r="322">
      <c r="A322" s="35" t="n"/>
      <c r="B322" s="35" t="n"/>
      <c r="C322" s="35" t="n"/>
      <c r="D322" s="25" t="n"/>
      <c r="E322" s="25" t="n"/>
      <c r="F322" s="25" t="n"/>
      <c r="G322" s="25" t="n"/>
      <c r="H322" s="25" t="n"/>
      <c r="I322" s="25" t="n"/>
      <c r="J322" s="25" t="n"/>
      <c r="K322" s="25" t="n"/>
      <c r="L322" s="35" t="n"/>
      <c r="M322" s="40">
        <f>IF(A322="","",IFERROR(INDEX(Applications!$B$2:$B$101,MATCH(A322,Applications!$A$2:$A$101,0))&amp;"",""))</f>
        <v/>
      </c>
      <c r="N322" s="41">
        <f>IF(A322="","",SUMPRODUCT(ISNUMBER(D322:K322)*($D$2:$K$2&gt;0)))</f>
        <v/>
      </c>
      <c r="O322" s="40">
        <f>IF(A322="","",IF(ISNA(MATCH(A322,Applications!$A$2:$A$101,0)),"Check ID",IF(ISNA(MATCH(B322,Settings!$C$13:$C$18,0)),"Check reviewer",IF(LEFT(C322,3)="Yes","Conflict, not counted",IF(COUNTIFS($A$3:A322,A322,$B$3:B322,B322)&gt;1,"Duplicate, not counted",IF(SUM($D$2:$K$2)=0,"Add weights on Rubric",IF(SUMPRODUCT(ISNUMBER(D322:K322)*((D322:K322&gt;4)+(D322:K322&lt;0)))&gt;0,"Check scores",IF(N322&lt;COUNTIF($D$2:$K$2,"&gt;0"),"Incomplete","Counted"))))))))</f>
        <v/>
      </c>
      <c r="P322" s="42">
        <f>IF(O322="Counted",ROUND(SUMPRODUCT(D322:K322,$D$2:$K$2)*100/(4*SUM($D$2:$K$2)),1),"")</f>
        <v/>
      </c>
      <c r="Q322" s="27">
        <f>IF(O322="Counted",1,0)</f>
        <v/>
      </c>
      <c r="R322" s="43">
        <f>IF(ISNUMBER(D322),D322,0)</f>
        <v/>
      </c>
      <c r="S322" s="43">
        <f>IF(ISNUMBER(E322),E322,0)</f>
        <v/>
      </c>
      <c r="T322" s="43">
        <f>IF(ISNUMBER(F322),F322,0)</f>
        <v/>
      </c>
      <c r="U322" s="43">
        <f>IF(ISNUMBER(G322),G322,0)</f>
        <v/>
      </c>
      <c r="V322" s="43">
        <f>IF(ISNUMBER(H322),H322,0)</f>
        <v/>
      </c>
      <c r="W322" s="43">
        <f>IF(ISNUMBER(I322),I322,0)</f>
        <v/>
      </c>
      <c r="X322" s="43">
        <f>IF(ISNUMBER(J322),J322,0)</f>
        <v/>
      </c>
      <c r="Y322" s="43">
        <f>IF(ISNUMBER(K322),K322,0)</f>
        <v/>
      </c>
    </row>
    <row r="323">
      <c r="A323" s="35" t="n"/>
      <c r="B323" s="35" t="n"/>
      <c r="C323" s="35" t="n"/>
      <c r="D323" s="25" t="n"/>
      <c r="E323" s="25" t="n"/>
      <c r="F323" s="25" t="n"/>
      <c r="G323" s="25" t="n"/>
      <c r="H323" s="25" t="n"/>
      <c r="I323" s="25" t="n"/>
      <c r="J323" s="25" t="n"/>
      <c r="K323" s="25" t="n"/>
      <c r="L323" s="35" t="n"/>
      <c r="M323" s="40">
        <f>IF(A323="","",IFERROR(INDEX(Applications!$B$2:$B$101,MATCH(A323,Applications!$A$2:$A$101,0))&amp;"",""))</f>
        <v/>
      </c>
      <c r="N323" s="41">
        <f>IF(A323="","",SUMPRODUCT(ISNUMBER(D323:K323)*($D$2:$K$2&gt;0)))</f>
        <v/>
      </c>
      <c r="O323" s="40">
        <f>IF(A323="","",IF(ISNA(MATCH(A323,Applications!$A$2:$A$101,0)),"Check ID",IF(ISNA(MATCH(B323,Settings!$C$13:$C$18,0)),"Check reviewer",IF(LEFT(C323,3)="Yes","Conflict, not counted",IF(COUNTIFS($A$3:A323,A323,$B$3:B323,B323)&gt;1,"Duplicate, not counted",IF(SUM($D$2:$K$2)=0,"Add weights on Rubric",IF(SUMPRODUCT(ISNUMBER(D323:K323)*((D323:K323&gt;4)+(D323:K323&lt;0)))&gt;0,"Check scores",IF(N323&lt;COUNTIF($D$2:$K$2,"&gt;0"),"Incomplete","Counted"))))))))</f>
        <v/>
      </c>
      <c r="P323" s="42">
        <f>IF(O323="Counted",ROUND(SUMPRODUCT(D323:K323,$D$2:$K$2)*100/(4*SUM($D$2:$K$2)),1),"")</f>
        <v/>
      </c>
      <c r="Q323" s="27">
        <f>IF(O323="Counted",1,0)</f>
        <v/>
      </c>
      <c r="R323" s="43">
        <f>IF(ISNUMBER(D323),D323,0)</f>
        <v/>
      </c>
      <c r="S323" s="43">
        <f>IF(ISNUMBER(E323),E323,0)</f>
        <v/>
      </c>
      <c r="T323" s="43">
        <f>IF(ISNUMBER(F323),F323,0)</f>
        <v/>
      </c>
      <c r="U323" s="43">
        <f>IF(ISNUMBER(G323),G323,0)</f>
        <v/>
      </c>
      <c r="V323" s="43">
        <f>IF(ISNUMBER(H323),H323,0)</f>
        <v/>
      </c>
      <c r="W323" s="43">
        <f>IF(ISNUMBER(I323),I323,0)</f>
        <v/>
      </c>
      <c r="X323" s="43">
        <f>IF(ISNUMBER(J323),J323,0)</f>
        <v/>
      </c>
      <c r="Y323" s="43">
        <f>IF(ISNUMBER(K323),K323,0)</f>
        <v/>
      </c>
    </row>
    <row r="324">
      <c r="A324" s="35" t="n"/>
      <c r="B324" s="35" t="n"/>
      <c r="C324" s="35" t="n"/>
      <c r="D324" s="25" t="n"/>
      <c r="E324" s="25" t="n"/>
      <c r="F324" s="25" t="n"/>
      <c r="G324" s="25" t="n"/>
      <c r="H324" s="25" t="n"/>
      <c r="I324" s="25" t="n"/>
      <c r="J324" s="25" t="n"/>
      <c r="K324" s="25" t="n"/>
      <c r="L324" s="35" t="n"/>
      <c r="M324" s="40">
        <f>IF(A324="","",IFERROR(INDEX(Applications!$B$2:$B$101,MATCH(A324,Applications!$A$2:$A$101,0))&amp;"",""))</f>
        <v/>
      </c>
      <c r="N324" s="41">
        <f>IF(A324="","",SUMPRODUCT(ISNUMBER(D324:K324)*($D$2:$K$2&gt;0)))</f>
        <v/>
      </c>
      <c r="O324" s="40">
        <f>IF(A324="","",IF(ISNA(MATCH(A324,Applications!$A$2:$A$101,0)),"Check ID",IF(ISNA(MATCH(B324,Settings!$C$13:$C$18,0)),"Check reviewer",IF(LEFT(C324,3)="Yes","Conflict, not counted",IF(COUNTIFS($A$3:A324,A324,$B$3:B324,B324)&gt;1,"Duplicate, not counted",IF(SUM($D$2:$K$2)=0,"Add weights on Rubric",IF(SUMPRODUCT(ISNUMBER(D324:K324)*((D324:K324&gt;4)+(D324:K324&lt;0)))&gt;0,"Check scores",IF(N324&lt;COUNTIF($D$2:$K$2,"&gt;0"),"Incomplete","Counted"))))))))</f>
        <v/>
      </c>
      <c r="P324" s="42">
        <f>IF(O324="Counted",ROUND(SUMPRODUCT(D324:K324,$D$2:$K$2)*100/(4*SUM($D$2:$K$2)),1),"")</f>
        <v/>
      </c>
      <c r="Q324" s="27">
        <f>IF(O324="Counted",1,0)</f>
        <v/>
      </c>
      <c r="R324" s="43">
        <f>IF(ISNUMBER(D324),D324,0)</f>
        <v/>
      </c>
      <c r="S324" s="43">
        <f>IF(ISNUMBER(E324),E324,0)</f>
        <v/>
      </c>
      <c r="T324" s="43">
        <f>IF(ISNUMBER(F324),F324,0)</f>
        <v/>
      </c>
      <c r="U324" s="43">
        <f>IF(ISNUMBER(G324),G324,0)</f>
        <v/>
      </c>
      <c r="V324" s="43">
        <f>IF(ISNUMBER(H324),H324,0)</f>
        <v/>
      </c>
      <c r="W324" s="43">
        <f>IF(ISNUMBER(I324),I324,0)</f>
        <v/>
      </c>
      <c r="X324" s="43">
        <f>IF(ISNUMBER(J324),J324,0)</f>
        <v/>
      </c>
      <c r="Y324" s="43">
        <f>IF(ISNUMBER(K324),K324,0)</f>
        <v/>
      </c>
    </row>
    <row r="325">
      <c r="A325" s="35" t="n"/>
      <c r="B325" s="35" t="n"/>
      <c r="C325" s="35" t="n"/>
      <c r="D325" s="25" t="n"/>
      <c r="E325" s="25" t="n"/>
      <c r="F325" s="25" t="n"/>
      <c r="G325" s="25" t="n"/>
      <c r="H325" s="25" t="n"/>
      <c r="I325" s="25" t="n"/>
      <c r="J325" s="25" t="n"/>
      <c r="K325" s="25" t="n"/>
      <c r="L325" s="35" t="n"/>
      <c r="M325" s="40">
        <f>IF(A325="","",IFERROR(INDEX(Applications!$B$2:$B$101,MATCH(A325,Applications!$A$2:$A$101,0))&amp;"",""))</f>
        <v/>
      </c>
      <c r="N325" s="41">
        <f>IF(A325="","",SUMPRODUCT(ISNUMBER(D325:K325)*($D$2:$K$2&gt;0)))</f>
        <v/>
      </c>
      <c r="O325" s="40">
        <f>IF(A325="","",IF(ISNA(MATCH(A325,Applications!$A$2:$A$101,0)),"Check ID",IF(ISNA(MATCH(B325,Settings!$C$13:$C$18,0)),"Check reviewer",IF(LEFT(C325,3)="Yes","Conflict, not counted",IF(COUNTIFS($A$3:A325,A325,$B$3:B325,B325)&gt;1,"Duplicate, not counted",IF(SUM($D$2:$K$2)=0,"Add weights on Rubric",IF(SUMPRODUCT(ISNUMBER(D325:K325)*((D325:K325&gt;4)+(D325:K325&lt;0)))&gt;0,"Check scores",IF(N325&lt;COUNTIF($D$2:$K$2,"&gt;0"),"Incomplete","Counted"))))))))</f>
        <v/>
      </c>
      <c r="P325" s="42">
        <f>IF(O325="Counted",ROUND(SUMPRODUCT(D325:K325,$D$2:$K$2)*100/(4*SUM($D$2:$K$2)),1),"")</f>
        <v/>
      </c>
      <c r="Q325" s="27">
        <f>IF(O325="Counted",1,0)</f>
        <v/>
      </c>
      <c r="R325" s="43">
        <f>IF(ISNUMBER(D325),D325,0)</f>
        <v/>
      </c>
      <c r="S325" s="43">
        <f>IF(ISNUMBER(E325),E325,0)</f>
        <v/>
      </c>
      <c r="T325" s="43">
        <f>IF(ISNUMBER(F325),F325,0)</f>
        <v/>
      </c>
      <c r="U325" s="43">
        <f>IF(ISNUMBER(G325),G325,0)</f>
        <v/>
      </c>
      <c r="V325" s="43">
        <f>IF(ISNUMBER(H325),H325,0)</f>
        <v/>
      </c>
      <c r="W325" s="43">
        <f>IF(ISNUMBER(I325),I325,0)</f>
        <v/>
      </c>
      <c r="X325" s="43">
        <f>IF(ISNUMBER(J325),J325,0)</f>
        <v/>
      </c>
      <c r="Y325" s="43">
        <f>IF(ISNUMBER(K325),K325,0)</f>
        <v/>
      </c>
    </row>
    <row r="326">
      <c r="A326" s="35" t="n"/>
      <c r="B326" s="35" t="n"/>
      <c r="C326" s="35" t="n"/>
      <c r="D326" s="25" t="n"/>
      <c r="E326" s="25" t="n"/>
      <c r="F326" s="25" t="n"/>
      <c r="G326" s="25" t="n"/>
      <c r="H326" s="25" t="n"/>
      <c r="I326" s="25" t="n"/>
      <c r="J326" s="25" t="n"/>
      <c r="K326" s="25" t="n"/>
      <c r="L326" s="35" t="n"/>
      <c r="M326" s="40">
        <f>IF(A326="","",IFERROR(INDEX(Applications!$B$2:$B$101,MATCH(A326,Applications!$A$2:$A$101,0))&amp;"",""))</f>
        <v/>
      </c>
      <c r="N326" s="41">
        <f>IF(A326="","",SUMPRODUCT(ISNUMBER(D326:K326)*($D$2:$K$2&gt;0)))</f>
        <v/>
      </c>
      <c r="O326" s="40">
        <f>IF(A326="","",IF(ISNA(MATCH(A326,Applications!$A$2:$A$101,0)),"Check ID",IF(ISNA(MATCH(B326,Settings!$C$13:$C$18,0)),"Check reviewer",IF(LEFT(C326,3)="Yes","Conflict, not counted",IF(COUNTIFS($A$3:A326,A326,$B$3:B326,B326)&gt;1,"Duplicate, not counted",IF(SUM($D$2:$K$2)=0,"Add weights on Rubric",IF(SUMPRODUCT(ISNUMBER(D326:K326)*((D326:K326&gt;4)+(D326:K326&lt;0)))&gt;0,"Check scores",IF(N326&lt;COUNTIF($D$2:$K$2,"&gt;0"),"Incomplete","Counted"))))))))</f>
        <v/>
      </c>
      <c r="P326" s="42">
        <f>IF(O326="Counted",ROUND(SUMPRODUCT(D326:K326,$D$2:$K$2)*100/(4*SUM($D$2:$K$2)),1),"")</f>
        <v/>
      </c>
      <c r="Q326" s="27">
        <f>IF(O326="Counted",1,0)</f>
        <v/>
      </c>
      <c r="R326" s="43">
        <f>IF(ISNUMBER(D326),D326,0)</f>
        <v/>
      </c>
      <c r="S326" s="43">
        <f>IF(ISNUMBER(E326),E326,0)</f>
        <v/>
      </c>
      <c r="T326" s="43">
        <f>IF(ISNUMBER(F326),F326,0)</f>
        <v/>
      </c>
      <c r="U326" s="43">
        <f>IF(ISNUMBER(G326),G326,0)</f>
        <v/>
      </c>
      <c r="V326" s="43">
        <f>IF(ISNUMBER(H326),H326,0)</f>
        <v/>
      </c>
      <c r="W326" s="43">
        <f>IF(ISNUMBER(I326),I326,0)</f>
        <v/>
      </c>
      <c r="X326" s="43">
        <f>IF(ISNUMBER(J326),J326,0)</f>
        <v/>
      </c>
      <c r="Y326" s="43">
        <f>IF(ISNUMBER(K326),K326,0)</f>
        <v/>
      </c>
    </row>
    <row r="327">
      <c r="A327" s="35" t="n"/>
      <c r="B327" s="35" t="n"/>
      <c r="C327" s="35" t="n"/>
      <c r="D327" s="25" t="n"/>
      <c r="E327" s="25" t="n"/>
      <c r="F327" s="25" t="n"/>
      <c r="G327" s="25" t="n"/>
      <c r="H327" s="25" t="n"/>
      <c r="I327" s="25" t="n"/>
      <c r="J327" s="25" t="n"/>
      <c r="K327" s="25" t="n"/>
      <c r="L327" s="35" t="n"/>
      <c r="M327" s="40">
        <f>IF(A327="","",IFERROR(INDEX(Applications!$B$2:$B$101,MATCH(A327,Applications!$A$2:$A$101,0))&amp;"",""))</f>
        <v/>
      </c>
      <c r="N327" s="41">
        <f>IF(A327="","",SUMPRODUCT(ISNUMBER(D327:K327)*($D$2:$K$2&gt;0)))</f>
        <v/>
      </c>
      <c r="O327" s="40">
        <f>IF(A327="","",IF(ISNA(MATCH(A327,Applications!$A$2:$A$101,0)),"Check ID",IF(ISNA(MATCH(B327,Settings!$C$13:$C$18,0)),"Check reviewer",IF(LEFT(C327,3)="Yes","Conflict, not counted",IF(COUNTIFS($A$3:A327,A327,$B$3:B327,B327)&gt;1,"Duplicate, not counted",IF(SUM($D$2:$K$2)=0,"Add weights on Rubric",IF(SUMPRODUCT(ISNUMBER(D327:K327)*((D327:K327&gt;4)+(D327:K327&lt;0)))&gt;0,"Check scores",IF(N327&lt;COUNTIF($D$2:$K$2,"&gt;0"),"Incomplete","Counted"))))))))</f>
        <v/>
      </c>
      <c r="P327" s="42">
        <f>IF(O327="Counted",ROUND(SUMPRODUCT(D327:K327,$D$2:$K$2)*100/(4*SUM($D$2:$K$2)),1),"")</f>
        <v/>
      </c>
      <c r="Q327" s="27">
        <f>IF(O327="Counted",1,0)</f>
        <v/>
      </c>
      <c r="R327" s="43">
        <f>IF(ISNUMBER(D327),D327,0)</f>
        <v/>
      </c>
      <c r="S327" s="43">
        <f>IF(ISNUMBER(E327),E327,0)</f>
        <v/>
      </c>
      <c r="T327" s="43">
        <f>IF(ISNUMBER(F327),F327,0)</f>
        <v/>
      </c>
      <c r="U327" s="43">
        <f>IF(ISNUMBER(G327),G327,0)</f>
        <v/>
      </c>
      <c r="V327" s="43">
        <f>IF(ISNUMBER(H327),H327,0)</f>
        <v/>
      </c>
      <c r="W327" s="43">
        <f>IF(ISNUMBER(I327),I327,0)</f>
        <v/>
      </c>
      <c r="X327" s="43">
        <f>IF(ISNUMBER(J327),J327,0)</f>
        <v/>
      </c>
      <c r="Y327" s="43">
        <f>IF(ISNUMBER(K327),K327,0)</f>
        <v/>
      </c>
    </row>
    <row r="328">
      <c r="A328" s="35" t="n"/>
      <c r="B328" s="35" t="n"/>
      <c r="C328" s="35" t="n"/>
      <c r="D328" s="25" t="n"/>
      <c r="E328" s="25" t="n"/>
      <c r="F328" s="25" t="n"/>
      <c r="G328" s="25" t="n"/>
      <c r="H328" s="25" t="n"/>
      <c r="I328" s="25" t="n"/>
      <c r="J328" s="25" t="n"/>
      <c r="K328" s="25" t="n"/>
      <c r="L328" s="35" t="n"/>
      <c r="M328" s="40">
        <f>IF(A328="","",IFERROR(INDEX(Applications!$B$2:$B$101,MATCH(A328,Applications!$A$2:$A$101,0))&amp;"",""))</f>
        <v/>
      </c>
      <c r="N328" s="41">
        <f>IF(A328="","",SUMPRODUCT(ISNUMBER(D328:K328)*($D$2:$K$2&gt;0)))</f>
        <v/>
      </c>
      <c r="O328" s="40">
        <f>IF(A328="","",IF(ISNA(MATCH(A328,Applications!$A$2:$A$101,0)),"Check ID",IF(ISNA(MATCH(B328,Settings!$C$13:$C$18,0)),"Check reviewer",IF(LEFT(C328,3)="Yes","Conflict, not counted",IF(COUNTIFS($A$3:A328,A328,$B$3:B328,B328)&gt;1,"Duplicate, not counted",IF(SUM($D$2:$K$2)=0,"Add weights on Rubric",IF(SUMPRODUCT(ISNUMBER(D328:K328)*((D328:K328&gt;4)+(D328:K328&lt;0)))&gt;0,"Check scores",IF(N328&lt;COUNTIF($D$2:$K$2,"&gt;0"),"Incomplete","Counted"))))))))</f>
        <v/>
      </c>
      <c r="P328" s="42">
        <f>IF(O328="Counted",ROUND(SUMPRODUCT(D328:K328,$D$2:$K$2)*100/(4*SUM($D$2:$K$2)),1),"")</f>
        <v/>
      </c>
      <c r="Q328" s="27">
        <f>IF(O328="Counted",1,0)</f>
        <v/>
      </c>
      <c r="R328" s="43">
        <f>IF(ISNUMBER(D328),D328,0)</f>
        <v/>
      </c>
      <c r="S328" s="43">
        <f>IF(ISNUMBER(E328),E328,0)</f>
        <v/>
      </c>
      <c r="T328" s="43">
        <f>IF(ISNUMBER(F328),F328,0)</f>
        <v/>
      </c>
      <c r="U328" s="43">
        <f>IF(ISNUMBER(G328),G328,0)</f>
        <v/>
      </c>
      <c r="V328" s="43">
        <f>IF(ISNUMBER(H328),H328,0)</f>
        <v/>
      </c>
      <c r="W328" s="43">
        <f>IF(ISNUMBER(I328),I328,0)</f>
        <v/>
      </c>
      <c r="X328" s="43">
        <f>IF(ISNUMBER(J328),J328,0)</f>
        <v/>
      </c>
      <c r="Y328" s="43">
        <f>IF(ISNUMBER(K328),K328,0)</f>
        <v/>
      </c>
    </row>
    <row r="329">
      <c r="A329" s="35" t="n"/>
      <c r="B329" s="35" t="n"/>
      <c r="C329" s="35" t="n"/>
      <c r="D329" s="25" t="n"/>
      <c r="E329" s="25" t="n"/>
      <c r="F329" s="25" t="n"/>
      <c r="G329" s="25" t="n"/>
      <c r="H329" s="25" t="n"/>
      <c r="I329" s="25" t="n"/>
      <c r="J329" s="25" t="n"/>
      <c r="K329" s="25" t="n"/>
      <c r="L329" s="35" t="n"/>
      <c r="M329" s="40">
        <f>IF(A329="","",IFERROR(INDEX(Applications!$B$2:$B$101,MATCH(A329,Applications!$A$2:$A$101,0))&amp;"",""))</f>
        <v/>
      </c>
      <c r="N329" s="41">
        <f>IF(A329="","",SUMPRODUCT(ISNUMBER(D329:K329)*($D$2:$K$2&gt;0)))</f>
        <v/>
      </c>
      <c r="O329" s="40">
        <f>IF(A329="","",IF(ISNA(MATCH(A329,Applications!$A$2:$A$101,0)),"Check ID",IF(ISNA(MATCH(B329,Settings!$C$13:$C$18,0)),"Check reviewer",IF(LEFT(C329,3)="Yes","Conflict, not counted",IF(COUNTIFS($A$3:A329,A329,$B$3:B329,B329)&gt;1,"Duplicate, not counted",IF(SUM($D$2:$K$2)=0,"Add weights on Rubric",IF(SUMPRODUCT(ISNUMBER(D329:K329)*((D329:K329&gt;4)+(D329:K329&lt;0)))&gt;0,"Check scores",IF(N329&lt;COUNTIF($D$2:$K$2,"&gt;0"),"Incomplete","Counted"))))))))</f>
        <v/>
      </c>
      <c r="P329" s="42">
        <f>IF(O329="Counted",ROUND(SUMPRODUCT(D329:K329,$D$2:$K$2)*100/(4*SUM($D$2:$K$2)),1),"")</f>
        <v/>
      </c>
      <c r="Q329" s="27">
        <f>IF(O329="Counted",1,0)</f>
        <v/>
      </c>
      <c r="R329" s="43">
        <f>IF(ISNUMBER(D329),D329,0)</f>
        <v/>
      </c>
      <c r="S329" s="43">
        <f>IF(ISNUMBER(E329),E329,0)</f>
        <v/>
      </c>
      <c r="T329" s="43">
        <f>IF(ISNUMBER(F329),F329,0)</f>
        <v/>
      </c>
      <c r="U329" s="43">
        <f>IF(ISNUMBER(G329),G329,0)</f>
        <v/>
      </c>
      <c r="V329" s="43">
        <f>IF(ISNUMBER(H329),H329,0)</f>
        <v/>
      </c>
      <c r="W329" s="43">
        <f>IF(ISNUMBER(I329),I329,0)</f>
        <v/>
      </c>
      <c r="X329" s="43">
        <f>IF(ISNUMBER(J329),J329,0)</f>
        <v/>
      </c>
      <c r="Y329" s="43">
        <f>IF(ISNUMBER(K329),K329,0)</f>
        <v/>
      </c>
    </row>
    <row r="330">
      <c r="A330" s="35" t="n"/>
      <c r="B330" s="35" t="n"/>
      <c r="C330" s="35" t="n"/>
      <c r="D330" s="25" t="n"/>
      <c r="E330" s="25" t="n"/>
      <c r="F330" s="25" t="n"/>
      <c r="G330" s="25" t="n"/>
      <c r="H330" s="25" t="n"/>
      <c r="I330" s="25" t="n"/>
      <c r="J330" s="25" t="n"/>
      <c r="K330" s="25" t="n"/>
      <c r="L330" s="35" t="n"/>
      <c r="M330" s="40">
        <f>IF(A330="","",IFERROR(INDEX(Applications!$B$2:$B$101,MATCH(A330,Applications!$A$2:$A$101,0))&amp;"",""))</f>
        <v/>
      </c>
      <c r="N330" s="41">
        <f>IF(A330="","",SUMPRODUCT(ISNUMBER(D330:K330)*($D$2:$K$2&gt;0)))</f>
        <v/>
      </c>
      <c r="O330" s="40">
        <f>IF(A330="","",IF(ISNA(MATCH(A330,Applications!$A$2:$A$101,0)),"Check ID",IF(ISNA(MATCH(B330,Settings!$C$13:$C$18,0)),"Check reviewer",IF(LEFT(C330,3)="Yes","Conflict, not counted",IF(COUNTIFS($A$3:A330,A330,$B$3:B330,B330)&gt;1,"Duplicate, not counted",IF(SUM($D$2:$K$2)=0,"Add weights on Rubric",IF(SUMPRODUCT(ISNUMBER(D330:K330)*((D330:K330&gt;4)+(D330:K330&lt;0)))&gt;0,"Check scores",IF(N330&lt;COUNTIF($D$2:$K$2,"&gt;0"),"Incomplete","Counted"))))))))</f>
        <v/>
      </c>
      <c r="P330" s="42">
        <f>IF(O330="Counted",ROUND(SUMPRODUCT(D330:K330,$D$2:$K$2)*100/(4*SUM($D$2:$K$2)),1),"")</f>
        <v/>
      </c>
      <c r="Q330" s="27">
        <f>IF(O330="Counted",1,0)</f>
        <v/>
      </c>
      <c r="R330" s="43">
        <f>IF(ISNUMBER(D330),D330,0)</f>
        <v/>
      </c>
      <c r="S330" s="43">
        <f>IF(ISNUMBER(E330),E330,0)</f>
        <v/>
      </c>
      <c r="T330" s="43">
        <f>IF(ISNUMBER(F330),F330,0)</f>
        <v/>
      </c>
      <c r="U330" s="43">
        <f>IF(ISNUMBER(G330),G330,0)</f>
        <v/>
      </c>
      <c r="V330" s="43">
        <f>IF(ISNUMBER(H330),H330,0)</f>
        <v/>
      </c>
      <c r="W330" s="43">
        <f>IF(ISNUMBER(I330),I330,0)</f>
        <v/>
      </c>
      <c r="X330" s="43">
        <f>IF(ISNUMBER(J330),J330,0)</f>
        <v/>
      </c>
      <c r="Y330" s="43">
        <f>IF(ISNUMBER(K330),K330,0)</f>
        <v/>
      </c>
    </row>
    <row r="331">
      <c r="A331" s="35" t="n"/>
      <c r="B331" s="35" t="n"/>
      <c r="C331" s="35" t="n"/>
      <c r="D331" s="25" t="n"/>
      <c r="E331" s="25" t="n"/>
      <c r="F331" s="25" t="n"/>
      <c r="G331" s="25" t="n"/>
      <c r="H331" s="25" t="n"/>
      <c r="I331" s="25" t="n"/>
      <c r="J331" s="25" t="n"/>
      <c r="K331" s="25" t="n"/>
      <c r="L331" s="35" t="n"/>
      <c r="M331" s="40">
        <f>IF(A331="","",IFERROR(INDEX(Applications!$B$2:$B$101,MATCH(A331,Applications!$A$2:$A$101,0))&amp;"",""))</f>
        <v/>
      </c>
      <c r="N331" s="41">
        <f>IF(A331="","",SUMPRODUCT(ISNUMBER(D331:K331)*($D$2:$K$2&gt;0)))</f>
        <v/>
      </c>
      <c r="O331" s="40">
        <f>IF(A331="","",IF(ISNA(MATCH(A331,Applications!$A$2:$A$101,0)),"Check ID",IF(ISNA(MATCH(B331,Settings!$C$13:$C$18,0)),"Check reviewer",IF(LEFT(C331,3)="Yes","Conflict, not counted",IF(COUNTIFS($A$3:A331,A331,$B$3:B331,B331)&gt;1,"Duplicate, not counted",IF(SUM($D$2:$K$2)=0,"Add weights on Rubric",IF(SUMPRODUCT(ISNUMBER(D331:K331)*((D331:K331&gt;4)+(D331:K331&lt;0)))&gt;0,"Check scores",IF(N331&lt;COUNTIF($D$2:$K$2,"&gt;0"),"Incomplete","Counted"))))))))</f>
        <v/>
      </c>
      <c r="P331" s="42">
        <f>IF(O331="Counted",ROUND(SUMPRODUCT(D331:K331,$D$2:$K$2)*100/(4*SUM($D$2:$K$2)),1),"")</f>
        <v/>
      </c>
      <c r="Q331" s="27">
        <f>IF(O331="Counted",1,0)</f>
        <v/>
      </c>
      <c r="R331" s="43">
        <f>IF(ISNUMBER(D331),D331,0)</f>
        <v/>
      </c>
      <c r="S331" s="43">
        <f>IF(ISNUMBER(E331),E331,0)</f>
        <v/>
      </c>
      <c r="T331" s="43">
        <f>IF(ISNUMBER(F331),F331,0)</f>
        <v/>
      </c>
      <c r="U331" s="43">
        <f>IF(ISNUMBER(G331),G331,0)</f>
        <v/>
      </c>
      <c r="V331" s="43">
        <f>IF(ISNUMBER(H331),H331,0)</f>
        <v/>
      </c>
      <c r="W331" s="43">
        <f>IF(ISNUMBER(I331),I331,0)</f>
        <v/>
      </c>
      <c r="X331" s="43">
        <f>IF(ISNUMBER(J331),J331,0)</f>
        <v/>
      </c>
      <c r="Y331" s="43">
        <f>IF(ISNUMBER(K331),K331,0)</f>
        <v/>
      </c>
    </row>
    <row r="332">
      <c r="A332" s="35" t="n"/>
      <c r="B332" s="35" t="n"/>
      <c r="C332" s="35" t="n"/>
      <c r="D332" s="25" t="n"/>
      <c r="E332" s="25" t="n"/>
      <c r="F332" s="25" t="n"/>
      <c r="G332" s="25" t="n"/>
      <c r="H332" s="25" t="n"/>
      <c r="I332" s="25" t="n"/>
      <c r="J332" s="25" t="n"/>
      <c r="K332" s="25" t="n"/>
      <c r="L332" s="35" t="n"/>
      <c r="M332" s="40">
        <f>IF(A332="","",IFERROR(INDEX(Applications!$B$2:$B$101,MATCH(A332,Applications!$A$2:$A$101,0))&amp;"",""))</f>
        <v/>
      </c>
      <c r="N332" s="41">
        <f>IF(A332="","",SUMPRODUCT(ISNUMBER(D332:K332)*($D$2:$K$2&gt;0)))</f>
        <v/>
      </c>
      <c r="O332" s="40">
        <f>IF(A332="","",IF(ISNA(MATCH(A332,Applications!$A$2:$A$101,0)),"Check ID",IF(ISNA(MATCH(B332,Settings!$C$13:$C$18,0)),"Check reviewer",IF(LEFT(C332,3)="Yes","Conflict, not counted",IF(COUNTIFS($A$3:A332,A332,$B$3:B332,B332)&gt;1,"Duplicate, not counted",IF(SUM($D$2:$K$2)=0,"Add weights on Rubric",IF(SUMPRODUCT(ISNUMBER(D332:K332)*((D332:K332&gt;4)+(D332:K332&lt;0)))&gt;0,"Check scores",IF(N332&lt;COUNTIF($D$2:$K$2,"&gt;0"),"Incomplete","Counted"))))))))</f>
        <v/>
      </c>
      <c r="P332" s="42">
        <f>IF(O332="Counted",ROUND(SUMPRODUCT(D332:K332,$D$2:$K$2)*100/(4*SUM($D$2:$K$2)),1),"")</f>
        <v/>
      </c>
      <c r="Q332" s="27">
        <f>IF(O332="Counted",1,0)</f>
        <v/>
      </c>
      <c r="R332" s="43">
        <f>IF(ISNUMBER(D332),D332,0)</f>
        <v/>
      </c>
      <c r="S332" s="43">
        <f>IF(ISNUMBER(E332),E332,0)</f>
        <v/>
      </c>
      <c r="T332" s="43">
        <f>IF(ISNUMBER(F332),F332,0)</f>
        <v/>
      </c>
      <c r="U332" s="43">
        <f>IF(ISNUMBER(G332),G332,0)</f>
        <v/>
      </c>
      <c r="V332" s="43">
        <f>IF(ISNUMBER(H332),H332,0)</f>
        <v/>
      </c>
      <c r="W332" s="43">
        <f>IF(ISNUMBER(I332),I332,0)</f>
        <v/>
      </c>
      <c r="X332" s="43">
        <f>IF(ISNUMBER(J332),J332,0)</f>
        <v/>
      </c>
      <c r="Y332" s="43">
        <f>IF(ISNUMBER(K332),K332,0)</f>
        <v/>
      </c>
    </row>
    <row r="333">
      <c r="A333" s="35" t="n"/>
      <c r="B333" s="35" t="n"/>
      <c r="C333" s="35" t="n"/>
      <c r="D333" s="25" t="n"/>
      <c r="E333" s="25" t="n"/>
      <c r="F333" s="25" t="n"/>
      <c r="G333" s="25" t="n"/>
      <c r="H333" s="25" t="n"/>
      <c r="I333" s="25" t="n"/>
      <c r="J333" s="25" t="n"/>
      <c r="K333" s="25" t="n"/>
      <c r="L333" s="35" t="n"/>
      <c r="M333" s="40">
        <f>IF(A333="","",IFERROR(INDEX(Applications!$B$2:$B$101,MATCH(A333,Applications!$A$2:$A$101,0))&amp;"",""))</f>
        <v/>
      </c>
      <c r="N333" s="41">
        <f>IF(A333="","",SUMPRODUCT(ISNUMBER(D333:K333)*($D$2:$K$2&gt;0)))</f>
        <v/>
      </c>
      <c r="O333" s="40">
        <f>IF(A333="","",IF(ISNA(MATCH(A333,Applications!$A$2:$A$101,0)),"Check ID",IF(ISNA(MATCH(B333,Settings!$C$13:$C$18,0)),"Check reviewer",IF(LEFT(C333,3)="Yes","Conflict, not counted",IF(COUNTIFS($A$3:A333,A333,$B$3:B333,B333)&gt;1,"Duplicate, not counted",IF(SUM($D$2:$K$2)=0,"Add weights on Rubric",IF(SUMPRODUCT(ISNUMBER(D333:K333)*((D333:K333&gt;4)+(D333:K333&lt;0)))&gt;0,"Check scores",IF(N333&lt;COUNTIF($D$2:$K$2,"&gt;0"),"Incomplete","Counted"))))))))</f>
        <v/>
      </c>
      <c r="P333" s="42">
        <f>IF(O333="Counted",ROUND(SUMPRODUCT(D333:K333,$D$2:$K$2)*100/(4*SUM($D$2:$K$2)),1),"")</f>
        <v/>
      </c>
      <c r="Q333" s="27">
        <f>IF(O333="Counted",1,0)</f>
        <v/>
      </c>
      <c r="R333" s="43">
        <f>IF(ISNUMBER(D333),D333,0)</f>
        <v/>
      </c>
      <c r="S333" s="43">
        <f>IF(ISNUMBER(E333),E333,0)</f>
        <v/>
      </c>
      <c r="T333" s="43">
        <f>IF(ISNUMBER(F333),F333,0)</f>
        <v/>
      </c>
      <c r="U333" s="43">
        <f>IF(ISNUMBER(G333),G333,0)</f>
        <v/>
      </c>
      <c r="V333" s="43">
        <f>IF(ISNUMBER(H333),H333,0)</f>
        <v/>
      </c>
      <c r="W333" s="43">
        <f>IF(ISNUMBER(I333),I333,0)</f>
        <v/>
      </c>
      <c r="X333" s="43">
        <f>IF(ISNUMBER(J333),J333,0)</f>
        <v/>
      </c>
      <c r="Y333" s="43">
        <f>IF(ISNUMBER(K333),K333,0)</f>
        <v/>
      </c>
    </row>
    <row r="334">
      <c r="A334" s="35" t="n"/>
      <c r="B334" s="35" t="n"/>
      <c r="C334" s="35" t="n"/>
      <c r="D334" s="25" t="n"/>
      <c r="E334" s="25" t="n"/>
      <c r="F334" s="25" t="n"/>
      <c r="G334" s="25" t="n"/>
      <c r="H334" s="25" t="n"/>
      <c r="I334" s="25" t="n"/>
      <c r="J334" s="25" t="n"/>
      <c r="K334" s="25" t="n"/>
      <c r="L334" s="35" t="n"/>
      <c r="M334" s="40">
        <f>IF(A334="","",IFERROR(INDEX(Applications!$B$2:$B$101,MATCH(A334,Applications!$A$2:$A$101,0))&amp;"",""))</f>
        <v/>
      </c>
      <c r="N334" s="41">
        <f>IF(A334="","",SUMPRODUCT(ISNUMBER(D334:K334)*($D$2:$K$2&gt;0)))</f>
        <v/>
      </c>
      <c r="O334" s="40">
        <f>IF(A334="","",IF(ISNA(MATCH(A334,Applications!$A$2:$A$101,0)),"Check ID",IF(ISNA(MATCH(B334,Settings!$C$13:$C$18,0)),"Check reviewer",IF(LEFT(C334,3)="Yes","Conflict, not counted",IF(COUNTIFS($A$3:A334,A334,$B$3:B334,B334)&gt;1,"Duplicate, not counted",IF(SUM($D$2:$K$2)=0,"Add weights on Rubric",IF(SUMPRODUCT(ISNUMBER(D334:K334)*((D334:K334&gt;4)+(D334:K334&lt;0)))&gt;0,"Check scores",IF(N334&lt;COUNTIF($D$2:$K$2,"&gt;0"),"Incomplete","Counted"))))))))</f>
        <v/>
      </c>
      <c r="P334" s="42">
        <f>IF(O334="Counted",ROUND(SUMPRODUCT(D334:K334,$D$2:$K$2)*100/(4*SUM($D$2:$K$2)),1),"")</f>
        <v/>
      </c>
      <c r="Q334" s="27">
        <f>IF(O334="Counted",1,0)</f>
        <v/>
      </c>
      <c r="R334" s="43">
        <f>IF(ISNUMBER(D334),D334,0)</f>
        <v/>
      </c>
      <c r="S334" s="43">
        <f>IF(ISNUMBER(E334),E334,0)</f>
        <v/>
      </c>
      <c r="T334" s="43">
        <f>IF(ISNUMBER(F334),F334,0)</f>
        <v/>
      </c>
      <c r="U334" s="43">
        <f>IF(ISNUMBER(G334),G334,0)</f>
        <v/>
      </c>
      <c r="V334" s="43">
        <f>IF(ISNUMBER(H334),H334,0)</f>
        <v/>
      </c>
      <c r="W334" s="43">
        <f>IF(ISNUMBER(I334),I334,0)</f>
        <v/>
      </c>
      <c r="X334" s="43">
        <f>IF(ISNUMBER(J334),J334,0)</f>
        <v/>
      </c>
      <c r="Y334" s="43">
        <f>IF(ISNUMBER(K334),K334,0)</f>
        <v/>
      </c>
    </row>
    <row r="335">
      <c r="A335" s="35" t="n"/>
      <c r="B335" s="35" t="n"/>
      <c r="C335" s="35" t="n"/>
      <c r="D335" s="25" t="n"/>
      <c r="E335" s="25" t="n"/>
      <c r="F335" s="25" t="n"/>
      <c r="G335" s="25" t="n"/>
      <c r="H335" s="25" t="n"/>
      <c r="I335" s="25" t="n"/>
      <c r="J335" s="25" t="n"/>
      <c r="K335" s="25" t="n"/>
      <c r="L335" s="35" t="n"/>
      <c r="M335" s="40">
        <f>IF(A335="","",IFERROR(INDEX(Applications!$B$2:$B$101,MATCH(A335,Applications!$A$2:$A$101,0))&amp;"",""))</f>
        <v/>
      </c>
      <c r="N335" s="41">
        <f>IF(A335="","",SUMPRODUCT(ISNUMBER(D335:K335)*($D$2:$K$2&gt;0)))</f>
        <v/>
      </c>
      <c r="O335" s="40">
        <f>IF(A335="","",IF(ISNA(MATCH(A335,Applications!$A$2:$A$101,0)),"Check ID",IF(ISNA(MATCH(B335,Settings!$C$13:$C$18,0)),"Check reviewer",IF(LEFT(C335,3)="Yes","Conflict, not counted",IF(COUNTIFS($A$3:A335,A335,$B$3:B335,B335)&gt;1,"Duplicate, not counted",IF(SUM($D$2:$K$2)=0,"Add weights on Rubric",IF(SUMPRODUCT(ISNUMBER(D335:K335)*((D335:K335&gt;4)+(D335:K335&lt;0)))&gt;0,"Check scores",IF(N335&lt;COUNTIF($D$2:$K$2,"&gt;0"),"Incomplete","Counted"))))))))</f>
        <v/>
      </c>
      <c r="P335" s="42">
        <f>IF(O335="Counted",ROUND(SUMPRODUCT(D335:K335,$D$2:$K$2)*100/(4*SUM($D$2:$K$2)),1),"")</f>
        <v/>
      </c>
      <c r="Q335" s="27">
        <f>IF(O335="Counted",1,0)</f>
        <v/>
      </c>
      <c r="R335" s="43">
        <f>IF(ISNUMBER(D335),D335,0)</f>
        <v/>
      </c>
      <c r="S335" s="43">
        <f>IF(ISNUMBER(E335),E335,0)</f>
        <v/>
      </c>
      <c r="T335" s="43">
        <f>IF(ISNUMBER(F335),F335,0)</f>
        <v/>
      </c>
      <c r="U335" s="43">
        <f>IF(ISNUMBER(G335),G335,0)</f>
        <v/>
      </c>
      <c r="V335" s="43">
        <f>IF(ISNUMBER(H335),H335,0)</f>
        <v/>
      </c>
      <c r="W335" s="43">
        <f>IF(ISNUMBER(I335),I335,0)</f>
        <v/>
      </c>
      <c r="X335" s="43">
        <f>IF(ISNUMBER(J335),J335,0)</f>
        <v/>
      </c>
      <c r="Y335" s="43">
        <f>IF(ISNUMBER(K335),K335,0)</f>
        <v/>
      </c>
    </row>
    <row r="336">
      <c r="A336" s="35" t="n"/>
      <c r="B336" s="35" t="n"/>
      <c r="C336" s="35" t="n"/>
      <c r="D336" s="25" t="n"/>
      <c r="E336" s="25" t="n"/>
      <c r="F336" s="25" t="n"/>
      <c r="G336" s="25" t="n"/>
      <c r="H336" s="25" t="n"/>
      <c r="I336" s="25" t="n"/>
      <c r="J336" s="25" t="n"/>
      <c r="K336" s="25" t="n"/>
      <c r="L336" s="35" t="n"/>
      <c r="M336" s="40">
        <f>IF(A336="","",IFERROR(INDEX(Applications!$B$2:$B$101,MATCH(A336,Applications!$A$2:$A$101,0))&amp;"",""))</f>
        <v/>
      </c>
      <c r="N336" s="41">
        <f>IF(A336="","",SUMPRODUCT(ISNUMBER(D336:K336)*($D$2:$K$2&gt;0)))</f>
        <v/>
      </c>
      <c r="O336" s="40">
        <f>IF(A336="","",IF(ISNA(MATCH(A336,Applications!$A$2:$A$101,0)),"Check ID",IF(ISNA(MATCH(B336,Settings!$C$13:$C$18,0)),"Check reviewer",IF(LEFT(C336,3)="Yes","Conflict, not counted",IF(COUNTIFS($A$3:A336,A336,$B$3:B336,B336)&gt;1,"Duplicate, not counted",IF(SUM($D$2:$K$2)=0,"Add weights on Rubric",IF(SUMPRODUCT(ISNUMBER(D336:K336)*((D336:K336&gt;4)+(D336:K336&lt;0)))&gt;0,"Check scores",IF(N336&lt;COUNTIF($D$2:$K$2,"&gt;0"),"Incomplete","Counted"))))))))</f>
        <v/>
      </c>
      <c r="P336" s="42">
        <f>IF(O336="Counted",ROUND(SUMPRODUCT(D336:K336,$D$2:$K$2)*100/(4*SUM($D$2:$K$2)),1),"")</f>
        <v/>
      </c>
      <c r="Q336" s="27">
        <f>IF(O336="Counted",1,0)</f>
        <v/>
      </c>
      <c r="R336" s="43">
        <f>IF(ISNUMBER(D336),D336,0)</f>
        <v/>
      </c>
      <c r="S336" s="43">
        <f>IF(ISNUMBER(E336),E336,0)</f>
        <v/>
      </c>
      <c r="T336" s="43">
        <f>IF(ISNUMBER(F336),F336,0)</f>
        <v/>
      </c>
      <c r="U336" s="43">
        <f>IF(ISNUMBER(G336),G336,0)</f>
        <v/>
      </c>
      <c r="V336" s="43">
        <f>IF(ISNUMBER(H336),H336,0)</f>
        <v/>
      </c>
      <c r="W336" s="43">
        <f>IF(ISNUMBER(I336),I336,0)</f>
        <v/>
      </c>
      <c r="X336" s="43">
        <f>IF(ISNUMBER(J336),J336,0)</f>
        <v/>
      </c>
      <c r="Y336" s="43">
        <f>IF(ISNUMBER(K336),K336,0)</f>
        <v/>
      </c>
    </row>
    <row r="337">
      <c r="A337" s="35" t="n"/>
      <c r="B337" s="35" t="n"/>
      <c r="C337" s="35" t="n"/>
      <c r="D337" s="25" t="n"/>
      <c r="E337" s="25" t="n"/>
      <c r="F337" s="25" t="n"/>
      <c r="G337" s="25" t="n"/>
      <c r="H337" s="25" t="n"/>
      <c r="I337" s="25" t="n"/>
      <c r="J337" s="25" t="n"/>
      <c r="K337" s="25" t="n"/>
      <c r="L337" s="35" t="n"/>
      <c r="M337" s="40">
        <f>IF(A337="","",IFERROR(INDEX(Applications!$B$2:$B$101,MATCH(A337,Applications!$A$2:$A$101,0))&amp;"",""))</f>
        <v/>
      </c>
      <c r="N337" s="41">
        <f>IF(A337="","",SUMPRODUCT(ISNUMBER(D337:K337)*($D$2:$K$2&gt;0)))</f>
        <v/>
      </c>
      <c r="O337" s="40">
        <f>IF(A337="","",IF(ISNA(MATCH(A337,Applications!$A$2:$A$101,0)),"Check ID",IF(ISNA(MATCH(B337,Settings!$C$13:$C$18,0)),"Check reviewer",IF(LEFT(C337,3)="Yes","Conflict, not counted",IF(COUNTIFS($A$3:A337,A337,$B$3:B337,B337)&gt;1,"Duplicate, not counted",IF(SUM($D$2:$K$2)=0,"Add weights on Rubric",IF(SUMPRODUCT(ISNUMBER(D337:K337)*((D337:K337&gt;4)+(D337:K337&lt;0)))&gt;0,"Check scores",IF(N337&lt;COUNTIF($D$2:$K$2,"&gt;0"),"Incomplete","Counted"))))))))</f>
        <v/>
      </c>
      <c r="P337" s="42">
        <f>IF(O337="Counted",ROUND(SUMPRODUCT(D337:K337,$D$2:$K$2)*100/(4*SUM($D$2:$K$2)),1),"")</f>
        <v/>
      </c>
      <c r="Q337" s="27">
        <f>IF(O337="Counted",1,0)</f>
        <v/>
      </c>
      <c r="R337" s="43">
        <f>IF(ISNUMBER(D337),D337,0)</f>
        <v/>
      </c>
      <c r="S337" s="43">
        <f>IF(ISNUMBER(E337),E337,0)</f>
        <v/>
      </c>
      <c r="T337" s="43">
        <f>IF(ISNUMBER(F337),F337,0)</f>
        <v/>
      </c>
      <c r="U337" s="43">
        <f>IF(ISNUMBER(G337),G337,0)</f>
        <v/>
      </c>
      <c r="V337" s="43">
        <f>IF(ISNUMBER(H337),H337,0)</f>
        <v/>
      </c>
      <c r="W337" s="43">
        <f>IF(ISNUMBER(I337),I337,0)</f>
        <v/>
      </c>
      <c r="X337" s="43">
        <f>IF(ISNUMBER(J337),J337,0)</f>
        <v/>
      </c>
      <c r="Y337" s="43">
        <f>IF(ISNUMBER(K337),K337,0)</f>
        <v/>
      </c>
    </row>
    <row r="338">
      <c r="A338" s="35" t="n"/>
      <c r="B338" s="35" t="n"/>
      <c r="C338" s="35" t="n"/>
      <c r="D338" s="25" t="n"/>
      <c r="E338" s="25" t="n"/>
      <c r="F338" s="25" t="n"/>
      <c r="G338" s="25" t="n"/>
      <c r="H338" s="25" t="n"/>
      <c r="I338" s="25" t="n"/>
      <c r="J338" s="25" t="n"/>
      <c r="K338" s="25" t="n"/>
      <c r="L338" s="35" t="n"/>
      <c r="M338" s="40">
        <f>IF(A338="","",IFERROR(INDEX(Applications!$B$2:$B$101,MATCH(A338,Applications!$A$2:$A$101,0))&amp;"",""))</f>
        <v/>
      </c>
      <c r="N338" s="41">
        <f>IF(A338="","",SUMPRODUCT(ISNUMBER(D338:K338)*($D$2:$K$2&gt;0)))</f>
        <v/>
      </c>
      <c r="O338" s="40">
        <f>IF(A338="","",IF(ISNA(MATCH(A338,Applications!$A$2:$A$101,0)),"Check ID",IF(ISNA(MATCH(B338,Settings!$C$13:$C$18,0)),"Check reviewer",IF(LEFT(C338,3)="Yes","Conflict, not counted",IF(COUNTIFS($A$3:A338,A338,$B$3:B338,B338)&gt;1,"Duplicate, not counted",IF(SUM($D$2:$K$2)=0,"Add weights on Rubric",IF(SUMPRODUCT(ISNUMBER(D338:K338)*((D338:K338&gt;4)+(D338:K338&lt;0)))&gt;0,"Check scores",IF(N338&lt;COUNTIF($D$2:$K$2,"&gt;0"),"Incomplete","Counted"))))))))</f>
        <v/>
      </c>
      <c r="P338" s="42">
        <f>IF(O338="Counted",ROUND(SUMPRODUCT(D338:K338,$D$2:$K$2)*100/(4*SUM($D$2:$K$2)),1),"")</f>
        <v/>
      </c>
      <c r="Q338" s="27">
        <f>IF(O338="Counted",1,0)</f>
        <v/>
      </c>
      <c r="R338" s="43">
        <f>IF(ISNUMBER(D338),D338,0)</f>
        <v/>
      </c>
      <c r="S338" s="43">
        <f>IF(ISNUMBER(E338),E338,0)</f>
        <v/>
      </c>
      <c r="T338" s="43">
        <f>IF(ISNUMBER(F338),F338,0)</f>
        <v/>
      </c>
      <c r="U338" s="43">
        <f>IF(ISNUMBER(G338),G338,0)</f>
        <v/>
      </c>
      <c r="V338" s="43">
        <f>IF(ISNUMBER(H338),H338,0)</f>
        <v/>
      </c>
      <c r="W338" s="43">
        <f>IF(ISNUMBER(I338),I338,0)</f>
        <v/>
      </c>
      <c r="X338" s="43">
        <f>IF(ISNUMBER(J338),J338,0)</f>
        <v/>
      </c>
      <c r="Y338" s="43">
        <f>IF(ISNUMBER(K338),K338,0)</f>
        <v/>
      </c>
    </row>
    <row r="339">
      <c r="A339" s="35" t="n"/>
      <c r="B339" s="35" t="n"/>
      <c r="C339" s="35" t="n"/>
      <c r="D339" s="25" t="n"/>
      <c r="E339" s="25" t="n"/>
      <c r="F339" s="25" t="n"/>
      <c r="G339" s="25" t="n"/>
      <c r="H339" s="25" t="n"/>
      <c r="I339" s="25" t="n"/>
      <c r="J339" s="25" t="n"/>
      <c r="K339" s="25" t="n"/>
      <c r="L339" s="35" t="n"/>
      <c r="M339" s="40">
        <f>IF(A339="","",IFERROR(INDEX(Applications!$B$2:$B$101,MATCH(A339,Applications!$A$2:$A$101,0))&amp;"",""))</f>
        <v/>
      </c>
      <c r="N339" s="41">
        <f>IF(A339="","",SUMPRODUCT(ISNUMBER(D339:K339)*($D$2:$K$2&gt;0)))</f>
        <v/>
      </c>
      <c r="O339" s="40">
        <f>IF(A339="","",IF(ISNA(MATCH(A339,Applications!$A$2:$A$101,0)),"Check ID",IF(ISNA(MATCH(B339,Settings!$C$13:$C$18,0)),"Check reviewer",IF(LEFT(C339,3)="Yes","Conflict, not counted",IF(COUNTIFS($A$3:A339,A339,$B$3:B339,B339)&gt;1,"Duplicate, not counted",IF(SUM($D$2:$K$2)=0,"Add weights on Rubric",IF(SUMPRODUCT(ISNUMBER(D339:K339)*((D339:K339&gt;4)+(D339:K339&lt;0)))&gt;0,"Check scores",IF(N339&lt;COUNTIF($D$2:$K$2,"&gt;0"),"Incomplete","Counted"))))))))</f>
        <v/>
      </c>
      <c r="P339" s="42">
        <f>IF(O339="Counted",ROUND(SUMPRODUCT(D339:K339,$D$2:$K$2)*100/(4*SUM($D$2:$K$2)),1),"")</f>
        <v/>
      </c>
      <c r="Q339" s="27">
        <f>IF(O339="Counted",1,0)</f>
        <v/>
      </c>
      <c r="R339" s="43">
        <f>IF(ISNUMBER(D339),D339,0)</f>
        <v/>
      </c>
      <c r="S339" s="43">
        <f>IF(ISNUMBER(E339),E339,0)</f>
        <v/>
      </c>
      <c r="T339" s="43">
        <f>IF(ISNUMBER(F339),F339,0)</f>
        <v/>
      </c>
      <c r="U339" s="43">
        <f>IF(ISNUMBER(G339),G339,0)</f>
        <v/>
      </c>
      <c r="V339" s="43">
        <f>IF(ISNUMBER(H339),H339,0)</f>
        <v/>
      </c>
      <c r="W339" s="43">
        <f>IF(ISNUMBER(I339),I339,0)</f>
        <v/>
      </c>
      <c r="X339" s="43">
        <f>IF(ISNUMBER(J339),J339,0)</f>
        <v/>
      </c>
      <c r="Y339" s="43">
        <f>IF(ISNUMBER(K339),K339,0)</f>
        <v/>
      </c>
    </row>
    <row r="340">
      <c r="A340" s="35" t="n"/>
      <c r="B340" s="35" t="n"/>
      <c r="C340" s="35" t="n"/>
      <c r="D340" s="25" t="n"/>
      <c r="E340" s="25" t="n"/>
      <c r="F340" s="25" t="n"/>
      <c r="G340" s="25" t="n"/>
      <c r="H340" s="25" t="n"/>
      <c r="I340" s="25" t="n"/>
      <c r="J340" s="25" t="n"/>
      <c r="K340" s="25" t="n"/>
      <c r="L340" s="35" t="n"/>
      <c r="M340" s="40">
        <f>IF(A340="","",IFERROR(INDEX(Applications!$B$2:$B$101,MATCH(A340,Applications!$A$2:$A$101,0))&amp;"",""))</f>
        <v/>
      </c>
      <c r="N340" s="41">
        <f>IF(A340="","",SUMPRODUCT(ISNUMBER(D340:K340)*($D$2:$K$2&gt;0)))</f>
        <v/>
      </c>
      <c r="O340" s="40">
        <f>IF(A340="","",IF(ISNA(MATCH(A340,Applications!$A$2:$A$101,0)),"Check ID",IF(ISNA(MATCH(B340,Settings!$C$13:$C$18,0)),"Check reviewer",IF(LEFT(C340,3)="Yes","Conflict, not counted",IF(COUNTIFS($A$3:A340,A340,$B$3:B340,B340)&gt;1,"Duplicate, not counted",IF(SUM($D$2:$K$2)=0,"Add weights on Rubric",IF(SUMPRODUCT(ISNUMBER(D340:K340)*((D340:K340&gt;4)+(D340:K340&lt;0)))&gt;0,"Check scores",IF(N340&lt;COUNTIF($D$2:$K$2,"&gt;0"),"Incomplete","Counted"))))))))</f>
        <v/>
      </c>
      <c r="P340" s="42">
        <f>IF(O340="Counted",ROUND(SUMPRODUCT(D340:K340,$D$2:$K$2)*100/(4*SUM($D$2:$K$2)),1),"")</f>
        <v/>
      </c>
      <c r="Q340" s="27">
        <f>IF(O340="Counted",1,0)</f>
        <v/>
      </c>
      <c r="R340" s="43">
        <f>IF(ISNUMBER(D340),D340,0)</f>
        <v/>
      </c>
      <c r="S340" s="43">
        <f>IF(ISNUMBER(E340),E340,0)</f>
        <v/>
      </c>
      <c r="T340" s="43">
        <f>IF(ISNUMBER(F340),F340,0)</f>
        <v/>
      </c>
      <c r="U340" s="43">
        <f>IF(ISNUMBER(G340),G340,0)</f>
        <v/>
      </c>
      <c r="V340" s="43">
        <f>IF(ISNUMBER(H340),H340,0)</f>
        <v/>
      </c>
      <c r="W340" s="43">
        <f>IF(ISNUMBER(I340),I340,0)</f>
        <v/>
      </c>
      <c r="X340" s="43">
        <f>IF(ISNUMBER(J340),J340,0)</f>
        <v/>
      </c>
      <c r="Y340" s="43">
        <f>IF(ISNUMBER(K340),K340,0)</f>
        <v/>
      </c>
    </row>
    <row r="341">
      <c r="A341" s="35" t="n"/>
      <c r="B341" s="35" t="n"/>
      <c r="C341" s="35" t="n"/>
      <c r="D341" s="25" t="n"/>
      <c r="E341" s="25" t="n"/>
      <c r="F341" s="25" t="n"/>
      <c r="G341" s="25" t="n"/>
      <c r="H341" s="25" t="n"/>
      <c r="I341" s="25" t="n"/>
      <c r="J341" s="25" t="n"/>
      <c r="K341" s="25" t="n"/>
      <c r="L341" s="35" t="n"/>
      <c r="M341" s="40">
        <f>IF(A341="","",IFERROR(INDEX(Applications!$B$2:$B$101,MATCH(A341,Applications!$A$2:$A$101,0))&amp;"",""))</f>
        <v/>
      </c>
      <c r="N341" s="41">
        <f>IF(A341="","",SUMPRODUCT(ISNUMBER(D341:K341)*($D$2:$K$2&gt;0)))</f>
        <v/>
      </c>
      <c r="O341" s="40">
        <f>IF(A341="","",IF(ISNA(MATCH(A341,Applications!$A$2:$A$101,0)),"Check ID",IF(ISNA(MATCH(B341,Settings!$C$13:$C$18,0)),"Check reviewer",IF(LEFT(C341,3)="Yes","Conflict, not counted",IF(COUNTIFS($A$3:A341,A341,$B$3:B341,B341)&gt;1,"Duplicate, not counted",IF(SUM($D$2:$K$2)=0,"Add weights on Rubric",IF(SUMPRODUCT(ISNUMBER(D341:K341)*((D341:K341&gt;4)+(D341:K341&lt;0)))&gt;0,"Check scores",IF(N341&lt;COUNTIF($D$2:$K$2,"&gt;0"),"Incomplete","Counted"))))))))</f>
        <v/>
      </c>
      <c r="P341" s="42">
        <f>IF(O341="Counted",ROUND(SUMPRODUCT(D341:K341,$D$2:$K$2)*100/(4*SUM($D$2:$K$2)),1),"")</f>
        <v/>
      </c>
      <c r="Q341" s="27">
        <f>IF(O341="Counted",1,0)</f>
        <v/>
      </c>
      <c r="R341" s="43">
        <f>IF(ISNUMBER(D341),D341,0)</f>
        <v/>
      </c>
      <c r="S341" s="43">
        <f>IF(ISNUMBER(E341),E341,0)</f>
        <v/>
      </c>
      <c r="T341" s="43">
        <f>IF(ISNUMBER(F341),F341,0)</f>
        <v/>
      </c>
      <c r="U341" s="43">
        <f>IF(ISNUMBER(G341),G341,0)</f>
        <v/>
      </c>
      <c r="V341" s="43">
        <f>IF(ISNUMBER(H341),H341,0)</f>
        <v/>
      </c>
      <c r="W341" s="43">
        <f>IF(ISNUMBER(I341),I341,0)</f>
        <v/>
      </c>
      <c r="X341" s="43">
        <f>IF(ISNUMBER(J341),J341,0)</f>
        <v/>
      </c>
      <c r="Y341" s="43">
        <f>IF(ISNUMBER(K341),K341,0)</f>
        <v/>
      </c>
    </row>
    <row r="342">
      <c r="A342" s="35" t="n"/>
      <c r="B342" s="35" t="n"/>
      <c r="C342" s="35" t="n"/>
      <c r="D342" s="25" t="n"/>
      <c r="E342" s="25" t="n"/>
      <c r="F342" s="25" t="n"/>
      <c r="G342" s="25" t="n"/>
      <c r="H342" s="25" t="n"/>
      <c r="I342" s="25" t="n"/>
      <c r="J342" s="25" t="n"/>
      <c r="K342" s="25" t="n"/>
      <c r="L342" s="35" t="n"/>
      <c r="M342" s="40">
        <f>IF(A342="","",IFERROR(INDEX(Applications!$B$2:$B$101,MATCH(A342,Applications!$A$2:$A$101,0))&amp;"",""))</f>
        <v/>
      </c>
      <c r="N342" s="41">
        <f>IF(A342="","",SUMPRODUCT(ISNUMBER(D342:K342)*($D$2:$K$2&gt;0)))</f>
        <v/>
      </c>
      <c r="O342" s="40">
        <f>IF(A342="","",IF(ISNA(MATCH(A342,Applications!$A$2:$A$101,0)),"Check ID",IF(ISNA(MATCH(B342,Settings!$C$13:$C$18,0)),"Check reviewer",IF(LEFT(C342,3)="Yes","Conflict, not counted",IF(COUNTIFS($A$3:A342,A342,$B$3:B342,B342)&gt;1,"Duplicate, not counted",IF(SUM($D$2:$K$2)=0,"Add weights on Rubric",IF(SUMPRODUCT(ISNUMBER(D342:K342)*((D342:K342&gt;4)+(D342:K342&lt;0)))&gt;0,"Check scores",IF(N342&lt;COUNTIF($D$2:$K$2,"&gt;0"),"Incomplete","Counted"))))))))</f>
        <v/>
      </c>
      <c r="P342" s="42">
        <f>IF(O342="Counted",ROUND(SUMPRODUCT(D342:K342,$D$2:$K$2)*100/(4*SUM($D$2:$K$2)),1),"")</f>
        <v/>
      </c>
      <c r="Q342" s="27">
        <f>IF(O342="Counted",1,0)</f>
        <v/>
      </c>
      <c r="R342" s="43">
        <f>IF(ISNUMBER(D342),D342,0)</f>
        <v/>
      </c>
      <c r="S342" s="43">
        <f>IF(ISNUMBER(E342),E342,0)</f>
        <v/>
      </c>
      <c r="T342" s="43">
        <f>IF(ISNUMBER(F342),F342,0)</f>
        <v/>
      </c>
      <c r="U342" s="43">
        <f>IF(ISNUMBER(G342),G342,0)</f>
        <v/>
      </c>
      <c r="V342" s="43">
        <f>IF(ISNUMBER(H342),H342,0)</f>
        <v/>
      </c>
      <c r="W342" s="43">
        <f>IF(ISNUMBER(I342),I342,0)</f>
        <v/>
      </c>
      <c r="X342" s="43">
        <f>IF(ISNUMBER(J342),J342,0)</f>
        <v/>
      </c>
      <c r="Y342" s="43">
        <f>IF(ISNUMBER(K342),K342,0)</f>
        <v/>
      </c>
    </row>
    <row r="343">
      <c r="A343" s="35" t="n"/>
      <c r="B343" s="35" t="n"/>
      <c r="C343" s="35" t="n"/>
      <c r="D343" s="25" t="n"/>
      <c r="E343" s="25" t="n"/>
      <c r="F343" s="25" t="n"/>
      <c r="G343" s="25" t="n"/>
      <c r="H343" s="25" t="n"/>
      <c r="I343" s="25" t="n"/>
      <c r="J343" s="25" t="n"/>
      <c r="K343" s="25" t="n"/>
      <c r="L343" s="35" t="n"/>
      <c r="M343" s="40">
        <f>IF(A343="","",IFERROR(INDEX(Applications!$B$2:$B$101,MATCH(A343,Applications!$A$2:$A$101,0))&amp;"",""))</f>
        <v/>
      </c>
      <c r="N343" s="41">
        <f>IF(A343="","",SUMPRODUCT(ISNUMBER(D343:K343)*($D$2:$K$2&gt;0)))</f>
        <v/>
      </c>
      <c r="O343" s="40">
        <f>IF(A343="","",IF(ISNA(MATCH(A343,Applications!$A$2:$A$101,0)),"Check ID",IF(ISNA(MATCH(B343,Settings!$C$13:$C$18,0)),"Check reviewer",IF(LEFT(C343,3)="Yes","Conflict, not counted",IF(COUNTIFS($A$3:A343,A343,$B$3:B343,B343)&gt;1,"Duplicate, not counted",IF(SUM($D$2:$K$2)=0,"Add weights on Rubric",IF(SUMPRODUCT(ISNUMBER(D343:K343)*((D343:K343&gt;4)+(D343:K343&lt;0)))&gt;0,"Check scores",IF(N343&lt;COUNTIF($D$2:$K$2,"&gt;0"),"Incomplete","Counted"))))))))</f>
        <v/>
      </c>
      <c r="P343" s="42">
        <f>IF(O343="Counted",ROUND(SUMPRODUCT(D343:K343,$D$2:$K$2)*100/(4*SUM($D$2:$K$2)),1),"")</f>
        <v/>
      </c>
      <c r="Q343" s="27">
        <f>IF(O343="Counted",1,0)</f>
        <v/>
      </c>
      <c r="R343" s="43">
        <f>IF(ISNUMBER(D343),D343,0)</f>
        <v/>
      </c>
      <c r="S343" s="43">
        <f>IF(ISNUMBER(E343),E343,0)</f>
        <v/>
      </c>
      <c r="T343" s="43">
        <f>IF(ISNUMBER(F343),F343,0)</f>
        <v/>
      </c>
      <c r="U343" s="43">
        <f>IF(ISNUMBER(G343),G343,0)</f>
        <v/>
      </c>
      <c r="V343" s="43">
        <f>IF(ISNUMBER(H343),H343,0)</f>
        <v/>
      </c>
      <c r="W343" s="43">
        <f>IF(ISNUMBER(I343),I343,0)</f>
        <v/>
      </c>
      <c r="X343" s="43">
        <f>IF(ISNUMBER(J343),J343,0)</f>
        <v/>
      </c>
      <c r="Y343" s="43">
        <f>IF(ISNUMBER(K343),K343,0)</f>
        <v/>
      </c>
    </row>
    <row r="344">
      <c r="A344" s="35" t="n"/>
      <c r="B344" s="35" t="n"/>
      <c r="C344" s="35" t="n"/>
      <c r="D344" s="25" t="n"/>
      <c r="E344" s="25" t="n"/>
      <c r="F344" s="25" t="n"/>
      <c r="G344" s="25" t="n"/>
      <c r="H344" s="25" t="n"/>
      <c r="I344" s="25" t="n"/>
      <c r="J344" s="25" t="n"/>
      <c r="K344" s="25" t="n"/>
      <c r="L344" s="35" t="n"/>
      <c r="M344" s="40">
        <f>IF(A344="","",IFERROR(INDEX(Applications!$B$2:$B$101,MATCH(A344,Applications!$A$2:$A$101,0))&amp;"",""))</f>
        <v/>
      </c>
      <c r="N344" s="41">
        <f>IF(A344="","",SUMPRODUCT(ISNUMBER(D344:K344)*($D$2:$K$2&gt;0)))</f>
        <v/>
      </c>
      <c r="O344" s="40">
        <f>IF(A344="","",IF(ISNA(MATCH(A344,Applications!$A$2:$A$101,0)),"Check ID",IF(ISNA(MATCH(B344,Settings!$C$13:$C$18,0)),"Check reviewer",IF(LEFT(C344,3)="Yes","Conflict, not counted",IF(COUNTIFS($A$3:A344,A344,$B$3:B344,B344)&gt;1,"Duplicate, not counted",IF(SUM($D$2:$K$2)=0,"Add weights on Rubric",IF(SUMPRODUCT(ISNUMBER(D344:K344)*((D344:K344&gt;4)+(D344:K344&lt;0)))&gt;0,"Check scores",IF(N344&lt;COUNTIF($D$2:$K$2,"&gt;0"),"Incomplete","Counted"))))))))</f>
        <v/>
      </c>
      <c r="P344" s="42">
        <f>IF(O344="Counted",ROUND(SUMPRODUCT(D344:K344,$D$2:$K$2)*100/(4*SUM($D$2:$K$2)),1),"")</f>
        <v/>
      </c>
      <c r="Q344" s="27">
        <f>IF(O344="Counted",1,0)</f>
        <v/>
      </c>
      <c r="R344" s="43">
        <f>IF(ISNUMBER(D344),D344,0)</f>
        <v/>
      </c>
      <c r="S344" s="43">
        <f>IF(ISNUMBER(E344),E344,0)</f>
        <v/>
      </c>
      <c r="T344" s="43">
        <f>IF(ISNUMBER(F344),F344,0)</f>
        <v/>
      </c>
      <c r="U344" s="43">
        <f>IF(ISNUMBER(G344),G344,0)</f>
        <v/>
      </c>
      <c r="V344" s="43">
        <f>IF(ISNUMBER(H344),H344,0)</f>
        <v/>
      </c>
      <c r="W344" s="43">
        <f>IF(ISNUMBER(I344),I344,0)</f>
        <v/>
      </c>
      <c r="X344" s="43">
        <f>IF(ISNUMBER(J344),J344,0)</f>
        <v/>
      </c>
      <c r="Y344" s="43">
        <f>IF(ISNUMBER(K344),K344,0)</f>
        <v/>
      </c>
    </row>
    <row r="345">
      <c r="A345" s="35" t="n"/>
      <c r="B345" s="35" t="n"/>
      <c r="C345" s="35" t="n"/>
      <c r="D345" s="25" t="n"/>
      <c r="E345" s="25" t="n"/>
      <c r="F345" s="25" t="n"/>
      <c r="G345" s="25" t="n"/>
      <c r="H345" s="25" t="n"/>
      <c r="I345" s="25" t="n"/>
      <c r="J345" s="25" t="n"/>
      <c r="K345" s="25" t="n"/>
      <c r="L345" s="35" t="n"/>
      <c r="M345" s="40">
        <f>IF(A345="","",IFERROR(INDEX(Applications!$B$2:$B$101,MATCH(A345,Applications!$A$2:$A$101,0))&amp;"",""))</f>
        <v/>
      </c>
      <c r="N345" s="41">
        <f>IF(A345="","",SUMPRODUCT(ISNUMBER(D345:K345)*($D$2:$K$2&gt;0)))</f>
        <v/>
      </c>
      <c r="O345" s="40">
        <f>IF(A345="","",IF(ISNA(MATCH(A345,Applications!$A$2:$A$101,0)),"Check ID",IF(ISNA(MATCH(B345,Settings!$C$13:$C$18,0)),"Check reviewer",IF(LEFT(C345,3)="Yes","Conflict, not counted",IF(COUNTIFS($A$3:A345,A345,$B$3:B345,B345)&gt;1,"Duplicate, not counted",IF(SUM($D$2:$K$2)=0,"Add weights on Rubric",IF(SUMPRODUCT(ISNUMBER(D345:K345)*((D345:K345&gt;4)+(D345:K345&lt;0)))&gt;0,"Check scores",IF(N345&lt;COUNTIF($D$2:$K$2,"&gt;0"),"Incomplete","Counted"))))))))</f>
        <v/>
      </c>
      <c r="P345" s="42">
        <f>IF(O345="Counted",ROUND(SUMPRODUCT(D345:K345,$D$2:$K$2)*100/(4*SUM($D$2:$K$2)),1),"")</f>
        <v/>
      </c>
      <c r="Q345" s="27">
        <f>IF(O345="Counted",1,0)</f>
        <v/>
      </c>
      <c r="R345" s="43">
        <f>IF(ISNUMBER(D345),D345,0)</f>
        <v/>
      </c>
      <c r="S345" s="43">
        <f>IF(ISNUMBER(E345),E345,0)</f>
        <v/>
      </c>
      <c r="T345" s="43">
        <f>IF(ISNUMBER(F345),F345,0)</f>
        <v/>
      </c>
      <c r="U345" s="43">
        <f>IF(ISNUMBER(G345),G345,0)</f>
        <v/>
      </c>
      <c r="V345" s="43">
        <f>IF(ISNUMBER(H345),H345,0)</f>
        <v/>
      </c>
      <c r="W345" s="43">
        <f>IF(ISNUMBER(I345),I345,0)</f>
        <v/>
      </c>
      <c r="X345" s="43">
        <f>IF(ISNUMBER(J345),J345,0)</f>
        <v/>
      </c>
      <c r="Y345" s="43">
        <f>IF(ISNUMBER(K345),K345,0)</f>
        <v/>
      </c>
    </row>
    <row r="346">
      <c r="A346" s="35" t="n"/>
      <c r="B346" s="35" t="n"/>
      <c r="C346" s="35" t="n"/>
      <c r="D346" s="25" t="n"/>
      <c r="E346" s="25" t="n"/>
      <c r="F346" s="25" t="n"/>
      <c r="G346" s="25" t="n"/>
      <c r="H346" s="25" t="n"/>
      <c r="I346" s="25" t="n"/>
      <c r="J346" s="25" t="n"/>
      <c r="K346" s="25" t="n"/>
      <c r="L346" s="35" t="n"/>
      <c r="M346" s="40">
        <f>IF(A346="","",IFERROR(INDEX(Applications!$B$2:$B$101,MATCH(A346,Applications!$A$2:$A$101,0))&amp;"",""))</f>
        <v/>
      </c>
      <c r="N346" s="41">
        <f>IF(A346="","",SUMPRODUCT(ISNUMBER(D346:K346)*($D$2:$K$2&gt;0)))</f>
        <v/>
      </c>
      <c r="O346" s="40">
        <f>IF(A346="","",IF(ISNA(MATCH(A346,Applications!$A$2:$A$101,0)),"Check ID",IF(ISNA(MATCH(B346,Settings!$C$13:$C$18,0)),"Check reviewer",IF(LEFT(C346,3)="Yes","Conflict, not counted",IF(COUNTIFS($A$3:A346,A346,$B$3:B346,B346)&gt;1,"Duplicate, not counted",IF(SUM($D$2:$K$2)=0,"Add weights on Rubric",IF(SUMPRODUCT(ISNUMBER(D346:K346)*((D346:K346&gt;4)+(D346:K346&lt;0)))&gt;0,"Check scores",IF(N346&lt;COUNTIF($D$2:$K$2,"&gt;0"),"Incomplete","Counted"))))))))</f>
        <v/>
      </c>
      <c r="P346" s="42">
        <f>IF(O346="Counted",ROUND(SUMPRODUCT(D346:K346,$D$2:$K$2)*100/(4*SUM($D$2:$K$2)),1),"")</f>
        <v/>
      </c>
      <c r="Q346" s="27">
        <f>IF(O346="Counted",1,0)</f>
        <v/>
      </c>
      <c r="R346" s="43">
        <f>IF(ISNUMBER(D346),D346,0)</f>
        <v/>
      </c>
      <c r="S346" s="43">
        <f>IF(ISNUMBER(E346),E346,0)</f>
        <v/>
      </c>
      <c r="T346" s="43">
        <f>IF(ISNUMBER(F346),F346,0)</f>
        <v/>
      </c>
      <c r="U346" s="43">
        <f>IF(ISNUMBER(G346),G346,0)</f>
        <v/>
      </c>
      <c r="V346" s="43">
        <f>IF(ISNUMBER(H346),H346,0)</f>
        <v/>
      </c>
      <c r="W346" s="43">
        <f>IF(ISNUMBER(I346),I346,0)</f>
        <v/>
      </c>
      <c r="X346" s="43">
        <f>IF(ISNUMBER(J346),J346,0)</f>
        <v/>
      </c>
      <c r="Y346" s="43">
        <f>IF(ISNUMBER(K346),K346,0)</f>
        <v/>
      </c>
    </row>
    <row r="347">
      <c r="A347" s="35" t="n"/>
      <c r="B347" s="35" t="n"/>
      <c r="C347" s="35" t="n"/>
      <c r="D347" s="25" t="n"/>
      <c r="E347" s="25" t="n"/>
      <c r="F347" s="25" t="n"/>
      <c r="G347" s="25" t="n"/>
      <c r="H347" s="25" t="n"/>
      <c r="I347" s="25" t="n"/>
      <c r="J347" s="25" t="n"/>
      <c r="K347" s="25" t="n"/>
      <c r="L347" s="35" t="n"/>
      <c r="M347" s="40">
        <f>IF(A347="","",IFERROR(INDEX(Applications!$B$2:$B$101,MATCH(A347,Applications!$A$2:$A$101,0))&amp;"",""))</f>
        <v/>
      </c>
      <c r="N347" s="41">
        <f>IF(A347="","",SUMPRODUCT(ISNUMBER(D347:K347)*($D$2:$K$2&gt;0)))</f>
        <v/>
      </c>
      <c r="O347" s="40">
        <f>IF(A347="","",IF(ISNA(MATCH(A347,Applications!$A$2:$A$101,0)),"Check ID",IF(ISNA(MATCH(B347,Settings!$C$13:$C$18,0)),"Check reviewer",IF(LEFT(C347,3)="Yes","Conflict, not counted",IF(COUNTIFS($A$3:A347,A347,$B$3:B347,B347)&gt;1,"Duplicate, not counted",IF(SUM($D$2:$K$2)=0,"Add weights on Rubric",IF(SUMPRODUCT(ISNUMBER(D347:K347)*((D347:K347&gt;4)+(D347:K347&lt;0)))&gt;0,"Check scores",IF(N347&lt;COUNTIF($D$2:$K$2,"&gt;0"),"Incomplete","Counted"))))))))</f>
        <v/>
      </c>
      <c r="P347" s="42">
        <f>IF(O347="Counted",ROUND(SUMPRODUCT(D347:K347,$D$2:$K$2)*100/(4*SUM($D$2:$K$2)),1),"")</f>
        <v/>
      </c>
      <c r="Q347" s="27">
        <f>IF(O347="Counted",1,0)</f>
        <v/>
      </c>
      <c r="R347" s="43">
        <f>IF(ISNUMBER(D347),D347,0)</f>
        <v/>
      </c>
      <c r="S347" s="43">
        <f>IF(ISNUMBER(E347),E347,0)</f>
        <v/>
      </c>
      <c r="T347" s="43">
        <f>IF(ISNUMBER(F347),F347,0)</f>
        <v/>
      </c>
      <c r="U347" s="43">
        <f>IF(ISNUMBER(G347),G347,0)</f>
        <v/>
      </c>
      <c r="V347" s="43">
        <f>IF(ISNUMBER(H347),H347,0)</f>
        <v/>
      </c>
      <c r="W347" s="43">
        <f>IF(ISNUMBER(I347),I347,0)</f>
        <v/>
      </c>
      <c r="X347" s="43">
        <f>IF(ISNUMBER(J347),J347,0)</f>
        <v/>
      </c>
      <c r="Y347" s="43">
        <f>IF(ISNUMBER(K347),K347,0)</f>
        <v/>
      </c>
    </row>
    <row r="348">
      <c r="A348" s="35" t="n"/>
      <c r="B348" s="35" t="n"/>
      <c r="C348" s="35" t="n"/>
      <c r="D348" s="25" t="n"/>
      <c r="E348" s="25" t="n"/>
      <c r="F348" s="25" t="n"/>
      <c r="G348" s="25" t="n"/>
      <c r="H348" s="25" t="n"/>
      <c r="I348" s="25" t="n"/>
      <c r="J348" s="25" t="n"/>
      <c r="K348" s="25" t="n"/>
      <c r="L348" s="35" t="n"/>
      <c r="M348" s="40">
        <f>IF(A348="","",IFERROR(INDEX(Applications!$B$2:$B$101,MATCH(A348,Applications!$A$2:$A$101,0))&amp;"",""))</f>
        <v/>
      </c>
      <c r="N348" s="41">
        <f>IF(A348="","",SUMPRODUCT(ISNUMBER(D348:K348)*($D$2:$K$2&gt;0)))</f>
        <v/>
      </c>
      <c r="O348" s="40">
        <f>IF(A348="","",IF(ISNA(MATCH(A348,Applications!$A$2:$A$101,0)),"Check ID",IF(ISNA(MATCH(B348,Settings!$C$13:$C$18,0)),"Check reviewer",IF(LEFT(C348,3)="Yes","Conflict, not counted",IF(COUNTIFS($A$3:A348,A348,$B$3:B348,B348)&gt;1,"Duplicate, not counted",IF(SUM($D$2:$K$2)=0,"Add weights on Rubric",IF(SUMPRODUCT(ISNUMBER(D348:K348)*((D348:K348&gt;4)+(D348:K348&lt;0)))&gt;0,"Check scores",IF(N348&lt;COUNTIF($D$2:$K$2,"&gt;0"),"Incomplete","Counted"))))))))</f>
        <v/>
      </c>
      <c r="P348" s="42">
        <f>IF(O348="Counted",ROUND(SUMPRODUCT(D348:K348,$D$2:$K$2)*100/(4*SUM($D$2:$K$2)),1),"")</f>
        <v/>
      </c>
      <c r="Q348" s="27">
        <f>IF(O348="Counted",1,0)</f>
        <v/>
      </c>
      <c r="R348" s="43">
        <f>IF(ISNUMBER(D348),D348,0)</f>
        <v/>
      </c>
      <c r="S348" s="43">
        <f>IF(ISNUMBER(E348),E348,0)</f>
        <v/>
      </c>
      <c r="T348" s="43">
        <f>IF(ISNUMBER(F348),F348,0)</f>
        <v/>
      </c>
      <c r="U348" s="43">
        <f>IF(ISNUMBER(G348),G348,0)</f>
        <v/>
      </c>
      <c r="V348" s="43">
        <f>IF(ISNUMBER(H348),H348,0)</f>
        <v/>
      </c>
      <c r="W348" s="43">
        <f>IF(ISNUMBER(I348),I348,0)</f>
        <v/>
      </c>
      <c r="X348" s="43">
        <f>IF(ISNUMBER(J348),J348,0)</f>
        <v/>
      </c>
      <c r="Y348" s="43">
        <f>IF(ISNUMBER(K348),K348,0)</f>
        <v/>
      </c>
    </row>
    <row r="349">
      <c r="A349" s="35" t="n"/>
      <c r="B349" s="35" t="n"/>
      <c r="C349" s="35" t="n"/>
      <c r="D349" s="25" t="n"/>
      <c r="E349" s="25" t="n"/>
      <c r="F349" s="25" t="n"/>
      <c r="G349" s="25" t="n"/>
      <c r="H349" s="25" t="n"/>
      <c r="I349" s="25" t="n"/>
      <c r="J349" s="25" t="n"/>
      <c r="K349" s="25" t="n"/>
      <c r="L349" s="35" t="n"/>
      <c r="M349" s="40">
        <f>IF(A349="","",IFERROR(INDEX(Applications!$B$2:$B$101,MATCH(A349,Applications!$A$2:$A$101,0))&amp;"",""))</f>
        <v/>
      </c>
      <c r="N349" s="41">
        <f>IF(A349="","",SUMPRODUCT(ISNUMBER(D349:K349)*($D$2:$K$2&gt;0)))</f>
        <v/>
      </c>
      <c r="O349" s="40">
        <f>IF(A349="","",IF(ISNA(MATCH(A349,Applications!$A$2:$A$101,0)),"Check ID",IF(ISNA(MATCH(B349,Settings!$C$13:$C$18,0)),"Check reviewer",IF(LEFT(C349,3)="Yes","Conflict, not counted",IF(COUNTIFS($A$3:A349,A349,$B$3:B349,B349)&gt;1,"Duplicate, not counted",IF(SUM($D$2:$K$2)=0,"Add weights on Rubric",IF(SUMPRODUCT(ISNUMBER(D349:K349)*((D349:K349&gt;4)+(D349:K349&lt;0)))&gt;0,"Check scores",IF(N349&lt;COUNTIF($D$2:$K$2,"&gt;0"),"Incomplete","Counted"))))))))</f>
        <v/>
      </c>
      <c r="P349" s="42">
        <f>IF(O349="Counted",ROUND(SUMPRODUCT(D349:K349,$D$2:$K$2)*100/(4*SUM($D$2:$K$2)),1),"")</f>
        <v/>
      </c>
      <c r="Q349" s="27">
        <f>IF(O349="Counted",1,0)</f>
        <v/>
      </c>
      <c r="R349" s="43">
        <f>IF(ISNUMBER(D349),D349,0)</f>
        <v/>
      </c>
      <c r="S349" s="43">
        <f>IF(ISNUMBER(E349),E349,0)</f>
        <v/>
      </c>
      <c r="T349" s="43">
        <f>IF(ISNUMBER(F349),F349,0)</f>
        <v/>
      </c>
      <c r="U349" s="43">
        <f>IF(ISNUMBER(G349),G349,0)</f>
        <v/>
      </c>
      <c r="V349" s="43">
        <f>IF(ISNUMBER(H349),H349,0)</f>
        <v/>
      </c>
      <c r="W349" s="43">
        <f>IF(ISNUMBER(I349),I349,0)</f>
        <v/>
      </c>
      <c r="X349" s="43">
        <f>IF(ISNUMBER(J349),J349,0)</f>
        <v/>
      </c>
      <c r="Y349" s="43">
        <f>IF(ISNUMBER(K349),K349,0)</f>
        <v/>
      </c>
    </row>
    <row r="350">
      <c r="A350" s="35" t="n"/>
      <c r="B350" s="35" t="n"/>
      <c r="C350" s="35" t="n"/>
      <c r="D350" s="25" t="n"/>
      <c r="E350" s="25" t="n"/>
      <c r="F350" s="25" t="n"/>
      <c r="G350" s="25" t="n"/>
      <c r="H350" s="25" t="n"/>
      <c r="I350" s="25" t="n"/>
      <c r="J350" s="25" t="n"/>
      <c r="K350" s="25" t="n"/>
      <c r="L350" s="35" t="n"/>
      <c r="M350" s="40">
        <f>IF(A350="","",IFERROR(INDEX(Applications!$B$2:$B$101,MATCH(A350,Applications!$A$2:$A$101,0))&amp;"",""))</f>
        <v/>
      </c>
      <c r="N350" s="41">
        <f>IF(A350="","",SUMPRODUCT(ISNUMBER(D350:K350)*($D$2:$K$2&gt;0)))</f>
        <v/>
      </c>
      <c r="O350" s="40">
        <f>IF(A350="","",IF(ISNA(MATCH(A350,Applications!$A$2:$A$101,0)),"Check ID",IF(ISNA(MATCH(B350,Settings!$C$13:$C$18,0)),"Check reviewer",IF(LEFT(C350,3)="Yes","Conflict, not counted",IF(COUNTIFS($A$3:A350,A350,$B$3:B350,B350)&gt;1,"Duplicate, not counted",IF(SUM($D$2:$K$2)=0,"Add weights on Rubric",IF(SUMPRODUCT(ISNUMBER(D350:K350)*((D350:K350&gt;4)+(D350:K350&lt;0)))&gt;0,"Check scores",IF(N350&lt;COUNTIF($D$2:$K$2,"&gt;0"),"Incomplete","Counted"))))))))</f>
        <v/>
      </c>
      <c r="P350" s="42">
        <f>IF(O350="Counted",ROUND(SUMPRODUCT(D350:K350,$D$2:$K$2)*100/(4*SUM($D$2:$K$2)),1),"")</f>
        <v/>
      </c>
      <c r="Q350" s="27">
        <f>IF(O350="Counted",1,0)</f>
        <v/>
      </c>
      <c r="R350" s="43">
        <f>IF(ISNUMBER(D350),D350,0)</f>
        <v/>
      </c>
      <c r="S350" s="43">
        <f>IF(ISNUMBER(E350),E350,0)</f>
        <v/>
      </c>
      <c r="T350" s="43">
        <f>IF(ISNUMBER(F350),F350,0)</f>
        <v/>
      </c>
      <c r="U350" s="43">
        <f>IF(ISNUMBER(G350),G350,0)</f>
        <v/>
      </c>
      <c r="V350" s="43">
        <f>IF(ISNUMBER(H350),H350,0)</f>
        <v/>
      </c>
      <c r="W350" s="43">
        <f>IF(ISNUMBER(I350),I350,0)</f>
        <v/>
      </c>
      <c r="X350" s="43">
        <f>IF(ISNUMBER(J350),J350,0)</f>
        <v/>
      </c>
      <c r="Y350" s="43">
        <f>IF(ISNUMBER(K350),K350,0)</f>
        <v/>
      </c>
    </row>
    <row r="351">
      <c r="A351" s="35" t="n"/>
      <c r="B351" s="35" t="n"/>
      <c r="C351" s="35" t="n"/>
      <c r="D351" s="25" t="n"/>
      <c r="E351" s="25" t="n"/>
      <c r="F351" s="25" t="n"/>
      <c r="G351" s="25" t="n"/>
      <c r="H351" s="25" t="n"/>
      <c r="I351" s="25" t="n"/>
      <c r="J351" s="25" t="n"/>
      <c r="K351" s="25" t="n"/>
      <c r="L351" s="35" t="n"/>
      <c r="M351" s="40">
        <f>IF(A351="","",IFERROR(INDEX(Applications!$B$2:$B$101,MATCH(A351,Applications!$A$2:$A$101,0))&amp;"",""))</f>
        <v/>
      </c>
      <c r="N351" s="41">
        <f>IF(A351="","",SUMPRODUCT(ISNUMBER(D351:K351)*($D$2:$K$2&gt;0)))</f>
        <v/>
      </c>
      <c r="O351" s="40">
        <f>IF(A351="","",IF(ISNA(MATCH(A351,Applications!$A$2:$A$101,0)),"Check ID",IF(ISNA(MATCH(B351,Settings!$C$13:$C$18,0)),"Check reviewer",IF(LEFT(C351,3)="Yes","Conflict, not counted",IF(COUNTIFS($A$3:A351,A351,$B$3:B351,B351)&gt;1,"Duplicate, not counted",IF(SUM($D$2:$K$2)=0,"Add weights on Rubric",IF(SUMPRODUCT(ISNUMBER(D351:K351)*((D351:K351&gt;4)+(D351:K351&lt;0)))&gt;0,"Check scores",IF(N351&lt;COUNTIF($D$2:$K$2,"&gt;0"),"Incomplete","Counted"))))))))</f>
        <v/>
      </c>
      <c r="P351" s="42">
        <f>IF(O351="Counted",ROUND(SUMPRODUCT(D351:K351,$D$2:$K$2)*100/(4*SUM($D$2:$K$2)),1),"")</f>
        <v/>
      </c>
      <c r="Q351" s="27">
        <f>IF(O351="Counted",1,0)</f>
        <v/>
      </c>
      <c r="R351" s="43">
        <f>IF(ISNUMBER(D351),D351,0)</f>
        <v/>
      </c>
      <c r="S351" s="43">
        <f>IF(ISNUMBER(E351),E351,0)</f>
        <v/>
      </c>
      <c r="T351" s="43">
        <f>IF(ISNUMBER(F351),F351,0)</f>
        <v/>
      </c>
      <c r="U351" s="43">
        <f>IF(ISNUMBER(G351),G351,0)</f>
        <v/>
      </c>
      <c r="V351" s="43">
        <f>IF(ISNUMBER(H351),H351,0)</f>
        <v/>
      </c>
      <c r="W351" s="43">
        <f>IF(ISNUMBER(I351),I351,0)</f>
        <v/>
      </c>
      <c r="X351" s="43">
        <f>IF(ISNUMBER(J351),J351,0)</f>
        <v/>
      </c>
      <c r="Y351" s="43">
        <f>IF(ISNUMBER(K351),K351,0)</f>
        <v/>
      </c>
    </row>
    <row r="352">
      <c r="A352" s="35" t="n"/>
      <c r="B352" s="35" t="n"/>
      <c r="C352" s="35" t="n"/>
      <c r="D352" s="25" t="n"/>
      <c r="E352" s="25" t="n"/>
      <c r="F352" s="25" t="n"/>
      <c r="G352" s="25" t="n"/>
      <c r="H352" s="25" t="n"/>
      <c r="I352" s="25" t="n"/>
      <c r="J352" s="25" t="n"/>
      <c r="K352" s="25" t="n"/>
      <c r="L352" s="35" t="n"/>
      <c r="M352" s="40">
        <f>IF(A352="","",IFERROR(INDEX(Applications!$B$2:$B$101,MATCH(A352,Applications!$A$2:$A$101,0))&amp;"",""))</f>
        <v/>
      </c>
      <c r="N352" s="41">
        <f>IF(A352="","",SUMPRODUCT(ISNUMBER(D352:K352)*($D$2:$K$2&gt;0)))</f>
        <v/>
      </c>
      <c r="O352" s="40">
        <f>IF(A352="","",IF(ISNA(MATCH(A352,Applications!$A$2:$A$101,0)),"Check ID",IF(ISNA(MATCH(B352,Settings!$C$13:$C$18,0)),"Check reviewer",IF(LEFT(C352,3)="Yes","Conflict, not counted",IF(COUNTIFS($A$3:A352,A352,$B$3:B352,B352)&gt;1,"Duplicate, not counted",IF(SUM($D$2:$K$2)=0,"Add weights on Rubric",IF(SUMPRODUCT(ISNUMBER(D352:K352)*((D352:K352&gt;4)+(D352:K352&lt;0)))&gt;0,"Check scores",IF(N352&lt;COUNTIF($D$2:$K$2,"&gt;0"),"Incomplete","Counted"))))))))</f>
        <v/>
      </c>
      <c r="P352" s="42">
        <f>IF(O352="Counted",ROUND(SUMPRODUCT(D352:K352,$D$2:$K$2)*100/(4*SUM($D$2:$K$2)),1),"")</f>
        <v/>
      </c>
      <c r="Q352" s="27">
        <f>IF(O352="Counted",1,0)</f>
        <v/>
      </c>
      <c r="R352" s="43">
        <f>IF(ISNUMBER(D352),D352,0)</f>
        <v/>
      </c>
      <c r="S352" s="43">
        <f>IF(ISNUMBER(E352),E352,0)</f>
        <v/>
      </c>
      <c r="T352" s="43">
        <f>IF(ISNUMBER(F352),F352,0)</f>
        <v/>
      </c>
      <c r="U352" s="43">
        <f>IF(ISNUMBER(G352),G352,0)</f>
        <v/>
      </c>
      <c r="V352" s="43">
        <f>IF(ISNUMBER(H352),H352,0)</f>
        <v/>
      </c>
      <c r="W352" s="43">
        <f>IF(ISNUMBER(I352),I352,0)</f>
        <v/>
      </c>
      <c r="X352" s="43">
        <f>IF(ISNUMBER(J352),J352,0)</f>
        <v/>
      </c>
      <c r="Y352" s="43">
        <f>IF(ISNUMBER(K352),K352,0)</f>
        <v/>
      </c>
    </row>
    <row r="353">
      <c r="A353" s="35" t="n"/>
      <c r="B353" s="35" t="n"/>
      <c r="C353" s="35" t="n"/>
      <c r="D353" s="25" t="n"/>
      <c r="E353" s="25" t="n"/>
      <c r="F353" s="25" t="n"/>
      <c r="G353" s="25" t="n"/>
      <c r="H353" s="25" t="n"/>
      <c r="I353" s="25" t="n"/>
      <c r="J353" s="25" t="n"/>
      <c r="K353" s="25" t="n"/>
      <c r="L353" s="35" t="n"/>
      <c r="M353" s="40">
        <f>IF(A353="","",IFERROR(INDEX(Applications!$B$2:$B$101,MATCH(A353,Applications!$A$2:$A$101,0))&amp;"",""))</f>
        <v/>
      </c>
      <c r="N353" s="41">
        <f>IF(A353="","",SUMPRODUCT(ISNUMBER(D353:K353)*($D$2:$K$2&gt;0)))</f>
        <v/>
      </c>
      <c r="O353" s="40">
        <f>IF(A353="","",IF(ISNA(MATCH(A353,Applications!$A$2:$A$101,0)),"Check ID",IF(ISNA(MATCH(B353,Settings!$C$13:$C$18,0)),"Check reviewer",IF(LEFT(C353,3)="Yes","Conflict, not counted",IF(COUNTIFS($A$3:A353,A353,$B$3:B353,B353)&gt;1,"Duplicate, not counted",IF(SUM($D$2:$K$2)=0,"Add weights on Rubric",IF(SUMPRODUCT(ISNUMBER(D353:K353)*((D353:K353&gt;4)+(D353:K353&lt;0)))&gt;0,"Check scores",IF(N353&lt;COUNTIF($D$2:$K$2,"&gt;0"),"Incomplete","Counted"))))))))</f>
        <v/>
      </c>
      <c r="P353" s="42">
        <f>IF(O353="Counted",ROUND(SUMPRODUCT(D353:K353,$D$2:$K$2)*100/(4*SUM($D$2:$K$2)),1),"")</f>
        <v/>
      </c>
      <c r="Q353" s="27">
        <f>IF(O353="Counted",1,0)</f>
        <v/>
      </c>
      <c r="R353" s="43">
        <f>IF(ISNUMBER(D353),D353,0)</f>
        <v/>
      </c>
      <c r="S353" s="43">
        <f>IF(ISNUMBER(E353),E353,0)</f>
        <v/>
      </c>
      <c r="T353" s="43">
        <f>IF(ISNUMBER(F353),F353,0)</f>
        <v/>
      </c>
      <c r="U353" s="43">
        <f>IF(ISNUMBER(G353),G353,0)</f>
        <v/>
      </c>
      <c r="V353" s="43">
        <f>IF(ISNUMBER(H353),H353,0)</f>
        <v/>
      </c>
      <c r="W353" s="43">
        <f>IF(ISNUMBER(I353),I353,0)</f>
        <v/>
      </c>
      <c r="X353" s="43">
        <f>IF(ISNUMBER(J353),J353,0)</f>
        <v/>
      </c>
      <c r="Y353" s="43">
        <f>IF(ISNUMBER(K353),K353,0)</f>
        <v/>
      </c>
    </row>
    <row r="354">
      <c r="A354" s="35" t="n"/>
      <c r="B354" s="35" t="n"/>
      <c r="C354" s="35" t="n"/>
      <c r="D354" s="25" t="n"/>
      <c r="E354" s="25" t="n"/>
      <c r="F354" s="25" t="n"/>
      <c r="G354" s="25" t="n"/>
      <c r="H354" s="25" t="n"/>
      <c r="I354" s="25" t="n"/>
      <c r="J354" s="25" t="n"/>
      <c r="K354" s="25" t="n"/>
      <c r="L354" s="35" t="n"/>
      <c r="M354" s="40">
        <f>IF(A354="","",IFERROR(INDEX(Applications!$B$2:$B$101,MATCH(A354,Applications!$A$2:$A$101,0))&amp;"",""))</f>
        <v/>
      </c>
      <c r="N354" s="41">
        <f>IF(A354="","",SUMPRODUCT(ISNUMBER(D354:K354)*($D$2:$K$2&gt;0)))</f>
        <v/>
      </c>
      <c r="O354" s="40">
        <f>IF(A354="","",IF(ISNA(MATCH(A354,Applications!$A$2:$A$101,0)),"Check ID",IF(ISNA(MATCH(B354,Settings!$C$13:$C$18,0)),"Check reviewer",IF(LEFT(C354,3)="Yes","Conflict, not counted",IF(COUNTIFS($A$3:A354,A354,$B$3:B354,B354)&gt;1,"Duplicate, not counted",IF(SUM($D$2:$K$2)=0,"Add weights on Rubric",IF(SUMPRODUCT(ISNUMBER(D354:K354)*((D354:K354&gt;4)+(D354:K354&lt;0)))&gt;0,"Check scores",IF(N354&lt;COUNTIF($D$2:$K$2,"&gt;0"),"Incomplete","Counted"))))))))</f>
        <v/>
      </c>
      <c r="P354" s="42">
        <f>IF(O354="Counted",ROUND(SUMPRODUCT(D354:K354,$D$2:$K$2)*100/(4*SUM($D$2:$K$2)),1),"")</f>
        <v/>
      </c>
      <c r="Q354" s="27">
        <f>IF(O354="Counted",1,0)</f>
        <v/>
      </c>
      <c r="R354" s="43">
        <f>IF(ISNUMBER(D354),D354,0)</f>
        <v/>
      </c>
      <c r="S354" s="43">
        <f>IF(ISNUMBER(E354),E354,0)</f>
        <v/>
      </c>
      <c r="T354" s="43">
        <f>IF(ISNUMBER(F354),F354,0)</f>
        <v/>
      </c>
      <c r="U354" s="43">
        <f>IF(ISNUMBER(G354),G354,0)</f>
        <v/>
      </c>
      <c r="V354" s="43">
        <f>IF(ISNUMBER(H354),H354,0)</f>
        <v/>
      </c>
      <c r="W354" s="43">
        <f>IF(ISNUMBER(I354),I354,0)</f>
        <v/>
      </c>
      <c r="X354" s="43">
        <f>IF(ISNUMBER(J354),J354,0)</f>
        <v/>
      </c>
      <c r="Y354" s="43">
        <f>IF(ISNUMBER(K354),K354,0)</f>
        <v/>
      </c>
    </row>
    <row r="355">
      <c r="A355" s="35" t="n"/>
      <c r="B355" s="35" t="n"/>
      <c r="C355" s="35" t="n"/>
      <c r="D355" s="25" t="n"/>
      <c r="E355" s="25" t="n"/>
      <c r="F355" s="25" t="n"/>
      <c r="G355" s="25" t="n"/>
      <c r="H355" s="25" t="n"/>
      <c r="I355" s="25" t="n"/>
      <c r="J355" s="25" t="n"/>
      <c r="K355" s="25" t="n"/>
      <c r="L355" s="35" t="n"/>
      <c r="M355" s="40">
        <f>IF(A355="","",IFERROR(INDEX(Applications!$B$2:$B$101,MATCH(A355,Applications!$A$2:$A$101,0))&amp;"",""))</f>
        <v/>
      </c>
      <c r="N355" s="41">
        <f>IF(A355="","",SUMPRODUCT(ISNUMBER(D355:K355)*($D$2:$K$2&gt;0)))</f>
        <v/>
      </c>
      <c r="O355" s="40">
        <f>IF(A355="","",IF(ISNA(MATCH(A355,Applications!$A$2:$A$101,0)),"Check ID",IF(ISNA(MATCH(B355,Settings!$C$13:$C$18,0)),"Check reviewer",IF(LEFT(C355,3)="Yes","Conflict, not counted",IF(COUNTIFS($A$3:A355,A355,$B$3:B355,B355)&gt;1,"Duplicate, not counted",IF(SUM($D$2:$K$2)=0,"Add weights on Rubric",IF(SUMPRODUCT(ISNUMBER(D355:K355)*((D355:K355&gt;4)+(D355:K355&lt;0)))&gt;0,"Check scores",IF(N355&lt;COUNTIF($D$2:$K$2,"&gt;0"),"Incomplete","Counted"))))))))</f>
        <v/>
      </c>
      <c r="P355" s="42">
        <f>IF(O355="Counted",ROUND(SUMPRODUCT(D355:K355,$D$2:$K$2)*100/(4*SUM($D$2:$K$2)),1),"")</f>
        <v/>
      </c>
      <c r="Q355" s="27">
        <f>IF(O355="Counted",1,0)</f>
        <v/>
      </c>
      <c r="R355" s="43">
        <f>IF(ISNUMBER(D355),D355,0)</f>
        <v/>
      </c>
      <c r="S355" s="43">
        <f>IF(ISNUMBER(E355),E355,0)</f>
        <v/>
      </c>
      <c r="T355" s="43">
        <f>IF(ISNUMBER(F355),F355,0)</f>
        <v/>
      </c>
      <c r="U355" s="43">
        <f>IF(ISNUMBER(G355),G355,0)</f>
        <v/>
      </c>
      <c r="V355" s="43">
        <f>IF(ISNUMBER(H355),H355,0)</f>
        <v/>
      </c>
      <c r="W355" s="43">
        <f>IF(ISNUMBER(I355),I355,0)</f>
        <v/>
      </c>
      <c r="X355" s="43">
        <f>IF(ISNUMBER(J355),J355,0)</f>
        <v/>
      </c>
      <c r="Y355" s="43">
        <f>IF(ISNUMBER(K355),K355,0)</f>
        <v/>
      </c>
    </row>
    <row r="356">
      <c r="A356" s="35" t="n"/>
      <c r="B356" s="35" t="n"/>
      <c r="C356" s="35" t="n"/>
      <c r="D356" s="25" t="n"/>
      <c r="E356" s="25" t="n"/>
      <c r="F356" s="25" t="n"/>
      <c r="G356" s="25" t="n"/>
      <c r="H356" s="25" t="n"/>
      <c r="I356" s="25" t="n"/>
      <c r="J356" s="25" t="n"/>
      <c r="K356" s="25" t="n"/>
      <c r="L356" s="35" t="n"/>
      <c r="M356" s="40">
        <f>IF(A356="","",IFERROR(INDEX(Applications!$B$2:$B$101,MATCH(A356,Applications!$A$2:$A$101,0))&amp;"",""))</f>
        <v/>
      </c>
      <c r="N356" s="41">
        <f>IF(A356="","",SUMPRODUCT(ISNUMBER(D356:K356)*($D$2:$K$2&gt;0)))</f>
        <v/>
      </c>
      <c r="O356" s="40">
        <f>IF(A356="","",IF(ISNA(MATCH(A356,Applications!$A$2:$A$101,0)),"Check ID",IF(ISNA(MATCH(B356,Settings!$C$13:$C$18,0)),"Check reviewer",IF(LEFT(C356,3)="Yes","Conflict, not counted",IF(COUNTIFS($A$3:A356,A356,$B$3:B356,B356)&gt;1,"Duplicate, not counted",IF(SUM($D$2:$K$2)=0,"Add weights on Rubric",IF(SUMPRODUCT(ISNUMBER(D356:K356)*((D356:K356&gt;4)+(D356:K356&lt;0)))&gt;0,"Check scores",IF(N356&lt;COUNTIF($D$2:$K$2,"&gt;0"),"Incomplete","Counted"))))))))</f>
        <v/>
      </c>
      <c r="P356" s="42">
        <f>IF(O356="Counted",ROUND(SUMPRODUCT(D356:K356,$D$2:$K$2)*100/(4*SUM($D$2:$K$2)),1),"")</f>
        <v/>
      </c>
      <c r="Q356" s="27">
        <f>IF(O356="Counted",1,0)</f>
        <v/>
      </c>
      <c r="R356" s="43">
        <f>IF(ISNUMBER(D356),D356,0)</f>
        <v/>
      </c>
      <c r="S356" s="43">
        <f>IF(ISNUMBER(E356),E356,0)</f>
        <v/>
      </c>
      <c r="T356" s="43">
        <f>IF(ISNUMBER(F356),F356,0)</f>
        <v/>
      </c>
      <c r="U356" s="43">
        <f>IF(ISNUMBER(G356),G356,0)</f>
        <v/>
      </c>
      <c r="V356" s="43">
        <f>IF(ISNUMBER(H356),H356,0)</f>
        <v/>
      </c>
      <c r="W356" s="43">
        <f>IF(ISNUMBER(I356),I356,0)</f>
        <v/>
      </c>
      <c r="X356" s="43">
        <f>IF(ISNUMBER(J356),J356,0)</f>
        <v/>
      </c>
      <c r="Y356" s="43">
        <f>IF(ISNUMBER(K356),K356,0)</f>
        <v/>
      </c>
    </row>
    <row r="357">
      <c r="A357" s="35" t="n"/>
      <c r="B357" s="35" t="n"/>
      <c r="C357" s="35" t="n"/>
      <c r="D357" s="25" t="n"/>
      <c r="E357" s="25" t="n"/>
      <c r="F357" s="25" t="n"/>
      <c r="G357" s="25" t="n"/>
      <c r="H357" s="25" t="n"/>
      <c r="I357" s="25" t="n"/>
      <c r="J357" s="25" t="n"/>
      <c r="K357" s="25" t="n"/>
      <c r="L357" s="35" t="n"/>
      <c r="M357" s="40">
        <f>IF(A357="","",IFERROR(INDEX(Applications!$B$2:$B$101,MATCH(A357,Applications!$A$2:$A$101,0))&amp;"",""))</f>
        <v/>
      </c>
      <c r="N357" s="41">
        <f>IF(A357="","",SUMPRODUCT(ISNUMBER(D357:K357)*($D$2:$K$2&gt;0)))</f>
        <v/>
      </c>
      <c r="O357" s="40">
        <f>IF(A357="","",IF(ISNA(MATCH(A357,Applications!$A$2:$A$101,0)),"Check ID",IF(ISNA(MATCH(B357,Settings!$C$13:$C$18,0)),"Check reviewer",IF(LEFT(C357,3)="Yes","Conflict, not counted",IF(COUNTIFS($A$3:A357,A357,$B$3:B357,B357)&gt;1,"Duplicate, not counted",IF(SUM($D$2:$K$2)=0,"Add weights on Rubric",IF(SUMPRODUCT(ISNUMBER(D357:K357)*((D357:K357&gt;4)+(D357:K357&lt;0)))&gt;0,"Check scores",IF(N357&lt;COUNTIF($D$2:$K$2,"&gt;0"),"Incomplete","Counted"))))))))</f>
        <v/>
      </c>
      <c r="P357" s="42">
        <f>IF(O357="Counted",ROUND(SUMPRODUCT(D357:K357,$D$2:$K$2)*100/(4*SUM($D$2:$K$2)),1),"")</f>
        <v/>
      </c>
      <c r="Q357" s="27">
        <f>IF(O357="Counted",1,0)</f>
        <v/>
      </c>
      <c r="R357" s="43">
        <f>IF(ISNUMBER(D357),D357,0)</f>
        <v/>
      </c>
      <c r="S357" s="43">
        <f>IF(ISNUMBER(E357),E357,0)</f>
        <v/>
      </c>
      <c r="T357" s="43">
        <f>IF(ISNUMBER(F357),F357,0)</f>
        <v/>
      </c>
      <c r="U357" s="43">
        <f>IF(ISNUMBER(G357),G357,0)</f>
        <v/>
      </c>
      <c r="V357" s="43">
        <f>IF(ISNUMBER(H357),H357,0)</f>
        <v/>
      </c>
      <c r="W357" s="43">
        <f>IF(ISNUMBER(I357),I357,0)</f>
        <v/>
      </c>
      <c r="X357" s="43">
        <f>IF(ISNUMBER(J357),J357,0)</f>
        <v/>
      </c>
      <c r="Y357" s="43">
        <f>IF(ISNUMBER(K357),K357,0)</f>
        <v/>
      </c>
    </row>
    <row r="358">
      <c r="A358" s="35" t="n"/>
      <c r="B358" s="35" t="n"/>
      <c r="C358" s="35" t="n"/>
      <c r="D358" s="25" t="n"/>
      <c r="E358" s="25" t="n"/>
      <c r="F358" s="25" t="n"/>
      <c r="G358" s="25" t="n"/>
      <c r="H358" s="25" t="n"/>
      <c r="I358" s="25" t="n"/>
      <c r="J358" s="25" t="n"/>
      <c r="K358" s="25" t="n"/>
      <c r="L358" s="35" t="n"/>
      <c r="M358" s="40">
        <f>IF(A358="","",IFERROR(INDEX(Applications!$B$2:$B$101,MATCH(A358,Applications!$A$2:$A$101,0))&amp;"",""))</f>
        <v/>
      </c>
      <c r="N358" s="41">
        <f>IF(A358="","",SUMPRODUCT(ISNUMBER(D358:K358)*($D$2:$K$2&gt;0)))</f>
        <v/>
      </c>
      <c r="O358" s="40">
        <f>IF(A358="","",IF(ISNA(MATCH(A358,Applications!$A$2:$A$101,0)),"Check ID",IF(ISNA(MATCH(B358,Settings!$C$13:$C$18,0)),"Check reviewer",IF(LEFT(C358,3)="Yes","Conflict, not counted",IF(COUNTIFS($A$3:A358,A358,$B$3:B358,B358)&gt;1,"Duplicate, not counted",IF(SUM($D$2:$K$2)=0,"Add weights on Rubric",IF(SUMPRODUCT(ISNUMBER(D358:K358)*((D358:K358&gt;4)+(D358:K358&lt;0)))&gt;0,"Check scores",IF(N358&lt;COUNTIF($D$2:$K$2,"&gt;0"),"Incomplete","Counted"))))))))</f>
        <v/>
      </c>
      <c r="P358" s="42">
        <f>IF(O358="Counted",ROUND(SUMPRODUCT(D358:K358,$D$2:$K$2)*100/(4*SUM($D$2:$K$2)),1),"")</f>
        <v/>
      </c>
      <c r="Q358" s="27">
        <f>IF(O358="Counted",1,0)</f>
        <v/>
      </c>
      <c r="R358" s="43">
        <f>IF(ISNUMBER(D358),D358,0)</f>
        <v/>
      </c>
      <c r="S358" s="43">
        <f>IF(ISNUMBER(E358),E358,0)</f>
        <v/>
      </c>
      <c r="T358" s="43">
        <f>IF(ISNUMBER(F358),F358,0)</f>
        <v/>
      </c>
      <c r="U358" s="43">
        <f>IF(ISNUMBER(G358),G358,0)</f>
        <v/>
      </c>
      <c r="V358" s="43">
        <f>IF(ISNUMBER(H358),H358,0)</f>
        <v/>
      </c>
      <c r="W358" s="43">
        <f>IF(ISNUMBER(I358),I358,0)</f>
        <v/>
      </c>
      <c r="X358" s="43">
        <f>IF(ISNUMBER(J358),J358,0)</f>
        <v/>
      </c>
      <c r="Y358" s="43">
        <f>IF(ISNUMBER(K358),K358,0)</f>
        <v/>
      </c>
    </row>
    <row r="359">
      <c r="A359" s="35" t="n"/>
      <c r="B359" s="35" t="n"/>
      <c r="C359" s="35" t="n"/>
      <c r="D359" s="25" t="n"/>
      <c r="E359" s="25" t="n"/>
      <c r="F359" s="25" t="n"/>
      <c r="G359" s="25" t="n"/>
      <c r="H359" s="25" t="n"/>
      <c r="I359" s="25" t="n"/>
      <c r="J359" s="25" t="n"/>
      <c r="K359" s="25" t="n"/>
      <c r="L359" s="35" t="n"/>
      <c r="M359" s="40">
        <f>IF(A359="","",IFERROR(INDEX(Applications!$B$2:$B$101,MATCH(A359,Applications!$A$2:$A$101,0))&amp;"",""))</f>
        <v/>
      </c>
      <c r="N359" s="41">
        <f>IF(A359="","",SUMPRODUCT(ISNUMBER(D359:K359)*($D$2:$K$2&gt;0)))</f>
        <v/>
      </c>
      <c r="O359" s="40">
        <f>IF(A359="","",IF(ISNA(MATCH(A359,Applications!$A$2:$A$101,0)),"Check ID",IF(ISNA(MATCH(B359,Settings!$C$13:$C$18,0)),"Check reviewer",IF(LEFT(C359,3)="Yes","Conflict, not counted",IF(COUNTIFS($A$3:A359,A359,$B$3:B359,B359)&gt;1,"Duplicate, not counted",IF(SUM($D$2:$K$2)=0,"Add weights on Rubric",IF(SUMPRODUCT(ISNUMBER(D359:K359)*((D359:K359&gt;4)+(D359:K359&lt;0)))&gt;0,"Check scores",IF(N359&lt;COUNTIF($D$2:$K$2,"&gt;0"),"Incomplete","Counted"))))))))</f>
        <v/>
      </c>
      <c r="P359" s="42">
        <f>IF(O359="Counted",ROUND(SUMPRODUCT(D359:K359,$D$2:$K$2)*100/(4*SUM($D$2:$K$2)),1),"")</f>
        <v/>
      </c>
      <c r="Q359" s="27">
        <f>IF(O359="Counted",1,0)</f>
        <v/>
      </c>
      <c r="R359" s="43">
        <f>IF(ISNUMBER(D359),D359,0)</f>
        <v/>
      </c>
      <c r="S359" s="43">
        <f>IF(ISNUMBER(E359),E359,0)</f>
        <v/>
      </c>
      <c r="T359" s="43">
        <f>IF(ISNUMBER(F359),F359,0)</f>
        <v/>
      </c>
      <c r="U359" s="43">
        <f>IF(ISNUMBER(G359),G359,0)</f>
        <v/>
      </c>
      <c r="V359" s="43">
        <f>IF(ISNUMBER(H359),H359,0)</f>
        <v/>
      </c>
      <c r="W359" s="43">
        <f>IF(ISNUMBER(I359),I359,0)</f>
        <v/>
      </c>
      <c r="X359" s="43">
        <f>IF(ISNUMBER(J359),J359,0)</f>
        <v/>
      </c>
      <c r="Y359" s="43">
        <f>IF(ISNUMBER(K359),K359,0)</f>
        <v/>
      </c>
    </row>
    <row r="360">
      <c r="A360" s="35" t="n"/>
      <c r="B360" s="35" t="n"/>
      <c r="C360" s="35" t="n"/>
      <c r="D360" s="25" t="n"/>
      <c r="E360" s="25" t="n"/>
      <c r="F360" s="25" t="n"/>
      <c r="G360" s="25" t="n"/>
      <c r="H360" s="25" t="n"/>
      <c r="I360" s="25" t="n"/>
      <c r="J360" s="25" t="n"/>
      <c r="K360" s="25" t="n"/>
      <c r="L360" s="35" t="n"/>
      <c r="M360" s="40">
        <f>IF(A360="","",IFERROR(INDEX(Applications!$B$2:$B$101,MATCH(A360,Applications!$A$2:$A$101,0))&amp;"",""))</f>
        <v/>
      </c>
      <c r="N360" s="41">
        <f>IF(A360="","",SUMPRODUCT(ISNUMBER(D360:K360)*($D$2:$K$2&gt;0)))</f>
        <v/>
      </c>
      <c r="O360" s="40">
        <f>IF(A360="","",IF(ISNA(MATCH(A360,Applications!$A$2:$A$101,0)),"Check ID",IF(ISNA(MATCH(B360,Settings!$C$13:$C$18,0)),"Check reviewer",IF(LEFT(C360,3)="Yes","Conflict, not counted",IF(COUNTIFS($A$3:A360,A360,$B$3:B360,B360)&gt;1,"Duplicate, not counted",IF(SUM($D$2:$K$2)=0,"Add weights on Rubric",IF(SUMPRODUCT(ISNUMBER(D360:K360)*((D360:K360&gt;4)+(D360:K360&lt;0)))&gt;0,"Check scores",IF(N360&lt;COUNTIF($D$2:$K$2,"&gt;0"),"Incomplete","Counted"))))))))</f>
        <v/>
      </c>
      <c r="P360" s="42">
        <f>IF(O360="Counted",ROUND(SUMPRODUCT(D360:K360,$D$2:$K$2)*100/(4*SUM($D$2:$K$2)),1),"")</f>
        <v/>
      </c>
      <c r="Q360" s="27">
        <f>IF(O360="Counted",1,0)</f>
        <v/>
      </c>
      <c r="R360" s="43">
        <f>IF(ISNUMBER(D360),D360,0)</f>
        <v/>
      </c>
      <c r="S360" s="43">
        <f>IF(ISNUMBER(E360),E360,0)</f>
        <v/>
      </c>
      <c r="T360" s="43">
        <f>IF(ISNUMBER(F360),F360,0)</f>
        <v/>
      </c>
      <c r="U360" s="43">
        <f>IF(ISNUMBER(G360),G360,0)</f>
        <v/>
      </c>
      <c r="V360" s="43">
        <f>IF(ISNUMBER(H360),H360,0)</f>
        <v/>
      </c>
      <c r="W360" s="43">
        <f>IF(ISNUMBER(I360),I360,0)</f>
        <v/>
      </c>
      <c r="X360" s="43">
        <f>IF(ISNUMBER(J360),J360,0)</f>
        <v/>
      </c>
      <c r="Y360" s="43">
        <f>IF(ISNUMBER(K360),K360,0)</f>
        <v/>
      </c>
    </row>
    <row r="361">
      <c r="A361" s="35" t="n"/>
      <c r="B361" s="35" t="n"/>
      <c r="C361" s="35" t="n"/>
      <c r="D361" s="25" t="n"/>
      <c r="E361" s="25" t="n"/>
      <c r="F361" s="25" t="n"/>
      <c r="G361" s="25" t="n"/>
      <c r="H361" s="25" t="n"/>
      <c r="I361" s="25" t="n"/>
      <c r="J361" s="25" t="n"/>
      <c r="K361" s="25" t="n"/>
      <c r="L361" s="35" t="n"/>
      <c r="M361" s="40">
        <f>IF(A361="","",IFERROR(INDEX(Applications!$B$2:$B$101,MATCH(A361,Applications!$A$2:$A$101,0))&amp;"",""))</f>
        <v/>
      </c>
      <c r="N361" s="41">
        <f>IF(A361="","",SUMPRODUCT(ISNUMBER(D361:K361)*($D$2:$K$2&gt;0)))</f>
        <v/>
      </c>
      <c r="O361" s="40">
        <f>IF(A361="","",IF(ISNA(MATCH(A361,Applications!$A$2:$A$101,0)),"Check ID",IF(ISNA(MATCH(B361,Settings!$C$13:$C$18,0)),"Check reviewer",IF(LEFT(C361,3)="Yes","Conflict, not counted",IF(COUNTIFS($A$3:A361,A361,$B$3:B361,B361)&gt;1,"Duplicate, not counted",IF(SUM($D$2:$K$2)=0,"Add weights on Rubric",IF(SUMPRODUCT(ISNUMBER(D361:K361)*((D361:K361&gt;4)+(D361:K361&lt;0)))&gt;0,"Check scores",IF(N361&lt;COUNTIF($D$2:$K$2,"&gt;0"),"Incomplete","Counted"))))))))</f>
        <v/>
      </c>
      <c r="P361" s="42">
        <f>IF(O361="Counted",ROUND(SUMPRODUCT(D361:K361,$D$2:$K$2)*100/(4*SUM($D$2:$K$2)),1),"")</f>
        <v/>
      </c>
      <c r="Q361" s="27">
        <f>IF(O361="Counted",1,0)</f>
        <v/>
      </c>
      <c r="R361" s="43">
        <f>IF(ISNUMBER(D361),D361,0)</f>
        <v/>
      </c>
      <c r="S361" s="43">
        <f>IF(ISNUMBER(E361),E361,0)</f>
        <v/>
      </c>
      <c r="T361" s="43">
        <f>IF(ISNUMBER(F361),F361,0)</f>
        <v/>
      </c>
      <c r="U361" s="43">
        <f>IF(ISNUMBER(G361),G361,0)</f>
        <v/>
      </c>
      <c r="V361" s="43">
        <f>IF(ISNUMBER(H361),H361,0)</f>
        <v/>
      </c>
      <c r="W361" s="43">
        <f>IF(ISNUMBER(I361),I361,0)</f>
        <v/>
      </c>
      <c r="X361" s="43">
        <f>IF(ISNUMBER(J361),J361,0)</f>
        <v/>
      </c>
      <c r="Y361" s="43">
        <f>IF(ISNUMBER(K361),K361,0)</f>
        <v/>
      </c>
    </row>
    <row r="362">
      <c r="A362" s="35" t="n"/>
      <c r="B362" s="35" t="n"/>
      <c r="C362" s="35" t="n"/>
      <c r="D362" s="25" t="n"/>
      <c r="E362" s="25" t="n"/>
      <c r="F362" s="25" t="n"/>
      <c r="G362" s="25" t="n"/>
      <c r="H362" s="25" t="n"/>
      <c r="I362" s="25" t="n"/>
      <c r="J362" s="25" t="n"/>
      <c r="K362" s="25" t="n"/>
      <c r="L362" s="35" t="n"/>
      <c r="M362" s="40">
        <f>IF(A362="","",IFERROR(INDEX(Applications!$B$2:$B$101,MATCH(A362,Applications!$A$2:$A$101,0))&amp;"",""))</f>
        <v/>
      </c>
      <c r="N362" s="41">
        <f>IF(A362="","",SUMPRODUCT(ISNUMBER(D362:K362)*($D$2:$K$2&gt;0)))</f>
        <v/>
      </c>
      <c r="O362" s="40">
        <f>IF(A362="","",IF(ISNA(MATCH(A362,Applications!$A$2:$A$101,0)),"Check ID",IF(ISNA(MATCH(B362,Settings!$C$13:$C$18,0)),"Check reviewer",IF(LEFT(C362,3)="Yes","Conflict, not counted",IF(COUNTIFS($A$3:A362,A362,$B$3:B362,B362)&gt;1,"Duplicate, not counted",IF(SUM($D$2:$K$2)=0,"Add weights on Rubric",IF(SUMPRODUCT(ISNUMBER(D362:K362)*((D362:K362&gt;4)+(D362:K362&lt;0)))&gt;0,"Check scores",IF(N362&lt;COUNTIF($D$2:$K$2,"&gt;0"),"Incomplete","Counted"))))))))</f>
        <v/>
      </c>
      <c r="P362" s="42">
        <f>IF(O362="Counted",ROUND(SUMPRODUCT(D362:K362,$D$2:$K$2)*100/(4*SUM($D$2:$K$2)),1),"")</f>
        <v/>
      </c>
      <c r="Q362" s="27">
        <f>IF(O362="Counted",1,0)</f>
        <v/>
      </c>
      <c r="R362" s="43">
        <f>IF(ISNUMBER(D362),D362,0)</f>
        <v/>
      </c>
      <c r="S362" s="43">
        <f>IF(ISNUMBER(E362),E362,0)</f>
        <v/>
      </c>
      <c r="T362" s="43">
        <f>IF(ISNUMBER(F362),F362,0)</f>
        <v/>
      </c>
      <c r="U362" s="43">
        <f>IF(ISNUMBER(G362),G362,0)</f>
        <v/>
      </c>
      <c r="V362" s="43">
        <f>IF(ISNUMBER(H362),H362,0)</f>
        <v/>
      </c>
      <c r="W362" s="43">
        <f>IF(ISNUMBER(I362),I362,0)</f>
        <v/>
      </c>
      <c r="X362" s="43">
        <f>IF(ISNUMBER(J362),J362,0)</f>
        <v/>
      </c>
      <c r="Y362" s="43">
        <f>IF(ISNUMBER(K362),K362,0)</f>
        <v/>
      </c>
    </row>
    <row r="363">
      <c r="A363" s="35" t="n"/>
      <c r="B363" s="35" t="n"/>
      <c r="C363" s="35" t="n"/>
      <c r="D363" s="25" t="n"/>
      <c r="E363" s="25" t="n"/>
      <c r="F363" s="25" t="n"/>
      <c r="G363" s="25" t="n"/>
      <c r="H363" s="25" t="n"/>
      <c r="I363" s="25" t="n"/>
      <c r="J363" s="25" t="n"/>
      <c r="K363" s="25" t="n"/>
      <c r="L363" s="35" t="n"/>
      <c r="M363" s="40">
        <f>IF(A363="","",IFERROR(INDEX(Applications!$B$2:$B$101,MATCH(A363,Applications!$A$2:$A$101,0))&amp;"",""))</f>
        <v/>
      </c>
      <c r="N363" s="41">
        <f>IF(A363="","",SUMPRODUCT(ISNUMBER(D363:K363)*($D$2:$K$2&gt;0)))</f>
        <v/>
      </c>
      <c r="O363" s="40">
        <f>IF(A363="","",IF(ISNA(MATCH(A363,Applications!$A$2:$A$101,0)),"Check ID",IF(ISNA(MATCH(B363,Settings!$C$13:$C$18,0)),"Check reviewer",IF(LEFT(C363,3)="Yes","Conflict, not counted",IF(COUNTIFS($A$3:A363,A363,$B$3:B363,B363)&gt;1,"Duplicate, not counted",IF(SUM($D$2:$K$2)=0,"Add weights on Rubric",IF(SUMPRODUCT(ISNUMBER(D363:K363)*((D363:K363&gt;4)+(D363:K363&lt;0)))&gt;0,"Check scores",IF(N363&lt;COUNTIF($D$2:$K$2,"&gt;0"),"Incomplete","Counted"))))))))</f>
        <v/>
      </c>
      <c r="P363" s="42">
        <f>IF(O363="Counted",ROUND(SUMPRODUCT(D363:K363,$D$2:$K$2)*100/(4*SUM($D$2:$K$2)),1),"")</f>
        <v/>
      </c>
      <c r="Q363" s="27">
        <f>IF(O363="Counted",1,0)</f>
        <v/>
      </c>
      <c r="R363" s="43">
        <f>IF(ISNUMBER(D363),D363,0)</f>
        <v/>
      </c>
      <c r="S363" s="43">
        <f>IF(ISNUMBER(E363),E363,0)</f>
        <v/>
      </c>
      <c r="T363" s="43">
        <f>IF(ISNUMBER(F363),F363,0)</f>
        <v/>
      </c>
      <c r="U363" s="43">
        <f>IF(ISNUMBER(G363),G363,0)</f>
        <v/>
      </c>
      <c r="V363" s="43">
        <f>IF(ISNUMBER(H363),H363,0)</f>
        <v/>
      </c>
      <c r="W363" s="43">
        <f>IF(ISNUMBER(I363),I363,0)</f>
        <v/>
      </c>
      <c r="X363" s="43">
        <f>IF(ISNUMBER(J363),J363,0)</f>
        <v/>
      </c>
      <c r="Y363" s="43">
        <f>IF(ISNUMBER(K363),K363,0)</f>
        <v/>
      </c>
    </row>
    <row r="364">
      <c r="A364" s="35" t="n"/>
      <c r="B364" s="35" t="n"/>
      <c r="C364" s="35" t="n"/>
      <c r="D364" s="25" t="n"/>
      <c r="E364" s="25" t="n"/>
      <c r="F364" s="25" t="n"/>
      <c r="G364" s="25" t="n"/>
      <c r="H364" s="25" t="n"/>
      <c r="I364" s="25" t="n"/>
      <c r="J364" s="25" t="n"/>
      <c r="K364" s="25" t="n"/>
      <c r="L364" s="35" t="n"/>
      <c r="M364" s="40">
        <f>IF(A364="","",IFERROR(INDEX(Applications!$B$2:$B$101,MATCH(A364,Applications!$A$2:$A$101,0))&amp;"",""))</f>
        <v/>
      </c>
      <c r="N364" s="41">
        <f>IF(A364="","",SUMPRODUCT(ISNUMBER(D364:K364)*($D$2:$K$2&gt;0)))</f>
        <v/>
      </c>
      <c r="O364" s="40">
        <f>IF(A364="","",IF(ISNA(MATCH(A364,Applications!$A$2:$A$101,0)),"Check ID",IF(ISNA(MATCH(B364,Settings!$C$13:$C$18,0)),"Check reviewer",IF(LEFT(C364,3)="Yes","Conflict, not counted",IF(COUNTIFS($A$3:A364,A364,$B$3:B364,B364)&gt;1,"Duplicate, not counted",IF(SUM($D$2:$K$2)=0,"Add weights on Rubric",IF(SUMPRODUCT(ISNUMBER(D364:K364)*((D364:K364&gt;4)+(D364:K364&lt;0)))&gt;0,"Check scores",IF(N364&lt;COUNTIF($D$2:$K$2,"&gt;0"),"Incomplete","Counted"))))))))</f>
        <v/>
      </c>
      <c r="P364" s="42">
        <f>IF(O364="Counted",ROUND(SUMPRODUCT(D364:K364,$D$2:$K$2)*100/(4*SUM($D$2:$K$2)),1),"")</f>
        <v/>
      </c>
      <c r="Q364" s="27">
        <f>IF(O364="Counted",1,0)</f>
        <v/>
      </c>
      <c r="R364" s="43">
        <f>IF(ISNUMBER(D364),D364,0)</f>
        <v/>
      </c>
      <c r="S364" s="43">
        <f>IF(ISNUMBER(E364),E364,0)</f>
        <v/>
      </c>
      <c r="T364" s="43">
        <f>IF(ISNUMBER(F364),F364,0)</f>
        <v/>
      </c>
      <c r="U364" s="43">
        <f>IF(ISNUMBER(G364),G364,0)</f>
        <v/>
      </c>
      <c r="V364" s="43">
        <f>IF(ISNUMBER(H364),H364,0)</f>
        <v/>
      </c>
      <c r="W364" s="43">
        <f>IF(ISNUMBER(I364),I364,0)</f>
        <v/>
      </c>
      <c r="X364" s="43">
        <f>IF(ISNUMBER(J364),J364,0)</f>
        <v/>
      </c>
      <c r="Y364" s="43">
        <f>IF(ISNUMBER(K364),K364,0)</f>
        <v/>
      </c>
    </row>
    <row r="365">
      <c r="A365" s="35" t="n"/>
      <c r="B365" s="35" t="n"/>
      <c r="C365" s="35" t="n"/>
      <c r="D365" s="25" t="n"/>
      <c r="E365" s="25" t="n"/>
      <c r="F365" s="25" t="n"/>
      <c r="G365" s="25" t="n"/>
      <c r="H365" s="25" t="n"/>
      <c r="I365" s="25" t="n"/>
      <c r="J365" s="25" t="n"/>
      <c r="K365" s="25" t="n"/>
      <c r="L365" s="35" t="n"/>
      <c r="M365" s="40">
        <f>IF(A365="","",IFERROR(INDEX(Applications!$B$2:$B$101,MATCH(A365,Applications!$A$2:$A$101,0))&amp;"",""))</f>
        <v/>
      </c>
      <c r="N365" s="41">
        <f>IF(A365="","",SUMPRODUCT(ISNUMBER(D365:K365)*($D$2:$K$2&gt;0)))</f>
        <v/>
      </c>
      <c r="O365" s="40">
        <f>IF(A365="","",IF(ISNA(MATCH(A365,Applications!$A$2:$A$101,0)),"Check ID",IF(ISNA(MATCH(B365,Settings!$C$13:$C$18,0)),"Check reviewer",IF(LEFT(C365,3)="Yes","Conflict, not counted",IF(COUNTIFS($A$3:A365,A365,$B$3:B365,B365)&gt;1,"Duplicate, not counted",IF(SUM($D$2:$K$2)=0,"Add weights on Rubric",IF(SUMPRODUCT(ISNUMBER(D365:K365)*((D365:K365&gt;4)+(D365:K365&lt;0)))&gt;0,"Check scores",IF(N365&lt;COUNTIF($D$2:$K$2,"&gt;0"),"Incomplete","Counted"))))))))</f>
        <v/>
      </c>
      <c r="P365" s="42">
        <f>IF(O365="Counted",ROUND(SUMPRODUCT(D365:K365,$D$2:$K$2)*100/(4*SUM($D$2:$K$2)),1),"")</f>
        <v/>
      </c>
      <c r="Q365" s="27">
        <f>IF(O365="Counted",1,0)</f>
        <v/>
      </c>
      <c r="R365" s="43">
        <f>IF(ISNUMBER(D365),D365,0)</f>
        <v/>
      </c>
      <c r="S365" s="43">
        <f>IF(ISNUMBER(E365),E365,0)</f>
        <v/>
      </c>
      <c r="T365" s="43">
        <f>IF(ISNUMBER(F365),F365,0)</f>
        <v/>
      </c>
      <c r="U365" s="43">
        <f>IF(ISNUMBER(G365),G365,0)</f>
        <v/>
      </c>
      <c r="V365" s="43">
        <f>IF(ISNUMBER(H365),H365,0)</f>
        <v/>
      </c>
      <c r="W365" s="43">
        <f>IF(ISNUMBER(I365),I365,0)</f>
        <v/>
      </c>
      <c r="X365" s="43">
        <f>IF(ISNUMBER(J365),J365,0)</f>
        <v/>
      </c>
      <c r="Y365" s="43">
        <f>IF(ISNUMBER(K365),K365,0)</f>
        <v/>
      </c>
    </row>
    <row r="366">
      <c r="A366" s="35" t="n"/>
      <c r="B366" s="35" t="n"/>
      <c r="C366" s="35" t="n"/>
      <c r="D366" s="25" t="n"/>
      <c r="E366" s="25" t="n"/>
      <c r="F366" s="25" t="n"/>
      <c r="G366" s="25" t="n"/>
      <c r="H366" s="25" t="n"/>
      <c r="I366" s="25" t="n"/>
      <c r="J366" s="25" t="n"/>
      <c r="K366" s="25" t="n"/>
      <c r="L366" s="35" t="n"/>
      <c r="M366" s="40">
        <f>IF(A366="","",IFERROR(INDEX(Applications!$B$2:$B$101,MATCH(A366,Applications!$A$2:$A$101,0))&amp;"",""))</f>
        <v/>
      </c>
      <c r="N366" s="41">
        <f>IF(A366="","",SUMPRODUCT(ISNUMBER(D366:K366)*($D$2:$K$2&gt;0)))</f>
        <v/>
      </c>
      <c r="O366" s="40">
        <f>IF(A366="","",IF(ISNA(MATCH(A366,Applications!$A$2:$A$101,0)),"Check ID",IF(ISNA(MATCH(B366,Settings!$C$13:$C$18,0)),"Check reviewer",IF(LEFT(C366,3)="Yes","Conflict, not counted",IF(COUNTIFS($A$3:A366,A366,$B$3:B366,B366)&gt;1,"Duplicate, not counted",IF(SUM($D$2:$K$2)=0,"Add weights on Rubric",IF(SUMPRODUCT(ISNUMBER(D366:K366)*((D366:K366&gt;4)+(D366:K366&lt;0)))&gt;0,"Check scores",IF(N366&lt;COUNTIF($D$2:$K$2,"&gt;0"),"Incomplete","Counted"))))))))</f>
        <v/>
      </c>
      <c r="P366" s="42">
        <f>IF(O366="Counted",ROUND(SUMPRODUCT(D366:K366,$D$2:$K$2)*100/(4*SUM($D$2:$K$2)),1),"")</f>
        <v/>
      </c>
      <c r="Q366" s="27">
        <f>IF(O366="Counted",1,0)</f>
        <v/>
      </c>
      <c r="R366" s="43">
        <f>IF(ISNUMBER(D366),D366,0)</f>
        <v/>
      </c>
      <c r="S366" s="43">
        <f>IF(ISNUMBER(E366),E366,0)</f>
        <v/>
      </c>
      <c r="T366" s="43">
        <f>IF(ISNUMBER(F366),F366,0)</f>
        <v/>
      </c>
      <c r="U366" s="43">
        <f>IF(ISNUMBER(G366),G366,0)</f>
        <v/>
      </c>
      <c r="V366" s="43">
        <f>IF(ISNUMBER(H366),H366,0)</f>
        <v/>
      </c>
      <c r="W366" s="43">
        <f>IF(ISNUMBER(I366),I366,0)</f>
        <v/>
      </c>
      <c r="X366" s="43">
        <f>IF(ISNUMBER(J366),J366,0)</f>
        <v/>
      </c>
      <c r="Y366" s="43">
        <f>IF(ISNUMBER(K366),K366,0)</f>
        <v/>
      </c>
    </row>
    <row r="367">
      <c r="A367" s="35" t="n"/>
      <c r="B367" s="35" t="n"/>
      <c r="C367" s="35" t="n"/>
      <c r="D367" s="25" t="n"/>
      <c r="E367" s="25" t="n"/>
      <c r="F367" s="25" t="n"/>
      <c r="G367" s="25" t="n"/>
      <c r="H367" s="25" t="n"/>
      <c r="I367" s="25" t="n"/>
      <c r="J367" s="25" t="n"/>
      <c r="K367" s="25" t="n"/>
      <c r="L367" s="35" t="n"/>
      <c r="M367" s="40">
        <f>IF(A367="","",IFERROR(INDEX(Applications!$B$2:$B$101,MATCH(A367,Applications!$A$2:$A$101,0))&amp;"",""))</f>
        <v/>
      </c>
      <c r="N367" s="41">
        <f>IF(A367="","",SUMPRODUCT(ISNUMBER(D367:K367)*($D$2:$K$2&gt;0)))</f>
        <v/>
      </c>
      <c r="O367" s="40">
        <f>IF(A367="","",IF(ISNA(MATCH(A367,Applications!$A$2:$A$101,0)),"Check ID",IF(ISNA(MATCH(B367,Settings!$C$13:$C$18,0)),"Check reviewer",IF(LEFT(C367,3)="Yes","Conflict, not counted",IF(COUNTIFS($A$3:A367,A367,$B$3:B367,B367)&gt;1,"Duplicate, not counted",IF(SUM($D$2:$K$2)=0,"Add weights on Rubric",IF(SUMPRODUCT(ISNUMBER(D367:K367)*((D367:K367&gt;4)+(D367:K367&lt;0)))&gt;0,"Check scores",IF(N367&lt;COUNTIF($D$2:$K$2,"&gt;0"),"Incomplete","Counted"))))))))</f>
        <v/>
      </c>
      <c r="P367" s="42">
        <f>IF(O367="Counted",ROUND(SUMPRODUCT(D367:K367,$D$2:$K$2)*100/(4*SUM($D$2:$K$2)),1),"")</f>
        <v/>
      </c>
      <c r="Q367" s="27">
        <f>IF(O367="Counted",1,0)</f>
        <v/>
      </c>
      <c r="R367" s="43">
        <f>IF(ISNUMBER(D367),D367,0)</f>
        <v/>
      </c>
      <c r="S367" s="43">
        <f>IF(ISNUMBER(E367),E367,0)</f>
        <v/>
      </c>
      <c r="T367" s="43">
        <f>IF(ISNUMBER(F367),F367,0)</f>
        <v/>
      </c>
      <c r="U367" s="43">
        <f>IF(ISNUMBER(G367),G367,0)</f>
        <v/>
      </c>
      <c r="V367" s="43">
        <f>IF(ISNUMBER(H367),H367,0)</f>
        <v/>
      </c>
      <c r="W367" s="43">
        <f>IF(ISNUMBER(I367),I367,0)</f>
        <v/>
      </c>
      <c r="X367" s="43">
        <f>IF(ISNUMBER(J367),J367,0)</f>
        <v/>
      </c>
      <c r="Y367" s="43">
        <f>IF(ISNUMBER(K367),K367,0)</f>
        <v/>
      </c>
    </row>
    <row r="368">
      <c r="A368" s="35" t="n"/>
      <c r="B368" s="35" t="n"/>
      <c r="C368" s="35" t="n"/>
      <c r="D368" s="25" t="n"/>
      <c r="E368" s="25" t="n"/>
      <c r="F368" s="25" t="n"/>
      <c r="G368" s="25" t="n"/>
      <c r="H368" s="25" t="n"/>
      <c r="I368" s="25" t="n"/>
      <c r="J368" s="25" t="n"/>
      <c r="K368" s="25" t="n"/>
      <c r="L368" s="35" t="n"/>
      <c r="M368" s="40">
        <f>IF(A368="","",IFERROR(INDEX(Applications!$B$2:$B$101,MATCH(A368,Applications!$A$2:$A$101,0))&amp;"",""))</f>
        <v/>
      </c>
      <c r="N368" s="41">
        <f>IF(A368="","",SUMPRODUCT(ISNUMBER(D368:K368)*($D$2:$K$2&gt;0)))</f>
        <v/>
      </c>
      <c r="O368" s="40">
        <f>IF(A368="","",IF(ISNA(MATCH(A368,Applications!$A$2:$A$101,0)),"Check ID",IF(ISNA(MATCH(B368,Settings!$C$13:$C$18,0)),"Check reviewer",IF(LEFT(C368,3)="Yes","Conflict, not counted",IF(COUNTIFS($A$3:A368,A368,$B$3:B368,B368)&gt;1,"Duplicate, not counted",IF(SUM($D$2:$K$2)=0,"Add weights on Rubric",IF(SUMPRODUCT(ISNUMBER(D368:K368)*((D368:K368&gt;4)+(D368:K368&lt;0)))&gt;0,"Check scores",IF(N368&lt;COUNTIF($D$2:$K$2,"&gt;0"),"Incomplete","Counted"))))))))</f>
        <v/>
      </c>
      <c r="P368" s="42">
        <f>IF(O368="Counted",ROUND(SUMPRODUCT(D368:K368,$D$2:$K$2)*100/(4*SUM($D$2:$K$2)),1),"")</f>
        <v/>
      </c>
      <c r="Q368" s="27">
        <f>IF(O368="Counted",1,0)</f>
        <v/>
      </c>
      <c r="R368" s="43">
        <f>IF(ISNUMBER(D368),D368,0)</f>
        <v/>
      </c>
      <c r="S368" s="43">
        <f>IF(ISNUMBER(E368),E368,0)</f>
        <v/>
      </c>
      <c r="T368" s="43">
        <f>IF(ISNUMBER(F368),F368,0)</f>
        <v/>
      </c>
      <c r="U368" s="43">
        <f>IF(ISNUMBER(G368),G368,0)</f>
        <v/>
      </c>
      <c r="V368" s="43">
        <f>IF(ISNUMBER(H368),H368,0)</f>
        <v/>
      </c>
      <c r="W368" s="43">
        <f>IF(ISNUMBER(I368),I368,0)</f>
        <v/>
      </c>
      <c r="X368" s="43">
        <f>IF(ISNUMBER(J368),J368,0)</f>
        <v/>
      </c>
      <c r="Y368" s="43">
        <f>IF(ISNUMBER(K368),K368,0)</f>
        <v/>
      </c>
    </row>
    <row r="369">
      <c r="A369" s="35" t="n"/>
      <c r="B369" s="35" t="n"/>
      <c r="C369" s="35" t="n"/>
      <c r="D369" s="25" t="n"/>
      <c r="E369" s="25" t="n"/>
      <c r="F369" s="25" t="n"/>
      <c r="G369" s="25" t="n"/>
      <c r="H369" s="25" t="n"/>
      <c r="I369" s="25" t="n"/>
      <c r="J369" s="25" t="n"/>
      <c r="K369" s="25" t="n"/>
      <c r="L369" s="35" t="n"/>
      <c r="M369" s="40">
        <f>IF(A369="","",IFERROR(INDEX(Applications!$B$2:$B$101,MATCH(A369,Applications!$A$2:$A$101,0))&amp;"",""))</f>
        <v/>
      </c>
      <c r="N369" s="41">
        <f>IF(A369="","",SUMPRODUCT(ISNUMBER(D369:K369)*($D$2:$K$2&gt;0)))</f>
        <v/>
      </c>
      <c r="O369" s="40">
        <f>IF(A369="","",IF(ISNA(MATCH(A369,Applications!$A$2:$A$101,0)),"Check ID",IF(ISNA(MATCH(B369,Settings!$C$13:$C$18,0)),"Check reviewer",IF(LEFT(C369,3)="Yes","Conflict, not counted",IF(COUNTIFS($A$3:A369,A369,$B$3:B369,B369)&gt;1,"Duplicate, not counted",IF(SUM($D$2:$K$2)=0,"Add weights on Rubric",IF(SUMPRODUCT(ISNUMBER(D369:K369)*((D369:K369&gt;4)+(D369:K369&lt;0)))&gt;0,"Check scores",IF(N369&lt;COUNTIF($D$2:$K$2,"&gt;0"),"Incomplete","Counted"))))))))</f>
        <v/>
      </c>
      <c r="P369" s="42">
        <f>IF(O369="Counted",ROUND(SUMPRODUCT(D369:K369,$D$2:$K$2)*100/(4*SUM($D$2:$K$2)),1),"")</f>
        <v/>
      </c>
      <c r="Q369" s="27">
        <f>IF(O369="Counted",1,0)</f>
        <v/>
      </c>
      <c r="R369" s="43">
        <f>IF(ISNUMBER(D369),D369,0)</f>
        <v/>
      </c>
      <c r="S369" s="43">
        <f>IF(ISNUMBER(E369),E369,0)</f>
        <v/>
      </c>
      <c r="T369" s="43">
        <f>IF(ISNUMBER(F369),F369,0)</f>
        <v/>
      </c>
      <c r="U369" s="43">
        <f>IF(ISNUMBER(G369),G369,0)</f>
        <v/>
      </c>
      <c r="V369" s="43">
        <f>IF(ISNUMBER(H369),H369,0)</f>
        <v/>
      </c>
      <c r="W369" s="43">
        <f>IF(ISNUMBER(I369),I369,0)</f>
        <v/>
      </c>
      <c r="X369" s="43">
        <f>IF(ISNUMBER(J369),J369,0)</f>
        <v/>
      </c>
      <c r="Y369" s="43">
        <f>IF(ISNUMBER(K369),K369,0)</f>
        <v/>
      </c>
    </row>
    <row r="370">
      <c r="A370" s="35" t="n"/>
      <c r="B370" s="35" t="n"/>
      <c r="C370" s="35" t="n"/>
      <c r="D370" s="25" t="n"/>
      <c r="E370" s="25" t="n"/>
      <c r="F370" s="25" t="n"/>
      <c r="G370" s="25" t="n"/>
      <c r="H370" s="25" t="n"/>
      <c r="I370" s="25" t="n"/>
      <c r="J370" s="25" t="n"/>
      <c r="K370" s="25" t="n"/>
      <c r="L370" s="35" t="n"/>
      <c r="M370" s="40">
        <f>IF(A370="","",IFERROR(INDEX(Applications!$B$2:$B$101,MATCH(A370,Applications!$A$2:$A$101,0))&amp;"",""))</f>
        <v/>
      </c>
      <c r="N370" s="41">
        <f>IF(A370="","",SUMPRODUCT(ISNUMBER(D370:K370)*($D$2:$K$2&gt;0)))</f>
        <v/>
      </c>
      <c r="O370" s="40">
        <f>IF(A370="","",IF(ISNA(MATCH(A370,Applications!$A$2:$A$101,0)),"Check ID",IF(ISNA(MATCH(B370,Settings!$C$13:$C$18,0)),"Check reviewer",IF(LEFT(C370,3)="Yes","Conflict, not counted",IF(COUNTIFS($A$3:A370,A370,$B$3:B370,B370)&gt;1,"Duplicate, not counted",IF(SUM($D$2:$K$2)=0,"Add weights on Rubric",IF(SUMPRODUCT(ISNUMBER(D370:K370)*((D370:K370&gt;4)+(D370:K370&lt;0)))&gt;0,"Check scores",IF(N370&lt;COUNTIF($D$2:$K$2,"&gt;0"),"Incomplete","Counted"))))))))</f>
        <v/>
      </c>
      <c r="P370" s="42">
        <f>IF(O370="Counted",ROUND(SUMPRODUCT(D370:K370,$D$2:$K$2)*100/(4*SUM($D$2:$K$2)),1),"")</f>
        <v/>
      </c>
      <c r="Q370" s="27">
        <f>IF(O370="Counted",1,0)</f>
        <v/>
      </c>
      <c r="R370" s="43">
        <f>IF(ISNUMBER(D370),D370,0)</f>
        <v/>
      </c>
      <c r="S370" s="43">
        <f>IF(ISNUMBER(E370),E370,0)</f>
        <v/>
      </c>
      <c r="T370" s="43">
        <f>IF(ISNUMBER(F370),F370,0)</f>
        <v/>
      </c>
      <c r="U370" s="43">
        <f>IF(ISNUMBER(G370),G370,0)</f>
        <v/>
      </c>
      <c r="V370" s="43">
        <f>IF(ISNUMBER(H370),H370,0)</f>
        <v/>
      </c>
      <c r="W370" s="43">
        <f>IF(ISNUMBER(I370),I370,0)</f>
        <v/>
      </c>
      <c r="X370" s="43">
        <f>IF(ISNUMBER(J370),J370,0)</f>
        <v/>
      </c>
      <c r="Y370" s="43">
        <f>IF(ISNUMBER(K370),K370,0)</f>
        <v/>
      </c>
    </row>
    <row r="371">
      <c r="A371" s="35" t="n"/>
      <c r="B371" s="35" t="n"/>
      <c r="C371" s="35" t="n"/>
      <c r="D371" s="25" t="n"/>
      <c r="E371" s="25" t="n"/>
      <c r="F371" s="25" t="n"/>
      <c r="G371" s="25" t="n"/>
      <c r="H371" s="25" t="n"/>
      <c r="I371" s="25" t="n"/>
      <c r="J371" s="25" t="n"/>
      <c r="K371" s="25" t="n"/>
      <c r="L371" s="35" t="n"/>
      <c r="M371" s="40">
        <f>IF(A371="","",IFERROR(INDEX(Applications!$B$2:$B$101,MATCH(A371,Applications!$A$2:$A$101,0))&amp;"",""))</f>
        <v/>
      </c>
      <c r="N371" s="41">
        <f>IF(A371="","",SUMPRODUCT(ISNUMBER(D371:K371)*($D$2:$K$2&gt;0)))</f>
        <v/>
      </c>
      <c r="O371" s="40">
        <f>IF(A371="","",IF(ISNA(MATCH(A371,Applications!$A$2:$A$101,0)),"Check ID",IF(ISNA(MATCH(B371,Settings!$C$13:$C$18,0)),"Check reviewer",IF(LEFT(C371,3)="Yes","Conflict, not counted",IF(COUNTIFS($A$3:A371,A371,$B$3:B371,B371)&gt;1,"Duplicate, not counted",IF(SUM($D$2:$K$2)=0,"Add weights on Rubric",IF(SUMPRODUCT(ISNUMBER(D371:K371)*((D371:K371&gt;4)+(D371:K371&lt;0)))&gt;0,"Check scores",IF(N371&lt;COUNTIF($D$2:$K$2,"&gt;0"),"Incomplete","Counted"))))))))</f>
        <v/>
      </c>
      <c r="P371" s="42">
        <f>IF(O371="Counted",ROUND(SUMPRODUCT(D371:K371,$D$2:$K$2)*100/(4*SUM($D$2:$K$2)),1),"")</f>
        <v/>
      </c>
      <c r="Q371" s="27">
        <f>IF(O371="Counted",1,0)</f>
        <v/>
      </c>
      <c r="R371" s="43">
        <f>IF(ISNUMBER(D371),D371,0)</f>
        <v/>
      </c>
      <c r="S371" s="43">
        <f>IF(ISNUMBER(E371),E371,0)</f>
        <v/>
      </c>
      <c r="T371" s="43">
        <f>IF(ISNUMBER(F371),F371,0)</f>
        <v/>
      </c>
      <c r="U371" s="43">
        <f>IF(ISNUMBER(G371),G371,0)</f>
        <v/>
      </c>
      <c r="V371" s="43">
        <f>IF(ISNUMBER(H371),H371,0)</f>
        <v/>
      </c>
      <c r="W371" s="43">
        <f>IF(ISNUMBER(I371),I371,0)</f>
        <v/>
      </c>
      <c r="X371" s="43">
        <f>IF(ISNUMBER(J371),J371,0)</f>
        <v/>
      </c>
      <c r="Y371" s="43">
        <f>IF(ISNUMBER(K371),K371,0)</f>
        <v/>
      </c>
    </row>
    <row r="372">
      <c r="A372" s="35" t="n"/>
      <c r="B372" s="35" t="n"/>
      <c r="C372" s="35" t="n"/>
      <c r="D372" s="25" t="n"/>
      <c r="E372" s="25" t="n"/>
      <c r="F372" s="25" t="n"/>
      <c r="G372" s="25" t="n"/>
      <c r="H372" s="25" t="n"/>
      <c r="I372" s="25" t="n"/>
      <c r="J372" s="25" t="n"/>
      <c r="K372" s="25" t="n"/>
      <c r="L372" s="35" t="n"/>
      <c r="M372" s="40">
        <f>IF(A372="","",IFERROR(INDEX(Applications!$B$2:$B$101,MATCH(A372,Applications!$A$2:$A$101,0))&amp;"",""))</f>
        <v/>
      </c>
      <c r="N372" s="41">
        <f>IF(A372="","",SUMPRODUCT(ISNUMBER(D372:K372)*($D$2:$K$2&gt;0)))</f>
        <v/>
      </c>
      <c r="O372" s="40">
        <f>IF(A372="","",IF(ISNA(MATCH(A372,Applications!$A$2:$A$101,0)),"Check ID",IF(ISNA(MATCH(B372,Settings!$C$13:$C$18,0)),"Check reviewer",IF(LEFT(C372,3)="Yes","Conflict, not counted",IF(COUNTIFS($A$3:A372,A372,$B$3:B372,B372)&gt;1,"Duplicate, not counted",IF(SUM($D$2:$K$2)=0,"Add weights on Rubric",IF(SUMPRODUCT(ISNUMBER(D372:K372)*((D372:K372&gt;4)+(D372:K372&lt;0)))&gt;0,"Check scores",IF(N372&lt;COUNTIF($D$2:$K$2,"&gt;0"),"Incomplete","Counted"))))))))</f>
        <v/>
      </c>
      <c r="P372" s="42">
        <f>IF(O372="Counted",ROUND(SUMPRODUCT(D372:K372,$D$2:$K$2)*100/(4*SUM($D$2:$K$2)),1),"")</f>
        <v/>
      </c>
      <c r="Q372" s="27">
        <f>IF(O372="Counted",1,0)</f>
        <v/>
      </c>
      <c r="R372" s="43">
        <f>IF(ISNUMBER(D372),D372,0)</f>
        <v/>
      </c>
      <c r="S372" s="43">
        <f>IF(ISNUMBER(E372),E372,0)</f>
        <v/>
      </c>
      <c r="T372" s="43">
        <f>IF(ISNUMBER(F372),F372,0)</f>
        <v/>
      </c>
      <c r="U372" s="43">
        <f>IF(ISNUMBER(G372),G372,0)</f>
        <v/>
      </c>
      <c r="V372" s="43">
        <f>IF(ISNUMBER(H372),H372,0)</f>
        <v/>
      </c>
      <c r="W372" s="43">
        <f>IF(ISNUMBER(I372),I372,0)</f>
        <v/>
      </c>
      <c r="X372" s="43">
        <f>IF(ISNUMBER(J372),J372,0)</f>
        <v/>
      </c>
      <c r="Y372" s="43">
        <f>IF(ISNUMBER(K372),K372,0)</f>
        <v/>
      </c>
    </row>
    <row r="373">
      <c r="A373" s="35" t="n"/>
      <c r="B373" s="35" t="n"/>
      <c r="C373" s="35" t="n"/>
      <c r="D373" s="25" t="n"/>
      <c r="E373" s="25" t="n"/>
      <c r="F373" s="25" t="n"/>
      <c r="G373" s="25" t="n"/>
      <c r="H373" s="25" t="n"/>
      <c r="I373" s="25" t="n"/>
      <c r="J373" s="25" t="n"/>
      <c r="K373" s="25" t="n"/>
      <c r="L373" s="35" t="n"/>
      <c r="M373" s="40">
        <f>IF(A373="","",IFERROR(INDEX(Applications!$B$2:$B$101,MATCH(A373,Applications!$A$2:$A$101,0))&amp;"",""))</f>
        <v/>
      </c>
      <c r="N373" s="41">
        <f>IF(A373="","",SUMPRODUCT(ISNUMBER(D373:K373)*($D$2:$K$2&gt;0)))</f>
        <v/>
      </c>
      <c r="O373" s="40">
        <f>IF(A373="","",IF(ISNA(MATCH(A373,Applications!$A$2:$A$101,0)),"Check ID",IF(ISNA(MATCH(B373,Settings!$C$13:$C$18,0)),"Check reviewer",IF(LEFT(C373,3)="Yes","Conflict, not counted",IF(COUNTIFS($A$3:A373,A373,$B$3:B373,B373)&gt;1,"Duplicate, not counted",IF(SUM($D$2:$K$2)=0,"Add weights on Rubric",IF(SUMPRODUCT(ISNUMBER(D373:K373)*((D373:K373&gt;4)+(D373:K373&lt;0)))&gt;0,"Check scores",IF(N373&lt;COUNTIF($D$2:$K$2,"&gt;0"),"Incomplete","Counted"))))))))</f>
        <v/>
      </c>
      <c r="P373" s="42">
        <f>IF(O373="Counted",ROUND(SUMPRODUCT(D373:K373,$D$2:$K$2)*100/(4*SUM($D$2:$K$2)),1),"")</f>
        <v/>
      </c>
      <c r="Q373" s="27">
        <f>IF(O373="Counted",1,0)</f>
        <v/>
      </c>
      <c r="R373" s="43">
        <f>IF(ISNUMBER(D373),D373,0)</f>
        <v/>
      </c>
      <c r="S373" s="43">
        <f>IF(ISNUMBER(E373),E373,0)</f>
        <v/>
      </c>
      <c r="T373" s="43">
        <f>IF(ISNUMBER(F373),F373,0)</f>
        <v/>
      </c>
      <c r="U373" s="43">
        <f>IF(ISNUMBER(G373),G373,0)</f>
        <v/>
      </c>
      <c r="V373" s="43">
        <f>IF(ISNUMBER(H373),H373,0)</f>
        <v/>
      </c>
      <c r="W373" s="43">
        <f>IF(ISNUMBER(I373),I373,0)</f>
        <v/>
      </c>
      <c r="X373" s="43">
        <f>IF(ISNUMBER(J373),J373,0)</f>
        <v/>
      </c>
      <c r="Y373" s="43">
        <f>IF(ISNUMBER(K373),K373,0)</f>
        <v/>
      </c>
    </row>
    <row r="374">
      <c r="A374" s="35" t="n"/>
      <c r="B374" s="35" t="n"/>
      <c r="C374" s="35" t="n"/>
      <c r="D374" s="25" t="n"/>
      <c r="E374" s="25" t="n"/>
      <c r="F374" s="25" t="n"/>
      <c r="G374" s="25" t="n"/>
      <c r="H374" s="25" t="n"/>
      <c r="I374" s="25" t="n"/>
      <c r="J374" s="25" t="n"/>
      <c r="K374" s="25" t="n"/>
      <c r="L374" s="35" t="n"/>
      <c r="M374" s="40">
        <f>IF(A374="","",IFERROR(INDEX(Applications!$B$2:$B$101,MATCH(A374,Applications!$A$2:$A$101,0))&amp;"",""))</f>
        <v/>
      </c>
      <c r="N374" s="41">
        <f>IF(A374="","",SUMPRODUCT(ISNUMBER(D374:K374)*($D$2:$K$2&gt;0)))</f>
        <v/>
      </c>
      <c r="O374" s="40">
        <f>IF(A374="","",IF(ISNA(MATCH(A374,Applications!$A$2:$A$101,0)),"Check ID",IF(ISNA(MATCH(B374,Settings!$C$13:$C$18,0)),"Check reviewer",IF(LEFT(C374,3)="Yes","Conflict, not counted",IF(COUNTIFS($A$3:A374,A374,$B$3:B374,B374)&gt;1,"Duplicate, not counted",IF(SUM($D$2:$K$2)=0,"Add weights on Rubric",IF(SUMPRODUCT(ISNUMBER(D374:K374)*((D374:K374&gt;4)+(D374:K374&lt;0)))&gt;0,"Check scores",IF(N374&lt;COUNTIF($D$2:$K$2,"&gt;0"),"Incomplete","Counted"))))))))</f>
        <v/>
      </c>
      <c r="P374" s="42">
        <f>IF(O374="Counted",ROUND(SUMPRODUCT(D374:K374,$D$2:$K$2)*100/(4*SUM($D$2:$K$2)),1),"")</f>
        <v/>
      </c>
      <c r="Q374" s="27">
        <f>IF(O374="Counted",1,0)</f>
        <v/>
      </c>
      <c r="R374" s="43">
        <f>IF(ISNUMBER(D374),D374,0)</f>
        <v/>
      </c>
      <c r="S374" s="43">
        <f>IF(ISNUMBER(E374),E374,0)</f>
        <v/>
      </c>
      <c r="T374" s="43">
        <f>IF(ISNUMBER(F374),F374,0)</f>
        <v/>
      </c>
      <c r="U374" s="43">
        <f>IF(ISNUMBER(G374),G374,0)</f>
        <v/>
      </c>
      <c r="V374" s="43">
        <f>IF(ISNUMBER(H374),H374,0)</f>
        <v/>
      </c>
      <c r="W374" s="43">
        <f>IF(ISNUMBER(I374),I374,0)</f>
        <v/>
      </c>
      <c r="X374" s="43">
        <f>IF(ISNUMBER(J374),J374,0)</f>
        <v/>
      </c>
      <c r="Y374" s="43">
        <f>IF(ISNUMBER(K374),K374,0)</f>
        <v/>
      </c>
    </row>
    <row r="375">
      <c r="A375" s="35" t="n"/>
      <c r="B375" s="35" t="n"/>
      <c r="C375" s="35" t="n"/>
      <c r="D375" s="25" t="n"/>
      <c r="E375" s="25" t="n"/>
      <c r="F375" s="25" t="n"/>
      <c r="G375" s="25" t="n"/>
      <c r="H375" s="25" t="n"/>
      <c r="I375" s="25" t="n"/>
      <c r="J375" s="25" t="n"/>
      <c r="K375" s="25" t="n"/>
      <c r="L375" s="35" t="n"/>
      <c r="M375" s="40">
        <f>IF(A375="","",IFERROR(INDEX(Applications!$B$2:$B$101,MATCH(A375,Applications!$A$2:$A$101,0))&amp;"",""))</f>
        <v/>
      </c>
      <c r="N375" s="41">
        <f>IF(A375="","",SUMPRODUCT(ISNUMBER(D375:K375)*($D$2:$K$2&gt;0)))</f>
        <v/>
      </c>
      <c r="O375" s="40">
        <f>IF(A375="","",IF(ISNA(MATCH(A375,Applications!$A$2:$A$101,0)),"Check ID",IF(ISNA(MATCH(B375,Settings!$C$13:$C$18,0)),"Check reviewer",IF(LEFT(C375,3)="Yes","Conflict, not counted",IF(COUNTIFS($A$3:A375,A375,$B$3:B375,B375)&gt;1,"Duplicate, not counted",IF(SUM($D$2:$K$2)=0,"Add weights on Rubric",IF(SUMPRODUCT(ISNUMBER(D375:K375)*((D375:K375&gt;4)+(D375:K375&lt;0)))&gt;0,"Check scores",IF(N375&lt;COUNTIF($D$2:$K$2,"&gt;0"),"Incomplete","Counted"))))))))</f>
        <v/>
      </c>
      <c r="P375" s="42">
        <f>IF(O375="Counted",ROUND(SUMPRODUCT(D375:K375,$D$2:$K$2)*100/(4*SUM($D$2:$K$2)),1),"")</f>
        <v/>
      </c>
      <c r="Q375" s="27">
        <f>IF(O375="Counted",1,0)</f>
        <v/>
      </c>
      <c r="R375" s="43">
        <f>IF(ISNUMBER(D375),D375,0)</f>
        <v/>
      </c>
      <c r="S375" s="43">
        <f>IF(ISNUMBER(E375),E375,0)</f>
        <v/>
      </c>
      <c r="T375" s="43">
        <f>IF(ISNUMBER(F375),F375,0)</f>
        <v/>
      </c>
      <c r="U375" s="43">
        <f>IF(ISNUMBER(G375),G375,0)</f>
        <v/>
      </c>
      <c r="V375" s="43">
        <f>IF(ISNUMBER(H375),H375,0)</f>
        <v/>
      </c>
      <c r="W375" s="43">
        <f>IF(ISNUMBER(I375),I375,0)</f>
        <v/>
      </c>
      <c r="X375" s="43">
        <f>IF(ISNUMBER(J375),J375,0)</f>
        <v/>
      </c>
      <c r="Y375" s="43">
        <f>IF(ISNUMBER(K375),K375,0)</f>
        <v/>
      </c>
    </row>
    <row r="376">
      <c r="A376" s="35" t="n"/>
      <c r="B376" s="35" t="n"/>
      <c r="C376" s="35" t="n"/>
      <c r="D376" s="25" t="n"/>
      <c r="E376" s="25" t="n"/>
      <c r="F376" s="25" t="n"/>
      <c r="G376" s="25" t="n"/>
      <c r="H376" s="25" t="n"/>
      <c r="I376" s="25" t="n"/>
      <c r="J376" s="25" t="n"/>
      <c r="K376" s="25" t="n"/>
      <c r="L376" s="35" t="n"/>
      <c r="M376" s="40">
        <f>IF(A376="","",IFERROR(INDEX(Applications!$B$2:$B$101,MATCH(A376,Applications!$A$2:$A$101,0))&amp;"",""))</f>
        <v/>
      </c>
      <c r="N376" s="41">
        <f>IF(A376="","",SUMPRODUCT(ISNUMBER(D376:K376)*($D$2:$K$2&gt;0)))</f>
        <v/>
      </c>
      <c r="O376" s="40">
        <f>IF(A376="","",IF(ISNA(MATCH(A376,Applications!$A$2:$A$101,0)),"Check ID",IF(ISNA(MATCH(B376,Settings!$C$13:$C$18,0)),"Check reviewer",IF(LEFT(C376,3)="Yes","Conflict, not counted",IF(COUNTIFS($A$3:A376,A376,$B$3:B376,B376)&gt;1,"Duplicate, not counted",IF(SUM($D$2:$K$2)=0,"Add weights on Rubric",IF(SUMPRODUCT(ISNUMBER(D376:K376)*((D376:K376&gt;4)+(D376:K376&lt;0)))&gt;0,"Check scores",IF(N376&lt;COUNTIF($D$2:$K$2,"&gt;0"),"Incomplete","Counted"))))))))</f>
        <v/>
      </c>
      <c r="P376" s="42">
        <f>IF(O376="Counted",ROUND(SUMPRODUCT(D376:K376,$D$2:$K$2)*100/(4*SUM($D$2:$K$2)),1),"")</f>
        <v/>
      </c>
      <c r="Q376" s="27">
        <f>IF(O376="Counted",1,0)</f>
        <v/>
      </c>
      <c r="R376" s="43">
        <f>IF(ISNUMBER(D376),D376,0)</f>
        <v/>
      </c>
      <c r="S376" s="43">
        <f>IF(ISNUMBER(E376),E376,0)</f>
        <v/>
      </c>
      <c r="T376" s="43">
        <f>IF(ISNUMBER(F376),F376,0)</f>
        <v/>
      </c>
      <c r="U376" s="43">
        <f>IF(ISNUMBER(G376),G376,0)</f>
        <v/>
      </c>
      <c r="V376" s="43">
        <f>IF(ISNUMBER(H376),H376,0)</f>
        <v/>
      </c>
      <c r="W376" s="43">
        <f>IF(ISNUMBER(I376),I376,0)</f>
        <v/>
      </c>
      <c r="X376" s="43">
        <f>IF(ISNUMBER(J376),J376,0)</f>
        <v/>
      </c>
      <c r="Y376" s="43">
        <f>IF(ISNUMBER(K376),K376,0)</f>
        <v/>
      </c>
    </row>
    <row r="377">
      <c r="A377" s="35" t="n"/>
      <c r="B377" s="35" t="n"/>
      <c r="C377" s="35" t="n"/>
      <c r="D377" s="25" t="n"/>
      <c r="E377" s="25" t="n"/>
      <c r="F377" s="25" t="n"/>
      <c r="G377" s="25" t="n"/>
      <c r="H377" s="25" t="n"/>
      <c r="I377" s="25" t="n"/>
      <c r="J377" s="25" t="n"/>
      <c r="K377" s="25" t="n"/>
      <c r="L377" s="35" t="n"/>
      <c r="M377" s="40">
        <f>IF(A377="","",IFERROR(INDEX(Applications!$B$2:$B$101,MATCH(A377,Applications!$A$2:$A$101,0))&amp;"",""))</f>
        <v/>
      </c>
      <c r="N377" s="41">
        <f>IF(A377="","",SUMPRODUCT(ISNUMBER(D377:K377)*($D$2:$K$2&gt;0)))</f>
        <v/>
      </c>
      <c r="O377" s="40">
        <f>IF(A377="","",IF(ISNA(MATCH(A377,Applications!$A$2:$A$101,0)),"Check ID",IF(ISNA(MATCH(B377,Settings!$C$13:$C$18,0)),"Check reviewer",IF(LEFT(C377,3)="Yes","Conflict, not counted",IF(COUNTIFS($A$3:A377,A377,$B$3:B377,B377)&gt;1,"Duplicate, not counted",IF(SUM($D$2:$K$2)=0,"Add weights on Rubric",IF(SUMPRODUCT(ISNUMBER(D377:K377)*((D377:K377&gt;4)+(D377:K377&lt;0)))&gt;0,"Check scores",IF(N377&lt;COUNTIF($D$2:$K$2,"&gt;0"),"Incomplete","Counted"))))))))</f>
        <v/>
      </c>
      <c r="P377" s="42">
        <f>IF(O377="Counted",ROUND(SUMPRODUCT(D377:K377,$D$2:$K$2)*100/(4*SUM($D$2:$K$2)),1),"")</f>
        <v/>
      </c>
      <c r="Q377" s="27">
        <f>IF(O377="Counted",1,0)</f>
        <v/>
      </c>
      <c r="R377" s="43">
        <f>IF(ISNUMBER(D377),D377,0)</f>
        <v/>
      </c>
      <c r="S377" s="43">
        <f>IF(ISNUMBER(E377),E377,0)</f>
        <v/>
      </c>
      <c r="T377" s="43">
        <f>IF(ISNUMBER(F377),F377,0)</f>
        <v/>
      </c>
      <c r="U377" s="43">
        <f>IF(ISNUMBER(G377),G377,0)</f>
        <v/>
      </c>
      <c r="V377" s="43">
        <f>IF(ISNUMBER(H377),H377,0)</f>
        <v/>
      </c>
      <c r="W377" s="43">
        <f>IF(ISNUMBER(I377),I377,0)</f>
        <v/>
      </c>
      <c r="X377" s="43">
        <f>IF(ISNUMBER(J377),J377,0)</f>
        <v/>
      </c>
      <c r="Y377" s="43">
        <f>IF(ISNUMBER(K377),K377,0)</f>
        <v/>
      </c>
    </row>
    <row r="378">
      <c r="A378" s="35" t="n"/>
      <c r="B378" s="35" t="n"/>
      <c r="C378" s="35" t="n"/>
      <c r="D378" s="25" t="n"/>
      <c r="E378" s="25" t="n"/>
      <c r="F378" s="25" t="n"/>
      <c r="G378" s="25" t="n"/>
      <c r="H378" s="25" t="n"/>
      <c r="I378" s="25" t="n"/>
      <c r="J378" s="25" t="n"/>
      <c r="K378" s="25" t="n"/>
      <c r="L378" s="35" t="n"/>
      <c r="M378" s="40">
        <f>IF(A378="","",IFERROR(INDEX(Applications!$B$2:$B$101,MATCH(A378,Applications!$A$2:$A$101,0))&amp;"",""))</f>
        <v/>
      </c>
      <c r="N378" s="41">
        <f>IF(A378="","",SUMPRODUCT(ISNUMBER(D378:K378)*($D$2:$K$2&gt;0)))</f>
        <v/>
      </c>
      <c r="O378" s="40">
        <f>IF(A378="","",IF(ISNA(MATCH(A378,Applications!$A$2:$A$101,0)),"Check ID",IF(ISNA(MATCH(B378,Settings!$C$13:$C$18,0)),"Check reviewer",IF(LEFT(C378,3)="Yes","Conflict, not counted",IF(COUNTIFS($A$3:A378,A378,$B$3:B378,B378)&gt;1,"Duplicate, not counted",IF(SUM($D$2:$K$2)=0,"Add weights on Rubric",IF(SUMPRODUCT(ISNUMBER(D378:K378)*((D378:K378&gt;4)+(D378:K378&lt;0)))&gt;0,"Check scores",IF(N378&lt;COUNTIF($D$2:$K$2,"&gt;0"),"Incomplete","Counted"))))))))</f>
        <v/>
      </c>
      <c r="P378" s="42">
        <f>IF(O378="Counted",ROUND(SUMPRODUCT(D378:K378,$D$2:$K$2)*100/(4*SUM($D$2:$K$2)),1),"")</f>
        <v/>
      </c>
      <c r="Q378" s="27">
        <f>IF(O378="Counted",1,0)</f>
        <v/>
      </c>
      <c r="R378" s="43">
        <f>IF(ISNUMBER(D378),D378,0)</f>
        <v/>
      </c>
      <c r="S378" s="43">
        <f>IF(ISNUMBER(E378),E378,0)</f>
        <v/>
      </c>
      <c r="T378" s="43">
        <f>IF(ISNUMBER(F378),F378,0)</f>
        <v/>
      </c>
      <c r="U378" s="43">
        <f>IF(ISNUMBER(G378),G378,0)</f>
        <v/>
      </c>
      <c r="V378" s="43">
        <f>IF(ISNUMBER(H378),H378,0)</f>
        <v/>
      </c>
      <c r="W378" s="43">
        <f>IF(ISNUMBER(I378),I378,0)</f>
        <v/>
      </c>
      <c r="X378" s="43">
        <f>IF(ISNUMBER(J378),J378,0)</f>
        <v/>
      </c>
      <c r="Y378" s="43">
        <f>IF(ISNUMBER(K378),K378,0)</f>
        <v/>
      </c>
    </row>
    <row r="379">
      <c r="A379" s="35" t="n"/>
      <c r="B379" s="35" t="n"/>
      <c r="C379" s="35" t="n"/>
      <c r="D379" s="25" t="n"/>
      <c r="E379" s="25" t="n"/>
      <c r="F379" s="25" t="n"/>
      <c r="G379" s="25" t="n"/>
      <c r="H379" s="25" t="n"/>
      <c r="I379" s="25" t="n"/>
      <c r="J379" s="25" t="n"/>
      <c r="K379" s="25" t="n"/>
      <c r="L379" s="35" t="n"/>
      <c r="M379" s="40">
        <f>IF(A379="","",IFERROR(INDEX(Applications!$B$2:$B$101,MATCH(A379,Applications!$A$2:$A$101,0))&amp;"",""))</f>
        <v/>
      </c>
      <c r="N379" s="41">
        <f>IF(A379="","",SUMPRODUCT(ISNUMBER(D379:K379)*($D$2:$K$2&gt;0)))</f>
        <v/>
      </c>
      <c r="O379" s="40">
        <f>IF(A379="","",IF(ISNA(MATCH(A379,Applications!$A$2:$A$101,0)),"Check ID",IF(ISNA(MATCH(B379,Settings!$C$13:$C$18,0)),"Check reviewer",IF(LEFT(C379,3)="Yes","Conflict, not counted",IF(COUNTIFS($A$3:A379,A379,$B$3:B379,B379)&gt;1,"Duplicate, not counted",IF(SUM($D$2:$K$2)=0,"Add weights on Rubric",IF(SUMPRODUCT(ISNUMBER(D379:K379)*((D379:K379&gt;4)+(D379:K379&lt;0)))&gt;0,"Check scores",IF(N379&lt;COUNTIF($D$2:$K$2,"&gt;0"),"Incomplete","Counted"))))))))</f>
        <v/>
      </c>
      <c r="P379" s="42">
        <f>IF(O379="Counted",ROUND(SUMPRODUCT(D379:K379,$D$2:$K$2)*100/(4*SUM($D$2:$K$2)),1),"")</f>
        <v/>
      </c>
      <c r="Q379" s="27">
        <f>IF(O379="Counted",1,0)</f>
        <v/>
      </c>
      <c r="R379" s="43">
        <f>IF(ISNUMBER(D379),D379,0)</f>
        <v/>
      </c>
      <c r="S379" s="43">
        <f>IF(ISNUMBER(E379),E379,0)</f>
        <v/>
      </c>
      <c r="T379" s="43">
        <f>IF(ISNUMBER(F379),F379,0)</f>
        <v/>
      </c>
      <c r="U379" s="43">
        <f>IF(ISNUMBER(G379),G379,0)</f>
        <v/>
      </c>
      <c r="V379" s="43">
        <f>IF(ISNUMBER(H379),H379,0)</f>
        <v/>
      </c>
      <c r="W379" s="43">
        <f>IF(ISNUMBER(I379),I379,0)</f>
        <v/>
      </c>
      <c r="X379" s="43">
        <f>IF(ISNUMBER(J379),J379,0)</f>
        <v/>
      </c>
      <c r="Y379" s="43">
        <f>IF(ISNUMBER(K379),K379,0)</f>
        <v/>
      </c>
    </row>
    <row r="380">
      <c r="A380" s="35" t="n"/>
      <c r="B380" s="35" t="n"/>
      <c r="C380" s="35" t="n"/>
      <c r="D380" s="25" t="n"/>
      <c r="E380" s="25" t="n"/>
      <c r="F380" s="25" t="n"/>
      <c r="G380" s="25" t="n"/>
      <c r="H380" s="25" t="n"/>
      <c r="I380" s="25" t="n"/>
      <c r="J380" s="25" t="n"/>
      <c r="K380" s="25" t="n"/>
      <c r="L380" s="35" t="n"/>
      <c r="M380" s="40">
        <f>IF(A380="","",IFERROR(INDEX(Applications!$B$2:$B$101,MATCH(A380,Applications!$A$2:$A$101,0))&amp;"",""))</f>
        <v/>
      </c>
      <c r="N380" s="41">
        <f>IF(A380="","",SUMPRODUCT(ISNUMBER(D380:K380)*($D$2:$K$2&gt;0)))</f>
        <v/>
      </c>
      <c r="O380" s="40">
        <f>IF(A380="","",IF(ISNA(MATCH(A380,Applications!$A$2:$A$101,0)),"Check ID",IF(ISNA(MATCH(B380,Settings!$C$13:$C$18,0)),"Check reviewer",IF(LEFT(C380,3)="Yes","Conflict, not counted",IF(COUNTIFS($A$3:A380,A380,$B$3:B380,B380)&gt;1,"Duplicate, not counted",IF(SUM($D$2:$K$2)=0,"Add weights on Rubric",IF(SUMPRODUCT(ISNUMBER(D380:K380)*((D380:K380&gt;4)+(D380:K380&lt;0)))&gt;0,"Check scores",IF(N380&lt;COUNTIF($D$2:$K$2,"&gt;0"),"Incomplete","Counted"))))))))</f>
        <v/>
      </c>
      <c r="P380" s="42">
        <f>IF(O380="Counted",ROUND(SUMPRODUCT(D380:K380,$D$2:$K$2)*100/(4*SUM($D$2:$K$2)),1),"")</f>
        <v/>
      </c>
      <c r="Q380" s="27">
        <f>IF(O380="Counted",1,0)</f>
        <v/>
      </c>
      <c r="R380" s="43">
        <f>IF(ISNUMBER(D380),D380,0)</f>
        <v/>
      </c>
      <c r="S380" s="43">
        <f>IF(ISNUMBER(E380),E380,0)</f>
        <v/>
      </c>
      <c r="T380" s="43">
        <f>IF(ISNUMBER(F380),F380,0)</f>
        <v/>
      </c>
      <c r="U380" s="43">
        <f>IF(ISNUMBER(G380),G380,0)</f>
        <v/>
      </c>
      <c r="V380" s="43">
        <f>IF(ISNUMBER(H380),H380,0)</f>
        <v/>
      </c>
      <c r="W380" s="43">
        <f>IF(ISNUMBER(I380),I380,0)</f>
        <v/>
      </c>
      <c r="X380" s="43">
        <f>IF(ISNUMBER(J380),J380,0)</f>
        <v/>
      </c>
      <c r="Y380" s="43">
        <f>IF(ISNUMBER(K380),K380,0)</f>
        <v/>
      </c>
    </row>
    <row r="381">
      <c r="A381" s="35" t="n"/>
      <c r="B381" s="35" t="n"/>
      <c r="C381" s="35" t="n"/>
      <c r="D381" s="25" t="n"/>
      <c r="E381" s="25" t="n"/>
      <c r="F381" s="25" t="n"/>
      <c r="G381" s="25" t="n"/>
      <c r="H381" s="25" t="n"/>
      <c r="I381" s="25" t="n"/>
      <c r="J381" s="25" t="n"/>
      <c r="K381" s="25" t="n"/>
      <c r="L381" s="35" t="n"/>
      <c r="M381" s="40">
        <f>IF(A381="","",IFERROR(INDEX(Applications!$B$2:$B$101,MATCH(A381,Applications!$A$2:$A$101,0))&amp;"",""))</f>
        <v/>
      </c>
      <c r="N381" s="41">
        <f>IF(A381="","",SUMPRODUCT(ISNUMBER(D381:K381)*($D$2:$K$2&gt;0)))</f>
        <v/>
      </c>
      <c r="O381" s="40">
        <f>IF(A381="","",IF(ISNA(MATCH(A381,Applications!$A$2:$A$101,0)),"Check ID",IF(ISNA(MATCH(B381,Settings!$C$13:$C$18,0)),"Check reviewer",IF(LEFT(C381,3)="Yes","Conflict, not counted",IF(COUNTIFS($A$3:A381,A381,$B$3:B381,B381)&gt;1,"Duplicate, not counted",IF(SUM($D$2:$K$2)=0,"Add weights on Rubric",IF(SUMPRODUCT(ISNUMBER(D381:K381)*((D381:K381&gt;4)+(D381:K381&lt;0)))&gt;0,"Check scores",IF(N381&lt;COUNTIF($D$2:$K$2,"&gt;0"),"Incomplete","Counted"))))))))</f>
        <v/>
      </c>
      <c r="P381" s="42">
        <f>IF(O381="Counted",ROUND(SUMPRODUCT(D381:K381,$D$2:$K$2)*100/(4*SUM($D$2:$K$2)),1),"")</f>
        <v/>
      </c>
      <c r="Q381" s="27">
        <f>IF(O381="Counted",1,0)</f>
        <v/>
      </c>
      <c r="R381" s="43">
        <f>IF(ISNUMBER(D381),D381,0)</f>
        <v/>
      </c>
      <c r="S381" s="43">
        <f>IF(ISNUMBER(E381),E381,0)</f>
        <v/>
      </c>
      <c r="T381" s="43">
        <f>IF(ISNUMBER(F381),F381,0)</f>
        <v/>
      </c>
      <c r="U381" s="43">
        <f>IF(ISNUMBER(G381),G381,0)</f>
        <v/>
      </c>
      <c r="V381" s="43">
        <f>IF(ISNUMBER(H381),H381,0)</f>
        <v/>
      </c>
      <c r="W381" s="43">
        <f>IF(ISNUMBER(I381),I381,0)</f>
        <v/>
      </c>
      <c r="X381" s="43">
        <f>IF(ISNUMBER(J381),J381,0)</f>
        <v/>
      </c>
      <c r="Y381" s="43">
        <f>IF(ISNUMBER(K381),K381,0)</f>
        <v/>
      </c>
    </row>
    <row r="382">
      <c r="A382" s="35" t="n"/>
      <c r="B382" s="35" t="n"/>
      <c r="C382" s="35" t="n"/>
      <c r="D382" s="25" t="n"/>
      <c r="E382" s="25" t="n"/>
      <c r="F382" s="25" t="n"/>
      <c r="G382" s="25" t="n"/>
      <c r="H382" s="25" t="n"/>
      <c r="I382" s="25" t="n"/>
      <c r="J382" s="25" t="n"/>
      <c r="K382" s="25" t="n"/>
      <c r="L382" s="35" t="n"/>
      <c r="M382" s="40">
        <f>IF(A382="","",IFERROR(INDEX(Applications!$B$2:$B$101,MATCH(A382,Applications!$A$2:$A$101,0))&amp;"",""))</f>
        <v/>
      </c>
      <c r="N382" s="41">
        <f>IF(A382="","",SUMPRODUCT(ISNUMBER(D382:K382)*($D$2:$K$2&gt;0)))</f>
        <v/>
      </c>
      <c r="O382" s="40">
        <f>IF(A382="","",IF(ISNA(MATCH(A382,Applications!$A$2:$A$101,0)),"Check ID",IF(ISNA(MATCH(B382,Settings!$C$13:$C$18,0)),"Check reviewer",IF(LEFT(C382,3)="Yes","Conflict, not counted",IF(COUNTIFS($A$3:A382,A382,$B$3:B382,B382)&gt;1,"Duplicate, not counted",IF(SUM($D$2:$K$2)=0,"Add weights on Rubric",IF(SUMPRODUCT(ISNUMBER(D382:K382)*((D382:K382&gt;4)+(D382:K382&lt;0)))&gt;0,"Check scores",IF(N382&lt;COUNTIF($D$2:$K$2,"&gt;0"),"Incomplete","Counted"))))))))</f>
        <v/>
      </c>
      <c r="P382" s="42">
        <f>IF(O382="Counted",ROUND(SUMPRODUCT(D382:K382,$D$2:$K$2)*100/(4*SUM($D$2:$K$2)),1),"")</f>
        <v/>
      </c>
      <c r="Q382" s="27">
        <f>IF(O382="Counted",1,0)</f>
        <v/>
      </c>
      <c r="R382" s="43">
        <f>IF(ISNUMBER(D382),D382,0)</f>
        <v/>
      </c>
      <c r="S382" s="43">
        <f>IF(ISNUMBER(E382),E382,0)</f>
        <v/>
      </c>
      <c r="T382" s="43">
        <f>IF(ISNUMBER(F382),F382,0)</f>
        <v/>
      </c>
      <c r="U382" s="43">
        <f>IF(ISNUMBER(G382),G382,0)</f>
        <v/>
      </c>
      <c r="V382" s="43">
        <f>IF(ISNUMBER(H382),H382,0)</f>
        <v/>
      </c>
      <c r="W382" s="43">
        <f>IF(ISNUMBER(I382),I382,0)</f>
        <v/>
      </c>
      <c r="X382" s="43">
        <f>IF(ISNUMBER(J382),J382,0)</f>
        <v/>
      </c>
      <c r="Y382" s="43">
        <f>IF(ISNUMBER(K382),K382,0)</f>
        <v/>
      </c>
    </row>
    <row r="383">
      <c r="A383" s="35" t="n"/>
      <c r="B383" s="35" t="n"/>
      <c r="C383" s="35" t="n"/>
      <c r="D383" s="25" t="n"/>
      <c r="E383" s="25" t="n"/>
      <c r="F383" s="25" t="n"/>
      <c r="G383" s="25" t="n"/>
      <c r="H383" s="25" t="n"/>
      <c r="I383" s="25" t="n"/>
      <c r="J383" s="25" t="n"/>
      <c r="K383" s="25" t="n"/>
      <c r="L383" s="35" t="n"/>
      <c r="M383" s="40">
        <f>IF(A383="","",IFERROR(INDEX(Applications!$B$2:$B$101,MATCH(A383,Applications!$A$2:$A$101,0))&amp;"",""))</f>
        <v/>
      </c>
      <c r="N383" s="41">
        <f>IF(A383="","",SUMPRODUCT(ISNUMBER(D383:K383)*($D$2:$K$2&gt;0)))</f>
        <v/>
      </c>
      <c r="O383" s="40">
        <f>IF(A383="","",IF(ISNA(MATCH(A383,Applications!$A$2:$A$101,0)),"Check ID",IF(ISNA(MATCH(B383,Settings!$C$13:$C$18,0)),"Check reviewer",IF(LEFT(C383,3)="Yes","Conflict, not counted",IF(COUNTIFS($A$3:A383,A383,$B$3:B383,B383)&gt;1,"Duplicate, not counted",IF(SUM($D$2:$K$2)=0,"Add weights on Rubric",IF(SUMPRODUCT(ISNUMBER(D383:K383)*((D383:K383&gt;4)+(D383:K383&lt;0)))&gt;0,"Check scores",IF(N383&lt;COUNTIF($D$2:$K$2,"&gt;0"),"Incomplete","Counted"))))))))</f>
        <v/>
      </c>
      <c r="P383" s="42">
        <f>IF(O383="Counted",ROUND(SUMPRODUCT(D383:K383,$D$2:$K$2)*100/(4*SUM($D$2:$K$2)),1),"")</f>
        <v/>
      </c>
      <c r="Q383" s="27">
        <f>IF(O383="Counted",1,0)</f>
        <v/>
      </c>
      <c r="R383" s="43">
        <f>IF(ISNUMBER(D383),D383,0)</f>
        <v/>
      </c>
      <c r="S383" s="43">
        <f>IF(ISNUMBER(E383),E383,0)</f>
        <v/>
      </c>
      <c r="T383" s="43">
        <f>IF(ISNUMBER(F383),F383,0)</f>
        <v/>
      </c>
      <c r="U383" s="43">
        <f>IF(ISNUMBER(G383),G383,0)</f>
        <v/>
      </c>
      <c r="V383" s="43">
        <f>IF(ISNUMBER(H383),H383,0)</f>
        <v/>
      </c>
      <c r="W383" s="43">
        <f>IF(ISNUMBER(I383),I383,0)</f>
        <v/>
      </c>
      <c r="X383" s="43">
        <f>IF(ISNUMBER(J383),J383,0)</f>
        <v/>
      </c>
      <c r="Y383" s="43">
        <f>IF(ISNUMBER(K383),K383,0)</f>
        <v/>
      </c>
    </row>
    <row r="384">
      <c r="A384" s="35" t="n"/>
      <c r="B384" s="35" t="n"/>
      <c r="C384" s="35" t="n"/>
      <c r="D384" s="25" t="n"/>
      <c r="E384" s="25" t="n"/>
      <c r="F384" s="25" t="n"/>
      <c r="G384" s="25" t="n"/>
      <c r="H384" s="25" t="n"/>
      <c r="I384" s="25" t="n"/>
      <c r="J384" s="25" t="n"/>
      <c r="K384" s="25" t="n"/>
      <c r="L384" s="35" t="n"/>
      <c r="M384" s="40">
        <f>IF(A384="","",IFERROR(INDEX(Applications!$B$2:$B$101,MATCH(A384,Applications!$A$2:$A$101,0))&amp;"",""))</f>
        <v/>
      </c>
      <c r="N384" s="41">
        <f>IF(A384="","",SUMPRODUCT(ISNUMBER(D384:K384)*($D$2:$K$2&gt;0)))</f>
        <v/>
      </c>
      <c r="O384" s="40">
        <f>IF(A384="","",IF(ISNA(MATCH(A384,Applications!$A$2:$A$101,0)),"Check ID",IF(ISNA(MATCH(B384,Settings!$C$13:$C$18,0)),"Check reviewer",IF(LEFT(C384,3)="Yes","Conflict, not counted",IF(COUNTIFS($A$3:A384,A384,$B$3:B384,B384)&gt;1,"Duplicate, not counted",IF(SUM($D$2:$K$2)=0,"Add weights on Rubric",IF(SUMPRODUCT(ISNUMBER(D384:K384)*((D384:K384&gt;4)+(D384:K384&lt;0)))&gt;0,"Check scores",IF(N384&lt;COUNTIF($D$2:$K$2,"&gt;0"),"Incomplete","Counted"))))))))</f>
        <v/>
      </c>
      <c r="P384" s="42">
        <f>IF(O384="Counted",ROUND(SUMPRODUCT(D384:K384,$D$2:$K$2)*100/(4*SUM($D$2:$K$2)),1),"")</f>
        <v/>
      </c>
      <c r="Q384" s="27">
        <f>IF(O384="Counted",1,0)</f>
        <v/>
      </c>
      <c r="R384" s="43">
        <f>IF(ISNUMBER(D384),D384,0)</f>
        <v/>
      </c>
      <c r="S384" s="43">
        <f>IF(ISNUMBER(E384),E384,0)</f>
        <v/>
      </c>
      <c r="T384" s="43">
        <f>IF(ISNUMBER(F384),F384,0)</f>
        <v/>
      </c>
      <c r="U384" s="43">
        <f>IF(ISNUMBER(G384),G384,0)</f>
        <v/>
      </c>
      <c r="V384" s="43">
        <f>IF(ISNUMBER(H384),H384,0)</f>
        <v/>
      </c>
      <c r="W384" s="43">
        <f>IF(ISNUMBER(I384),I384,0)</f>
        <v/>
      </c>
      <c r="X384" s="43">
        <f>IF(ISNUMBER(J384),J384,0)</f>
        <v/>
      </c>
      <c r="Y384" s="43">
        <f>IF(ISNUMBER(K384),K384,0)</f>
        <v/>
      </c>
    </row>
    <row r="385">
      <c r="A385" s="35" t="n"/>
      <c r="B385" s="35" t="n"/>
      <c r="C385" s="35" t="n"/>
      <c r="D385" s="25" t="n"/>
      <c r="E385" s="25" t="n"/>
      <c r="F385" s="25" t="n"/>
      <c r="G385" s="25" t="n"/>
      <c r="H385" s="25" t="n"/>
      <c r="I385" s="25" t="n"/>
      <c r="J385" s="25" t="n"/>
      <c r="K385" s="25" t="n"/>
      <c r="L385" s="35" t="n"/>
      <c r="M385" s="40">
        <f>IF(A385="","",IFERROR(INDEX(Applications!$B$2:$B$101,MATCH(A385,Applications!$A$2:$A$101,0))&amp;"",""))</f>
        <v/>
      </c>
      <c r="N385" s="41">
        <f>IF(A385="","",SUMPRODUCT(ISNUMBER(D385:K385)*($D$2:$K$2&gt;0)))</f>
        <v/>
      </c>
      <c r="O385" s="40">
        <f>IF(A385="","",IF(ISNA(MATCH(A385,Applications!$A$2:$A$101,0)),"Check ID",IF(ISNA(MATCH(B385,Settings!$C$13:$C$18,0)),"Check reviewer",IF(LEFT(C385,3)="Yes","Conflict, not counted",IF(COUNTIFS($A$3:A385,A385,$B$3:B385,B385)&gt;1,"Duplicate, not counted",IF(SUM($D$2:$K$2)=0,"Add weights on Rubric",IF(SUMPRODUCT(ISNUMBER(D385:K385)*((D385:K385&gt;4)+(D385:K385&lt;0)))&gt;0,"Check scores",IF(N385&lt;COUNTIF($D$2:$K$2,"&gt;0"),"Incomplete","Counted"))))))))</f>
        <v/>
      </c>
      <c r="P385" s="42">
        <f>IF(O385="Counted",ROUND(SUMPRODUCT(D385:K385,$D$2:$K$2)*100/(4*SUM($D$2:$K$2)),1),"")</f>
        <v/>
      </c>
      <c r="Q385" s="27">
        <f>IF(O385="Counted",1,0)</f>
        <v/>
      </c>
      <c r="R385" s="43">
        <f>IF(ISNUMBER(D385),D385,0)</f>
        <v/>
      </c>
      <c r="S385" s="43">
        <f>IF(ISNUMBER(E385),E385,0)</f>
        <v/>
      </c>
      <c r="T385" s="43">
        <f>IF(ISNUMBER(F385),F385,0)</f>
        <v/>
      </c>
      <c r="U385" s="43">
        <f>IF(ISNUMBER(G385),G385,0)</f>
        <v/>
      </c>
      <c r="V385" s="43">
        <f>IF(ISNUMBER(H385),H385,0)</f>
        <v/>
      </c>
      <c r="W385" s="43">
        <f>IF(ISNUMBER(I385),I385,0)</f>
        <v/>
      </c>
      <c r="X385" s="43">
        <f>IF(ISNUMBER(J385),J385,0)</f>
        <v/>
      </c>
      <c r="Y385" s="43">
        <f>IF(ISNUMBER(K385),K385,0)</f>
        <v/>
      </c>
    </row>
    <row r="386">
      <c r="A386" s="35" t="n"/>
      <c r="B386" s="35" t="n"/>
      <c r="C386" s="35" t="n"/>
      <c r="D386" s="25" t="n"/>
      <c r="E386" s="25" t="n"/>
      <c r="F386" s="25" t="n"/>
      <c r="G386" s="25" t="n"/>
      <c r="H386" s="25" t="n"/>
      <c r="I386" s="25" t="n"/>
      <c r="J386" s="25" t="n"/>
      <c r="K386" s="25" t="n"/>
      <c r="L386" s="35" t="n"/>
      <c r="M386" s="40">
        <f>IF(A386="","",IFERROR(INDEX(Applications!$B$2:$B$101,MATCH(A386,Applications!$A$2:$A$101,0))&amp;"",""))</f>
        <v/>
      </c>
      <c r="N386" s="41">
        <f>IF(A386="","",SUMPRODUCT(ISNUMBER(D386:K386)*($D$2:$K$2&gt;0)))</f>
        <v/>
      </c>
      <c r="O386" s="40">
        <f>IF(A386="","",IF(ISNA(MATCH(A386,Applications!$A$2:$A$101,0)),"Check ID",IF(ISNA(MATCH(B386,Settings!$C$13:$C$18,0)),"Check reviewer",IF(LEFT(C386,3)="Yes","Conflict, not counted",IF(COUNTIFS($A$3:A386,A386,$B$3:B386,B386)&gt;1,"Duplicate, not counted",IF(SUM($D$2:$K$2)=0,"Add weights on Rubric",IF(SUMPRODUCT(ISNUMBER(D386:K386)*((D386:K386&gt;4)+(D386:K386&lt;0)))&gt;0,"Check scores",IF(N386&lt;COUNTIF($D$2:$K$2,"&gt;0"),"Incomplete","Counted"))))))))</f>
        <v/>
      </c>
      <c r="P386" s="42">
        <f>IF(O386="Counted",ROUND(SUMPRODUCT(D386:K386,$D$2:$K$2)*100/(4*SUM($D$2:$K$2)),1),"")</f>
        <v/>
      </c>
      <c r="Q386" s="27">
        <f>IF(O386="Counted",1,0)</f>
        <v/>
      </c>
      <c r="R386" s="43">
        <f>IF(ISNUMBER(D386),D386,0)</f>
        <v/>
      </c>
      <c r="S386" s="43">
        <f>IF(ISNUMBER(E386),E386,0)</f>
        <v/>
      </c>
      <c r="T386" s="43">
        <f>IF(ISNUMBER(F386),F386,0)</f>
        <v/>
      </c>
      <c r="U386" s="43">
        <f>IF(ISNUMBER(G386),G386,0)</f>
        <v/>
      </c>
      <c r="V386" s="43">
        <f>IF(ISNUMBER(H386),H386,0)</f>
        <v/>
      </c>
      <c r="W386" s="43">
        <f>IF(ISNUMBER(I386),I386,0)</f>
        <v/>
      </c>
      <c r="X386" s="43">
        <f>IF(ISNUMBER(J386),J386,0)</f>
        <v/>
      </c>
      <c r="Y386" s="43">
        <f>IF(ISNUMBER(K386),K386,0)</f>
        <v/>
      </c>
    </row>
    <row r="387">
      <c r="A387" s="35" t="n"/>
      <c r="B387" s="35" t="n"/>
      <c r="C387" s="35" t="n"/>
      <c r="D387" s="25" t="n"/>
      <c r="E387" s="25" t="n"/>
      <c r="F387" s="25" t="n"/>
      <c r="G387" s="25" t="n"/>
      <c r="H387" s="25" t="n"/>
      <c r="I387" s="25" t="n"/>
      <c r="J387" s="25" t="n"/>
      <c r="K387" s="25" t="n"/>
      <c r="L387" s="35" t="n"/>
      <c r="M387" s="40">
        <f>IF(A387="","",IFERROR(INDEX(Applications!$B$2:$B$101,MATCH(A387,Applications!$A$2:$A$101,0))&amp;"",""))</f>
        <v/>
      </c>
      <c r="N387" s="41">
        <f>IF(A387="","",SUMPRODUCT(ISNUMBER(D387:K387)*($D$2:$K$2&gt;0)))</f>
        <v/>
      </c>
      <c r="O387" s="40">
        <f>IF(A387="","",IF(ISNA(MATCH(A387,Applications!$A$2:$A$101,0)),"Check ID",IF(ISNA(MATCH(B387,Settings!$C$13:$C$18,0)),"Check reviewer",IF(LEFT(C387,3)="Yes","Conflict, not counted",IF(COUNTIFS($A$3:A387,A387,$B$3:B387,B387)&gt;1,"Duplicate, not counted",IF(SUM($D$2:$K$2)=0,"Add weights on Rubric",IF(SUMPRODUCT(ISNUMBER(D387:K387)*((D387:K387&gt;4)+(D387:K387&lt;0)))&gt;0,"Check scores",IF(N387&lt;COUNTIF($D$2:$K$2,"&gt;0"),"Incomplete","Counted"))))))))</f>
        <v/>
      </c>
      <c r="P387" s="42">
        <f>IF(O387="Counted",ROUND(SUMPRODUCT(D387:K387,$D$2:$K$2)*100/(4*SUM($D$2:$K$2)),1),"")</f>
        <v/>
      </c>
      <c r="Q387" s="27">
        <f>IF(O387="Counted",1,0)</f>
        <v/>
      </c>
      <c r="R387" s="43">
        <f>IF(ISNUMBER(D387),D387,0)</f>
        <v/>
      </c>
      <c r="S387" s="43">
        <f>IF(ISNUMBER(E387),E387,0)</f>
        <v/>
      </c>
      <c r="T387" s="43">
        <f>IF(ISNUMBER(F387),F387,0)</f>
        <v/>
      </c>
      <c r="U387" s="43">
        <f>IF(ISNUMBER(G387),G387,0)</f>
        <v/>
      </c>
      <c r="V387" s="43">
        <f>IF(ISNUMBER(H387),H387,0)</f>
        <v/>
      </c>
      <c r="W387" s="43">
        <f>IF(ISNUMBER(I387),I387,0)</f>
        <v/>
      </c>
      <c r="X387" s="43">
        <f>IF(ISNUMBER(J387),J387,0)</f>
        <v/>
      </c>
      <c r="Y387" s="43">
        <f>IF(ISNUMBER(K387),K387,0)</f>
        <v/>
      </c>
    </row>
    <row r="388">
      <c r="A388" s="35" t="n"/>
      <c r="B388" s="35" t="n"/>
      <c r="C388" s="35" t="n"/>
      <c r="D388" s="25" t="n"/>
      <c r="E388" s="25" t="n"/>
      <c r="F388" s="25" t="n"/>
      <c r="G388" s="25" t="n"/>
      <c r="H388" s="25" t="n"/>
      <c r="I388" s="25" t="n"/>
      <c r="J388" s="25" t="n"/>
      <c r="K388" s="25" t="n"/>
      <c r="L388" s="35" t="n"/>
      <c r="M388" s="40">
        <f>IF(A388="","",IFERROR(INDEX(Applications!$B$2:$B$101,MATCH(A388,Applications!$A$2:$A$101,0))&amp;"",""))</f>
        <v/>
      </c>
      <c r="N388" s="41">
        <f>IF(A388="","",SUMPRODUCT(ISNUMBER(D388:K388)*($D$2:$K$2&gt;0)))</f>
        <v/>
      </c>
      <c r="O388" s="40">
        <f>IF(A388="","",IF(ISNA(MATCH(A388,Applications!$A$2:$A$101,0)),"Check ID",IF(ISNA(MATCH(B388,Settings!$C$13:$C$18,0)),"Check reviewer",IF(LEFT(C388,3)="Yes","Conflict, not counted",IF(COUNTIFS($A$3:A388,A388,$B$3:B388,B388)&gt;1,"Duplicate, not counted",IF(SUM($D$2:$K$2)=0,"Add weights on Rubric",IF(SUMPRODUCT(ISNUMBER(D388:K388)*((D388:K388&gt;4)+(D388:K388&lt;0)))&gt;0,"Check scores",IF(N388&lt;COUNTIF($D$2:$K$2,"&gt;0"),"Incomplete","Counted"))))))))</f>
        <v/>
      </c>
      <c r="P388" s="42">
        <f>IF(O388="Counted",ROUND(SUMPRODUCT(D388:K388,$D$2:$K$2)*100/(4*SUM($D$2:$K$2)),1),"")</f>
        <v/>
      </c>
      <c r="Q388" s="27">
        <f>IF(O388="Counted",1,0)</f>
        <v/>
      </c>
      <c r="R388" s="43">
        <f>IF(ISNUMBER(D388),D388,0)</f>
        <v/>
      </c>
      <c r="S388" s="43">
        <f>IF(ISNUMBER(E388),E388,0)</f>
        <v/>
      </c>
      <c r="T388" s="43">
        <f>IF(ISNUMBER(F388),F388,0)</f>
        <v/>
      </c>
      <c r="U388" s="43">
        <f>IF(ISNUMBER(G388),G388,0)</f>
        <v/>
      </c>
      <c r="V388" s="43">
        <f>IF(ISNUMBER(H388),H388,0)</f>
        <v/>
      </c>
      <c r="W388" s="43">
        <f>IF(ISNUMBER(I388),I388,0)</f>
        <v/>
      </c>
      <c r="X388" s="43">
        <f>IF(ISNUMBER(J388),J388,0)</f>
        <v/>
      </c>
      <c r="Y388" s="43">
        <f>IF(ISNUMBER(K388),K388,0)</f>
        <v/>
      </c>
    </row>
    <row r="389">
      <c r="A389" s="35" t="n"/>
      <c r="B389" s="35" t="n"/>
      <c r="C389" s="35" t="n"/>
      <c r="D389" s="25" t="n"/>
      <c r="E389" s="25" t="n"/>
      <c r="F389" s="25" t="n"/>
      <c r="G389" s="25" t="n"/>
      <c r="H389" s="25" t="n"/>
      <c r="I389" s="25" t="n"/>
      <c r="J389" s="25" t="n"/>
      <c r="K389" s="25" t="n"/>
      <c r="L389" s="35" t="n"/>
      <c r="M389" s="40">
        <f>IF(A389="","",IFERROR(INDEX(Applications!$B$2:$B$101,MATCH(A389,Applications!$A$2:$A$101,0))&amp;"",""))</f>
        <v/>
      </c>
      <c r="N389" s="41">
        <f>IF(A389="","",SUMPRODUCT(ISNUMBER(D389:K389)*($D$2:$K$2&gt;0)))</f>
        <v/>
      </c>
      <c r="O389" s="40">
        <f>IF(A389="","",IF(ISNA(MATCH(A389,Applications!$A$2:$A$101,0)),"Check ID",IF(ISNA(MATCH(B389,Settings!$C$13:$C$18,0)),"Check reviewer",IF(LEFT(C389,3)="Yes","Conflict, not counted",IF(COUNTIFS($A$3:A389,A389,$B$3:B389,B389)&gt;1,"Duplicate, not counted",IF(SUM($D$2:$K$2)=0,"Add weights on Rubric",IF(SUMPRODUCT(ISNUMBER(D389:K389)*((D389:K389&gt;4)+(D389:K389&lt;0)))&gt;0,"Check scores",IF(N389&lt;COUNTIF($D$2:$K$2,"&gt;0"),"Incomplete","Counted"))))))))</f>
        <v/>
      </c>
      <c r="P389" s="42">
        <f>IF(O389="Counted",ROUND(SUMPRODUCT(D389:K389,$D$2:$K$2)*100/(4*SUM($D$2:$K$2)),1),"")</f>
        <v/>
      </c>
      <c r="Q389" s="27">
        <f>IF(O389="Counted",1,0)</f>
        <v/>
      </c>
      <c r="R389" s="43">
        <f>IF(ISNUMBER(D389),D389,0)</f>
        <v/>
      </c>
      <c r="S389" s="43">
        <f>IF(ISNUMBER(E389),E389,0)</f>
        <v/>
      </c>
      <c r="T389" s="43">
        <f>IF(ISNUMBER(F389),F389,0)</f>
        <v/>
      </c>
      <c r="U389" s="43">
        <f>IF(ISNUMBER(G389),G389,0)</f>
        <v/>
      </c>
      <c r="V389" s="43">
        <f>IF(ISNUMBER(H389),H389,0)</f>
        <v/>
      </c>
      <c r="W389" s="43">
        <f>IF(ISNUMBER(I389),I389,0)</f>
        <v/>
      </c>
      <c r="X389" s="43">
        <f>IF(ISNUMBER(J389),J389,0)</f>
        <v/>
      </c>
      <c r="Y389" s="43">
        <f>IF(ISNUMBER(K389),K389,0)</f>
        <v/>
      </c>
    </row>
    <row r="390">
      <c r="A390" s="35" t="n"/>
      <c r="B390" s="35" t="n"/>
      <c r="C390" s="35" t="n"/>
      <c r="D390" s="25" t="n"/>
      <c r="E390" s="25" t="n"/>
      <c r="F390" s="25" t="n"/>
      <c r="G390" s="25" t="n"/>
      <c r="H390" s="25" t="n"/>
      <c r="I390" s="25" t="n"/>
      <c r="J390" s="25" t="n"/>
      <c r="K390" s="25" t="n"/>
      <c r="L390" s="35" t="n"/>
      <c r="M390" s="40">
        <f>IF(A390="","",IFERROR(INDEX(Applications!$B$2:$B$101,MATCH(A390,Applications!$A$2:$A$101,0))&amp;"",""))</f>
        <v/>
      </c>
      <c r="N390" s="41">
        <f>IF(A390="","",SUMPRODUCT(ISNUMBER(D390:K390)*($D$2:$K$2&gt;0)))</f>
        <v/>
      </c>
      <c r="O390" s="40">
        <f>IF(A390="","",IF(ISNA(MATCH(A390,Applications!$A$2:$A$101,0)),"Check ID",IF(ISNA(MATCH(B390,Settings!$C$13:$C$18,0)),"Check reviewer",IF(LEFT(C390,3)="Yes","Conflict, not counted",IF(COUNTIFS($A$3:A390,A390,$B$3:B390,B390)&gt;1,"Duplicate, not counted",IF(SUM($D$2:$K$2)=0,"Add weights on Rubric",IF(SUMPRODUCT(ISNUMBER(D390:K390)*((D390:K390&gt;4)+(D390:K390&lt;0)))&gt;0,"Check scores",IF(N390&lt;COUNTIF($D$2:$K$2,"&gt;0"),"Incomplete","Counted"))))))))</f>
        <v/>
      </c>
      <c r="P390" s="42">
        <f>IF(O390="Counted",ROUND(SUMPRODUCT(D390:K390,$D$2:$K$2)*100/(4*SUM($D$2:$K$2)),1),"")</f>
        <v/>
      </c>
      <c r="Q390" s="27">
        <f>IF(O390="Counted",1,0)</f>
        <v/>
      </c>
      <c r="R390" s="43">
        <f>IF(ISNUMBER(D390),D390,0)</f>
        <v/>
      </c>
      <c r="S390" s="43">
        <f>IF(ISNUMBER(E390),E390,0)</f>
        <v/>
      </c>
      <c r="T390" s="43">
        <f>IF(ISNUMBER(F390),F390,0)</f>
        <v/>
      </c>
      <c r="U390" s="43">
        <f>IF(ISNUMBER(G390),G390,0)</f>
        <v/>
      </c>
      <c r="V390" s="43">
        <f>IF(ISNUMBER(H390),H390,0)</f>
        <v/>
      </c>
      <c r="W390" s="43">
        <f>IF(ISNUMBER(I390),I390,0)</f>
        <v/>
      </c>
      <c r="X390" s="43">
        <f>IF(ISNUMBER(J390),J390,0)</f>
        <v/>
      </c>
      <c r="Y390" s="43">
        <f>IF(ISNUMBER(K390),K390,0)</f>
        <v/>
      </c>
    </row>
    <row r="391">
      <c r="A391" s="35" t="n"/>
      <c r="B391" s="35" t="n"/>
      <c r="C391" s="35" t="n"/>
      <c r="D391" s="25" t="n"/>
      <c r="E391" s="25" t="n"/>
      <c r="F391" s="25" t="n"/>
      <c r="G391" s="25" t="n"/>
      <c r="H391" s="25" t="n"/>
      <c r="I391" s="25" t="n"/>
      <c r="J391" s="25" t="n"/>
      <c r="K391" s="25" t="n"/>
      <c r="L391" s="35" t="n"/>
      <c r="M391" s="40">
        <f>IF(A391="","",IFERROR(INDEX(Applications!$B$2:$B$101,MATCH(A391,Applications!$A$2:$A$101,0))&amp;"",""))</f>
        <v/>
      </c>
      <c r="N391" s="41">
        <f>IF(A391="","",SUMPRODUCT(ISNUMBER(D391:K391)*($D$2:$K$2&gt;0)))</f>
        <v/>
      </c>
      <c r="O391" s="40">
        <f>IF(A391="","",IF(ISNA(MATCH(A391,Applications!$A$2:$A$101,0)),"Check ID",IF(ISNA(MATCH(B391,Settings!$C$13:$C$18,0)),"Check reviewer",IF(LEFT(C391,3)="Yes","Conflict, not counted",IF(COUNTIFS($A$3:A391,A391,$B$3:B391,B391)&gt;1,"Duplicate, not counted",IF(SUM($D$2:$K$2)=0,"Add weights on Rubric",IF(SUMPRODUCT(ISNUMBER(D391:K391)*((D391:K391&gt;4)+(D391:K391&lt;0)))&gt;0,"Check scores",IF(N391&lt;COUNTIF($D$2:$K$2,"&gt;0"),"Incomplete","Counted"))))))))</f>
        <v/>
      </c>
      <c r="P391" s="42">
        <f>IF(O391="Counted",ROUND(SUMPRODUCT(D391:K391,$D$2:$K$2)*100/(4*SUM($D$2:$K$2)),1),"")</f>
        <v/>
      </c>
      <c r="Q391" s="27">
        <f>IF(O391="Counted",1,0)</f>
        <v/>
      </c>
      <c r="R391" s="43">
        <f>IF(ISNUMBER(D391),D391,0)</f>
        <v/>
      </c>
      <c r="S391" s="43">
        <f>IF(ISNUMBER(E391),E391,0)</f>
        <v/>
      </c>
      <c r="T391" s="43">
        <f>IF(ISNUMBER(F391),F391,0)</f>
        <v/>
      </c>
      <c r="U391" s="43">
        <f>IF(ISNUMBER(G391),G391,0)</f>
        <v/>
      </c>
      <c r="V391" s="43">
        <f>IF(ISNUMBER(H391),H391,0)</f>
        <v/>
      </c>
      <c r="W391" s="43">
        <f>IF(ISNUMBER(I391),I391,0)</f>
        <v/>
      </c>
      <c r="X391" s="43">
        <f>IF(ISNUMBER(J391),J391,0)</f>
        <v/>
      </c>
      <c r="Y391" s="43">
        <f>IF(ISNUMBER(K391),K391,0)</f>
        <v/>
      </c>
    </row>
    <row r="392">
      <c r="A392" s="35" t="n"/>
      <c r="B392" s="35" t="n"/>
      <c r="C392" s="35" t="n"/>
      <c r="D392" s="25" t="n"/>
      <c r="E392" s="25" t="n"/>
      <c r="F392" s="25" t="n"/>
      <c r="G392" s="25" t="n"/>
      <c r="H392" s="25" t="n"/>
      <c r="I392" s="25" t="n"/>
      <c r="J392" s="25" t="n"/>
      <c r="K392" s="25" t="n"/>
      <c r="L392" s="35" t="n"/>
      <c r="M392" s="40">
        <f>IF(A392="","",IFERROR(INDEX(Applications!$B$2:$B$101,MATCH(A392,Applications!$A$2:$A$101,0))&amp;"",""))</f>
        <v/>
      </c>
      <c r="N392" s="41">
        <f>IF(A392="","",SUMPRODUCT(ISNUMBER(D392:K392)*($D$2:$K$2&gt;0)))</f>
        <v/>
      </c>
      <c r="O392" s="40">
        <f>IF(A392="","",IF(ISNA(MATCH(A392,Applications!$A$2:$A$101,0)),"Check ID",IF(ISNA(MATCH(B392,Settings!$C$13:$C$18,0)),"Check reviewer",IF(LEFT(C392,3)="Yes","Conflict, not counted",IF(COUNTIFS($A$3:A392,A392,$B$3:B392,B392)&gt;1,"Duplicate, not counted",IF(SUM($D$2:$K$2)=0,"Add weights on Rubric",IF(SUMPRODUCT(ISNUMBER(D392:K392)*((D392:K392&gt;4)+(D392:K392&lt;0)))&gt;0,"Check scores",IF(N392&lt;COUNTIF($D$2:$K$2,"&gt;0"),"Incomplete","Counted"))))))))</f>
        <v/>
      </c>
      <c r="P392" s="42">
        <f>IF(O392="Counted",ROUND(SUMPRODUCT(D392:K392,$D$2:$K$2)*100/(4*SUM($D$2:$K$2)),1),"")</f>
        <v/>
      </c>
      <c r="Q392" s="27">
        <f>IF(O392="Counted",1,0)</f>
        <v/>
      </c>
      <c r="R392" s="43">
        <f>IF(ISNUMBER(D392),D392,0)</f>
        <v/>
      </c>
      <c r="S392" s="43">
        <f>IF(ISNUMBER(E392),E392,0)</f>
        <v/>
      </c>
      <c r="T392" s="43">
        <f>IF(ISNUMBER(F392),F392,0)</f>
        <v/>
      </c>
      <c r="U392" s="43">
        <f>IF(ISNUMBER(G392),G392,0)</f>
        <v/>
      </c>
      <c r="V392" s="43">
        <f>IF(ISNUMBER(H392),H392,0)</f>
        <v/>
      </c>
      <c r="W392" s="43">
        <f>IF(ISNUMBER(I392),I392,0)</f>
        <v/>
      </c>
      <c r="X392" s="43">
        <f>IF(ISNUMBER(J392),J392,0)</f>
        <v/>
      </c>
      <c r="Y392" s="43">
        <f>IF(ISNUMBER(K392),K392,0)</f>
        <v/>
      </c>
    </row>
    <row r="393">
      <c r="A393" s="35" t="n"/>
      <c r="B393" s="35" t="n"/>
      <c r="C393" s="35" t="n"/>
      <c r="D393" s="25" t="n"/>
      <c r="E393" s="25" t="n"/>
      <c r="F393" s="25" t="n"/>
      <c r="G393" s="25" t="n"/>
      <c r="H393" s="25" t="n"/>
      <c r="I393" s="25" t="n"/>
      <c r="J393" s="25" t="n"/>
      <c r="K393" s="25" t="n"/>
      <c r="L393" s="35" t="n"/>
      <c r="M393" s="40">
        <f>IF(A393="","",IFERROR(INDEX(Applications!$B$2:$B$101,MATCH(A393,Applications!$A$2:$A$101,0))&amp;"",""))</f>
        <v/>
      </c>
      <c r="N393" s="41">
        <f>IF(A393="","",SUMPRODUCT(ISNUMBER(D393:K393)*($D$2:$K$2&gt;0)))</f>
        <v/>
      </c>
      <c r="O393" s="40">
        <f>IF(A393="","",IF(ISNA(MATCH(A393,Applications!$A$2:$A$101,0)),"Check ID",IF(ISNA(MATCH(B393,Settings!$C$13:$C$18,0)),"Check reviewer",IF(LEFT(C393,3)="Yes","Conflict, not counted",IF(COUNTIFS($A$3:A393,A393,$B$3:B393,B393)&gt;1,"Duplicate, not counted",IF(SUM($D$2:$K$2)=0,"Add weights on Rubric",IF(SUMPRODUCT(ISNUMBER(D393:K393)*((D393:K393&gt;4)+(D393:K393&lt;0)))&gt;0,"Check scores",IF(N393&lt;COUNTIF($D$2:$K$2,"&gt;0"),"Incomplete","Counted"))))))))</f>
        <v/>
      </c>
      <c r="P393" s="42">
        <f>IF(O393="Counted",ROUND(SUMPRODUCT(D393:K393,$D$2:$K$2)*100/(4*SUM($D$2:$K$2)),1),"")</f>
        <v/>
      </c>
      <c r="Q393" s="27">
        <f>IF(O393="Counted",1,0)</f>
        <v/>
      </c>
      <c r="R393" s="43">
        <f>IF(ISNUMBER(D393),D393,0)</f>
        <v/>
      </c>
      <c r="S393" s="43">
        <f>IF(ISNUMBER(E393),E393,0)</f>
        <v/>
      </c>
      <c r="T393" s="43">
        <f>IF(ISNUMBER(F393),F393,0)</f>
        <v/>
      </c>
      <c r="U393" s="43">
        <f>IF(ISNUMBER(G393),G393,0)</f>
        <v/>
      </c>
      <c r="V393" s="43">
        <f>IF(ISNUMBER(H393),H393,0)</f>
        <v/>
      </c>
      <c r="W393" s="43">
        <f>IF(ISNUMBER(I393),I393,0)</f>
        <v/>
      </c>
      <c r="X393" s="43">
        <f>IF(ISNUMBER(J393),J393,0)</f>
        <v/>
      </c>
      <c r="Y393" s="43">
        <f>IF(ISNUMBER(K393),K393,0)</f>
        <v/>
      </c>
    </row>
    <row r="394">
      <c r="A394" s="35" t="n"/>
      <c r="B394" s="35" t="n"/>
      <c r="C394" s="35" t="n"/>
      <c r="D394" s="25" t="n"/>
      <c r="E394" s="25" t="n"/>
      <c r="F394" s="25" t="n"/>
      <c r="G394" s="25" t="n"/>
      <c r="H394" s="25" t="n"/>
      <c r="I394" s="25" t="n"/>
      <c r="J394" s="25" t="n"/>
      <c r="K394" s="25" t="n"/>
      <c r="L394" s="35" t="n"/>
      <c r="M394" s="40">
        <f>IF(A394="","",IFERROR(INDEX(Applications!$B$2:$B$101,MATCH(A394,Applications!$A$2:$A$101,0))&amp;"",""))</f>
        <v/>
      </c>
      <c r="N394" s="41">
        <f>IF(A394="","",SUMPRODUCT(ISNUMBER(D394:K394)*($D$2:$K$2&gt;0)))</f>
        <v/>
      </c>
      <c r="O394" s="40">
        <f>IF(A394="","",IF(ISNA(MATCH(A394,Applications!$A$2:$A$101,0)),"Check ID",IF(ISNA(MATCH(B394,Settings!$C$13:$C$18,0)),"Check reviewer",IF(LEFT(C394,3)="Yes","Conflict, not counted",IF(COUNTIFS($A$3:A394,A394,$B$3:B394,B394)&gt;1,"Duplicate, not counted",IF(SUM($D$2:$K$2)=0,"Add weights on Rubric",IF(SUMPRODUCT(ISNUMBER(D394:K394)*((D394:K394&gt;4)+(D394:K394&lt;0)))&gt;0,"Check scores",IF(N394&lt;COUNTIF($D$2:$K$2,"&gt;0"),"Incomplete","Counted"))))))))</f>
        <v/>
      </c>
      <c r="P394" s="42">
        <f>IF(O394="Counted",ROUND(SUMPRODUCT(D394:K394,$D$2:$K$2)*100/(4*SUM($D$2:$K$2)),1),"")</f>
        <v/>
      </c>
      <c r="Q394" s="27">
        <f>IF(O394="Counted",1,0)</f>
        <v/>
      </c>
      <c r="R394" s="43">
        <f>IF(ISNUMBER(D394),D394,0)</f>
        <v/>
      </c>
      <c r="S394" s="43">
        <f>IF(ISNUMBER(E394),E394,0)</f>
        <v/>
      </c>
      <c r="T394" s="43">
        <f>IF(ISNUMBER(F394),F394,0)</f>
        <v/>
      </c>
      <c r="U394" s="43">
        <f>IF(ISNUMBER(G394),G394,0)</f>
        <v/>
      </c>
      <c r="V394" s="43">
        <f>IF(ISNUMBER(H394),H394,0)</f>
        <v/>
      </c>
      <c r="W394" s="43">
        <f>IF(ISNUMBER(I394),I394,0)</f>
        <v/>
      </c>
      <c r="X394" s="43">
        <f>IF(ISNUMBER(J394),J394,0)</f>
        <v/>
      </c>
      <c r="Y394" s="43">
        <f>IF(ISNUMBER(K394),K394,0)</f>
        <v/>
      </c>
    </row>
    <row r="395">
      <c r="A395" s="35" t="n"/>
      <c r="B395" s="35" t="n"/>
      <c r="C395" s="35" t="n"/>
      <c r="D395" s="25" t="n"/>
      <c r="E395" s="25" t="n"/>
      <c r="F395" s="25" t="n"/>
      <c r="G395" s="25" t="n"/>
      <c r="H395" s="25" t="n"/>
      <c r="I395" s="25" t="n"/>
      <c r="J395" s="25" t="n"/>
      <c r="K395" s="25" t="n"/>
      <c r="L395" s="35" t="n"/>
      <c r="M395" s="40">
        <f>IF(A395="","",IFERROR(INDEX(Applications!$B$2:$B$101,MATCH(A395,Applications!$A$2:$A$101,0))&amp;"",""))</f>
        <v/>
      </c>
      <c r="N395" s="41">
        <f>IF(A395="","",SUMPRODUCT(ISNUMBER(D395:K395)*($D$2:$K$2&gt;0)))</f>
        <v/>
      </c>
      <c r="O395" s="40">
        <f>IF(A395="","",IF(ISNA(MATCH(A395,Applications!$A$2:$A$101,0)),"Check ID",IF(ISNA(MATCH(B395,Settings!$C$13:$C$18,0)),"Check reviewer",IF(LEFT(C395,3)="Yes","Conflict, not counted",IF(COUNTIFS($A$3:A395,A395,$B$3:B395,B395)&gt;1,"Duplicate, not counted",IF(SUM($D$2:$K$2)=0,"Add weights on Rubric",IF(SUMPRODUCT(ISNUMBER(D395:K395)*((D395:K395&gt;4)+(D395:K395&lt;0)))&gt;0,"Check scores",IF(N395&lt;COUNTIF($D$2:$K$2,"&gt;0"),"Incomplete","Counted"))))))))</f>
        <v/>
      </c>
      <c r="P395" s="42">
        <f>IF(O395="Counted",ROUND(SUMPRODUCT(D395:K395,$D$2:$K$2)*100/(4*SUM($D$2:$K$2)),1),"")</f>
        <v/>
      </c>
      <c r="Q395" s="27">
        <f>IF(O395="Counted",1,0)</f>
        <v/>
      </c>
      <c r="R395" s="43">
        <f>IF(ISNUMBER(D395),D395,0)</f>
        <v/>
      </c>
      <c r="S395" s="43">
        <f>IF(ISNUMBER(E395),E395,0)</f>
        <v/>
      </c>
      <c r="T395" s="43">
        <f>IF(ISNUMBER(F395),F395,0)</f>
        <v/>
      </c>
      <c r="U395" s="43">
        <f>IF(ISNUMBER(G395),G395,0)</f>
        <v/>
      </c>
      <c r="V395" s="43">
        <f>IF(ISNUMBER(H395),H395,0)</f>
        <v/>
      </c>
      <c r="W395" s="43">
        <f>IF(ISNUMBER(I395),I395,0)</f>
        <v/>
      </c>
      <c r="X395" s="43">
        <f>IF(ISNUMBER(J395),J395,0)</f>
        <v/>
      </c>
      <c r="Y395" s="43">
        <f>IF(ISNUMBER(K395),K395,0)</f>
        <v/>
      </c>
    </row>
    <row r="396">
      <c r="A396" s="35" t="n"/>
      <c r="B396" s="35" t="n"/>
      <c r="C396" s="35" t="n"/>
      <c r="D396" s="25" t="n"/>
      <c r="E396" s="25" t="n"/>
      <c r="F396" s="25" t="n"/>
      <c r="G396" s="25" t="n"/>
      <c r="H396" s="25" t="n"/>
      <c r="I396" s="25" t="n"/>
      <c r="J396" s="25" t="n"/>
      <c r="K396" s="25" t="n"/>
      <c r="L396" s="35" t="n"/>
      <c r="M396" s="40">
        <f>IF(A396="","",IFERROR(INDEX(Applications!$B$2:$B$101,MATCH(A396,Applications!$A$2:$A$101,0))&amp;"",""))</f>
        <v/>
      </c>
      <c r="N396" s="41">
        <f>IF(A396="","",SUMPRODUCT(ISNUMBER(D396:K396)*($D$2:$K$2&gt;0)))</f>
        <v/>
      </c>
      <c r="O396" s="40">
        <f>IF(A396="","",IF(ISNA(MATCH(A396,Applications!$A$2:$A$101,0)),"Check ID",IF(ISNA(MATCH(B396,Settings!$C$13:$C$18,0)),"Check reviewer",IF(LEFT(C396,3)="Yes","Conflict, not counted",IF(COUNTIFS($A$3:A396,A396,$B$3:B396,B396)&gt;1,"Duplicate, not counted",IF(SUM($D$2:$K$2)=0,"Add weights on Rubric",IF(SUMPRODUCT(ISNUMBER(D396:K396)*((D396:K396&gt;4)+(D396:K396&lt;0)))&gt;0,"Check scores",IF(N396&lt;COUNTIF($D$2:$K$2,"&gt;0"),"Incomplete","Counted"))))))))</f>
        <v/>
      </c>
      <c r="P396" s="42">
        <f>IF(O396="Counted",ROUND(SUMPRODUCT(D396:K396,$D$2:$K$2)*100/(4*SUM($D$2:$K$2)),1),"")</f>
        <v/>
      </c>
      <c r="Q396" s="27">
        <f>IF(O396="Counted",1,0)</f>
        <v/>
      </c>
      <c r="R396" s="43">
        <f>IF(ISNUMBER(D396),D396,0)</f>
        <v/>
      </c>
      <c r="S396" s="43">
        <f>IF(ISNUMBER(E396),E396,0)</f>
        <v/>
      </c>
      <c r="T396" s="43">
        <f>IF(ISNUMBER(F396),F396,0)</f>
        <v/>
      </c>
      <c r="U396" s="43">
        <f>IF(ISNUMBER(G396),G396,0)</f>
        <v/>
      </c>
      <c r="V396" s="43">
        <f>IF(ISNUMBER(H396),H396,0)</f>
        <v/>
      </c>
      <c r="W396" s="43">
        <f>IF(ISNUMBER(I396),I396,0)</f>
        <v/>
      </c>
      <c r="X396" s="43">
        <f>IF(ISNUMBER(J396),J396,0)</f>
        <v/>
      </c>
      <c r="Y396" s="43">
        <f>IF(ISNUMBER(K396),K396,0)</f>
        <v/>
      </c>
    </row>
    <row r="397">
      <c r="A397" s="35" t="n"/>
      <c r="B397" s="35" t="n"/>
      <c r="C397" s="35" t="n"/>
      <c r="D397" s="25" t="n"/>
      <c r="E397" s="25" t="n"/>
      <c r="F397" s="25" t="n"/>
      <c r="G397" s="25" t="n"/>
      <c r="H397" s="25" t="n"/>
      <c r="I397" s="25" t="n"/>
      <c r="J397" s="25" t="n"/>
      <c r="K397" s="25" t="n"/>
      <c r="L397" s="35" t="n"/>
      <c r="M397" s="40">
        <f>IF(A397="","",IFERROR(INDEX(Applications!$B$2:$B$101,MATCH(A397,Applications!$A$2:$A$101,0))&amp;"",""))</f>
        <v/>
      </c>
      <c r="N397" s="41">
        <f>IF(A397="","",SUMPRODUCT(ISNUMBER(D397:K397)*($D$2:$K$2&gt;0)))</f>
        <v/>
      </c>
      <c r="O397" s="40">
        <f>IF(A397="","",IF(ISNA(MATCH(A397,Applications!$A$2:$A$101,0)),"Check ID",IF(ISNA(MATCH(B397,Settings!$C$13:$C$18,0)),"Check reviewer",IF(LEFT(C397,3)="Yes","Conflict, not counted",IF(COUNTIFS($A$3:A397,A397,$B$3:B397,B397)&gt;1,"Duplicate, not counted",IF(SUM($D$2:$K$2)=0,"Add weights on Rubric",IF(SUMPRODUCT(ISNUMBER(D397:K397)*((D397:K397&gt;4)+(D397:K397&lt;0)))&gt;0,"Check scores",IF(N397&lt;COUNTIF($D$2:$K$2,"&gt;0"),"Incomplete","Counted"))))))))</f>
        <v/>
      </c>
      <c r="P397" s="42">
        <f>IF(O397="Counted",ROUND(SUMPRODUCT(D397:K397,$D$2:$K$2)*100/(4*SUM($D$2:$K$2)),1),"")</f>
        <v/>
      </c>
      <c r="Q397" s="27">
        <f>IF(O397="Counted",1,0)</f>
        <v/>
      </c>
      <c r="R397" s="43">
        <f>IF(ISNUMBER(D397),D397,0)</f>
        <v/>
      </c>
      <c r="S397" s="43">
        <f>IF(ISNUMBER(E397),E397,0)</f>
        <v/>
      </c>
      <c r="T397" s="43">
        <f>IF(ISNUMBER(F397),F397,0)</f>
        <v/>
      </c>
      <c r="U397" s="43">
        <f>IF(ISNUMBER(G397),G397,0)</f>
        <v/>
      </c>
      <c r="V397" s="43">
        <f>IF(ISNUMBER(H397),H397,0)</f>
        <v/>
      </c>
      <c r="W397" s="43">
        <f>IF(ISNUMBER(I397),I397,0)</f>
        <v/>
      </c>
      <c r="X397" s="43">
        <f>IF(ISNUMBER(J397),J397,0)</f>
        <v/>
      </c>
      <c r="Y397" s="43">
        <f>IF(ISNUMBER(K397),K397,0)</f>
        <v/>
      </c>
    </row>
    <row r="398">
      <c r="A398" s="35" t="n"/>
      <c r="B398" s="35" t="n"/>
      <c r="C398" s="35" t="n"/>
      <c r="D398" s="25" t="n"/>
      <c r="E398" s="25" t="n"/>
      <c r="F398" s="25" t="n"/>
      <c r="G398" s="25" t="n"/>
      <c r="H398" s="25" t="n"/>
      <c r="I398" s="25" t="n"/>
      <c r="J398" s="25" t="n"/>
      <c r="K398" s="25" t="n"/>
      <c r="L398" s="35" t="n"/>
      <c r="M398" s="40">
        <f>IF(A398="","",IFERROR(INDEX(Applications!$B$2:$B$101,MATCH(A398,Applications!$A$2:$A$101,0))&amp;"",""))</f>
        <v/>
      </c>
      <c r="N398" s="41">
        <f>IF(A398="","",SUMPRODUCT(ISNUMBER(D398:K398)*($D$2:$K$2&gt;0)))</f>
        <v/>
      </c>
      <c r="O398" s="40">
        <f>IF(A398="","",IF(ISNA(MATCH(A398,Applications!$A$2:$A$101,0)),"Check ID",IF(ISNA(MATCH(B398,Settings!$C$13:$C$18,0)),"Check reviewer",IF(LEFT(C398,3)="Yes","Conflict, not counted",IF(COUNTIFS($A$3:A398,A398,$B$3:B398,B398)&gt;1,"Duplicate, not counted",IF(SUM($D$2:$K$2)=0,"Add weights on Rubric",IF(SUMPRODUCT(ISNUMBER(D398:K398)*((D398:K398&gt;4)+(D398:K398&lt;0)))&gt;0,"Check scores",IF(N398&lt;COUNTIF($D$2:$K$2,"&gt;0"),"Incomplete","Counted"))))))))</f>
        <v/>
      </c>
      <c r="P398" s="42">
        <f>IF(O398="Counted",ROUND(SUMPRODUCT(D398:K398,$D$2:$K$2)*100/(4*SUM($D$2:$K$2)),1),"")</f>
        <v/>
      </c>
      <c r="Q398" s="27">
        <f>IF(O398="Counted",1,0)</f>
        <v/>
      </c>
      <c r="R398" s="43">
        <f>IF(ISNUMBER(D398),D398,0)</f>
        <v/>
      </c>
      <c r="S398" s="43">
        <f>IF(ISNUMBER(E398),E398,0)</f>
        <v/>
      </c>
      <c r="T398" s="43">
        <f>IF(ISNUMBER(F398),F398,0)</f>
        <v/>
      </c>
      <c r="U398" s="43">
        <f>IF(ISNUMBER(G398),G398,0)</f>
        <v/>
      </c>
      <c r="V398" s="43">
        <f>IF(ISNUMBER(H398),H398,0)</f>
        <v/>
      </c>
      <c r="W398" s="43">
        <f>IF(ISNUMBER(I398),I398,0)</f>
        <v/>
      </c>
      <c r="X398" s="43">
        <f>IF(ISNUMBER(J398),J398,0)</f>
        <v/>
      </c>
      <c r="Y398" s="43">
        <f>IF(ISNUMBER(K398),K398,0)</f>
        <v/>
      </c>
    </row>
    <row r="399">
      <c r="A399" s="35" t="n"/>
      <c r="B399" s="35" t="n"/>
      <c r="C399" s="35" t="n"/>
      <c r="D399" s="25" t="n"/>
      <c r="E399" s="25" t="n"/>
      <c r="F399" s="25" t="n"/>
      <c r="G399" s="25" t="n"/>
      <c r="H399" s="25" t="n"/>
      <c r="I399" s="25" t="n"/>
      <c r="J399" s="25" t="n"/>
      <c r="K399" s="25" t="n"/>
      <c r="L399" s="35" t="n"/>
      <c r="M399" s="40">
        <f>IF(A399="","",IFERROR(INDEX(Applications!$B$2:$B$101,MATCH(A399,Applications!$A$2:$A$101,0))&amp;"",""))</f>
        <v/>
      </c>
      <c r="N399" s="41">
        <f>IF(A399="","",SUMPRODUCT(ISNUMBER(D399:K399)*($D$2:$K$2&gt;0)))</f>
        <v/>
      </c>
      <c r="O399" s="40">
        <f>IF(A399="","",IF(ISNA(MATCH(A399,Applications!$A$2:$A$101,0)),"Check ID",IF(ISNA(MATCH(B399,Settings!$C$13:$C$18,0)),"Check reviewer",IF(LEFT(C399,3)="Yes","Conflict, not counted",IF(COUNTIFS($A$3:A399,A399,$B$3:B399,B399)&gt;1,"Duplicate, not counted",IF(SUM($D$2:$K$2)=0,"Add weights on Rubric",IF(SUMPRODUCT(ISNUMBER(D399:K399)*((D399:K399&gt;4)+(D399:K399&lt;0)))&gt;0,"Check scores",IF(N399&lt;COUNTIF($D$2:$K$2,"&gt;0"),"Incomplete","Counted"))))))))</f>
        <v/>
      </c>
      <c r="P399" s="42">
        <f>IF(O399="Counted",ROUND(SUMPRODUCT(D399:K399,$D$2:$K$2)*100/(4*SUM($D$2:$K$2)),1),"")</f>
        <v/>
      </c>
      <c r="Q399" s="27">
        <f>IF(O399="Counted",1,0)</f>
        <v/>
      </c>
      <c r="R399" s="43">
        <f>IF(ISNUMBER(D399),D399,0)</f>
        <v/>
      </c>
      <c r="S399" s="43">
        <f>IF(ISNUMBER(E399),E399,0)</f>
        <v/>
      </c>
      <c r="T399" s="43">
        <f>IF(ISNUMBER(F399),F399,0)</f>
        <v/>
      </c>
      <c r="U399" s="43">
        <f>IF(ISNUMBER(G399),G399,0)</f>
        <v/>
      </c>
      <c r="V399" s="43">
        <f>IF(ISNUMBER(H399),H399,0)</f>
        <v/>
      </c>
      <c r="W399" s="43">
        <f>IF(ISNUMBER(I399),I399,0)</f>
        <v/>
      </c>
      <c r="X399" s="43">
        <f>IF(ISNUMBER(J399),J399,0)</f>
        <v/>
      </c>
      <c r="Y399" s="43">
        <f>IF(ISNUMBER(K399),K399,0)</f>
        <v/>
      </c>
    </row>
    <row r="400">
      <c r="A400" s="35" t="n"/>
      <c r="B400" s="35" t="n"/>
      <c r="C400" s="35" t="n"/>
      <c r="D400" s="25" t="n"/>
      <c r="E400" s="25" t="n"/>
      <c r="F400" s="25" t="n"/>
      <c r="G400" s="25" t="n"/>
      <c r="H400" s="25" t="n"/>
      <c r="I400" s="25" t="n"/>
      <c r="J400" s="25" t="n"/>
      <c r="K400" s="25" t="n"/>
      <c r="L400" s="35" t="n"/>
      <c r="M400" s="40">
        <f>IF(A400="","",IFERROR(INDEX(Applications!$B$2:$B$101,MATCH(A400,Applications!$A$2:$A$101,0))&amp;"",""))</f>
        <v/>
      </c>
      <c r="N400" s="41">
        <f>IF(A400="","",SUMPRODUCT(ISNUMBER(D400:K400)*($D$2:$K$2&gt;0)))</f>
        <v/>
      </c>
      <c r="O400" s="40">
        <f>IF(A400="","",IF(ISNA(MATCH(A400,Applications!$A$2:$A$101,0)),"Check ID",IF(ISNA(MATCH(B400,Settings!$C$13:$C$18,0)),"Check reviewer",IF(LEFT(C400,3)="Yes","Conflict, not counted",IF(COUNTIFS($A$3:A400,A400,$B$3:B400,B400)&gt;1,"Duplicate, not counted",IF(SUM($D$2:$K$2)=0,"Add weights on Rubric",IF(SUMPRODUCT(ISNUMBER(D400:K400)*((D400:K400&gt;4)+(D400:K400&lt;0)))&gt;0,"Check scores",IF(N400&lt;COUNTIF($D$2:$K$2,"&gt;0"),"Incomplete","Counted"))))))))</f>
        <v/>
      </c>
      <c r="P400" s="42">
        <f>IF(O400="Counted",ROUND(SUMPRODUCT(D400:K400,$D$2:$K$2)*100/(4*SUM($D$2:$K$2)),1),"")</f>
        <v/>
      </c>
      <c r="Q400" s="27">
        <f>IF(O400="Counted",1,0)</f>
        <v/>
      </c>
      <c r="R400" s="43">
        <f>IF(ISNUMBER(D400),D400,0)</f>
        <v/>
      </c>
      <c r="S400" s="43">
        <f>IF(ISNUMBER(E400),E400,0)</f>
        <v/>
      </c>
      <c r="T400" s="43">
        <f>IF(ISNUMBER(F400),F400,0)</f>
        <v/>
      </c>
      <c r="U400" s="43">
        <f>IF(ISNUMBER(G400),G400,0)</f>
        <v/>
      </c>
      <c r="V400" s="43">
        <f>IF(ISNUMBER(H400),H400,0)</f>
        <v/>
      </c>
      <c r="W400" s="43">
        <f>IF(ISNUMBER(I400),I400,0)</f>
        <v/>
      </c>
      <c r="X400" s="43">
        <f>IF(ISNUMBER(J400),J400,0)</f>
        <v/>
      </c>
      <c r="Y400" s="43">
        <f>IF(ISNUMBER(K400),K400,0)</f>
        <v/>
      </c>
    </row>
    <row r="401">
      <c r="A401" s="35" t="n"/>
      <c r="B401" s="35" t="n"/>
      <c r="C401" s="35" t="n"/>
      <c r="D401" s="25" t="n"/>
      <c r="E401" s="25" t="n"/>
      <c r="F401" s="25" t="n"/>
      <c r="G401" s="25" t="n"/>
      <c r="H401" s="25" t="n"/>
      <c r="I401" s="25" t="n"/>
      <c r="J401" s="25" t="n"/>
      <c r="K401" s="25" t="n"/>
      <c r="L401" s="35" t="n"/>
      <c r="M401" s="40">
        <f>IF(A401="","",IFERROR(INDEX(Applications!$B$2:$B$101,MATCH(A401,Applications!$A$2:$A$101,0))&amp;"",""))</f>
        <v/>
      </c>
      <c r="N401" s="41">
        <f>IF(A401="","",SUMPRODUCT(ISNUMBER(D401:K401)*($D$2:$K$2&gt;0)))</f>
        <v/>
      </c>
      <c r="O401" s="40">
        <f>IF(A401="","",IF(ISNA(MATCH(A401,Applications!$A$2:$A$101,0)),"Check ID",IF(ISNA(MATCH(B401,Settings!$C$13:$C$18,0)),"Check reviewer",IF(LEFT(C401,3)="Yes","Conflict, not counted",IF(COUNTIFS($A$3:A401,A401,$B$3:B401,B401)&gt;1,"Duplicate, not counted",IF(SUM($D$2:$K$2)=0,"Add weights on Rubric",IF(SUMPRODUCT(ISNUMBER(D401:K401)*((D401:K401&gt;4)+(D401:K401&lt;0)))&gt;0,"Check scores",IF(N401&lt;COUNTIF($D$2:$K$2,"&gt;0"),"Incomplete","Counted"))))))))</f>
        <v/>
      </c>
      <c r="P401" s="42">
        <f>IF(O401="Counted",ROUND(SUMPRODUCT(D401:K401,$D$2:$K$2)*100/(4*SUM($D$2:$K$2)),1),"")</f>
        <v/>
      </c>
      <c r="Q401" s="27">
        <f>IF(O401="Counted",1,0)</f>
        <v/>
      </c>
      <c r="R401" s="43">
        <f>IF(ISNUMBER(D401),D401,0)</f>
        <v/>
      </c>
      <c r="S401" s="43">
        <f>IF(ISNUMBER(E401),E401,0)</f>
        <v/>
      </c>
      <c r="T401" s="43">
        <f>IF(ISNUMBER(F401),F401,0)</f>
        <v/>
      </c>
      <c r="U401" s="43">
        <f>IF(ISNUMBER(G401),G401,0)</f>
        <v/>
      </c>
      <c r="V401" s="43">
        <f>IF(ISNUMBER(H401),H401,0)</f>
        <v/>
      </c>
      <c r="W401" s="43">
        <f>IF(ISNUMBER(I401),I401,0)</f>
        <v/>
      </c>
      <c r="X401" s="43">
        <f>IF(ISNUMBER(J401),J401,0)</f>
        <v/>
      </c>
      <c r="Y401" s="43">
        <f>IF(ISNUMBER(K401),K401,0)</f>
        <v/>
      </c>
    </row>
    <row r="402">
      <c r="A402" s="35" t="n"/>
      <c r="B402" s="35" t="n"/>
      <c r="C402" s="35" t="n"/>
      <c r="D402" s="25" t="n"/>
      <c r="E402" s="25" t="n"/>
      <c r="F402" s="25" t="n"/>
      <c r="G402" s="25" t="n"/>
      <c r="H402" s="25" t="n"/>
      <c r="I402" s="25" t="n"/>
      <c r="J402" s="25" t="n"/>
      <c r="K402" s="25" t="n"/>
      <c r="L402" s="35" t="n"/>
      <c r="M402" s="40">
        <f>IF(A402="","",IFERROR(INDEX(Applications!$B$2:$B$101,MATCH(A402,Applications!$A$2:$A$101,0))&amp;"",""))</f>
        <v/>
      </c>
      <c r="N402" s="41">
        <f>IF(A402="","",SUMPRODUCT(ISNUMBER(D402:K402)*($D$2:$K$2&gt;0)))</f>
        <v/>
      </c>
      <c r="O402" s="40">
        <f>IF(A402="","",IF(ISNA(MATCH(A402,Applications!$A$2:$A$101,0)),"Check ID",IF(ISNA(MATCH(B402,Settings!$C$13:$C$18,0)),"Check reviewer",IF(LEFT(C402,3)="Yes","Conflict, not counted",IF(COUNTIFS($A$3:A402,A402,$B$3:B402,B402)&gt;1,"Duplicate, not counted",IF(SUM($D$2:$K$2)=0,"Add weights on Rubric",IF(SUMPRODUCT(ISNUMBER(D402:K402)*((D402:K402&gt;4)+(D402:K402&lt;0)))&gt;0,"Check scores",IF(N402&lt;COUNTIF($D$2:$K$2,"&gt;0"),"Incomplete","Counted"))))))))</f>
        <v/>
      </c>
      <c r="P402" s="42">
        <f>IF(O402="Counted",ROUND(SUMPRODUCT(D402:K402,$D$2:$K$2)*100/(4*SUM($D$2:$K$2)),1),"")</f>
        <v/>
      </c>
      <c r="Q402" s="27">
        <f>IF(O402="Counted",1,0)</f>
        <v/>
      </c>
      <c r="R402" s="43">
        <f>IF(ISNUMBER(D402),D402,0)</f>
        <v/>
      </c>
      <c r="S402" s="43">
        <f>IF(ISNUMBER(E402),E402,0)</f>
        <v/>
      </c>
      <c r="T402" s="43">
        <f>IF(ISNUMBER(F402),F402,0)</f>
        <v/>
      </c>
      <c r="U402" s="43">
        <f>IF(ISNUMBER(G402),G402,0)</f>
        <v/>
      </c>
      <c r="V402" s="43">
        <f>IF(ISNUMBER(H402),H402,0)</f>
        <v/>
      </c>
      <c r="W402" s="43">
        <f>IF(ISNUMBER(I402),I402,0)</f>
        <v/>
      </c>
      <c r="X402" s="43">
        <f>IF(ISNUMBER(J402),J402,0)</f>
        <v/>
      </c>
      <c r="Y402" s="43">
        <f>IF(ISNUMBER(K402),K402,0)</f>
        <v/>
      </c>
    </row>
    <row r="403">
      <c r="A403" s="35" t="n"/>
      <c r="B403" s="35" t="n"/>
      <c r="C403" s="35" t="n"/>
      <c r="D403" s="25" t="n"/>
      <c r="E403" s="25" t="n"/>
      <c r="F403" s="25" t="n"/>
      <c r="G403" s="25" t="n"/>
      <c r="H403" s="25" t="n"/>
      <c r="I403" s="25" t="n"/>
      <c r="J403" s="25" t="n"/>
      <c r="K403" s="25" t="n"/>
      <c r="L403" s="35" t="n"/>
      <c r="M403" s="40">
        <f>IF(A403="","",IFERROR(INDEX(Applications!$B$2:$B$101,MATCH(A403,Applications!$A$2:$A$101,0))&amp;"",""))</f>
        <v/>
      </c>
      <c r="N403" s="41">
        <f>IF(A403="","",SUMPRODUCT(ISNUMBER(D403:K403)*($D$2:$K$2&gt;0)))</f>
        <v/>
      </c>
      <c r="O403" s="40">
        <f>IF(A403="","",IF(ISNA(MATCH(A403,Applications!$A$2:$A$101,0)),"Check ID",IF(ISNA(MATCH(B403,Settings!$C$13:$C$18,0)),"Check reviewer",IF(LEFT(C403,3)="Yes","Conflict, not counted",IF(COUNTIFS($A$3:A403,A403,$B$3:B403,B403)&gt;1,"Duplicate, not counted",IF(SUM($D$2:$K$2)=0,"Add weights on Rubric",IF(SUMPRODUCT(ISNUMBER(D403:K403)*((D403:K403&gt;4)+(D403:K403&lt;0)))&gt;0,"Check scores",IF(N403&lt;COUNTIF($D$2:$K$2,"&gt;0"),"Incomplete","Counted"))))))))</f>
        <v/>
      </c>
      <c r="P403" s="42">
        <f>IF(O403="Counted",ROUND(SUMPRODUCT(D403:K403,$D$2:$K$2)*100/(4*SUM($D$2:$K$2)),1),"")</f>
        <v/>
      </c>
      <c r="Q403" s="27">
        <f>IF(O403="Counted",1,0)</f>
        <v/>
      </c>
      <c r="R403" s="43">
        <f>IF(ISNUMBER(D403),D403,0)</f>
        <v/>
      </c>
      <c r="S403" s="43">
        <f>IF(ISNUMBER(E403),E403,0)</f>
        <v/>
      </c>
      <c r="T403" s="43">
        <f>IF(ISNUMBER(F403),F403,0)</f>
        <v/>
      </c>
      <c r="U403" s="43">
        <f>IF(ISNUMBER(G403),G403,0)</f>
        <v/>
      </c>
      <c r="V403" s="43">
        <f>IF(ISNUMBER(H403),H403,0)</f>
        <v/>
      </c>
      <c r="W403" s="43">
        <f>IF(ISNUMBER(I403),I403,0)</f>
        <v/>
      </c>
      <c r="X403" s="43">
        <f>IF(ISNUMBER(J403),J403,0)</f>
        <v/>
      </c>
      <c r="Y403" s="43">
        <f>IF(ISNUMBER(K403),K403,0)</f>
        <v/>
      </c>
    </row>
    <row r="404">
      <c r="A404" s="35" t="n"/>
      <c r="B404" s="35" t="n"/>
      <c r="C404" s="35" t="n"/>
      <c r="D404" s="25" t="n"/>
      <c r="E404" s="25" t="n"/>
      <c r="F404" s="25" t="n"/>
      <c r="G404" s="25" t="n"/>
      <c r="H404" s="25" t="n"/>
      <c r="I404" s="25" t="n"/>
      <c r="J404" s="25" t="n"/>
      <c r="K404" s="25" t="n"/>
      <c r="L404" s="35" t="n"/>
      <c r="M404" s="40">
        <f>IF(A404="","",IFERROR(INDEX(Applications!$B$2:$B$101,MATCH(A404,Applications!$A$2:$A$101,0))&amp;"",""))</f>
        <v/>
      </c>
      <c r="N404" s="41">
        <f>IF(A404="","",SUMPRODUCT(ISNUMBER(D404:K404)*($D$2:$K$2&gt;0)))</f>
        <v/>
      </c>
      <c r="O404" s="40">
        <f>IF(A404="","",IF(ISNA(MATCH(A404,Applications!$A$2:$A$101,0)),"Check ID",IF(ISNA(MATCH(B404,Settings!$C$13:$C$18,0)),"Check reviewer",IF(LEFT(C404,3)="Yes","Conflict, not counted",IF(COUNTIFS($A$3:A404,A404,$B$3:B404,B404)&gt;1,"Duplicate, not counted",IF(SUM($D$2:$K$2)=0,"Add weights on Rubric",IF(SUMPRODUCT(ISNUMBER(D404:K404)*((D404:K404&gt;4)+(D404:K404&lt;0)))&gt;0,"Check scores",IF(N404&lt;COUNTIF($D$2:$K$2,"&gt;0"),"Incomplete","Counted"))))))))</f>
        <v/>
      </c>
      <c r="P404" s="42">
        <f>IF(O404="Counted",ROUND(SUMPRODUCT(D404:K404,$D$2:$K$2)*100/(4*SUM($D$2:$K$2)),1),"")</f>
        <v/>
      </c>
      <c r="Q404" s="27">
        <f>IF(O404="Counted",1,0)</f>
        <v/>
      </c>
      <c r="R404" s="43">
        <f>IF(ISNUMBER(D404),D404,0)</f>
        <v/>
      </c>
      <c r="S404" s="43">
        <f>IF(ISNUMBER(E404),E404,0)</f>
        <v/>
      </c>
      <c r="T404" s="43">
        <f>IF(ISNUMBER(F404),F404,0)</f>
        <v/>
      </c>
      <c r="U404" s="43">
        <f>IF(ISNUMBER(G404),G404,0)</f>
        <v/>
      </c>
      <c r="V404" s="43">
        <f>IF(ISNUMBER(H404),H404,0)</f>
        <v/>
      </c>
      <c r="W404" s="43">
        <f>IF(ISNUMBER(I404),I404,0)</f>
        <v/>
      </c>
      <c r="X404" s="43">
        <f>IF(ISNUMBER(J404),J404,0)</f>
        <v/>
      </c>
      <c r="Y404" s="43">
        <f>IF(ISNUMBER(K404),K404,0)</f>
        <v/>
      </c>
    </row>
    <row r="405">
      <c r="A405" s="35" t="n"/>
      <c r="B405" s="35" t="n"/>
      <c r="C405" s="35" t="n"/>
      <c r="D405" s="25" t="n"/>
      <c r="E405" s="25" t="n"/>
      <c r="F405" s="25" t="n"/>
      <c r="G405" s="25" t="n"/>
      <c r="H405" s="25" t="n"/>
      <c r="I405" s="25" t="n"/>
      <c r="J405" s="25" t="n"/>
      <c r="K405" s="25" t="n"/>
      <c r="L405" s="35" t="n"/>
      <c r="M405" s="40">
        <f>IF(A405="","",IFERROR(INDEX(Applications!$B$2:$B$101,MATCH(A405,Applications!$A$2:$A$101,0))&amp;"",""))</f>
        <v/>
      </c>
      <c r="N405" s="41">
        <f>IF(A405="","",SUMPRODUCT(ISNUMBER(D405:K405)*($D$2:$K$2&gt;0)))</f>
        <v/>
      </c>
      <c r="O405" s="40">
        <f>IF(A405="","",IF(ISNA(MATCH(A405,Applications!$A$2:$A$101,0)),"Check ID",IF(ISNA(MATCH(B405,Settings!$C$13:$C$18,0)),"Check reviewer",IF(LEFT(C405,3)="Yes","Conflict, not counted",IF(COUNTIFS($A$3:A405,A405,$B$3:B405,B405)&gt;1,"Duplicate, not counted",IF(SUM($D$2:$K$2)=0,"Add weights on Rubric",IF(SUMPRODUCT(ISNUMBER(D405:K405)*((D405:K405&gt;4)+(D405:K405&lt;0)))&gt;0,"Check scores",IF(N405&lt;COUNTIF($D$2:$K$2,"&gt;0"),"Incomplete","Counted"))))))))</f>
        <v/>
      </c>
      <c r="P405" s="42">
        <f>IF(O405="Counted",ROUND(SUMPRODUCT(D405:K405,$D$2:$K$2)*100/(4*SUM($D$2:$K$2)),1),"")</f>
        <v/>
      </c>
      <c r="Q405" s="27">
        <f>IF(O405="Counted",1,0)</f>
        <v/>
      </c>
      <c r="R405" s="43">
        <f>IF(ISNUMBER(D405),D405,0)</f>
        <v/>
      </c>
      <c r="S405" s="43">
        <f>IF(ISNUMBER(E405),E405,0)</f>
        <v/>
      </c>
      <c r="T405" s="43">
        <f>IF(ISNUMBER(F405),F405,0)</f>
        <v/>
      </c>
      <c r="U405" s="43">
        <f>IF(ISNUMBER(G405),G405,0)</f>
        <v/>
      </c>
      <c r="V405" s="43">
        <f>IF(ISNUMBER(H405),H405,0)</f>
        <v/>
      </c>
      <c r="W405" s="43">
        <f>IF(ISNUMBER(I405),I405,0)</f>
        <v/>
      </c>
      <c r="X405" s="43">
        <f>IF(ISNUMBER(J405),J405,0)</f>
        <v/>
      </c>
      <c r="Y405" s="43">
        <f>IF(ISNUMBER(K405),K405,0)</f>
        <v/>
      </c>
    </row>
    <row r="406">
      <c r="A406" s="35" t="n"/>
      <c r="B406" s="35" t="n"/>
      <c r="C406" s="35" t="n"/>
      <c r="D406" s="25" t="n"/>
      <c r="E406" s="25" t="n"/>
      <c r="F406" s="25" t="n"/>
      <c r="G406" s="25" t="n"/>
      <c r="H406" s="25" t="n"/>
      <c r="I406" s="25" t="n"/>
      <c r="J406" s="25" t="n"/>
      <c r="K406" s="25" t="n"/>
      <c r="L406" s="35" t="n"/>
      <c r="M406" s="40">
        <f>IF(A406="","",IFERROR(INDEX(Applications!$B$2:$B$101,MATCH(A406,Applications!$A$2:$A$101,0))&amp;"",""))</f>
        <v/>
      </c>
      <c r="N406" s="41">
        <f>IF(A406="","",SUMPRODUCT(ISNUMBER(D406:K406)*($D$2:$K$2&gt;0)))</f>
        <v/>
      </c>
      <c r="O406" s="40">
        <f>IF(A406="","",IF(ISNA(MATCH(A406,Applications!$A$2:$A$101,0)),"Check ID",IF(ISNA(MATCH(B406,Settings!$C$13:$C$18,0)),"Check reviewer",IF(LEFT(C406,3)="Yes","Conflict, not counted",IF(COUNTIFS($A$3:A406,A406,$B$3:B406,B406)&gt;1,"Duplicate, not counted",IF(SUM($D$2:$K$2)=0,"Add weights on Rubric",IF(SUMPRODUCT(ISNUMBER(D406:K406)*((D406:K406&gt;4)+(D406:K406&lt;0)))&gt;0,"Check scores",IF(N406&lt;COUNTIF($D$2:$K$2,"&gt;0"),"Incomplete","Counted"))))))))</f>
        <v/>
      </c>
      <c r="P406" s="42">
        <f>IF(O406="Counted",ROUND(SUMPRODUCT(D406:K406,$D$2:$K$2)*100/(4*SUM($D$2:$K$2)),1),"")</f>
        <v/>
      </c>
      <c r="Q406" s="27">
        <f>IF(O406="Counted",1,0)</f>
        <v/>
      </c>
      <c r="R406" s="43">
        <f>IF(ISNUMBER(D406),D406,0)</f>
        <v/>
      </c>
      <c r="S406" s="43">
        <f>IF(ISNUMBER(E406),E406,0)</f>
        <v/>
      </c>
      <c r="T406" s="43">
        <f>IF(ISNUMBER(F406),F406,0)</f>
        <v/>
      </c>
      <c r="U406" s="43">
        <f>IF(ISNUMBER(G406),G406,0)</f>
        <v/>
      </c>
      <c r="V406" s="43">
        <f>IF(ISNUMBER(H406),H406,0)</f>
        <v/>
      </c>
      <c r="W406" s="43">
        <f>IF(ISNUMBER(I406),I406,0)</f>
        <v/>
      </c>
      <c r="X406" s="43">
        <f>IF(ISNUMBER(J406),J406,0)</f>
        <v/>
      </c>
      <c r="Y406" s="43">
        <f>IF(ISNUMBER(K406),K406,0)</f>
        <v/>
      </c>
    </row>
    <row r="407">
      <c r="A407" s="35" t="n"/>
      <c r="B407" s="35" t="n"/>
      <c r="C407" s="35" t="n"/>
      <c r="D407" s="25" t="n"/>
      <c r="E407" s="25" t="n"/>
      <c r="F407" s="25" t="n"/>
      <c r="G407" s="25" t="n"/>
      <c r="H407" s="25" t="n"/>
      <c r="I407" s="25" t="n"/>
      <c r="J407" s="25" t="n"/>
      <c r="K407" s="25" t="n"/>
      <c r="L407" s="35" t="n"/>
      <c r="M407" s="40">
        <f>IF(A407="","",IFERROR(INDEX(Applications!$B$2:$B$101,MATCH(A407,Applications!$A$2:$A$101,0))&amp;"",""))</f>
        <v/>
      </c>
      <c r="N407" s="41">
        <f>IF(A407="","",SUMPRODUCT(ISNUMBER(D407:K407)*($D$2:$K$2&gt;0)))</f>
        <v/>
      </c>
      <c r="O407" s="40">
        <f>IF(A407="","",IF(ISNA(MATCH(A407,Applications!$A$2:$A$101,0)),"Check ID",IF(ISNA(MATCH(B407,Settings!$C$13:$C$18,0)),"Check reviewer",IF(LEFT(C407,3)="Yes","Conflict, not counted",IF(COUNTIFS($A$3:A407,A407,$B$3:B407,B407)&gt;1,"Duplicate, not counted",IF(SUM($D$2:$K$2)=0,"Add weights on Rubric",IF(SUMPRODUCT(ISNUMBER(D407:K407)*((D407:K407&gt;4)+(D407:K407&lt;0)))&gt;0,"Check scores",IF(N407&lt;COUNTIF($D$2:$K$2,"&gt;0"),"Incomplete","Counted"))))))))</f>
        <v/>
      </c>
      <c r="P407" s="42">
        <f>IF(O407="Counted",ROUND(SUMPRODUCT(D407:K407,$D$2:$K$2)*100/(4*SUM($D$2:$K$2)),1),"")</f>
        <v/>
      </c>
      <c r="Q407" s="27">
        <f>IF(O407="Counted",1,0)</f>
        <v/>
      </c>
      <c r="R407" s="43">
        <f>IF(ISNUMBER(D407),D407,0)</f>
        <v/>
      </c>
      <c r="S407" s="43">
        <f>IF(ISNUMBER(E407),E407,0)</f>
        <v/>
      </c>
      <c r="T407" s="43">
        <f>IF(ISNUMBER(F407),F407,0)</f>
        <v/>
      </c>
      <c r="U407" s="43">
        <f>IF(ISNUMBER(G407),G407,0)</f>
        <v/>
      </c>
      <c r="V407" s="43">
        <f>IF(ISNUMBER(H407),H407,0)</f>
        <v/>
      </c>
      <c r="W407" s="43">
        <f>IF(ISNUMBER(I407),I407,0)</f>
        <v/>
      </c>
      <c r="X407" s="43">
        <f>IF(ISNUMBER(J407),J407,0)</f>
        <v/>
      </c>
      <c r="Y407" s="43">
        <f>IF(ISNUMBER(K407),K407,0)</f>
        <v/>
      </c>
    </row>
    <row r="408">
      <c r="A408" s="35" t="n"/>
      <c r="B408" s="35" t="n"/>
      <c r="C408" s="35" t="n"/>
      <c r="D408" s="25" t="n"/>
      <c r="E408" s="25" t="n"/>
      <c r="F408" s="25" t="n"/>
      <c r="G408" s="25" t="n"/>
      <c r="H408" s="25" t="n"/>
      <c r="I408" s="25" t="n"/>
      <c r="J408" s="25" t="n"/>
      <c r="K408" s="25" t="n"/>
      <c r="L408" s="35" t="n"/>
      <c r="M408" s="40">
        <f>IF(A408="","",IFERROR(INDEX(Applications!$B$2:$B$101,MATCH(A408,Applications!$A$2:$A$101,0))&amp;"",""))</f>
        <v/>
      </c>
      <c r="N408" s="41">
        <f>IF(A408="","",SUMPRODUCT(ISNUMBER(D408:K408)*($D$2:$K$2&gt;0)))</f>
        <v/>
      </c>
      <c r="O408" s="40">
        <f>IF(A408="","",IF(ISNA(MATCH(A408,Applications!$A$2:$A$101,0)),"Check ID",IF(ISNA(MATCH(B408,Settings!$C$13:$C$18,0)),"Check reviewer",IF(LEFT(C408,3)="Yes","Conflict, not counted",IF(COUNTIFS($A$3:A408,A408,$B$3:B408,B408)&gt;1,"Duplicate, not counted",IF(SUM($D$2:$K$2)=0,"Add weights on Rubric",IF(SUMPRODUCT(ISNUMBER(D408:K408)*((D408:K408&gt;4)+(D408:K408&lt;0)))&gt;0,"Check scores",IF(N408&lt;COUNTIF($D$2:$K$2,"&gt;0"),"Incomplete","Counted"))))))))</f>
        <v/>
      </c>
      <c r="P408" s="42">
        <f>IF(O408="Counted",ROUND(SUMPRODUCT(D408:K408,$D$2:$K$2)*100/(4*SUM($D$2:$K$2)),1),"")</f>
        <v/>
      </c>
      <c r="Q408" s="27">
        <f>IF(O408="Counted",1,0)</f>
        <v/>
      </c>
      <c r="R408" s="43">
        <f>IF(ISNUMBER(D408),D408,0)</f>
        <v/>
      </c>
      <c r="S408" s="43">
        <f>IF(ISNUMBER(E408),E408,0)</f>
        <v/>
      </c>
      <c r="T408" s="43">
        <f>IF(ISNUMBER(F408),F408,0)</f>
        <v/>
      </c>
      <c r="U408" s="43">
        <f>IF(ISNUMBER(G408),G408,0)</f>
        <v/>
      </c>
      <c r="V408" s="43">
        <f>IF(ISNUMBER(H408),H408,0)</f>
        <v/>
      </c>
      <c r="W408" s="43">
        <f>IF(ISNUMBER(I408),I408,0)</f>
        <v/>
      </c>
      <c r="X408" s="43">
        <f>IF(ISNUMBER(J408),J408,0)</f>
        <v/>
      </c>
      <c r="Y408" s="43">
        <f>IF(ISNUMBER(K408),K408,0)</f>
        <v/>
      </c>
    </row>
    <row r="409">
      <c r="A409" s="35" t="n"/>
      <c r="B409" s="35" t="n"/>
      <c r="C409" s="35" t="n"/>
      <c r="D409" s="25" t="n"/>
      <c r="E409" s="25" t="n"/>
      <c r="F409" s="25" t="n"/>
      <c r="G409" s="25" t="n"/>
      <c r="H409" s="25" t="n"/>
      <c r="I409" s="25" t="n"/>
      <c r="J409" s="25" t="n"/>
      <c r="K409" s="25" t="n"/>
      <c r="L409" s="35" t="n"/>
      <c r="M409" s="40">
        <f>IF(A409="","",IFERROR(INDEX(Applications!$B$2:$B$101,MATCH(A409,Applications!$A$2:$A$101,0))&amp;"",""))</f>
        <v/>
      </c>
      <c r="N409" s="41">
        <f>IF(A409="","",SUMPRODUCT(ISNUMBER(D409:K409)*($D$2:$K$2&gt;0)))</f>
        <v/>
      </c>
      <c r="O409" s="40">
        <f>IF(A409="","",IF(ISNA(MATCH(A409,Applications!$A$2:$A$101,0)),"Check ID",IF(ISNA(MATCH(B409,Settings!$C$13:$C$18,0)),"Check reviewer",IF(LEFT(C409,3)="Yes","Conflict, not counted",IF(COUNTIFS($A$3:A409,A409,$B$3:B409,B409)&gt;1,"Duplicate, not counted",IF(SUM($D$2:$K$2)=0,"Add weights on Rubric",IF(SUMPRODUCT(ISNUMBER(D409:K409)*((D409:K409&gt;4)+(D409:K409&lt;0)))&gt;0,"Check scores",IF(N409&lt;COUNTIF($D$2:$K$2,"&gt;0"),"Incomplete","Counted"))))))))</f>
        <v/>
      </c>
      <c r="P409" s="42">
        <f>IF(O409="Counted",ROUND(SUMPRODUCT(D409:K409,$D$2:$K$2)*100/(4*SUM($D$2:$K$2)),1),"")</f>
        <v/>
      </c>
      <c r="Q409" s="27">
        <f>IF(O409="Counted",1,0)</f>
        <v/>
      </c>
      <c r="R409" s="43">
        <f>IF(ISNUMBER(D409),D409,0)</f>
        <v/>
      </c>
      <c r="S409" s="43">
        <f>IF(ISNUMBER(E409),E409,0)</f>
        <v/>
      </c>
      <c r="T409" s="43">
        <f>IF(ISNUMBER(F409),F409,0)</f>
        <v/>
      </c>
      <c r="U409" s="43">
        <f>IF(ISNUMBER(G409),G409,0)</f>
        <v/>
      </c>
      <c r="V409" s="43">
        <f>IF(ISNUMBER(H409),H409,0)</f>
        <v/>
      </c>
      <c r="W409" s="43">
        <f>IF(ISNUMBER(I409),I409,0)</f>
        <v/>
      </c>
      <c r="X409" s="43">
        <f>IF(ISNUMBER(J409),J409,0)</f>
        <v/>
      </c>
      <c r="Y409" s="43">
        <f>IF(ISNUMBER(K409),K409,0)</f>
        <v/>
      </c>
    </row>
    <row r="410">
      <c r="A410" s="35" t="n"/>
      <c r="B410" s="35" t="n"/>
      <c r="C410" s="35" t="n"/>
      <c r="D410" s="25" t="n"/>
      <c r="E410" s="25" t="n"/>
      <c r="F410" s="25" t="n"/>
      <c r="G410" s="25" t="n"/>
      <c r="H410" s="25" t="n"/>
      <c r="I410" s="25" t="n"/>
      <c r="J410" s="25" t="n"/>
      <c r="K410" s="25" t="n"/>
      <c r="L410" s="35" t="n"/>
      <c r="M410" s="40">
        <f>IF(A410="","",IFERROR(INDEX(Applications!$B$2:$B$101,MATCH(A410,Applications!$A$2:$A$101,0))&amp;"",""))</f>
        <v/>
      </c>
      <c r="N410" s="41">
        <f>IF(A410="","",SUMPRODUCT(ISNUMBER(D410:K410)*($D$2:$K$2&gt;0)))</f>
        <v/>
      </c>
      <c r="O410" s="40">
        <f>IF(A410="","",IF(ISNA(MATCH(A410,Applications!$A$2:$A$101,0)),"Check ID",IF(ISNA(MATCH(B410,Settings!$C$13:$C$18,0)),"Check reviewer",IF(LEFT(C410,3)="Yes","Conflict, not counted",IF(COUNTIFS($A$3:A410,A410,$B$3:B410,B410)&gt;1,"Duplicate, not counted",IF(SUM($D$2:$K$2)=0,"Add weights on Rubric",IF(SUMPRODUCT(ISNUMBER(D410:K410)*((D410:K410&gt;4)+(D410:K410&lt;0)))&gt;0,"Check scores",IF(N410&lt;COUNTIF($D$2:$K$2,"&gt;0"),"Incomplete","Counted"))))))))</f>
        <v/>
      </c>
      <c r="P410" s="42">
        <f>IF(O410="Counted",ROUND(SUMPRODUCT(D410:K410,$D$2:$K$2)*100/(4*SUM($D$2:$K$2)),1),"")</f>
        <v/>
      </c>
      <c r="Q410" s="27">
        <f>IF(O410="Counted",1,0)</f>
        <v/>
      </c>
      <c r="R410" s="43">
        <f>IF(ISNUMBER(D410),D410,0)</f>
        <v/>
      </c>
      <c r="S410" s="43">
        <f>IF(ISNUMBER(E410),E410,0)</f>
        <v/>
      </c>
      <c r="T410" s="43">
        <f>IF(ISNUMBER(F410),F410,0)</f>
        <v/>
      </c>
      <c r="U410" s="43">
        <f>IF(ISNUMBER(G410),G410,0)</f>
        <v/>
      </c>
      <c r="V410" s="43">
        <f>IF(ISNUMBER(H410),H410,0)</f>
        <v/>
      </c>
      <c r="W410" s="43">
        <f>IF(ISNUMBER(I410),I410,0)</f>
        <v/>
      </c>
      <c r="X410" s="43">
        <f>IF(ISNUMBER(J410),J410,0)</f>
        <v/>
      </c>
      <c r="Y410" s="43">
        <f>IF(ISNUMBER(K410),K410,0)</f>
        <v/>
      </c>
    </row>
    <row r="411">
      <c r="A411" s="35" t="n"/>
      <c r="B411" s="35" t="n"/>
      <c r="C411" s="35" t="n"/>
      <c r="D411" s="25" t="n"/>
      <c r="E411" s="25" t="n"/>
      <c r="F411" s="25" t="n"/>
      <c r="G411" s="25" t="n"/>
      <c r="H411" s="25" t="n"/>
      <c r="I411" s="25" t="n"/>
      <c r="J411" s="25" t="n"/>
      <c r="K411" s="25" t="n"/>
      <c r="L411" s="35" t="n"/>
      <c r="M411" s="40">
        <f>IF(A411="","",IFERROR(INDEX(Applications!$B$2:$B$101,MATCH(A411,Applications!$A$2:$A$101,0))&amp;"",""))</f>
        <v/>
      </c>
      <c r="N411" s="41">
        <f>IF(A411="","",SUMPRODUCT(ISNUMBER(D411:K411)*($D$2:$K$2&gt;0)))</f>
        <v/>
      </c>
      <c r="O411" s="40">
        <f>IF(A411="","",IF(ISNA(MATCH(A411,Applications!$A$2:$A$101,0)),"Check ID",IF(ISNA(MATCH(B411,Settings!$C$13:$C$18,0)),"Check reviewer",IF(LEFT(C411,3)="Yes","Conflict, not counted",IF(COUNTIFS($A$3:A411,A411,$B$3:B411,B411)&gt;1,"Duplicate, not counted",IF(SUM($D$2:$K$2)=0,"Add weights on Rubric",IF(SUMPRODUCT(ISNUMBER(D411:K411)*((D411:K411&gt;4)+(D411:K411&lt;0)))&gt;0,"Check scores",IF(N411&lt;COUNTIF($D$2:$K$2,"&gt;0"),"Incomplete","Counted"))))))))</f>
        <v/>
      </c>
      <c r="P411" s="42">
        <f>IF(O411="Counted",ROUND(SUMPRODUCT(D411:K411,$D$2:$K$2)*100/(4*SUM($D$2:$K$2)),1),"")</f>
        <v/>
      </c>
      <c r="Q411" s="27">
        <f>IF(O411="Counted",1,0)</f>
        <v/>
      </c>
      <c r="R411" s="43">
        <f>IF(ISNUMBER(D411),D411,0)</f>
        <v/>
      </c>
      <c r="S411" s="43">
        <f>IF(ISNUMBER(E411),E411,0)</f>
        <v/>
      </c>
      <c r="T411" s="43">
        <f>IF(ISNUMBER(F411),F411,0)</f>
        <v/>
      </c>
      <c r="U411" s="43">
        <f>IF(ISNUMBER(G411),G411,0)</f>
        <v/>
      </c>
      <c r="V411" s="43">
        <f>IF(ISNUMBER(H411),H411,0)</f>
        <v/>
      </c>
      <c r="W411" s="43">
        <f>IF(ISNUMBER(I411),I411,0)</f>
        <v/>
      </c>
      <c r="X411" s="43">
        <f>IF(ISNUMBER(J411),J411,0)</f>
        <v/>
      </c>
      <c r="Y411" s="43">
        <f>IF(ISNUMBER(K411),K411,0)</f>
        <v/>
      </c>
    </row>
    <row r="412">
      <c r="A412" s="35" t="n"/>
      <c r="B412" s="35" t="n"/>
      <c r="C412" s="35" t="n"/>
      <c r="D412" s="25" t="n"/>
      <c r="E412" s="25" t="n"/>
      <c r="F412" s="25" t="n"/>
      <c r="G412" s="25" t="n"/>
      <c r="H412" s="25" t="n"/>
      <c r="I412" s="25" t="n"/>
      <c r="J412" s="25" t="n"/>
      <c r="K412" s="25" t="n"/>
      <c r="L412" s="35" t="n"/>
      <c r="M412" s="40">
        <f>IF(A412="","",IFERROR(INDEX(Applications!$B$2:$B$101,MATCH(A412,Applications!$A$2:$A$101,0))&amp;"",""))</f>
        <v/>
      </c>
      <c r="N412" s="41">
        <f>IF(A412="","",SUMPRODUCT(ISNUMBER(D412:K412)*($D$2:$K$2&gt;0)))</f>
        <v/>
      </c>
      <c r="O412" s="40">
        <f>IF(A412="","",IF(ISNA(MATCH(A412,Applications!$A$2:$A$101,0)),"Check ID",IF(ISNA(MATCH(B412,Settings!$C$13:$C$18,0)),"Check reviewer",IF(LEFT(C412,3)="Yes","Conflict, not counted",IF(COUNTIFS($A$3:A412,A412,$B$3:B412,B412)&gt;1,"Duplicate, not counted",IF(SUM($D$2:$K$2)=0,"Add weights on Rubric",IF(SUMPRODUCT(ISNUMBER(D412:K412)*((D412:K412&gt;4)+(D412:K412&lt;0)))&gt;0,"Check scores",IF(N412&lt;COUNTIF($D$2:$K$2,"&gt;0"),"Incomplete","Counted"))))))))</f>
        <v/>
      </c>
      <c r="P412" s="42">
        <f>IF(O412="Counted",ROUND(SUMPRODUCT(D412:K412,$D$2:$K$2)*100/(4*SUM($D$2:$K$2)),1),"")</f>
        <v/>
      </c>
      <c r="Q412" s="27">
        <f>IF(O412="Counted",1,0)</f>
        <v/>
      </c>
      <c r="R412" s="43">
        <f>IF(ISNUMBER(D412),D412,0)</f>
        <v/>
      </c>
      <c r="S412" s="43">
        <f>IF(ISNUMBER(E412),E412,0)</f>
        <v/>
      </c>
      <c r="T412" s="43">
        <f>IF(ISNUMBER(F412),F412,0)</f>
        <v/>
      </c>
      <c r="U412" s="43">
        <f>IF(ISNUMBER(G412),G412,0)</f>
        <v/>
      </c>
      <c r="V412" s="43">
        <f>IF(ISNUMBER(H412),H412,0)</f>
        <v/>
      </c>
      <c r="W412" s="43">
        <f>IF(ISNUMBER(I412),I412,0)</f>
        <v/>
      </c>
      <c r="X412" s="43">
        <f>IF(ISNUMBER(J412),J412,0)</f>
        <v/>
      </c>
      <c r="Y412" s="43">
        <f>IF(ISNUMBER(K412),K412,0)</f>
        <v/>
      </c>
    </row>
    <row r="413">
      <c r="A413" s="35" t="n"/>
      <c r="B413" s="35" t="n"/>
      <c r="C413" s="35" t="n"/>
      <c r="D413" s="25" t="n"/>
      <c r="E413" s="25" t="n"/>
      <c r="F413" s="25" t="n"/>
      <c r="G413" s="25" t="n"/>
      <c r="H413" s="25" t="n"/>
      <c r="I413" s="25" t="n"/>
      <c r="J413" s="25" t="n"/>
      <c r="K413" s="25" t="n"/>
      <c r="L413" s="35" t="n"/>
      <c r="M413" s="40">
        <f>IF(A413="","",IFERROR(INDEX(Applications!$B$2:$B$101,MATCH(A413,Applications!$A$2:$A$101,0))&amp;"",""))</f>
        <v/>
      </c>
      <c r="N413" s="41">
        <f>IF(A413="","",SUMPRODUCT(ISNUMBER(D413:K413)*($D$2:$K$2&gt;0)))</f>
        <v/>
      </c>
      <c r="O413" s="40">
        <f>IF(A413="","",IF(ISNA(MATCH(A413,Applications!$A$2:$A$101,0)),"Check ID",IF(ISNA(MATCH(B413,Settings!$C$13:$C$18,0)),"Check reviewer",IF(LEFT(C413,3)="Yes","Conflict, not counted",IF(COUNTIFS($A$3:A413,A413,$B$3:B413,B413)&gt;1,"Duplicate, not counted",IF(SUM($D$2:$K$2)=0,"Add weights on Rubric",IF(SUMPRODUCT(ISNUMBER(D413:K413)*((D413:K413&gt;4)+(D413:K413&lt;0)))&gt;0,"Check scores",IF(N413&lt;COUNTIF($D$2:$K$2,"&gt;0"),"Incomplete","Counted"))))))))</f>
        <v/>
      </c>
      <c r="P413" s="42">
        <f>IF(O413="Counted",ROUND(SUMPRODUCT(D413:K413,$D$2:$K$2)*100/(4*SUM($D$2:$K$2)),1),"")</f>
        <v/>
      </c>
      <c r="Q413" s="27">
        <f>IF(O413="Counted",1,0)</f>
        <v/>
      </c>
      <c r="R413" s="43">
        <f>IF(ISNUMBER(D413),D413,0)</f>
        <v/>
      </c>
      <c r="S413" s="43">
        <f>IF(ISNUMBER(E413),E413,0)</f>
        <v/>
      </c>
      <c r="T413" s="43">
        <f>IF(ISNUMBER(F413),F413,0)</f>
        <v/>
      </c>
      <c r="U413" s="43">
        <f>IF(ISNUMBER(G413),G413,0)</f>
        <v/>
      </c>
      <c r="V413" s="43">
        <f>IF(ISNUMBER(H413),H413,0)</f>
        <v/>
      </c>
      <c r="W413" s="43">
        <f>IF(ISNUMBER(I413),I413,0)</f>
        <v/>
      </c>
      <c r="X413" s="43">
        <f>IF(ISNUMBER(J413),J413,0)</f>
        <v/>
      </c>
      <c r="Y413" s="43">
        <f>IF(ISNUMBER(K413),K413,0)</f>
        <v/>
      </c>
    </row>
    <row r="414">
      <c r="A414" s="35" t="n"/>
      <c r="B414" s="35" t="n"/>
      <c r="C414" s="35" t="n"/>
      <c r="D414" s="25" t="n"/>
      <c r="E414" s="25" t="n"/>
      <c r="F414" s="25" t="n"/>
      <c r="G414" s="25" t="n"/>
      <c r="H414" s="25" t="n"/>
      <c r="I414" s="25" t="n"/>
      <c r="J414" s="25" t="n"/>
      <c r="K414" s="25" t="n"/>
      <c r="L414" s="35" t="n"/>
      <c r="M414" s="40">
        <f>IF(A414="","",IFERROR(INDEX(Applications!$B$2:$B$101,MATCH(A414,Applications!$A$2:$A$101,0))&amp;"",""))</f>
        <v/>
      </c>
      <c r="N414" s="41">
        <f>IF(A414="","",SUMPRODUCT(ISNUMBER(D414:K414)*($D$2:$K$2&gt;0)))</f>
        <v/>
      </c>
      <c r="O414" s="40">
        <f>IF(A414="","",IF(ISNA(MATCH(A414,Applications!$A$2:$A$101,0)),"Check ID",IF(ISNA(MATCH(B414,Settings!$C$13:$C$18,0)),"Check reviewer",IF(LEFT(C414,3)="Yes","Conflict, not counted",IF(COUNTIFS($A$3:A414,A414,$B$3:B414,B414)&gt;1,"Duplicate, not counted",IF(SUM($D$2:$K$2)=0,"Add weights on Rubric",IF(SUMPRODUCT(ISNUMBER(D414:K414)*((D414:K414&gt;4)+(D414:K414&lt;0)))&gt;0,"Check scores",IF(N414&lt;COUNTIF($D$2:$K$2,"&gt;0"),"Incomplete","Counted"))))))))</f>
        <v/>
      </c>
      <c r="P414" s="42">
        <f>IF(O414="Counted",ROUND(SUMPRODUCT(D414:K414,$D$2:$K$2)*100/(4*SUM($D$2:$K$2)),1),"")</f>
        <v/>
      </c>
      <c r="Q414" s="27">
        <f>IF(O414="Counted",1,0)</f>
        <v/>
      </c>
      <c r="R414" s="43">
        <f>IF(ISNUMBER(D414),D414,0)</f>
        <v/>
      </c>
      <c r="S414" s="43">
        <f>IF(ISNUMBER(E414),E414,0)</f>
        <v/>
      </c>
      <c r="T414" s="43">
        <f>IF(ISNUMBER(F414),F414,0)</f>
        <v/>
      </c>
      <c r="U414" s="43">
        <f>IF(ISNUMBER(G414),G414,0)</f>
        <v/>
      </c>
      <c r="V414" s="43">
        <f>IF(ISNUMBER(H414),H414,0)</f>
        <v/>
      </c>
      <c r="W414" s="43">
        <f>IF(ISNUMBER(I414),I414,0)</f>
        <v/>
      </c>
      <c r="X414" s="43">
        <f>IF(ISNUMBER(J414),J414,0)</f>
        <v/>
      </c>
      <c r="Y414" s="43">
        <f>IF(ISNUMBER(K414),K414,0)</f>
        <v/>
      </c>
    </row>
    <row r="415">
      <c r="A415" s="35" t="n"/>
      <c r="B415" s="35" t="n"/>
      <c r="C415" s="35" t="n"/>
      <c r="D415" s="25" t="n"/>
      <c r="E415" s="25" t="n"/>
      <c r="F415" s="25" t="n"/>
      <c r="G415" s="25" t="n"/>
      <c r="H415" s="25" t="n"/>
      <c r="I415" s="25" t="n"/>
      <c r="J415" s="25" t="n"/>
      <c r="K415" s="25" t="n"/>
      <c r="L415" s="35" t="n"/>
      <c r="M415" s="40">
        <f>IF(A415="","",IFERROR(INDEX(Applications!$B$2:$B$101,MATCH(A415,Applications!$A$2:$A$101,0))&amp;"",""))</f>
        <v/>
      </c>
      <c r="N415" s="41">
        <f>IF(A415="","",SUMPRODUCT(ISNUMBER(D415:K415)*($D$2:$K$2&gt;0)))</f>
        <v/>
      </c>
      <c r="O415" s="40">
        <f>IF(A415="","",IF(ISNA(MATCH(A415,Applications!$A$2:$A$101,0)),"Check ID",IF(ISNA(MATCH(B415,Settings!$C$13:$C$18,0)),"Check reviewer",IF(LEFT(C415,3)="Yes","Conflict, not counted",IF(COUNTIFS($A$3:A415,A415,$B$3:B415,B415)&gt;1,"Duplicate, not counted",IF(SUM($D$2:$K$2)=0,"Add weights on Rubric",IF(SUMPRODUCT(ISNUMBER(D415:K415)*((D415:K415&gt;4)+(D415:K415&lt;0)))&gt;0,"Check scores",IF(N415&lt;COUNTIF($D$2:$K$2,"&gt;0"),"Incomplete","Counted"))))))))</f>
        <v/>
      </c>
      <c r="P415" s="42">
        <f>IF(O415="Counted",ROUND(SUMPRODUCT(D415:K415,$D$2:$K$2)*100/(4*SUM($D$2:$K$2)),1),"")</f>
        <v/>
      </c>
      <c r="Q415" s="27">
        <f>IF(O415="Counted",1,0)</f>
        <v/>
      </c>
      <c r="R415" s="43">
        <f>IF(ISNUMBER(D415),D415,0)</f>
        <v/>
      </c>
      <c r="S415" s="43">
        <f>IF(ISNUMBER(E415),E415,0)</f>
        <v/>
      </c>
      <c r="T415" s="43">
        <f>IF(ISNUMBER(F415),F415,0)</f>
        <v/>
      </c>
      <c r="U415" s="43">
        <f>IF(ISNUMBER(G415),G415,0)</f>
        <v/>
      </c>
      <c r="V415" s="43">
        <f>IF(ISNUMBER(H415),H415,0)</f>
        <v/>
      </c>
      <c r="W415" s="43">
        <f>IF(ISNUMBER(I415),I415,0)</f>
        <v/>
      </c>
      <c r="X415" s="43">
        <f>IF(ISNUMBER(J415),J415,0)</f>
        <v/>
      </c>
      <c r="Y415" s="43">
        <f>IF(ISNUMBER(K415),K415,0)</f>
        <v/>
      </c>
    </row>
    <row r="416">
      <c r="A416" s="35" t="n"/>
      <c r="B416" s="35" t="n"/>
      <c r="C416" s="35" t="n"/>
      <c r="D416" s="25" t="n"/>
      <c r="E416" s="25" t="n"/>
      <c r="F416" s="25" t="n"/>
      <c r="G416" s="25" t="n"/>
      <c r="H416" s="25" t="n"/>
      <c r="I416" s="25" t="n"/>
      <c r="J416" s="25" t="n"/>
      <c r="K416" s="25" t="n"/>
      <c r="L416" s="35" t="n"/>
      <c r="M416" s="40">
        <f>IF(A416="","",IFERROR(INDEX(Applications!$B$2:$B$101,MATCH(A416,Applications!$A$2:$A$101,0))&amp;"",""))</f>
        <v/>
      </c>
      <c r="N416" s="41">
        <f>IF(A416="","",SUMPRODUCT(ISNUMBER(D416:K416)*($D$2:$K$2&gt;0)))</f>
        <v/>
      </c>
      <c r="O416" s="40">
        <f>IF(A416="","",IF(ISNA(MATCH(A416,Applications!$A$2:$A$101,0)),"Check ID",IF(ISNA(MATCH(B416,Settings!$C$13:$C$18,0)),"Check reviewer",IF(LEFT(C416,3)="Yes","Conflict, not counted",IF(COUNTIFS($A$3:A416,A416,$B$3:B416,B416)&gt;1,"Duplicate, not counted",IF(SUM($D$2:$K$2)=0,"Add weights on Rubric",IF(SUMPRODUCT(ISNUMBER(D416:K416)*((D416:K416&gt;4)+(D416:K416&lt;0)))&gt;0,"Check scores",IF(N416&lt;COUNTIF($D$2:$K$2,"&gt;0"),"Incomplete","Counted"))))))))</f>
        <v/>
      </c>
      <c r="P416" s="42">
        <f>IF(O416="Counted",ROUND(SUMPRODUCT(D416:K416,$D$2:$K$2)*100/(4*SUM($D$2:$K$2)),1),"")</f>
        <v/>
      </c>
      <c r="Q416" s="27">
        <f>IF(O416="Counted",1,0)</f>
        <v/>
      </c>
      <c r="R416" s="43">
        <f>IF(ISNUMBER(D416),D416,0)</f>
        <v/>
      </c>
      <c r="S416" s="43">
        <f>IF(ISNUMBER(E416),E416,0)</f>
        <v/>
      </c>
      <c r="T416" s="43">
        <f>IF(ISNUMBER(F416),F416,0)</f>
        <v/>
      </c>
      <c r="U416" s="43">
        <f>IF(ISNUMBER(G416),G416,0)</f>
        <v/>
      </c>
      <c r="V416" s="43">
        <f>IF(ISNUMBER(H416),H416,0)</f>
        <v/>
      </c>
      <c r="W416" s="43">
        <f>IF(ISNUMBER(I416),I416,0)</f>
        <v/>
      </c>
      <c r="X416" s="43">
        <f>IF(ISNUMBER(J416),J416,0)</f>
        <v/>
      </c>
      <c r="Y416" s="43">
        <f>IF(ISNUMBER(K416),K416,0)</f>
        <v/>
      </c>
    </row>
    <row r="417">
      <c r="A417" s="35" t="n"/>
      <c r="B417" s="35" t="n"/>
      <c r="C417" s="35" t="n"/>
      <c r="D417" s="25" t="n"/>
      <c r="E417" s="25" t="n"/>
      <c r="F417" s="25" t="n"/>
      <c r="G417" s="25" t="n"/>
      <c r="H417" s="25" t="n"/>
      <c r="I417" s="25" t="n"/>
      <c r="J417" s="25" t="n"/>
      <c r="K417" s="25" t="n"/>
      <c r="L417" s="35" t="n"/>
      <c r="M417" s="40">
        <f>IF(A417="","",IFERROR(INDEX(Applications!$B$2:$B$101,MATCH(A417,Applications!$A$2:$A$101,0))&amp;"",""))</f>
        <v/>
      </c>
      <c r="N417" s="41">
        <f>IF(A417="","",SUMPRODUCT(ISNUMBER(D417:K417)*($D$2:$K$2&gt;0)))</f>
        <v/>
      </c>
      <c r="O417" s="40">
        <f>IF(A417="","",IF(ISNA(MATCH(A417,Applications!$A$2:$A$101,0)),"Check ID",IF(ISNA(MATCH(B417,Settings!$C$13:$C$18,0)),"Check reviewer",IF(LEFT(C417,3)="Yes","Conflict, not counted",IF(COUNTIFS($A$3:A417,A417,$B$3:B417,B417)&gt;1,"Duplicate, not counted",IF(SUM($D$2:$K$2)=0,"Add weights on Rubric",IF(SUMPRODUCT(ISNUMBER(D417:K417)*((D417:K417&gt;4)+(D417:K417&lt;0)))&gt;0,"Check scores",IF(N417&lt;COUNTIF($D$2:$K$2,"&gt;0"),"Incomplete","Counted"))))))))</f>
        <v/>
      </c>
      <c r="P417" s="42">
        <f>IF(O417="Counted",ROUND(SUMPRODUCT(D417:K417,$D$2:$K$2)*100/(4*SUM($D$2:$K$2)),1),"")</f>
        <v/>
      </c>
      <c r="Q417" s="27">
        <f>IF(O417="Counted",1,0)</f>
        <v/>
      </c>
      <c r="R417" s="43">
        <f>IF(ISNUMBER(D417),D417,0)</f>
        <v/>
      </c>
      <c r="S417" s="43">
        <f>IF(ISNUMBER(E417),E417,0)</f>
        <v/>
      </c>
      <c r="T417" s="43">
        <f>IF(ISNUMBER(F417),F417,0)</f>
        <v/>
      </c>
      <c r="U417" s="43">
        <f>IF(ISNUMBER(G417),G417,0)</f>
        <v/>
      </c>
      <c r="V417" s="43">
        <f>IF(ISNUMBER(H417),H417,0)</f>
        <v/>
      </c>
      <c r="W417" s="43">
        <f>IF(ISNUMBER(I417),I417,0)</f>
        <v/>
      </c>
      <c r="X417" s="43">
        <f>IF(ISNUMBER(J417),J417,0)</f>
        <v/>
      </c>
      <c r="Y417" s="43">
        <f>IF(ISNUMBER(K417),K417,0)</f>
        <v/>
      </c>
    </row>
    <row r="418">
      <c r="A418" s="35" t="n"/>
      <c r="B418" s="35" t="n"/>
      <c r="C418" s="35" t="n"/>
      <c r="D418" s="25" t="n"/>
      <c r="E418" s="25" t="n"/>
      <c r="F418" s="25" t="n"/>
      <c r="G418" s="25" t="n"/>
      <c r="H418" s="25" t="n"/>
      <c r="I418" s="25" t="n"/>
      <c r="J418" s="25" t="n"/>
      <c r="K418" s="25" t="n"/>
      <c r="L418" s="35" t="n"/>
      <c r="M418" s="40">
        <f>IF(A418="","",IFERROR(INDEX(Applications!$B$2:$B$101,MATCH(A418,Applications!$A$2:$A$101,0))&amp;"",""))</f>
        <v/>
      </c>
      <c r="N418" s="41">
        <f>IF(A418="","",SUMPRODUCT(ISNUMBER(D418:K418)*($D$2:$K$2&gt;0)))</f>
        <v/>
      </c>
      <c r="O418" s="40">
        <f>IF(A418="","",IF(ISNA(MATCH(A418,Applications!$A$2:$A$101,0)),"Check ID",IF(ISNA(MATCH(B418,Settings!$C$13:$C$18,0)),"Check reviewer",IF(LEFT(C418,3)="Yes","Conflict, not counted",IF(COUNTIFS($A$3:A418,A418,$B$3:B418,B418)&gt;1,"Duplicate, not counted",IF(SUM($D$2:$K$2)=0,"Add weights on Rubric",IF(SUMPRODUCT(ISNUMBER(D418:K418)*((D418:K418&gt;4)+(D418:K418&lt;0)))&gt;0,"Check scores",IF(N418&lt;COUNTIF($D$2:$K$2,"&gt;0"),"Incomplete","Counted"))))))))</f>
        <v/>
      </c>
      <c r="P418" s="42">
        <f>IF(O418="Counted",ROUND(SUMPRODUCT(D418:K418,$D$2:$K$2)*100/(4*SUM($D$2:$K$2)),1),"")</f>
        <v/>
      </c>
      <c r="Q418" s="27">
        <f>IF(O418="Counted",1,0)</f>
        <v/>
      </c>
      <c r="R418" s="43">
        <f>IF(ISNUMBER(D418),D418,0)</f>
        <v/>
      </c>
      <c r="S418" s="43">
        <f>IF(ISNUMBER(E418),E418,0)</f>
        <v/>
      </c>
      <c r="T418" s="43">
        <f>IF(ISNUMBER(F418),F418,0)</f>
        <v/>
      </c>
      <c r="U418" s="43">
        <f>IF(ISNUMBER(G418),G418,0)</f>
        <v/>
      </c>
      <c r="V418" s="43">
        <f>IF(ISNUMBER(H418),H418,0)</f>
        <v/>
      </c>
      <c r="W418" s="43">
        <f>IF(ISNUMBER(I418),I418,0)</f>
        <v/>
      </c>
      <c r="X418" s="43">
        <f>IF(ISNUMBER(J418),J418,0)</f>
        <v/>
      </c>
      <c r="Y418" s="43">
        <f>IF(ISNUMBER(K418),K418,0)</f>
        <v/>
      </c>
    </row>
    <row r="419">
      <c r="A419" s="35" t="n"/>
      <c r="B419" s="35" t="n"/>
      <c r="C419" s="35" t="n"/>
      <c r="D419" s="25" t="n"/>
      <c r="E419" s="25" t="n"/>
      <c r="F419" s="25" t="n"/>
      <c r="G419" s="25" t="n"/>
      <c r="H419" s="25" t="n"/>
      <c r="I419" s="25" t="n"/>
      <c r="J419" s="25" t="n"/>
      <c r="K419" s="25" t="n"/>
      <c r="L419" s="35" t="n"/>
      <c r="M419" s="40">
        <f>IF(A419="","",IFERROR(INDEX(Applications!$B$2:$B$101,MATCH(A419,Applications!$A$2:$A$101,0))&amp;"",""))</f>
        <v/>
      </c>
      <c r="N419" s="41">
        <f>IF(A419="","",SUMPRODUCT(ISNUMBER(D419:K419)*($D$2:$K$2&gt;0)))</f>
        <v/>
      </c>
      <c r="O419" s="40">
        <f>IF(A419="","",IF(ISNA(MATCH(A419,Applications!$A$2:$A$101,0)),"Check ID",IF(ISNA(MATCH(B419,Settings!$C$13:$C$18,0)),"Check reviewer",IF(LEFT(C419,3)="Yes","Conflict, not counted",IF(COUNTIFS($A$3:A419,A419,$B$3:B419,B419)&gt;1,"Duplicate, not counted",IF(SUM($D$2:$K$2)=0,"Add weights on Rubric",IF(SUMPRODUCT(ISNUMBER(D419:K419)*((D419:K419&gt;4)+(D419:K419&lt;0)))&gt;0,"Check scores",IF(N419&lt;COUNTIF($D$2:$K$2,"&gt;0"),"Incomplete","Counted"))))))))</f>
        <v/>
      </c>
      <c r="P419" s="42">
        <f>IF(O419="Counted",ROUND(SUMPRODUCT(D419:K419,$D$2:$K$2)*100/(4*SUM($D$2:$K$2)),1),"")</f>
        <v/>
      </c>
      <c r="Q419" s="27">
        <f>IF(O419="Counted",1,0)</f>
        <v/>
      </c>
      <c r="R419" s="43">
        <f>IF(ISNUMBER(D419),D419,0)</f>
        <v/>
      </c>
      <c r="S419" s="43">
        <f>IF(ISNUMBER(E419),E419,0)</f>
        <v/>
      </c>
      <c r="T419" s="43">
        <f>IF(ISNUMBER(F419),F419,0)</f>
        <v/>
      </c>
      <c r="U419" s="43">
        <f>IF(ISNUMBER(G419),G419,0)</f>
        <v/>
      </c>
      <c r="V419" s="43">
        <f>IF(ISNUMBER(H419),H419,0)</f>
        <v/>
      </c>
      <c r="W419" s="43">
        <f>IF(ISNUMBER(I419),I419,0)</f>
        <v/>
      </c>
      <c r="X419" s="43">
        <f>IF(ISNUMBER(J419),J419,0)</f>
        <v/>
      </c>
      <c r="Y419" s="43">
        <f>IF(ISNUMBER(K419),K419,0)</f>
        <v/>
      </c>
    </row>
    <row r="420">
      <c r="A420" s="35" t="n"/>
      <c r="B420" s="35" t="n"/>
      <c r="C420" s="35" t="n"/>
      <c r="D420" s="25" t="n"/>
      <c r="E420" s="25" t="n"/>
      <c r="F420" s="25" t="n"/>
      <c r="G420" s="25" t="n"/>
      <c r="H420" s="25" t="n"/>
      <c r="I420" s="25" t="n"/>
      <c r="J420" s="25" t="n"/>
      <c r="K420" s="25" t="n"/>
      <c r="L420" s="35" t="n"/>
      <c r="M420" s="40">
        <f>IF(A420="","",IFERROR(INDEX(Applications!$B$2:$B$101,MATCH(A420,Applications!$A$2:$A$101,0))&amp;"",""))</f>
        <v/>
      </c>
      <c r="N420" s="41">
        <f>IF(A420="","",SUMPRODUCT(ISNUMBER(D420:K420)*($D$2:$K$2&gt;0)))</f>
        <v/>
      </c>
      <c r="O420" s="40">
        <f>IF(A420="","",IF(ISNA(MATCH(A420,Applications!$A$2:$A$101,0)),"Check ID",IF(ISNA(MATCH(B420,Settings!$C$13:$C$18,0)),"Check reviewer",IF(LEFT(C420,3)="Yes","Conflict, not counted",IF(COUNTIFS($A$3:A420,A420,$B$3:B420,B420)&gt;1,"Duplicate, not counted",IF(SUM($D$2:$K$2)=0,"Add weights on Rubric",IF(SUMPRODUCT(ISNUMBER(D420:K420)*((D420:K420&gt;4)+(D420:K420&lt;0)))&gt;0,"Check scores",IF(N420&lt;COUNTIF($D$2:$K$2,"&gt;0"),"Incomplete","Counted"))))))))</f>
        <v/>
      </c>
      <c r="P420" s="42">
        <f>IF(O420="Counted",ROUND(SUMPRODUCT(D420:K420,$D$2:$K$2)*100/(4*SUM($D$2:$K$2)),1),"")</f>
        <v/>
      </c>
      <c r="Q420" s="27">
        <f>IF(O420="Counted",1,0)</f>
        <v/>
      </c>
      <c r="R420" s="43">
        <f>IF(ISNUMBER(D420),D420,0)</f>
        <v/>
      </c>
      <c r="S420" s="43">
        <f>IF(ISNUMBER(E420),E420,0)</f>
        <v/>
      </c>
      <c r="T420" s="43">
        <f>IF(ISNUMBER(F420),F420,0)</f>
        <v/>
      </c>
      <c r="U420" s="43">
        <f>IF(ISNUMBER(G420),G420,0)</f>
        <v/>
      </c>
      <c r="V420" s="43">
        <f>IF(ISNUMBER(H420),H420,0)</f>
        <v/>
      </c>
      <c r="W420" s="43">
        <f>IF(ISNUMBER(I420),I420,0)</f>
        <v/>
      </c>
      <c r="X420" s="43">
        <f>IF(ISNUMBER(J420),J420,0)</f>
        <v/>
      </c>
      <c r="Y420" s="43">
        <f>IF(ISNUMBER(K420),K420,0)</f>
        <v/>
      </c>
    </row>
    <row r="421">
      <c r="A421" s="35" t="n"/>
      <c r="B421" s="35" t="n"/>
      <c r="C421" s="35" t="n"/>
      <c r="D421" s="25" t="n"/>
      <c r="E421" s="25" t="n"/>
      <c r="F421" s="25" t="n"/>
      <c r="G421" s="25" t="n"/>
      <c r="H421" s="25" t="n"/>
      <c r="I421" s="25" t="n"/>
      <c r="J421" s="25" t="n"/>
      <c r="K421" s="25" t="n"/>
      <c r="L421" s="35" t="n"/>
      <c r="M421" s="40">
        <f>IF(A421="","",IFERROR(INDEX(Applications!$B$2:$B$101,MATCH(A421,Applications!$A$2:$A$101,0))&amp;"",""))</f>
        <v/>
      </c>
      <c r="N421" s="41">
        <f>IF(A421="","",SUMPRODUCT(ISNUMBER(D421:K421)*($D$2:$K$2&gt;0)))</f>
        <v/>
      </c>
      <c r="O421" s="40">
        <f>IF(A421="","",IF(ISNA(MATCH(A421,Applications!$A$2:$A$101,0)),"Check ID",IF(ISNA(MATCH(B421,Settings!$C$13:$C$18,0)),"Check reviewer",IF(LEFT(C421,3)="Yes","Conflict, not counted",IF(COUNTIFS($A$3:A421,A421,$B$3:B421,B421)&gt;1,"Duplicate, not counted",IF(SUM($D$2:$K$2)=0,"Add weights on Rubric",IF(SUMPRODUCT(ISNUMBER(D421:K421)*((D421:K421&gt;4)+(D421:K421&lt;0)))&gt;0,"Check scores",IF(N421&lt;COUNTIF($D$2:$K$2,"&gt;0"),"Incomplete","Counted"))))))))</f>
        <v/>
      </c>
      <c r="P421" s="42">
        <f>IF(O421="Counted",ROUND(SUMPRODUCT(D421:K421,$D$2:$K$2)*100/(4*SUM($D$2:$K$2)),1),"")</f>
        <v/>
      </c>
      <c r="Q421" s="27">
        <f>IF(O421="Counted",1,0)</f>
        <v/>
      </c>
      <c r="R421" s="43">
        <f>IF(ISNUMBER(D421),D421,0)</f>
        <v/>
      </c>
      <c r="S421" s="43">
        <f>IF(ISNUMBER(E421),E421,0)</f>
        <v/>
      </c>
      <c r="T421" s="43">
        <f>IF(ISNUMBER(F421),F421,0)</f>
        <v/>
      </c>
      <c r="U421" s="43">
        <f>IF(ISNUMBER(G421),G421,0)</f>
        <v/>
      </c>
      <c r="V421" s="43">
        <f>IF(ISNUMBER(H421),H421,0)</f>
        <v/>
      </c>
      <c r="W421" s="43">
        <f>IF(ISNUMBER(I421),I421,0)</f>
        <v/>
      </c>
      <c r="X421" s="43">
        <f>IF(ISNUMBER(J421),J421,0)</f>
        <v/>
      </c>
      <c r="Y421" s="43">
        <f>IF(ISNUMBER(K421),K421,0)</f>
        <v/>
      </c>
    </row>
    <row r="422">
      <c r="A422" s="35" t="n"/>
      <c r="B422" s="35" t="n"/>
      <c r="C422" s="35" t="n"/>
      <c r="D422" s="25" t="n"/>
      <c r="E422" s="25" t="n"/>
      <c r="F422" s="25" t="n"/>
      <c r="G422" s="25" t="n"/>
      <c r="H422" s="25" t="n"/>
      <c r="I422" s="25" t="n"/>
      <c r="J422" s="25" t="n"/>
      <c r="K422" s="25" t="n"/>
      <c r="L422" s="35" t="n"/>
      <c r="M422" s="40">
        <f>IF(A422="","",IFERROR(INDEX(Applications!$B$2:$B$101,MATCH(A422,Applications!$A$2:$A$101,0))&amp;"",""))</f>
        <v/>
      </c>
      <c r="N422" s="41">
        <f>IF(A422="","",SUMPRODUCT(ISNUMBER(D422:K422)*($D$2:$K$2&gt;0)))</f>
        <v/>
      </c>
      <c r="O422" s="40">
        <f>IF(A422="","",IF(ISNA(MATCH(A422,Applications!$A$2:$A$101,0)),"Check ID",IF(ISNA(MATCH(B422,Settings!$C$13:$C$18,0)),"Check reviewer",IF(LEFT(C422,3)="Yes","Conflict, not counted",IF(COUNTIFS($A$3:A422,A422,$B$3:B422,B422)&gt;1,"Duplicate, not counted",IF(SUM($D$2:$K$2)=0,"Add weights on Rubric",IF(SUMPRODUCT(ISNUMBER(D422:K422)*((D422:K422&gt;4)+(D422:K422&lt;0)))&gt;0,"Check scores",IF(N422&lt;COUNTIF($D$2:$K$2,"&gt;0"),"Incomplete","Counted"))))))))</f>
        <v/>
      </c>
      <c r="P422" s="42">
        <f>IF(O422="Counted",ROUND(SUMPRODUCT(D422:K422,$D$2:$K$2)*100/(4*SUM($D$2:$K$2)),1),"")</f>
        <v/>
      </c>
      <c r="Q422" s="27">
        <f>IF(O422="Counted",1,0)</f>
        <v/>
      </c>
      <c r="R422" s="43">
        <f>IF(ISNUMBER(D422),D422,0)</f>
        <v/>
      </c>
      <c r="S422" s="43">
        <f>IF(ISNUMBER(E422),E422,0)</f>
        <v/>
      </c>
      <c r="T422" s="43">
        <f>IF(ISNUMBER(F422),F422,0)</f>
        <v/>
      </c>
      <c r="U422" s="43">
        <f>IF(ISNUMBER(G422),G422,0)</f>
        <v/>
      </c>
      <c r="V422" s="43">
        <f>IF(ISNUMBER(H422),H422,0)</f>
        <v/>
      </c>
      <c r="W422" s="43">
        <f>IF(ISNUMBER(I422),I422,0)</f>
        <v/>
      </c>
      <c r="X422" s="43">
        <f>IF(ISNUMBER(J422),J422,0)</f>
        <v/>
      </c>
      <c r="Y422" s="43">
        <f>IF(ISNUMBER(K422),K422,0)</f>
        <v/>
      </c>
    </row>
    <row r="423">
      <c r="A423" s="35" t="n"/>
      <c r="B423" s="35" t="n"/>
      <c r="C423" s="35" t="n"/>
      <c r="D423" s="25" t="n"/>
      <c r="E423" s="25" t="n"/>
      <c r="F423" s="25" t="n"/>
      <c r="G423" s="25" t="n"/>
      <c r="H423" s="25" t="n"/>
      <c r="I423" s="25" t="n"/>
      <c r="J423" s="25" t="n"/>
      <c r="K423" s="25" t="n"/>
      <c r="L423" s="35" t="n"/>
      <c r="M423" s="40">
        <f>IF(A423="","",IFERROR(INDEX(Applications!$B$2:$B$101,MATCH(A423,Applications!$A$2:$A$101,0))&amp;"",""))</f>
        <v/>
      </c>
      <c r="N423" s="41">
        <f>IF(A423="","",SUMPRODUCT(ISNUMBER(D423:K423)*($D$2:$K$2&gt;0)))</f>
        <v/>
      </c>
      <c r="O423" s="40">
        <f>IF(A423="","",IF(ISNA(MATCH(A423,Applications!$A$2:$A$101,0)),"Check ID",IF(ISNA(MATCH(B423,Settings!$C$13:$C$18,0)),"Check reviewer",IF(LEFT(C423,3)="Yes","Conflict, not counted",IF(COUNTIFS($A$3:A423,A423,$B$3:B423,B423)&gt;1,"Duplicate, not counted",IF(SUM($D$2:$K$2)=0,"Add weights on Rubric",IF(SUMPRODUCT(ISNUMBER(D423:K423)*((D423:K423&gt;4)+(D423:K423&lt;0)))&gt;0,"Check scores",IF(N423&lt;COUNTIF($D$2:$K$2,"&gt;0"),"Incomplete","Counted"))))))))</f>
        <v/>
      </c>
      <c r="P423" s="42">
        <f>IF(O423="Counted",ROUND(SUMPRODUCT(D423:K423,$D$2:$K$2)*100/(4*SUM($D$2:$K$2)),1),"")</f>
        <v/>
      </c>
      <c r="Q423" s="27">
        <f>IF(O423="Counted",1,0)</f>
        <v/>
      </c>
      <c r="R423" s="43">
        <f>IF(ISNUMBER(D423),D423,0)</f>
        <v/>
      </c>
      <c r="S423" s="43">
        <f>IF(ISNUMBER(E423),E423,0)</f>
        <v/>
      </c>
      <c r="T423" s="43">
        <f>IF(ISNUMBER(F423),F423,0)</f>
        <v/>
      </c>
      <c r="U423" s="43">
        <f>IF(ISNUMBER(G423),G423,0)</f>
        <v/>
      </c>
      <c r="V423" s="43">
        <f>IF(ISNUMBER(H423),H423,0)</f>
        <v/>
      </c>
      <c r="W423" s="43">
        <f>IF(ISNUMBER(I423),I423,0)</f>
        <v/>
      </c>
      <c r="X423" s="43">
        <f>IF(ISNUMBER(J423),J423,0)</f>
        <v/>
      </c>
      <c r="Y423" s="43">
        <f>IF(ISNUMBER(K423),K423,0)</f>
        <v/>
      </c>
    </row>
    <row r="424">
      <c r="A424" s="35" t="n"/>
      <c r="B424" s="35" t="n"/>
      <c r="C424" s="35" t="n"/>
      <c r="D424" s="25" t="n"/>
      <c r="E424" s="25" t="n"/>
      <c r="F424" s="25" t="n"/>
      <c r="G424" s="25" t="n"/>
      <c r="H424" s="25" t="n"/>
      <c r="I424" s="25" t="n"/>
      <c r="J424" s="25" t="n"/>
      <c r="K424" s="25" t="n"/>
      <c r="L424" s="35" t="n"/>
      <c r="M424" s="40">
        <f>IF(A424="","",IFERROR(INDEX(Applications!$B$2:$B$101,MATCH(A424,Applications!$A$2:$A$101,0))&amp;"",""))</f>
        <v/>
      </c>
      <c r="N424" s="41">
        <f>IF(A424="","",SUMPRODUCT(ISNUMBER(D424:K424)*($D$2:$K$2&gt;0)))</f>
        <v/>
      </c>
      <c r="O424" s="40">
        <f>IF(A424="","",IF(ISNA(MATCH(A424,Applications!$A$2:$A$101,0)),"Check ID",IF(ISNA(MATCH(B424,Settings!$C$13:$C$18,0)),"Check reviewer",IF(LEFT(C424,3)="Yes","Conflict, not counted",IF(COUNTIFS($A$3:A424,A424,$B$3:B424,B424)&gt;1,"Duplicate, not counted",IF(SUM($D$2:$K$2)=0,"Add weights on Rubric",IF(SUMPRODUCT(ISNUMBER(D424:K424)*((D424:K424&gt;4)+(D424:K424&lt;0)))&gt;0,"Check scores",IF(N424&lt;COUNTIF($D$2:$K$2,"&gt;0"),"Incomplete","Counted"))))))))</f>
        <v/>
      </c>
      <c r="P424" s="42">
        <f>IF(O424="Counted",ROUND(SUMPRODUCT(D424:K424,$D$2:$K$2)*100/(4*SUM($D$2:$K$2)),1),"")</f>
        <v/>
      </c>
      <c r="Q424" s="27">
        <f>IF(O424="Counted",1,0)</f>
        <v/>
      </c>
      <c r="R424" s="43">
        <f>IF(ISNUMBER(D424),D424,0)</f>
        <v/>
      </c>
      <c r="S424" s="43">
        <f>IF(ISNUMBER(E424),E424,0)</f>
        <v/>
      </c>
      <c r="T424" s="43">
        <f>IF(ISNUMBER(F424),F424,0)</f>
        <v/>
      </c>
      <c r="U424" s="43">
        <f>IF(ISNUMBER(G424),G424,0)</f>
        <v/>
      </c>
      <c r="V424" s="43">
        <f>IF(ISNUMBER(H424),H424,0)</f>
        <v/>
      </c>
      <c r="W424" s="43">
        <f>IF(ISNUMBER(I424),I424,0)</f>
        <v/>
      </c>
      <c r="X424" s="43">
        <f>IF(ISNUMBER(J424),J424,0)</f>
        <v/>
      </c>
      <c r="Y424" s="43">
        <f>IF(ISNUMBER(K424),K424,0)</f>
        <v/>
      </c>
    </row>
    <row r="425">
      <c r="A425" s="35" t="n"/>
      <c r="B425" s="35" t="n"/>
      <c r="C425" s="35" t="n"/>
      <c r="D425" s="25" t="n"/>
      <c r="E425" s="25" t="n"/>
      <c r="F425" s="25" t="n"/>
      <c r="G425" s="25" t="n"/>
      <c r="H425" s="25" t="n"/>
      <c r="I425" s="25" t="n"/>
      <c r="J425" s="25" t="n"/>
      <c r="K425" s="25" t="n"/>
      <c r="L425" s="35" t="n"/>
      <c r="M425" s="40">
        <f>IF(A425="","",IFERROR(INDEX(Applications!$B$2:$B$101,MATCH(A425,Applications!$A$2:$A$101,0))&amp;"",""))</f>
        <v/>
      </c>
      <c r="N425" s="41">
        <f>IF(A425="","",SUMPRODUCT(ISNUMBER(D425:K425)*($D$2:$K$2&gt;0)))</f>
        <v/>
      </c>
      <c r="O425" s="40">
        <f>IF(A425="","",IF(ISNA(MATCH(A425,Applications!$A$2:$A$101,0)),"Check ID",IF(ISNA(MATCH(B425,Settings!$C$13:$C$18,0)),"Check reviewer",IF(LEFT(C425,3)="Yes","Conflict, not counted",IF(COUNTIFS($A$3:A425,A425,$B$3:B425,B425)&gt;1,"Duplicate, not counted",IF(SUM($D$2:$K$2)=0,"Add weights on Rubric",IF(SUMPRODUCT(ISNUMBER(D425:K425)*((D425:K425&gt;4)+(D425:K425&lt;0)))&gt;0,"Check scores",IF(N425&lt;COUNTIF($D$2:$K$2,"&gt;0"),"Incomplete","Counted"))))))))</f>
        <v/>
      </c>
      <c r="P425" s="42">
        <f>IF(O425="Counted",ROUND(SUMPRODUCT(D425:K425,$D$2:$K$2)*100/(4*SUM($D$2:$K$2)),1),"")</f>
        <v/>
      </c>
      <c r="Q425" s="27">
        <f>IF(O425="Counted",1,0)</f>
        <v/>
      </c>
      <c r="R425" s="43">
        <f>IF(ISNUMBER(D425),D425,0)</f>
        <v/>
      </c>
      <c r="S425" s="43">
        <f>IF(ISNUMBER(E425),E425,0)</f>
        <v/>
      </c>
      <c r="T425" s="43">
        <f>IF(ISNUMBER(F425),F425,0)</f>
        <v/>
      </c>
      <c r="U425" s="43">
        <f>IF(ISNUMBER(G425),G425,0)</f>
        <v/>
      </c>
      <c r="V425" s="43">
        <f>IF(ISNUMBER(H425),H425,0)</f>
        <v/>
      </c>
      <c r="W425" s="43">
        <f>IF(ISNUMBER(I425),I425,0)</f>
        <v/>
      </c>
      <c r="X425" s="43">
        <f>IF(ISNUMBER(J425),J425,0)</f>
        <v/>
      </c>
      <c r="Y425" s="43">
        <f>IF(ISNUMBER(K425),K425,0)</f>
        <v/>
      </c>
    </row>
    <row r="426">
      <c r="A426" s="35" t="n"/>
      <c r="B426" s="35" t="n"/>
      <c r="C426" s="35" t="n"/>
      <c r="D426" s="25" t="n"/>
      <c r="E426" s="25" t="n"/>
      <c r="F426" s="25" t="n"/>
      <c r="G426" s="25" t="n"/>
      <c r="H426" s="25" t="n"/>
      <c r="I426" s="25" t="n"/>
      <c r="J426" s="25" t="n"/>
      <c r="K426" s="25" t="n"/>
      <c r="L426" s="35" t="n"/>
      <c r="M426" s="40">
        <f>IF(A426="","",IFERROR(INDEX(Applications!$B$2:$B$101,MATCH(A426,Applications!$A$2:$A$101,0))&amp;"",""))</f>
        <v/>
      </c>
      <c r="N426" s="41">
        <f>IF(A426="","",SUMPRODUCT(ISNUMBER(D426:K426)*($D$2:$K$2&gt;0)))</f>
        <v/>
      </c>
      <c r="O426" s="40">
        <f>IF(A426="","",IF(ISNA(MATCH(A426,Applications!$A$2:$A$101,0)),"Check ID",IF(ISNA(MATCH(B426,Settings!$C$13:$C$18,0)),"Check reviewer",IF(LEFT(C426,3)="Yes","Conflict, not counted",IF(COUNTIFS($A$3:A426,A426,$B$3:B426,B426)&gt;1,"Duplicate, not counted",IF(SUM($D$2:$K$2)=0,"Add weights on Rubric",IF(SUMPRODUCT(ISNUMBER(D426:K426)*((D426:K426&gt;4)+(D426:K426&lt;0)))&gt;0,"Check scores",IF(N426&lt;COUNTIF($D$2:$K$2,"&gt;0"),"Incomplete","Counted"))))))))</f>
        <v/>
      </c>
      <c r="P426" s="42">
        <f>IF(O426="Counted",ROUND(SUMPRODUCT(D426:K426,$D$2:$K$2)*100/(4*SUM($D$2:$K$2)),1),"")</f>
        <v/>
      </c>
      <c r="Q426" s="27">
        <f>IF(O426="Counted",1,0)</f>
        <v/>
      </c>
      <c r="R426" s="43">
        <f>IF(ISNUMBER(D426),D426,0)</f>
        <v/>
      </c>
      <c r="S426" s="43">
        <f>IF(ISNUMBER(E426),E426,0)</f>
        <v/>
      </c>
      <c r="T426" s="43">
        <f>IF(ISNUMBER(F426),F426,0)</f>
        <v/>
      </c>
      <c r="U426" s="43">
        <f>IF(ISNUMBER(G426),G426,0)</f>
        <v/>
      </c>
      <c r="V426" s="43">
        <f>IF(ISNUMBER(H426),H426,0)</f>
        <v/>
      </c>
      <c r="W426" s="43">
        <f>IF(ISNUMBER(I426),I426,0)</f>
        <v/>
      </c>
      <c r="X426" s="43">
        <f>IF(ISNUMBER(J426),J426,0)</f>
        <v/>
      </c>
      <c r="Y426" s="43">
        <f>IF(ISNUMBER(K426),K426,0)</f>
        <v/>
      </c>
    </row>
    <row r="427">
      <c r="A427" s="35" t="n"/>
      <c r="B427" s="35" t="n"/>
      <c r="C427" s="35" t="n"/>
      <c r="D427" s="25" t="n"/>
      <c r="E427" s="25" t="n"/>
      <c r="F427" s="25" t="n"/>
      <c r="G427" s="25" t="n"/>
      <c r="H427" s="25" t="n"/>
      <c r="I427" s="25" t="n"/>
      <c r="J427" s="25" t="n"/>
      <c r="K427" s="25" t="n"/>
      <c r="L427" s="35" t="n"/>
      <c r="M427" s="40">
        <f>IF(A427="","",IFERROR(INDEX(Applications!$B$2:$B$101,MATCH(A427,Applications!$A$2:$A$101,0))&amp;"",""))</f>
        <v/>
      </c>
      <c r="N427" s="41">
        <f>IF(A427="","",SUMPRODUCT(ISNUMBER(D427:K427)*($D$2:$K$2&gt;0)))</f>
        <v/>
      </c>
      <c r="O427" s="40">
        <f>IF(A427="","",IF(ISNA(MATCH(A427,Applications!$A$2:$A$101,0)),"Check ID",IF(ISNA(MATCH(B427,Settings!$C$13:$C$18,0)),"Check reviewer",IF(LEFT(C427,3)="Yes","Conflict, not counted",IF(COUNTIFS($A$3:A427,A427,$B$3:B427,B427)&gt;1,"Duplicate, not counted",IF(SUM($D$2:$K$2)=0,"Add weights on Rubric",IF(SUMPRODUCT(ISNUMBER(D427:K427)*((D427:K427&gt;4)+(D427:K427&lt;0)))&gt;0,"Check scores",IF(N427&lt;COUNTIF($D$2:$K$2,"&gt;0"),"Incomplete","Counted"))))))))</f>
        <v/>
      </c>
      <c r="P427" s="42">
        <f>IF(O427="Counted",ROUND(SUMPRODUCT(D427:K427,$D$2:$K$2)*100/(4*SUM($D$2:$K$2)),1),"")</f>
        <v/>
      </c>
      <c r="Q427" s="27">
        <f>IF(O427="Counted",1,0)</f>
        <v/>
      </c>
      <c r="R427" s="43">
        <f>IF(ISNUMBER(D427),D427,0)</f>
        <v/>
      </c>
      <c r="S427" s="43">
        <f>IF(ISNUMBER(E427),E427,0)</f>
        <v/>
      </c>
      <c r="T427" s="43">
        <f>IF(ISNUMBER(F427),F427,0)</f>
        <v/>
      </c>
      <c r="U427" s="43">
        <f>IF(ISNUMBER(G427),G427,0)</f>
        <v/>
      </c>
      <c r="V427" s="43">
        <f>IF(ISNUMBER(H427),H427,0)</f>
        <v/>
      </c>
      <c r="W427" s="43">
        <f>IF(ISNUMBER(I427),I427,0)</f>
        <v/>
      </c>
      <c r="X427" s="43">
        <f>IF(ISNUMBER(J427),J427,0)</f>
        <v/>
      </c>
      <c r="Y427" s="43">
        <f>IF(ISNUMBER(K427),K427,0)</f>
        <v/>
      </c>
    </row>
    <row r="428">
      <c r="A428" s="35" t="n"/>
      <c r="B428" s="35" t="n"/>
      <c r="C428" s="35" t="n"/>
      <c r="D428" s="25" t="n"/>
      <c r="E428" s="25" t="n"/>
      <c r="F428" s="25" t="n"/>
      <c r="G428" s="25" t="n"/>
      <c r="H428" s="25" t="n"/>
      <c r="I428" s="25" t="n"/>
      <c r="J428" s="25" t="n"/>
      <c r="K428" s="25" t="n"/>
      <c r="L428" s="35" t="n"/>
      <c r="M428" s="40">
        <f>IF(A428="","",IFERROR(INDEX(Applications!$B$2:$B$101,MATCH(A428,Applications!$A$2:$A$101,0))&amp;"",""))</f>
        <v/>
      </c>
      <c r="N428" s="41">
        <f>IF(A428="","",SUMPRODUCT(ISNUMBER(D428:K428)*($D$2:$K$2&gt;0)))</f>
        <v/>
      </c>
      <c r="O428" s="40">
        <f>IF(A428="","",IF(ISNA(MATCH(A428,Applications!$A$2:$A$101,0)),"Check ID",IF(ISNA(MATCH(B428,Settings!$C$13:$C$18,0)),"Check reviewer",IF(LEFT(C428,3)="Yes","Conflict, not counted",IF(COUNTIFS($A$3:A428,A428,$B$3:B428,B428)&gt;1,"Duplicate, not counted",IF(SUM($D$2:$K$2)=0,"Add weights on Rubric",IF(SUMPRODUCT(ISNUMBER(D428:K428)*((D428:K428&gt;4)+(D428:K428&lt;0)))&gt;0,"Check scores",IF(N428&lt;COUNTIF($D$2:$K$2,"&gt;0"),"Incomplete","Counted"))))))))</f>
        <v/>
      </c>
      <c r="P428" s="42">
        <f>IF(O428="Counted",ROUND(SUMPRODUCT(D428:K428,$D$2:$K$2)*100/(4*SUM($D$2:$K$2)),1),"")</f>
        <v/>
      </c>
      <c r="Q428" s="27">
        <f>IF(O428="Counted",1,0)</f>
        <v/>
      </c>
      <c r="R428" s="43">
        <f>IF(ISNUMBER(D428),D428,0)</f>
        <v/>
      </c>
      <c r="S428" s="43">
        <f>IF(ISNUMBER(E428),E428,0)</f>
        <v/>
      </c>
      <c r="T428" s="43">
        <f>IF(ISNUMBER(F428),F428,0)</f>
        <v/>
      </c>
      <c r="U428" s="43">
        <f>IF(ISNUMBER(G428),G428,0)</f>
        <v/>
      </c>
      <c r="V428" s="43">
        <f>IF(ISNUMBER(H428),H428,0)</f>
        <v/>
      </c>
      <c r="W428" s="43">
        <f>IF(ISNUMBER(I428),I428,0)</f>
        <v/>
      </c>
      <c r="X428" s="43">
        <f>IF(ISNUMBER(J428),J428,0)</f>
        <v/>
      </c>
      <c r="Y428" s="43">
        <f>IF(ISNUMBER(K428),K428,0)</f>
        <v/>
      </c>
    </row>
    <row r="429">
      <c r="A429" s="35" t="n"/>
      <c r="B429" s="35" t="n"/>
      <c r="C429" s="35" t="n"/>
      <c r="D429" s="25" t="n"/>
      <c r="E429" s="25" t="n"/>
      <c r="F429" s="25" t="n"/>
      <c r="G429" s="25" t="n"/>
      <c r="H429" s="25" t="n"/>
      <c r="I429" s="25" t="n"/>
      <c r="J429" s="25" t="n"/>
      <c r="K429" s="25" t="n"/>
      <c r="L429" s="35" t="n"/>
      <c r="M429" s="40">
        <f>IF(A429="","",IFERROR(INDEX(Applications!$B$2:$B$101,MATCH(A429,Applications!$A$2:$A$101,0))&amp;"",""))</f>
        <v/>
      </c>
      <c r="N429" s="41">
        <f>IF(A429="","",SUMPRODUCT(ISNUMBER(D429:K429)*($D$2:$K$2&gt;0)))</f>
        <v/>
      </c>
      <c r="O429" s="40">
        <f>IF(A429="","",IF(ISNA(MATCH(A429,Applications!$A$2:$A$101,0)),"Check ID",IF(ISNA(MATCH(B429,Settings!$C$13:$C$18,0)),"Check reviewer",IF(LEFT(C429,3)="Yes","Conflict, not counted",IF(COUNTIFS($A$3:A429,A429,$B$3:B429,B429)&gt;1,"Duplicate, not counted",IF(SUM($D$2:$K$2)=0,"Add weights on Rubric",IF(SUMPRODUCT(ISNUMBER(D429:K429)*((D429:K429&gt;4)+(D429:K429&lt;0)))&gt;0,"Check scores",IF(N429&lt;COUNTIF($D$2:$K$2,"&gt;0"),"Incomplete","Counted"))))))))</f>
        <v/>
      </c>
      <c r="P429" s="42">
        <f>IF(O429="Counted",ROUND(SUMPRODUCT(D429:K429,$D$2:$K$2)*100/(4*SUM($D$2:$K$2)),1),"")</f>
        <v/>
      </c>
      <c r="Q429" s="27">
        <f>IF(O429="Counted",1,0)</f>
        <v/>
      </c>
      <c r="R429" s="43">
        <f>IF(ISNUMBER(D429),D429,0)</f>
        <v/>
      </c>
      <c r="S429" s="43">
        <f>IF(ISNUMBER(E429),E429,0)</f>
        <v/>
      </c>
      <c r="T429" s="43">
        <f>IF(ISNUMBER(F429),F429,0)</f>
        <v/>
      </c>
      <c r="U429" s="43">
        <f>IF(ISNUMBER(G429),G429,0)</f>
        <v/>
      </c>
      <c r="V429" s="43">
        <f>IF(ISNUMBER(H429),H429,0)</f>
        <v/>
      </c>
      <c r="W429" s="43">
        <f>IF(ISNUMBER(I429),I429,0)</f>
        <v/>
      </c>
      <c r="X429" s="43">
        <f>IF(ISNUMBER(J429),J429,0)</f>
        <v/>
      </c>
      <c r="Y429" s="43">
        <f>IF(ISNUMBER(K429),K429,0)</f>
        <v/>
      </c>
    </row>
    <row r="430">
      <c r="A430" s="35" t="n"/>
      <c r="B430" s="35" t="n"/>
      <c r="C430" s="35" t="n"/>
      <c r="D430" s="25" t="n"/>
      <c r="E430" s="25" t="n"/>
      <c r="F430" s="25" t="n"/>
      <c r="G430" s="25" t="n"/>
      <c r="H430" s="25" t="n"/>
      <c r="I430" s="25" t="n"/>
      <c r="J430" s="25" t="n"/>
      <c r="K430" s="25" t="n"/>
      <c r="L430" s="35" t="n"/>
      <c r="M430" s="40">
        <f>IF(A430="","",IFERROR(INDEX(Applications!$B$2:$B$101,MATCH(A430,Applications!$A$2:$A$101,0))&amp;"",""))</f>
        <v/>
      </c>
      <c r="N430" s="41">
        <f>IF(A430="","",SUMPRODUCT(ISNUMBER(D430:K430)*($D$2:$K$2&gt;0)))</f>
        <v/>
      </c>
      <c r="O430" s="40">
        <f>IF(A430="","",IF(ISNA(MATCH(A430,Applications!$A$2:$A$101,0)),"Check ID",IF(ISNA(MATCH(B430,Settings!$C$13:$C$18,0)),"Check reviewer",IF(LEFT(C430,3)="Yes","Conflict, not counted",IF(COUNTIFS($A$3:A430,A430,$B$3:B430,B430)&gt;1,"Duplicate, not counted",IF(SUM($D$2:$K$2)=0,"Add weights on Rubric",IF(SUMPRODUCT(ISNUMBER(D430:K430)*((D430:K430&gt;4)+(D430:K430&lt;0)))&gt;0,"Check scores",IF(N430&lt;COUNTIF($D$2:$K$2,"&gt;0"),"Incomplete","Counted"))))))))</f>
        <v/>
      </c>
      <c r="P430" s="42">
        <f>IF(O430="Counted",ROUND(SUMPRODUCT(D430:K430,$D$2:$K$2)*100/(4*SUM($D$2:$K$2)),1),"")</f>
        <v/>
      </c>
      <c r="Q430" s="27">
        <f>IF(O430="Counted",1,0)</f>
        <v/>
      </c>
      <c r="R430" s="43">
        <f>IF(ISNUMBER(D430),D430,0)</f>
        <v/>
      </c>
      <c r="S430" s="43">
        <f>IF(ISNUMBER(E430),E430,0)</f>
        <v/>
      </c>
      <c r="T430" s="43">
        <f>IF(ISNUMBER(F430),F430,0)</f>
        <v/>
      </c>
      <c r="U430" s="43">
        <f>IF(ISNUMBER(G430),G430,0)</f>
        <v/>
      </c>
      <c r="V430" s="43">
        <f>IF(ISNUMBER(H430),H430,0)</f>
        <v/>
      </c>
      <c r="W430" s="43">
        <f>IF(ISNUMBER(I430),I430,0)</f>
        <v/>
      </c>
      <c r="X430" s="43">
        <f>IF(ISNUMBER(J430),J430,0)</f>
        <v/>
      </c>
      <c r="Y430" s="43">
        <f>IF(ISNUMBER(K430),K430,0)</f>
        <v/>
      </c>
    </row>
    <row r="431">
      <c r="A431" s="35" t="n"/>
      <c r="B431" s="35" t="n"/>
      <c r="C431" s="35" t="n"/>
      <c r="D431" s="25" t="n"/>
      <c r="E431" s="25" t="n"/>
      <c r="F431" s="25" t="n"/>
      <c r="G431" s="25" t="n"/>
      <c r="H431" s="25" t="n"/>
      <c r="I431" s="25" t="n"/>
      <c r="J431" s="25" t="n"/>
      <c r="K431" s="25" t="n"/>
      <c r="L431" s="35" t="n"/>
      <c r="M431" s="40">
        <f>IF(A431="","",IFERROR(INDEX(Applications!$B$2:$B$101,MATCH(A431,Applications!$A$2:$A$101,0))&amp;"",""))</f>
        <v/>
      </c>
      <c r="N431" s="41">
        <f>IF(A431="","",SUMPRODUCT(ISNUMBER(D431:K431)*($D$2:$K$2&gt;0)))</f>
        <v/>
      </c>
      <c r="O431" s="40">
        <f>IF(A431="","",IF(ISNA(MATCH(A431,Applications!$A$2:$A$101,0)),"Check ID",IF(ISNA(MATCH(B431,Settings!$C$13:$C$18,0)),"Check reviewer",IF(LEFT(C431,3)="Yes","Conflict, not counted",IF(COUNTIFS($A$3:A431,A431,$B$3:B431,B431)&gt;1,"Duplicate, not counted",IF(SUM($D$2:$K$2)=0,"Add weights on Rubric",IF(SUMPRODUCT(ISNUMBER(D431:K431)*((D431:K431&gt;4)+(D431:K431&lt;0)))&gt;0,"Check scores",IF(N431&lt;COUNTIF($D$2:$K$2,"&gt;0"),"Incomplete","Counted"))))))))</f>
        <v/>
      </c>
      <c r="P431" s="42">
        <f>IF(O431="Counted",ROUND(SUMPRODUCT(D431:K431,$D$2:$K$2)*100/(4*SUM($D$2:$K$2)),1),"")</f>
        <v/>
      </c>
      <c r="Q431" s="27">
        <f>IF(O431="Counted",1,0)</f>
        <v/>
      </c>
      <c r="R431" s="43">
        <f>IF(ISNUMBER(D431),D431,0)</f>
        <v/>
      </c>
      <c r="S431" s="43">
        <f>IF(ISNUMBER(E431),E431,0)</f>
        <v/>
      </c>
      <c r="T431" s="43">
        <f>IF(ISNUMBER(F431),F431,0)</f>
        <v/>
      </c>
      <c r="U431" s="43">
        <f>IF(ISNUMBER(G431),G431,0)</f>
        <v/>
      </c>
      <c r="V431" s="43">
        <f>IF(ISNUMBER(H431),H431,0)</f>
        <v/>
      </c>
      <c r="W431" s="43">
        <f>IF(ISNUMBER(I431),I431,0)</f>
        <v/>
      </c>
      <c r="X431" s="43">
        <f>IF(ISNUMBER(J431),J431,0)</f>
        <v/>
      </c>
      <c r="Y431" s="43">
        <f>IF(ISNUMBER(K431),K431,0)</f>
        <v/>
      </c>
    </row>
    <row r="432">
      <c r="A432" s="35" t="n"/>
      <c r="B432" s="35" t="n"/>
      <c r="C432" s="35" t="n"/>
      <c r="D432" s="25" t="n"/>
      <c r="E432" s="25" t="n"/>
      <c r="F432" s="25" t="n"/>
      <c r="G432" s="25" t="n"/>
      <c r="H432" s="25" t="n"/>
      <c r="I432" s="25" t="n"/>
      <c r="J432" s="25" t="n"/>
      <c r="K432" s="25" t="n"/>
      <c r="L432" s="35" t="n"/>
      <c r="M432" s="40">
        <f>IF(A432="","",IFERROR(INDEX(Applications!$B$2:$B$101,MATCH(A432,Applications!$A$2:$A$101,0))&amp;"",""))</f>
        <v/>
      </c>
      <c r="N432" s="41">
        <f>IF(A432="","",SUMPRODUCT(ISNUMBER(D432:K432)*($D$2:$K$2&gt;0)))</f>
        <v/>
      </c>
      <c r="O432" s="40">
        <f>IF(A432="","",IF(ISNA(MATCH(A432,Applications!$A$2:$A$101,0)),"Check ID",IF(ISNA(MATCH(B432,Settings!$C$13:$C$18,0)),"Check reviewer",IF(LEFT(C432,3)="Yes","Conflict, not counted",IF(COUNTIFS($A$3:A432,A432,$B$3:B432,B432)&gt;1,"Duplicate, not counted",IF(SUM($D$2:$K$2)=0,"Add weights on Rubric",IF(SUMPRODUCT(ISNUMBER(D432:K432)*((D432:K432&gt;4)+(D432:K432&lt;0)))&gt;0,"Check scores",IF(N432&lt;COUNTIF($D$2:$K$2,"&gt;0"),"Incomplete","Counted"))))))))</f>
        <v/>
      </c>
      <c r="P432" s="42">
        <f>IF(O432="Counted",ROUND(SUMPRODUCT(D432:K432,$D$2:$K$2)*100/(4*SUM($D$2:$K$2)),1),"")</f>
        <v/>
      </c>
      <c r="Q432" s="27">
        <f>IF(O432="Counted",1,0)</f>
        <v/>
      </c>
      <c r="R432" s="43">
        <f>IF(ISNUMBER(D432),D432,0)</f>
        <v/>
      </c>
      <c r="S432" s="43">
        <f>IF(ISNUMBER(E432),E432,0)</f>
        <v/>
      </c>
      <c r="T432" s="43">
        <f>IF(ISNUMBER(F432),F432,0)</f>
        <v/>
      </c>
      <c r="U432" s="43">
        <f>IF(ISNUMBER(G432),G432,0)</f>
        <v/>
      </c>
      <c r="V432" s="43">
        <f>IF(ISNUMBER(H432),H432,0)</f>
        <v/>
      </c>
      <c r="W432" s="43">
        <f>IF(ISNUMBER(I432),I432,0)</f>
        <v/>
      </c>
      <c r="X432" s="43">
        <f>IF(ISNUMBER(J432),J432,0)</f>
        <v/>
      </c>
      <c r="Y432" s="43">
        <f>IF(ISNUMBER(K432),K432,0)</f>
        <v/>
      </c>
    </row>
    <row r="433">
      <c r="A433" s="35" t="n"/>
      <c r="B433" s="35" t="n"/>
      <c r="C433" s="35" t="n"/>
      <c r="D433" s="25" t="n"/>
      <c r="E433" s="25" t="n"/>
      <c r="F433" s="25" t="n"/>
      <c r="G433" s="25" t="n"/>
      <c r="H433" s="25" t="n"/>
      <c r="I433" s="25" t="n"/>
      <c r="J433" s="25" t="n"/>
      <c r="K433" s="25" t="n"/>
      <c r="L433" s="35" t="n"/>
      <c r="M433" s="40">
        <f>IF(A433="","",IFERROR(INDEX(Applications!$B$2:$B$101,MATCH(A433,Applications!$A$2:$A$101,0))&amp;"",""))</f>
        <v/>
      </c>
      <c r="N433" s="41">
        <f>IF(A433="","",SUMPRODUCT(ISNUMBER(D433:K433)*($D$2:$K$2&gt;0)))</f>
        <v/>
      </c>
      <c r="O433" s="40">
        <f>IF(A433="","",IF(ISNA(MATCH(A433,Applications!$A$2:$A$101,0)),"Check ID",IF(ISNA(MATCH(B433,Settings!$C$13:$C$18,0)),"Check reviewer",IF(LEFT(C433,3)="Yes","Conflict, not counted",IF(COUNTIFS($A$3:A433,A433,$B$3:B433,B433)&gt;1,"Duplicate, not counted",IF(SUM($D$2:$K$2)=0,"Add weights on Rubric",IF(SUMPRODUCT(ISNUMBER(D433:K433)*((D433:K433&gt;4)+(D433:K433&lt;0)))&gt;0,"Check scores",IF(N433&lt;COUNTIF($D$2:$K$2,"&gt;0"),"Incomplete","Counted"))))))))</f>
        <v/>
      </c>
      <c r="P433" s="42">
        <f>IF(O433="Counted",ROUND(SUMPRODUCT(D433:K433,$D$2:$K$2)*100/(4*SUM($D$2:$K$2)),1),"")</f>
        <v/>
      </c>
      <c r="Q433" s="27">
        <f>IF(O433="Counted",1,0)</f>
        <v/>
      </c>
      <c r="R433" s="43">
        <f>IF(ISNUMBER(D433),D433,0)</f>
        <v/>
      </c>
      <c r="S433" s="43">
        <f>IF(ISNUMBER(E433),E433,0)</f>
        <v/>
      </c>
      <c r="T433" s="43">
        <f>IF(ISNUMBER(F433),F433,0)</f>
        <v/>
      </c>
      <c r="U433" s="43">
        <f>IF(ISNUMBER(G433),G433,0)</f>
        <v/>
      </c>
      <c r="V433" s="43">
        <f>IF(ISNUMBER(H433),H433,0)</f>
        <v/>
      </c>
      <c r="W433" s="43">
        <f>IF(ISNUMBER(I433),I433,0)</f>
        <v/>
      </c>
      <c r="X433" s="43">
        <f>IF(ISNUMBER(J433),J433,0)</f>
        <v/>
      </c>
      <c r="Y433" s="43">
        <f>IF(ISNUMBER(K433),K433,0)</f>
        <v/>
      </c>
    </row>
    <row r="434">
      <c r="A434" s="35" t="n"/>
      <c r="B434" s="35" t="n"/>
      <c r="C434" s="35" t="n"/>
      <c r="D434" s="25" t="n"/>
      <c r="E434" s="25" t="n"/>
      <c r="F434" s="25" t="n"/>
      <c r="G434" s="25" t="n"/>
      <c r="H434" s="25" t="n"/>
      <c r="I434" s="25" t="n"/>
      <c r="J434" s="25" t="n"/>
      <c r="K434" s="25" t="n"/>
      <c r="L434" s="35" t="n"/>
      <c r="M434" s="40">
        <f>IF(A434="","",IFERROR(INDEX(Applications!$B$2:$B$101,MATCH(A434,Applications!$A$2:$A$101,0))&amp;"",""))</f>
        <v/>
      </c>
      <c r="N434" s="41">
        <f>IF(A434="","",SUMPRODUCT(ISNUMBER(D434:K434)*($D$2:$K$2&gt;0)))</f>
        <v/>
      </c>
      <c r="O434" s="40">
        <f>IF(A434="","",IF(ISNA(MATCH(A434,Applications!$A$2:$A$101,0)),"Check ID",IF(ISNA(MATCH(B434,Settings!$C$13:$C$18,0)),"Check reviewer",IF(LEFT(C434,3)="Yes","Conflict, not counted",IF(COUNTIFS($A$3:A434,A434,$B$3:B434,B434)&gt;1,"Duplicate, not counted",IF(SUM($D$2:$K$2)=0,"Add weights on Rubric",IF(SUMPRODUCT(ISNUMBER(D434:K434)*((D434:K434&gt;4)+(D434:K434&lt;0)))&gt;0,"Check scores",IF(N434&lt;COUNTIF($D$2:$K$2,"&gt;0"),"Incomplete","Counted"))))))))</f>
        <v/>
      </c>
      <c r="P434" s="42">
        <f>IF(O434="Counted",ROUND(SUMPRODUCT(D434:K434,$D$2:$K$2)*100/(4*SUM($D$2:$K$2)),1),"")</f>
        <v/>
      </c>
      <c r="Q434" s="27">
        <f>IF(O434="Counted",1,0)</f>
        <v/>
      </c>
      <c r="R434" s="43">
        <f>IF(ISNUMBER(D434),D434,0)</f>
        <v/>
      </c>
      <c r="S434" s="43">
        <f>IF(ISNUMBER(E434),E434,0)</f>
        <v/>
      </c>
      <c r="T434" s="43">
        <f>IF(ISNUMBER(F434),F434,0)</f>
        <v/>
      </c>
      <c r="U434" s="43">
        <f>IF(ISNUMBER(G434),G434,0)</f>
        <v/>
      </c>
      <c r="V434" s="43">
        <f>IF(ISNUMBER(H434),H434,0)</f>
        <v/>
      </c>
      <c r="W434" s="43">
        <f>IF(ISNUMBER(I434),I434,0)</f>
        <v/>
      </c>
      <c r="X434" s="43">
        <f>IF(ISNUMBER(J434),J434,0)</f>
        <v/>
      </c>
      <c r="Y434" s="43">
        <f>IF(ISNUMBER(K434),K434,0)</f>
        <v/>
      </c>
    </row>
    <row r="435">
      <c r="A435" s="35" t="n"/>
      <c r="B435" s="35" t="n"/>
      <c r="C435" s="35" t="n"/>
      <c r="D435" s="25" t="n"/>
      <c r="E435" s="25" t="n"/>
      <c r="F435" s="25" t="n"/>
      <c r="G435" s="25" t="n"/>
      <c r="H435" s="25" t="n"/>
      <c r="I435" s="25" t="n"/>
      <c r="J435" s="25" t="n"/>
      <c r="K435" s="25" t="n"/>
      <c r="L435" s="35" t="n"/>
      <c r="M435" s="40">
        <f>IF(A435="","",IFERROR(INDEX(Applications!$B$2:$B$101,MATCH(A435,Applications!$A$2:$A$101,0))&amp;"",""))</f>
        <v/>
      </c>
      <c r="N435" s="41">
        <f>IF(A435="","",SUMPRODUCT(ISNUMBER(D435:K435)*($D$2:$K$2&gt;0)))</f>
        <v/>
      </c>
      <c r="O435" s="40">
        <f>IF(A435="","",IF(ISNA(MATCH(A435,Applications!$A$2:$A$101,0)),"Check ID",IF(ISNA(MATCH(B435,Settings!$C$13:$C$18,0)),"Check reviewer",IF(LEFT(C435,3)="Yes","Conflict, not counted",IF(COUNTIFS($A$3:A435,A435,$B$3:B435,B435)&gt;1,"Duplicate, not counted",IF(SUM($D$2:$K$2)=0,"Add weights on Rubric",IF(SUMPRODUCT(ISNUMBER(D435:K435)*((D435:K435&gt;4)+(D435:K435&lt;0)))&gt;0,"Check scores",IF(N435&lt;COUNTIF($D$2:$K$2,"&gt;0"),"Incomplete","Counted"))))))))</f>
        <v/>
      </c>
      <c r="P435" s="42">
        <f>IF(O435="Counted",ROUND(SUMPRODUCT(D435:K435,$D$2:$K$2)*100/(4*SUM($D$2:$K$2)),1),"")</f>
        <v/>
      </c>
      <c r="Q435" s="27">
        <f>IF(O435="Counted",1,0)</f>
        <v/>
      </c>
      <c r="R435" s="43">
        <f>IF(ISNUMBER(D435),D435,0)</f>
        <v/>
      </c>
      <c r="S435" s="43">
        <f>IF(ISNUMBER(E435),E435,0)</f>
        <v/>
      </c>
      <c r="T435" s="43">
        <f>IF(ISNUMBER(F435),F435,0)</f>
        <v/>
      </c>
      <c r="U435" s="43">
        <f>IF(ISNUMBER(G435),G435,0)</f>
        <v/>
      </c>
      <c r="V435" s="43">
        <f>IF(ISNUMBER(H435),H435,0)</f>
        <v/>
      </c>
      <c r="W435" s="43">
        <f>IF(ISNUMBER(I435),I435,0)</f>
        <v/>
      </c>
      <c r="X435" s="43">
        <f>IF(ISNUMBER(J435),J435,0)</f>
        <v/>
      </c>
      <c r="Y435" s="43">
        <f>IF(ISNUMBER(K435),K435,0)</f>
        <v/>
      </c>
    </row>
    <row r="436">
      <c r="A436" s="35" t="n"/>
      <c r="B436" s="35" t="n"/>
      <c r="C436" s="35" t="n"/>
      <c r="D436" s="25" t="n"/>
      <c r="E436" s="25" t="n"/>
      <c r="F436" s="25" t="n"/>
      <c r="G436" s="25" t="n"/>
      <c r="H436" s="25" t="n"/>
      <c r="I436" s="25" t="n"/>
      <c r="J436" s="25" t="n"/>
      <c r="K436" s="25" t="n"/>
      <c r="L436" s="35" t="n"/>
      <c r="M436" s="40">
        <f>IF(A436="","",IFERROR(INDEX(Applications!$B$2:$B$101,MATCH(A436,Applications!$A$2:$A$101,0))&amp;"",""))</f>
        <v/>
      </c>
      <c r="N436" s="41">
        <f>IF(A436="","",SUMPRODUCT(ISNUMBER(D436:K436)*($D$2:$K$2&gt;0)))</f>
        <v/>
      </c>
      <c r="O436" s="40">
        <f>IF(A436="","",IF(ISNA(MATCH(A436,Applications!$A$2:$A$101,0)),"Check ID",IF(ISNA(MATCH(B436,Settings!$C$13:$C$18,0)),"Check reviewer",IF(LEFT(C436,3)="Yes","Conflict, not counted",IF(COUNTIFS($A$3:A436,A436,$B$3:B436,B436)&gt;1,"Duplicate, not counted",IF(SUM($D$2:$K$2)=0,"Add weights on Rubric",IF(SUMPRODUCT(ISNUMBER(D436:K436)*((D436:K436&gt;4)+(D436:K436&lt;0)))&gt;0,"Check scores",IF(N436&lt;COUNTIF($D$2:$K$2,"&gt;0"),"Incomplete","Counted"))))))))</f>
        <v/>
      </c>
      <c r="P436" s="42">
        <f>IF(O436="Counted",ROUND(SUMPRODUCT(D436:K436,$D$2:$K$2)*100/(4*SUM($D$2:$K$2)),1),"")</f>
        <v/>
      </c>
      <c r="Q436" s="27">
        <f>IF(O436="Counted",1,0)</f>
        <v/>
      </c>
      <c r="R436" s="43">
        <f>IF(ISNUMBER(D436),D436,0)</f>
        <v/>
      </c>
      <c r="S436" s="43">
        <f>IF(ISNUMBER(E436),E436,0)</f>
        <v/>
      </c>
      <c r="T436" s="43">
        <f>IF(ISNUMBER(F436),F436,0)</f>
        <v/>
      </c>
      <c r="U436" s="43">
        <f>IF(ISNUMBER(G436),G436,0)</f>
        <v/>
      </c>
      <c r="V436" s="43">
        <f>IF(ISNUMBER(H436),H436,0)</f>
        <v/>
      </c>
      <c r="W436" s="43">
        <f>IF(ISNUMBER(I436),I436,0)</f>
        <v/>
      </c>
      <c r="X436" s="43">
        <f>IF(ISNUMBER(J436),J436,0)</f>
        <v/>
      </c>
      <c r="Y436" s="43">
        <f>IF(ISNUMBER(K436),K436,0)</f>
        <v/>
      </c>
    </row>
    <row r="437">
      <c r="A437" s="35" t="n"/>
      <c r="B437" s="35" t="n"/>
      <c r="C437" s="35" t="n"/>
      <c r="D437" s="25" t="n"/>
      <c r="E437" s="25" t="n"/>
      <c r="F437" s="25" t="n"/>
      <c r="G437" s="25" t="n"/>
      <c r="H437" s="25" t="n"/>
      <c r="I437" s="25" t="n"/>
      <c r="J437" s="25" t="n"/>
      <c r="K437" s="25" t="n"/>
      <c r="L437" s="35" t="n"/>
      <c r="M437" s="40">
        <f>IF(A437="","",IFERROR(INDEX(Applications!$B$2:$B$101,MATCH(A437,Applications!$A$2:$A$101,0))&amp;"",""))</f>
        <v/>
      </c>
      <c r="N437" s="41">
        <f>IF(A437="","",SUMPRODUCT(ISNUMBER(D437:K437)*($D$2:$K$2&gt;0)))</f>
        <v/>
      </c>
      <c r="O437" s="40">
        <f>IF(A437="","",IF(ISNA(MATCH(A437,Applications!$A$2:$A$101,0)),"Check ID",IF(ISNA(MATCH(B437,Settings!$C$13:$C$18,0)),"Check reviewer",IF(LEFT(C437,3)="Yes","Conflict, not counted",IF(COUNTIFS($A$3:A437,A437,$B$3:B437,B437)&gt;1,"Duplicate, not counted",IF(SUM($D$2:$K$2)=0,"Add weights on Rubric",IF(SUMPRODUCT(ISNUMBER(D437:K437)*((D437:K437&gt;4)+(D437:K437&lt;0)))&gt;0,"Check scores",IF(N437&lt;COUNTIF($D$2:$K$2,"&gt;0"),"Incomplete","Counted"))))))))</f>
        <v/>
      </c>
      <c r="P437" s="42">
        <f>IF(O437="Counted",ROUND(SUMPRODUCT(D437:K437,$D$2:$K$2)*100/(4*SUM($D$2:$K$2)),1),"")</f>
        <v/>
      </c>
      <c r="Q437" s="27">
        <f>IF(O437="Counted",1,0)</f>
        <v/>
      </c>
      <c r="R437" s="43">
        <f>IF(ISNUMBER(D437),D437,0)</f>
        <v/>
      </c>
      <c r="S437" s="43">
        <f>IF(ISNUMBER(E437),E437,0)</f>
        <v/>
      </c>
      <c r="T437" s="43">
        <f>IF(ISNUMBER(F437),F437,0)</f>
        <v/>
      </c>
      <c r="U437" s="43">
        <f>IF(ISNUMBER(G437),G437,0)</f>
        <v/>
      </c>
      <c r="V437" s="43">
        <f>IF(ISNUMBER(H437),H437,0)</f>
        <v/>
      </c>
      <c r="W437" s="43">
        <f>IF(ISNUMBER(I437),I437,0)</f>
        <v/>
      </c>
      <c r="X437" s="43">
        <f>IF(ISNUMBER(J437),J437,0)</f>
        <v/>
      </c>
      <c r="Y437" s="43">
        <f>IF(ISNUMBER(K437),K437,0)</f>
        <v/>
      </c>
    </row>
    <row r="438">
      <c r="A438" s="35" t="n"/>
      <c r="B438" s="35" t="n"/>
      <c r="C438" s="35" t="n"/>
      <c r="D438" s="25" t="n"/>
      <c r="E438" s="25" t="n"/>
      <c r="F438" s="25" t="n"/>
      <c r="G438" s="25" t="n"/>
      <c r="H438" s="25" t="n"/>
      <c r="I438" s="25" t="n"/>
      <c r="J438" s="25" t="n"/>
      <c r="K438" s="25" t="n"/>
      <c r="L438" s="35" t="n"/>
      <c r="M438" s="40">
        <f>IF(A438="","",IFERROR(INDEX(Applications!$B$2:$B$101,MATCH(A438,Applications!$A$2:$A$101,0))&amp;"",""))</f>
        <v/>
      </c>
      <c r="N438" s="41">
        <f>IF(A438="","",SUMPRODUCT(ISNUMBER(D438:K438)*($D$2:$K$2&gt;0)))</f>
        <v/>
      </c>
      <c r="O438" s="40">
        <f>IF(A438="","",IF(ISNA(MATCH(A438,Applications!$A$2:$A$101,0)),"Check ID",IF(ISNA(MATCH(B438,Settings!$C$13:$C$18,0)),"Check reviewer",IF(LEFT(C438,3)="Yes","Conflict, not counted",IF(COUNTIFS($A$3:A438,A438,$B$3:B438,B438)&gt;1,"Duplicate, not counted",IF(SUM($D$2:$K$2)=0,"Add weights on Rubric",IF(SUMPRODUCT(ISNUMBER(D438:K438)*((D438:K438&gt;4)+(D438:K438&lt;0)))&gt;0,"Check scores",IF(N438&lt;COUNTIF($D$2:$K$2,"&gt;0"),"Incomplete","Counted"))))))))</f>
        <v/>
      </c>
      <c r="P438" s="42">
        <f>IF(O438="Counted",ROUND(SUMPRODUCT(D438:K438,$D$2:$K$2)*100/(4*SUM($D$2:$K$2)),1),"")</f>
        <v/>
      </c>
      <c r="Q438" s="27">
        <f>IF(O438="Counted",1,0)</f>
        <v/>
      </c>
      <c r="R438" s="43">
        <f>IF(ISNUMBER(D438),D438,0)</f>
        <v/>
      </c>
      <c r="S438" s="43">
        <f>IF(ISNUMBER(E438),E438,0)</f>
        <v/>
      </c>
      <c r="T438" s="43">
        <f>IF(ISNUMBER(F438),F438,0)</f>
        <v/>
      </c>
      <c r="U438" s="43">
        <f>IF(ISNUMBER(G438),G438,0)</f>
        <v/>
      </c>
      <c r="V438" s="43">
        <f>IF(ISNUMBER(H438),H438,0)</f>
        <v/>
      </c>
      <c r="W438" s="43">
        <f>IF(ISNUMBER(I438),I438,0)</f>
        <v/>
      </c>
      <c r="X438" s="43">
        <f>IF(ISNUMBER(J438),J438,0)</f>
        <v/>
      </c>
      <c r="Y438" s="43">
        <f>IF(ISNUMBER(K438),K438,0)</f>
        <v/>
      </c>
    </row>
    <row r="439">
      <c r="A439" s="35" t="n"/>
      <c r="B439" s="35" t="n"/>
      <c r="C439" s="35" t="n"/>
      <c r="D439" s="25" t="n"/>
      <c r="E439" s="25" t="n"/>
      <c r="F439" s="25" t="n"/>
      <c r="G439" s="25" t="n"/>
      <c r="H439" s="25" t="n"/>
      <c r="I439" s="25" t="n"/>
      <c r="J439" s="25" t="n"/>
      <c r="K439" s="25" t="n"/>
      <c r="L439" s="35" t="n"/>
      <c r="M439" s="40">
        <f>IF(A439="","",IFERROR(INDEX(Applications!$B$2:$B$101,MATCH(A439,Applications!$A$2:$A$101,0))&amp;"",""))</f>
        <v/>
      </c>
      <c r="N439" s="41">
        <f>IF(A439="","",SUMPRODUCT(ISNUMBER(D439:K439)*($D$2:$K$2&gt;0)))</f>
        <v/>
      </c>
      <c r="O439" s="40">
        <f>IF(A439="","",IF(ISNA(MATCH(A439,Applications!$A$2:$A$101,0)),"Check ID",IF(ISNA(MATCH(B439,Settings!$C$13:$C$18,0)),"Check reviewer",IF(LEFT(C439,3)="Yes","Conflict, not counted",IF(COUNTIFS($A$3:A439,A439,$B$3:B439,B439)&gt;1,"Duplicate, not counted",IF(SUM($D$2:$K$2)=0,"Add weights on Rubric",IF(SUMPRODUCT(ISNUMBER(D439:K439)*((D439:K439&gt;4)+(D439:K439&lt;0)))&gt;0,"Check scores",IF(N439&lt;COUNTIF($D$2:$K$2,"&gt;0"),"Incomplete","Counted"))))))))</f>
        <v/>
      </c>
      <c r="P439" s="42">
        <f>IF(O439="Counted",ROUND(SUMPRODUCT(D439:K439,$D$2:$K$2)*100/(4*SUM($D$2:$K$2)),1),"")</f>
        <v/>
      </c>
      <c r="Q439" s="27">
        <f>IF(O439="Counted",1,0)</f>
        <v/>
      </c>
      <c r="R439" s="43">
        <f>IF(ISNUMBER(D439),D439,0)</f>
        <v/>
      </c>
      <c r="S439" s="43">
        <f>IF(ISNUMBER(E439),E439,0)</f>
        <v/>
      </c>
      <c r="T439" s="43">
        <f>IF(ISNUMBER(F439),F439,0)</f>
        <v/>
      </c>
      <c r="U439" s="43">
        <f>IF(ISNUMBER(G439),G439,0)</f>
        <v/>
      </c>
      <c r="V439" s="43">
        <f>IF(ISNUMBER(H439),H439,0)</f>
        <v/>
      </c>
      <c r="W439" s="43">
        <f>IF(ISNUMBER(I439),I439,0)</f>
        <v/>
      </c>
      <c r="X439" s="43">
        <f>IF(ISNUMBER(J439),J439,0)</f>
        <v/>
      </c>
      <c r="Y439" s="43">
        <f>IF(ISNUMBER(K439),K439,0)</f>
        <v/>
      </c>
    </row>
    <row r="440">
      <c r="A440" s="35" t="n"/>
      <c r="B440" s="35" t="n"/>
      <c r="C440" s="35" t="n"/>
      <c r="D440" s="25" t="n"/>
      <c r="E440" s="25" t="n"/>
      <c r="F440" s="25" t="n"/>
      <c r="G440" s="25" t="n"/>
      <c r="H440" s="25" t="n"/>
      <c r="I440" s="25" t="n"/>
      <c r="J440" s="25" t="n"/>
      <c r="K440" s="25" t="n"/>
      <c r="L440" s="35" t="n"/>
      <c r="M440" s="40">
        <f>IF(A440="","",IFERROR(INDEX(Applications!$B$2:$B$101,MATCH(A440,Applications!$A$2:$A$101,0))&amp;"",""))</f>
        <v/>
      </c>
      <c r="N440" s="41">
        <f>IF(A440="","",SUMPRODUCT(ISNUMBER(D440:K440)*($D$2:$K$2&gt;0)))</f>
        <v/>
      </c>
      <c r="O440" s="40">
        <f>IF(A440="","",IF(ISNA(MATCH(A440,Applications!$A$2:$A$101,0)),"Check ID",IF(ISNA(MATCH(B440,Settings!$C$13:$C$18,0)),"Check reviewer",IF(LEFT(C440,3)="Yes","Conflict, not counted",IF(COUNTIFS($A$3:A440,A440,$B$3:B440,B440)&gt;1,"Duplicate, not counted",IF(SUM($D$2:$K$2)=0,"Add weights on Rubric",IF(SUMPRODUCT(ISNUMBER(D440:K440)*((D440:K440&gt;4)+(D440:K440&lt;0)))&gt;0,"Check scores",IF(N440&lt;COUNTIF($D$2:$K$2,"&gt;0"),"Incomplete","Counted"))))))))</f>
        <v/>
      </c>
      <c r="P440" s="42">
        <f>IF(O440="Counted",ROUND(SUMPRODUCT(D440:K440,$D$2:$K$2)*100/(4*SUM($D$2:$K$2)),1),"")</f>
        <v/>
      </c>
      <c r="Q440" s="27">
        <f>IF(O440="Counted",1,0)</f>
        <v/>
      </c>
      <c r="R440" s="43">
        <f>IF(ISNUMBER(D440),D440,0)</f>
        <v/>
      </c>
      <c r="S440" s="43">
        <f>IF(ISNUMBER(E440),E440,0)</f>
        <v/>
      </c>
      <c r="T440" s="43">
        <f>IF(ISNUMBER(F440),F440,0)</f>
        <v/>
      </c>
      <c r="U440" s="43">
        <f>IF(ISNUMBER(G440),G440,0)</f>
        <v/>
      </c>
      <c r="V440" s="43">
        <f>IF(ISNUMBER(H440),H440,0)</f>
        <v/>
      </c>
      <c r="W440" s="43">
        <f>IF(ISNUMBER(I440),I440,0)</f>
        <v/>
      </c>
      <c r="X440" s="43">
        <f>IF(ISNUMBER(J440),J440,0)</f>
        <v/>
      </c>
      <c r="Y440" s="43">
        <f>IF(ISNUMBER(K440),K440,0)</f>
        <v/>
      </c>
    </row>
    <row r="441">
      <c r="A441" s="35" t="n"/>
      <c r="B441" s="35" t="n"/>
      <c r="C441" s="35" t="n"/>
      <c r="D441" s="25" t="n"/>
      <c r="E441" s="25" t="n"/>
      <c r="F441" s="25" t="n"/>
      <c r="G441" s="25" t="n"/>
      <c r="H441" s="25" t="n"/>
      <c r="I441" s="25" t="n"/>
      <c r="J441" s="25" t="n"/>
      <c r="K441" s="25" t="n"/>
      <c r="L441" s="35" t="n"/>
      <c r="M441" s="40">
        <f>IF(A441="","",IFERROR(INDEX(Applications!$B$2:$B$101,MATCH(A441,Applications!$A$2:$A$101,0))&amp;"",""))</f>
        <v/>
      </c>
      <c r="N441" s="41">
        <f>IF(A441="","",SUMPRODUCT(ISNUMBER(D441:K441)*($D$2:$K$2&gt;0)))</f>
        <v/>
      </c>
      <c r="O441" s="40">
        <f>IF(A441="","",IF(ISNA(MATCH(A441,Applications!$A$2:$A$101,0)),"Check ID",IF(ISNA(MATCH(B441,Settings!$C$13:$C$18,0)),"Check reviewer",IF(LEFT(C441,3)="Yes","Conflict, not counted",IF(COUNTIFS($A$3:A441,A441,$B$3:B441,B441)&gt;1,"Duplicate, not counted",IF(SUM($D$2:$K$2)=0,"Add weights on Rubric",IF(SUMPRODUCT(ISNUMBER(D441:K441)*((D441:K441&gt;4)+(D441:K441&lt;0)))&gt;0,"Check scores",IF(N441&lt;COUNTIF($D$2:$K$2,"&gt;0"),"Incomplete","Counted"))))))))</f>
        <v/>
      </c>
      <c r="P441" s="42">
        <f>IF(O441="Counted",ROUND(SUMPRODUCT(D441:K441,$D$2:$K$2)*100/(4*SUM($D$2:$K$2)),1),"")</f>
        <v/>
      </c>
      <c r="Q441" s="27">
        <f>IF(O441="Counted",1,0)</f>
        <v/>
      </c>
      <c r="R441" s="43">
        <f>IF(ISNUMBER(D441),D441,0)</f>
        <v/>
      </c>
      <c r="S441" s="43">
        <f>IF(ISNUMBER(E441),E441,0)</f>
        <v/>
      </c>
      <c r="T441" s="43">
        <f>IF(ISNUMBER(F441),F441,0)</f>
        <v/>
      </c>
      <c r="U441" s="43">
        <f>IF(ISNUMBER(G441),G441,0)</f>
        <v/>
      </c>
      <c r="V441" s="43">
        <f>IF(ISNUMBER(H441),H441,0)</f>
        <v/>
      </c>
      <c r="W441" s="43">
        <f>IF(ISNUMBER(I441),I441,0)</f>
        <v/>
      </c>
      <c r="X441" s="43">
        <f>IF(ISNUMBER(J441),J441,0)</f>
        <v/>
      </c>
      <c r="Y441" s="43">
        <f>IF(ISNUMBER(K441),K441,0)</f>
        <v/>
      </c>
    </row>
    <row r="442">
      <c r="A442" s="35" t="n"/>
      <c r="B442" s="35" t="n"/>
      <c r="C442" s="35" t="n"/>
      <c r="D442" s="25" t="n"/>
      <c r="E442" s="25" t="n"/>
      <c r="F442" s="25" t="n"/>
      <c r="G442" s="25" t="n"/>
      <c r="H442" s="25" t="n"/>
      <c r="I442" s="25" t="n"/>
      <c r="J442" s="25" t="n"/>
      <c r="K442" s="25" t="n"/>
      <c r="L442" s="35" t="n"/>
      <c r="M442" s="40">
        <f>IF(A442="","",IFERROR(INDEX(Applications!$B$2:$B$101,MATCH(A442,Applications!$A$2:$A$101,0))&amp;"",""))</f>
        <v/>
      </c>
      <c r="N442" s="41">
        <f>IF(A442="","",SUMPRODUCT(ISNUMBER(D442:K442)*($D$2:$K$2&gt;0)))</f>
        <v/>
      </c>
      <c r="O442" s="40">
        <f>IF(A442="","",IF(ISNA(MATCH(A442,Applications!$A$2:$A$101,0)),"Check ID",IF(ISNA(MATCH(B442,Settings!$C$13:$C$18,0)),"Check reviewer",IF(LEFT(C442,3)="Yes","Conflict, not counted",IF(COUNTIFS($A$3:A442,A442,$B$3:B442,B442)&gt;1,"Duplicate, not counted",IF(SUM($D$2:$K$2)=0,"Add weights on Rubric",IF(SUMPRODUCT(ISNUMBER(D442:K442)*((D442:K442&gt;4)+(D442:K442&lt;0)))&gt;0,"Check scores",IF(N442&lt;COUNTIF($D$2:$K$2,"&gt;0"),"Incomplete","Counted"))))))))</f>
        <v/>
      </c>
      <c r="P442" s="42">
        <f>IF(O442="Counted",ROUND(SUMPRODUCT(D442:K442,$D$2:$K$2)*100/(4*SUM($D$2:$K$2)),1),"")</f>
        <v/>
      </c>
      <c r="Q442" s="27">
        <f>IF(O442="Counted",1,0)</f>
        <v/>
      </c>
      <c r="R442" s="43">
        <f>IF(ISNUMBER(D442),D442,0)</f>
        <v/>
      </c>
      <c r="S442" s="43">
        <f>IF(ISNUMBER(E442),E442,0)</f>
        <v/>
      </c>
      <c r="T442" s="43">
        <f>IF(ISNUMBER(F442),F442,0)</f>
        <v/>
      </c>
      <c r="U442" s="43">
        <f>IF(ISNUMBER(G442),G442,0)</f>
        <v/>
      </c>
      <c r="V442" s="43">
        <f>IF(ISNUMBER(H442),H442,0)</f>
        <v/>
      </c>
      <c r="W442" s="43">
        <f>IF(ISNUMBER(I442),I442,0)</f>
        <v/>
      </c>
      <c r="X442" s="43">
        <f>IF(ISNUMBER(J442),J442,0)</f>
        <v/>
      </c>
      <c r="Y442" s="43">
        <f>IF(ISNUMBER(K442),K442,0)</f>
        <v/>
      </c>
    </row>
    <row r="443">
      <c r="A443" s="35" t="n"/>
      <c r="B443" s="35" t="n"/>
      <c r="C443" s="35" t="n"/>
      <c r="D443" s="25" t="n"/>
      <c r="E443" s="25" t="n"/>
      <c r="F443" s="25" t="n"/>
      <c r="G443" s="25" t="n"/>
      <c r="H443" s="25" t="n"/>
      <c r="I443" s="25" t="n"/>
      <c r="J443" s="25" t="n"/>
      <c r="K443" s="25" t="n"/>
      <c r="L443" s="35" t="n"/>
      <c r="M443" s="40">
        <f>IF(A443="","",IFERROR(INDEX(Applications!$B$2:$B$101,MATCH(A443,Applications!$A$2:$A$101,0))&amp;"",""))</f>
        <v/>
      </c>
      <c r="N443" s="41">
        <f>IF(A443="","",SUMPRODUCT(ISNUMBER(D443:K443)*($D$2:$K$2&gt;0)))</f>
        <v/>
      </c>
      <c r="O443" s="40">
        <f>IF(A443="","",IF(ISNA(MATCH(A443,Applications!$A$2:$A$101,0)),"Check ID",IF(ISNA(MATCH(B443,Settings!$C$13:$C$18,0)),"Check reviewer",IF(LEFT(C443,3)="Yes","Conflict, not counted",IF(COUNTIFS($A$3:A443,A443,$B$3:B443,B443)&gt;1,"Duplicate, not counted",IF(SUM($D$2:$K$2)=0,"Add weights on Rubric",IF(SUMPRODUCT(ISNUMBER(D443:K443)*((D443:K443&gt;4)+(D443:K443&lt;0)))&gt;0,"Check scores",IF(N443&lt;COUNTIF($D$2:$K$2,"&gt;0"),"Incomplete","Counted"))))))))</f>
        <v/>
      </c>
      <c r="P443" s="42">
        <f>IF(O443="Counted",ROUND(SUMPRODUCT(D443:K443,$D$2:$K$2)*100/(4*SUM($D$2:$K$2)),1),"")</f>
        <v/>
      </c>
      <c r="Q443" s="27">
        <f>IF(O443="Counted",1,0)</f>
        <v/>
      </c>
      <c r="R443" s="43">
        <f>IF(ISNUMBER(D443),D443,0)</f>
        <v/>
      </c>
      <c r="S443" s="43">
        <f>IF(ISNUMBER(E443),E443,0)</f>
        <v/>
      </c>
      <c r="T443" s="43">
        <f>IF(ISNUMBER(F443),F443,0)</f>
        <v/>
      </c>
      <c r="U443" s="43">
        <f>IF(ISNUMBER(G443),G443,0)</f>
        <v/>
      </c>
      <c r="V443" s="43">
        <f>IF(ISNUMBER(H443),H443,0)</f>
        <v/>
      </c>
      <c r="W443" s="43">
        <f>IF(ISNUMBER(I443),I443,0)</f>
        <v/>
      </c>
      <c r="X443" s="43">
        <f>IF(ISNUMBER(J443),J443,0)</f>
        <v/>
      </c>
      <c r="Y443" s="43">
        <f>IF(ISNUMBER(K443),K443,0)</f>
        <v/>
      </c>
    </row>
    <row r="444">
      <c r="A444" s="35" t="n"/>
      <c r="B444" s="35" t="n"/>
      <c r="C444" s="35" t="n"/>
      <c r="D444" s="25" t="n"/>
      <c r="E444" s="25" t="n"/>
      <c r="F444" s="25" t="n"/>
      <c r="G444" s="25" t="n"/>
      <c r="H444" s="25" t="n"/>
      <c r="I444" s="25" t="n"/>
      <c r="J444" s="25" t="n"/>
      <c r="K444" s="25" t="n"/>
      <c r="L444" s="35" t="n"/>
      <c r="M444" s="40">
        <f>IF(A444="","",IFERROR(INDEX(Applications!$B$2:$B$101,MATCH(A444,Applications!$A$2:$A$101,0))&amp;"",""))</f>
        <v/>
      </c>
      <c r="N444" s="41">
        <f>IF(A444="","",SUMPRODUCT(ISNUMBER(D444:K444)*($D$2:$K$2&gt;0)))</f>
        <v/>
      </c>
      <c r="O444" s="40">
        <f>IF(A444="","",IF(ISNA(MATCH(A444,Applications!$A$2:$A$101,0)),"Check ID",IF(ISNA(MATCH(B444,Settings!$C$13:$C$18,0)),"Check reviewer",IF(LEFT(C444,3)="Yes","Conflict, not counted",IF(COUNTIFS($A$3:A444,A444,$B$3:B444,B444)&gt;1,"Duplicate, not counted",IF(SUM($D$2:$K$2)=0,"Add weights on Rubric",IF(SUMPRODUCT(ISNUMBER(D444:K444)*((D444:K444&gt;4)+(D444:K444&lt;0)))&gt;0,"Check scores",IF(N444&lt;COUNTIF($D$2:$K$2,"&gt;0"),"Incomplete","Counted"))))))))</f>
        <v/>
      </c>
      <c r="P444" s="42">
        <f>IF(O444="Counted",ROUND(SUMPRODUCT(D444:K444,$D$2:$K$2)*100/(4*SUM($D$2:$K$2)),1),"")</f>
        <v/>
      </c>
      <c r="Q444" s="27">
        <f>IF(O444="Counted",1,0)</f>
        <v/>
      </c>
      <c r="R444" s="43">
        <f>IF(ISNUMBER(D444),D444,0)</f>
        <v/>
      </c>
      <c r="S444" s="43">
        <f>IF(ISNUMBER(E444),E444,0)</f>
        <v/>
      </c>
      <c r="T444" s="43">
        <f>IF(ISNUMBER(F444),F444,0)</f>
        <v/>
      </c>
      <c r="U444" s="43">
        <f>IF(ISNUMBER(G444),G444,0)</f>
        <v/>
      </c>
      <c r="V444" s="43">
        <f>IF(ISNUMBER(H444),H444,0)</f>
        <v/>
      </c>
      <c r="W444" s="43">
        <f>IF(ISNUMBER(I444),I444,0)</f>
        <v/>
      </c>
      <c r="X444" s="43">
        <f>IF(ISNUMBER(J444),J444,0)</f>
        <v/>
      </c>
      <c r="Y444" s="43">
        <f>IF(ISNUMBER(K444),K444,0)</f>
        <v/>
      </c>
    </row>
    <row r="445">
      <c r="A445" s="35" t="n"/>
      <c r="B445" s="35" t="n"/>
      <c r="C445" s="35" t="n"/>
      <c r="D445" s="25" t="n"/>
      <c r="E445" s="25" t="n"/>
      <c r="F445" s="25" t="n"/>
      <c r="G445" s="25" t="n"/>
      <c r="H445" s="25" t="n"/>
      <c r="I445" s="25" t="n"/>
      <c r="J445" s="25" t="n"/>
      <c r="K445" s="25" t="n"/>
      <c r="L445" s="35" t="n"/>
      <c r="M445" s="40">
        <f>IF(A445="","",IFERROR(INDEX(Applications!$B$2:$B$101,MATCH(A445,Applications!$A$2:$A$101,0))&amp;"",""))</f>
        <v/>
      </c>
      <c r="N445" s="41">
        <f>IF(A445="","",SUMPRODUCT(ISNUMBER(D445:K445)*($D$2:$K$2&gt;0)))</f>
        <v/>
      </c>
      <c r="O445" s="40">
        <f>IF(A445="","",IF(ISNA(MATCH(A445,Applications!$A$2:$A$101,0)),"Check ID",IF(ISNA(MATCH(B445,Settings!$C$13:$C$18,0)),"Check reviewer",IF(LEFT(C445,3)="Yes","Conflict, not counted",IF(COUNTIFS($A$3:A445,A445,$B$3:B445,B445)&gt;1,"Duplicate, not counted",IF(SUM($D$2:$K$2)=0,"Add weights on Rubric",IF(SUMPRODUCT(ISNUMBER(D445:K445)*((D445:K445&gt;4)+(D445:K445&lt;0)))&gt;0,"Check scores",IF(N445&lt;COUNTIF($D$2:$K$2,"&gt;0"),"Incomplete","Counted"))))))))</f>
        <v/>
      </c>
      <c r="P445" s="42">
        <f>IF(O445="Counted",ROUND(SUMPRODUCT(D445:K445,$D$2:$K$2)*100/(4*SUM($D$2:$K$2)),1),"")</f>
        <v/>
      </c>
      <c r="Q445" s="27">
        <f>IF(O445="Counted",1,0)</f>
        <v/>
      </c>
      <c r="R445" s="43">
        <f>IF(ISNUMBER(D445),D445,0)</f>
        <v/>
      </c>
      <c r="S445" s="43">
        <f>IF(ISNUMBER(E445),E445,0)</f>
        <v/>
      </c>
      <c r="T445" s="43">
        <f>IF(ISNUMBER(F445),F445,0)</f>
        <v/>
      </c>
      <c r="U445" s="43">
        <f>IF(ISNUMBER(G445),G445,0)</f>
        <v/>
      </c>
      <c r="V445" s="43">
        <f>IF(ISNUMBER(H445),H445,0)</f>
        <v/>
      </c>
      <c r="W445" s="43">
        <f>IF(ISNUMBER(I445),I445,0)</f>
        <v/>
      </c>
      <c r="X445" s="43">
        <f>IF(ISNUMBER(J445),J445,0)</f>
        <v/>
      </c>
      <c r="Y445" s="43">
        <f>IF(ISNUMBER(K445),K445,0)</f>
        <v/>
      </c>
    </row>
    <row r="446">
      <c r="A446" s="35" t="n"/>
      <c r="B446" s="35" t="n"/>
      <c r="C446" s="35" t="n"/>
      <c r="D446" s="25" t="n"/>
      <c r="E446" s="25" t="n"/>
      <c r="F446" s="25" t="n"/>
      <c r="G446" s="25" t="n"/>
      <c r="H446" s="25" t="n"/>
      <c r="I446" s="25" t="n"/>
      <c r="J446" s="25" t="n"/>
      <c r="K446" s="25" t="n"/>
      <c r="L446" s="35" t="n"/>
      <c r="M446" s="40">
        <f>IF(A446="","",IFERROR(INDEX(Applications!$B$2:$B$101,MATCH(A446,Applications!$A$2:$A$101,0))&amp;"",""))</f>
        <v/>
      </c>
      <c r="N446" s="41">
        <f>IF(A446="","",SUMPRODUCT(ISNUMBER(D446:K446)*($D$2:$K$2&gt;0)))</f>
        <v/>
      </c>
      <c r="O446" s="40">
        <f>IF(A446="","",IF(ISNA(MATCH(A446,Applications!$A$2:$A$101,0)),"Check ID",IF(ISNA(MATCH(B446,Settings!$C$13:$C$18,0)),"Check reviewer",IF(LEFT(C446,3)="Yes","Conflict, not counted",IF(COUNTIFS($A$3:A446,A446,$B$3:B446,B446)&gt;1,"Duplicate, not counted",IF(SUM($D$2:$K$2)=0,"Add weights on Rubric",IF(SUMPRODUCT(ISNUMBER(D446:K446)*((D446:K446&gt;4)+(D446:K446&lt;0)))&gt;0,"Check scores",IF(N446&lt;COUNTIF($D$2:$K$2,"&gt;0"),"Incomplete","Counted"))))))))</f>
        <v/>
      </c>
      <c r="P446" s="42">
        <f>IF(O446="Counted",ROUND(SUMPRODUCT(D446:K446,$D$2:$K$2)*100/(4*SUM($D$2:$K$2)),1),"")</f>
        <v/>
      </c>
      <c r="Q446" s="27">
        <f>IF(O446="Counted",1,0)</f>
        <v/>
      </c>
      <c r="R446" s="43">
        <f>IF(ISNUMBER(D446),D446,0)</f>
        <v/>
      </c>
      <c r="S446" s="43">
        <f>IF(ISNUMBER(E446),E446,0)</f>
        <v/>
      </c>
      <c r="T446" s="43">
        <f>IF(ISNUMBER(F446),F446,0)</f>
        <v/>
      </c>
      <c r="U446" s="43">
        <f>IF(ISNUMBER(G446),G446,0)</f>
        <v/>
      </c>
      <c r="V446" s="43">
        <f>IF(ISNUMBER(H446),H446,0)</f>
        <v/>
      </c>
      <c r="W446" s="43">
        <f>IF(ISNUMBER(I446),I446,0)</f>
        <v/>
      </c>
      <c r="X446" s="43">
        <f>IF(ISNUMBER(J446),J446,0)</f>
        <v/>
      </c>
      <c r="Y446" s="43">
        <f>IF(ISNUMBER(K446),K446,0)</f>
        <v/>
      </c>
    </row>
    <row r="447">
      <c r="A447" s="35" t="n"/>
      <c r="B447" s="35" t="n"/>
      <c r="C447" s="35" t="n"/>
      <c r="D447" s="25" t="n"/>
      <c r="E447" s="25" t="n"/>
      <c r="F447" s="25" t="n"/>
      <c r="G447" s="25" t="n"/>
      <c r="H447" s="25" t="n"/>
      <c r="I447" s="25" t="n"/>
      <c r="J447" s="25" t="n"/>
      <c r="K447" s="25" t="n"/>
      <c r="L447" s="35" t="n"/>
      <c r="M447" s="40">
        <f>IF(A447="","",IFERROR(INDEX(Applications!$B$2:$B$101,MATCH(A447,Applications!$A$2:$A$101,0))&amp;"",""))</f>
        <v/>
      </c>
      <c r="N447" s="41">
        <f>IF(A447="","",SUMPRODUCT(ISNUMBER(D447:K447)*($D$2:$K$2&gt;0)))</f>
        <v/>
      </c>
      <c r="O447" s="40">
        <f>IF(A447="","",IF(ISNA(MATCH(A447,Applications!$A$2:$A$101,0)),"Check ID",IF(ISNA(MATCH(B447,Settings!$C$13:$C$18,0)),"Check reviewer",IF(LEFT(C447,3)="Yes","Conflict, not counted",IF(COUNTIFS($A$3:A447,A447,$B$3:B447,B447)&gt;1,"Duplicate, not counted",IF(SUM($D$2:$K$2)=0,"Add weights on Rubric",IF(SUMPRODUCT(ISNUMBER(D447:K447)*((D447:K447&gt;4)+(D447:K447&lt;0)))&gt;0,"Check scores",IF(N447&lt;COUNTIF($D$2:$K$2,"&gt;0"),"Incomplete","Counted"))))))))</f>
        <v/>
      </c>
      <c r="P447" s="42">
        <f>IF(O447="Counted",ROUND(SUMPRODUCT(D447:K447,$D$2:$K$2)*100/(4*SUM($D$2:$K$2)),1),"")</f>
        <v/>
      </c>
      <c r="Q447" s="27">
        <f>IF(O447="Counted",1,0)</f>
        <v/>
      </c>
      <c r="R447" s="43">
        <f>IF(ISNUMBER(D447),D447,0)</f>
        <v/>
      </c>
      <c r="S447" s="43">
        <f>IF(ISNUMBER(E447),E447,0)</f>
        <v/>
      </c>
      <c r="T447" s="43">
        <f>IF(ISNUMBER(F447),F447,0)</f>
        <v/>
      </c>
      <c r="U447" s="43">
        <f>IF(ISNUMBER(G447),G447,0)</f>
        <v/>
      </c>
      <c r="V447" s="43">
        <f>IF(ISNUMBER(H447),H447,0)</f>
        <v/>
      </c>
      <c r="W447" s="43">
        <f>IF(ISNUMBER(I447),I447,0)</f>
        <v/>
      </c>
      <c r="X447" s="43">
        <f>IF(ISNUMBER(J447),J447,0)</f>
        <v/>
      </c>
      <c r="Y447" s="43">
        <f>IF(ISNUMBER(K447),K447,0)</f>
        <v/>
      </c>
    </row>
    <row r="448">
      <c r="A448" s="35" t="n"/>
      <c r="B448" s="35" t="n"/>
      <c r="C448" s="35" t="n"/>
      <c r="D448" s="25" t="n"/>
      <c r="E448" s="25" t="n"/>
      <c r="F448" s="25" t="n"/>
      <c r="G448" s="25" t="n"/>
      <c r="H448" s="25" t="n"/>
      <c r="I448" s="25" t="n"/>
      <c r="J448" s="25" t="n"/>
      <c r="K448" s="25" t="n"/>
      <c r="L448" s="35" t="n"/>
      <c r="M448" s="40">
        <f>IF(A448="","",IFERROR(INDEX(Applications!$B$2:$B$101,MATCH(A448,Applications!$A$2:$A$101,0))&amp;"",""))</f>
        <v/>
      </c>
      <c r="N448" s="41">
        <f>IF(A448="","",SUMPRODUCT(ISNUMBER(D448:K448)*($D$2:$K$2&gt;0)))</f>
        <v/>
      </c>
      <c r="O448" s="40">
        <f>IF(A448="","",IF(ISNA(MATCH(A448,Applications!$A$2:$A$101,0)),"Check ID",IF(ISNA(MATCH(B448,Settings!$C$13:$C$18,0)),"Check reviewer",IF(LEFT(C448,3)="Yes","Conflict, not counted",IF(COUNTIFS($A$3:A448,A448,$B$3:B448,B448)&gt;1,"Duplicate, not counted",IF(SUM($D$2:$K$2)=0,"Add weights on Rubric",IF(SUMPRODUCT(ISNUMBER(D448:K448)*((D448:K448&gt;4)+(D448:K448&lt;0)))&gt;0,"Check scores",IF(N448&lt;COUNTIF($D$2:$K$2,"&gt;0"),"Incomplete","Counted"))))))))</f>
        <v/>
      </c>
      <c r="P448" s="42">
        <f>IF(O448="Counted",ROUND(SUMPRODUCT(D448:K448,$D$2:$K$2)*100/(4*SUM($D$2:$K$2)),1),"")</f>
        <v/>
      </c>
      <c r="Q448" s="27">
        <f>IF(O448="Counted",1,0)</f>
        <v/>
      </c>
      <c r="R448" s="43">
        <f>IF(ISNUMBER(D448),D448,0)</f>
        <v/>
      </c>
      <c r="S448" s="43">
        <f>IF(ISNUMBER(E448),E448,0)</f>
        <v/>
      </c>
      <c r="T448" s="43">
        <f>IF(ISNUMBER(F448),F448,0)</f>
        <v/>
      </c>
      <c r="U448" s="43">
        <f>IF(ISNUMBER(G448),G448,0)</f>
        <v/>
      </c>
      <c r="V448" s="43">
        <f>IF(ISNUMBER(H448),H448,0)</f>
        <v/>
      </c>
      <c r="W448" s="43">
        <f>IF(ISNUMBER(I448),I448,0)</f>
        <v/>
      </c>
      <c r="X448" s="43">
        <f>IF(ISNUMBER(J448),J448,0)</f>
        <v/>
      </c>
      <c r="Y448" s="43">
        <f>IF(ISNUMBER(K448),K448,0)</f>
        <v/>
      </c>
    </row>
    <row r="449">
      <c r="A449" s="35" t="n"/>
      <c r="B449" s="35" t="n"/>
      <c r="C449" s="35" t="n"/>
      <c r="D449" s="25" t="n"/>
      <c r="E449" s="25" t="n"/>
      <c r="F449" s="25" t="n"/>
      <c r="G449" s="25" t="n"/>
      <c r="H449" s="25" t="n"/>
      <c r="I449" s="25" t="n"/>
      <c r="J449" s="25" t="n"/>
      <c r="K449" s="25" t="n"/>
      <c r="L449" s="35" t="n"/>
      <c r="M449" s="40">
        <f>IF(A449="","",IFERROR(INDEX(Applications!$B$2:$B$101,MATCH(A449,Applications!$A$2:$A$101,0))&amp;"",""))</f>
        <v/>
      </c>
      <c r="N449" s="41">
        <f>IF(A449="","",SUMPRODUCT(ISNUMBER(D449:K449)*($D$2:$K$2&gt;0)))</f>
        <v/>
      </c>
      <c r="O449" s="40">
        <f>IF(A449="","",IF(ISNA(MATCH(A449,Applications!$A$2:$A$101,0)),"Check ID",IF(ISNA(MATCH(B449,Settings!$C$13:$C$18,0)),"Check reviewer",IF(LEFT(C449,3)="Yes","Conflict, not counted",IF(COUNTIFS($A$3:A449,A449,$B$3:B449,B449)&gt;1,"Duplicate, not counted",IF(SUM($D$2:$K$2)=0,"Add weights on Rubric",IF(SUMPRODUCT(ISNUMBER(D449:K449)*((D449:K449&gt;4)+(D449:K449&lt;0)))&gt;0,"Check scores",IF(N449&lt;COUNTIF($D$2:$K$2,"&gt;0"),"Incomplete","Counted"))))))))</f>
        <v/>
      </c>
      <c r="P449" s="42">
        <f>IF(O449="Counted",ROUND(SUMPRODUCT(D449:K449,$D$2:$K$2)*100/(4*SUM($D$2:$K$2)),1),"")</f>
        <v/>
      </c>
      <c r="Q449" s="27">
        <f>IF(O449="Counted",1,0)</f>
        <v/>
      </c>
      <c r="R449" s="43">
        <f>IF(ISNUMBER(D449),D449,0)</f>
        <v/>
      </c>
      <c r="S449" s="43">
        <f>IF(ISNUMBER(E449),E449,0)</f>
        <v/>
      </c>
      <c r="T449" s="43">
        <f>IF(ISNUMBER(F449),F449,0)</f>
        <v/>
      </c>
      <c r="U449" s="43">
        <f>IF(ISNUMBER(G449),G449,0)</f>
        <v/>
      </c>
      <c r="V449" s="43">
        <f>IF(ISNUMBER(H449),H449,0)</f>
        <v/>
      </c>
      <c r="W449" s="43">
        <f>IF(ISNUMBER(I449),I449,0)</f>
        <v/>
      </c>
      <c r="X449" s="43">
        <f>IF(ISNUMBER(J449),J449,0)</f>
        <v/>
      </c>
      <c r="Y449" s="43">
        <f>IF(ISNUMBER(K449),K449,0)</f>
        <v/>
      </c>
    </row>
    <row r="450">
      <c r="A450" s="35" t="n"/>
      <c r="B450" s="35" t="n"/>
      <c r="C450" s="35" t="n"/>
      <c r="D450" s="25" t="n"/>
      <c r="E450" s="25" t="n"/>
      <c r="F450" s="25" t="n"/>
      <c r="G450" s="25" t="n"/>
      <c r="H450" s="25" t="n"/>
      <c r="I450" s="25" t="n"/>
      <c r="J450" s="25" t="n"/>
      <c r="K450" s="25" t="n"/>
      <c r="L450" s="35" t="n"/>
      <c r="M450" s="40">
        <f>IF(A450="","",IFERROR(INDEX(Applications!$B$2:$B$101,MATCH(A450,Applications!$A$2:$A$101,0))&amp;"",""))</f>
        <v/>
      </c>
      <c r="N450" s="41">
        <f>IF(A450="","",SUMPRODUCT(ISNUMBER(D450:K450)*($D$2:$K$2&gt;0)))</f>
        <v/>
      </c>
      <c r="O450" s="40">
        <f>IF(A450="","",IF(ISNA(MATCH(A450,Applications!$A$2:$A$101,0)),"Check ID",IF(ISNA(MATCH(B450,Settings!$C$13:$C$18,0)),"Check reviewer",IF(LEFT(C450,3)="Yes","Conflict, not counted",IF(COUNTIFS($A$3:A450,A450,$B$3:B450,B450)&gt;1,"Duplicate, not counted",IF(SUM($D$2:$K$2)=0,"Add weights on Rubric",IF(SUMPRODUCT(ISNUMBER(D450:K450)*((D450:K450&gt;4)+(D450:K450&lt;0)))&gt;0,"Check scores",IF(N450&lt;COUNTIF($D$2:$K$2,"&gt;0"),"Incomplete","Counted"))))))))</f>
        <v/>
      </c>
      <c r="P450" s="42">
        <f>IF(O450="Counted",ROUND(SUMPRODUCT(D450:K450,$D$2:$K$2)*100/(4*SUM($D$2:$K$2)),1),"")</f>
        <v/>
      </c>
      <c r="Q450" s="27">
        <f>IF(O450="Counted",1,0)</f>
        <v/>
      </c>
      <c r="R450" s="43">
        <f>IF(ISNUMBER(D450),D450,0)</f>
        <v/>
      </c>
      <c r="S450" s="43">
        <f>IF(ISNUMBER(E450),E450,0)</f>
        <v/>
      </c>
      <c r="T450" s="43">
        <f>IF(ISNUMBER(F450),F450,0)</f>
        <v/>
      </c>
      <c r="U450" s="43">
        <f>IF(ISNUMBER(G450),G450,0)</f>
        <v/>
      </c>
      <c r="V450" s="43">
        <f>IF(ISNUMBER(H450),H450,0)</f>
        <v/>
      </c>
      <c r="W450" s="43">
        <f>IF(ISNUMBER(I450),I450,0)</f>
        <v/>
      </c>
      <c r="X450" s="43">
        <f>IF(ISNUMBER(J450),J450,0)</f>
        <v/>
      </c>
      <c r="Y450" s="43">
        <f>IF(ISNUMBER(K450),K450,0)</f>
        <v/>
      </c>
    </row>
    <row r="451">
      <c r="A451" s="35" t="n"/>
      <c r="B451" s="35" t="n"/>
      <c r="C451" s="35" t="n"/>
      <c r="D451" s="25" t="n"/>
      <c r="E451" s="25" t="n"/>
      <c r="F451" s="25" t="n"/>
      <c r="G451" s="25" t="n"/>
      <c r="H451" s="25" t="n"/>
      <c r="I451" s="25" t="n"/>
      <c r="J451" s="25" t="n"/>
      <c r="K451" s="25" t="n"/>
      <c r="L451" s="35" t="n"/>
      <c r="M451" s="40">
        <f>IF(A451="","",IFERROR(INDEX(Applications!$B$2:$B$101,MATCH(A451,Applications!$A$2:$A$101,0))&amp;"",""))</f>
        <v/>
      </c>
      <c r="N451" s="41">
        <f>IF(A451="","",SUMPRODUCT(ISNUMBER(D451:K451)*($D$2:$K$2&gt;0)))</f>
        <v/>
      </c>
      <c r="O451" s="40">
        <f>IF(A451="","",IF(ISNA(MATCH(A451,Applications!$A$2:$A$101,0)),"Check ID",IF(ISNA(MATCH(B451,Settings!$C$13:$C$18,0)),"Check reviewer",IF(LEFT(C451,3)="Yes","Conflict, not counted",IF(COUNTIFS($A$3:A451,A451,$B$3:B451,B451)&gt;1,"Duplicate, not counted",IF(SUM($D$2:$K$2)=0,"Add weights on Rubric",IF(SUMPRODUCT(ISNUMBER(D451:K451)*((D451:K451&gt;4)+(D451:K451&lt;0)))&gt;0,"Check scores",IF(N451&lt;COUNTIF($D$2:$K$2,"&gt;0"),"Incomplete","Counted"))))))))</f>
        <v/>
      </c>
      <c r="P451" s="42">
        <f>IF(O451="Counted",ROUND(SUMPRODUCT(D451:K451,$D$2:$K$2)*100/(4*SUM($D$2:$K$2)),1),"")</f>
        <v/>
      </c>
      <c r="Q451" s="27">
        <f>IF(O451="Counted",1,0)</f>
        <v/>
      </c>
      <c r="R451" s="43">
        <f>IF(ISNUMBER(D451),D451,0)</f>
        <v/>
      </c>
      <c r="S451" s="43">
        <f>IF(ISNUMBER(E451),E451,0)</f>
        <v/>
      </c>
      <c r="T451" s="43">
        <f>IF(ISNUMBER(F451),F451,0)</f>
        <v/>
      </c>
      <c r="U451" s="43">
        <f>IF(ISNUMBER(G451),G451,0)</f>
        <v/>
      </c>
      <c r="V451" s="43">
        <f>IF(ISNUMBER(H451),H451,0)</f>
        <v/>
      </c>
      <c r="W451" s="43">
        <f>IF(ISNUMBER(I451),I451,0)</f>
        <v/>
      </c>
      <c r="X451" s="43">
        <f>IF(ISNUMBER(J451),J451,0)</f>
        <v/>
      </c>
      <c r="Y451" s="43">
        <f>IF(ISNUMBER(K451),K451,0)</f>
        <v/>
      </c>
    </row>
    <row r="452">
      <c r="A452" s="35" t="n"/>
      <c r="B452" s="35" t="n"/>
      <c r="C452" s="35" t="n"/>
      <c r="D452" s="25" t="n"/>
      <c r="E452" s="25" t="n"/>
      <c r="F452" s="25" t="n"/>
      <c r="G452" s="25" t="n"/>
      <c r="H452" s="25" t="n"/>
      <c r="I452" s="25" t="n"/>
      <c r="J452" s="25" t="n"/>
      <c r="K452" s="25" t="n"/>
      <c r="L452" s="35" t="n"/>
      <c r="M452" s="40">
        <f>IF(A452="","",IFERROR(INDEX(Applications!$B$2:$B$101,MATCH(A452,Applications!$A$2:$A$101,0))&amp;"",""))</f>
        <v/>
      </c>
      <c r="N452" s="41">
        <f>IF(A452="","",SUMPRODUCT(ISNUMBER(D452:K452)*($D$2:$K$2&gt;0)))</f>
        <v/>
      </c>
      <c r="O452" s="40">
        <f>IF(A452="","",IF(ISNA(MATCH(A452,Applications!$A$2:$A$101,0)),"Check ID",IF(ISNA(MATCH(B452,Settings!$C$13:$C$18,0)),"Check reviewer",IF(LEFT(C452,3)="Yes","Conflict, not counted",IF(COUNTIFS($A$3:A452,A452,$B$3:B452,B452)&gt;1,"Duplicate, not counted",IF(SUM($D$2:$K$2)=0,"Add weights on Rubric",IF(SUMPRODUCT(ISNUMBER(D452:K452)*((D452:K452&gt;4)+(D452:K452&lt;0)))&gt;0,"Check scores",IF(N452&lt;COUNTIF($D$2:$K$2,"&gt;0"),"Incomplete","Counted"))))))))</f>
        <v/>
      </c>
      <c r="P452" s="42">
        <f>IF(O452="Counted",ROUND(SUMPRODUCT(D452:K452,$D$2:$K$2)*100/(4*SUM($D$2:$K$2)),1),"")</f>
        <v/>
      </c>
      <c r="Q452" s="27">
        <f>IF(O452="Counted",1,0)</f>
        <v/>
      </c>
      <c r="R452" s="43">
        <f>IF(ISNUMBER(D452),D452,0)</f>
        <v/>
      </c>
      <c r="S452" s="43">
        <f>IF(ISNUMBER(E452),E452,0)</f>
        <v/>
      </c>
      <c r="T452" s="43">
        <f>IF(ISNUMBER(F452),F452,0)</f>
        <v/>
      </c>
      <c r="U452" s="43">
        <f>IF(ISNUMBER(G452),G452,0)</f>
        <v/>
      </c>
      <c r="V452" s="43">
        <f>IF(ISNUMBER(H452),H452,0)</f>
        <v/>
      </c>
      <c r="W452" s="43">
        <f>IF(ISNUMBER(I452),I452,0)</f>
        <v/>
      </c>
      <c r="X452" s="43">
        <f>IF(ISNUMBER(J452),J452,0)</f>
        <v/>
      </c>
      <c r="Y452" s="43">
        <f>IF(ISNUMBER(K452),K452,0)</f>
        <v/>
      </c>
    </row>
    <row r="453">
      <c r="A453" s="35" t="n"/>
      <c r="B453" s="35" t="n"/>
      <c r="C453" s="35" t="n"/>
      <c r="D453" s="25" t="n"/>
      <c r="E453" s="25" t="n"/>
      <c r="F453" s="25" t="n"/>
      <c r="G453" s="25" t="n"/>
      <c r="H453" s="25" t="n"/>
      <c r="I453" s="25" t="n"/>
      <c r="J453" s="25" t="n"/>
      <c r="K453" s="25" t="n"/>
      <c r="L453" s="35" t="n"/>
      <c r="M453" s="40">
        <f>IF(A453="","",IFERROR(INDEX(Applications!$B$2:$B$101,MATCH(A453,Applications!$A$2:$A$101,0))&amp;"",""))</f>
        <v/>
      </c>
      <c r="N453" s="41">
        <f>IF(A453="","",SUMPRODUCT(ISNUMBER(D453:K453)*($D$2:$K$2&gt;0)))</f>
        <v/>
      </c>
      <c r="O453" s="40">
        <f>IF(A453="","",IF(ISNA(MATCH(A453,Applications!$A$2:$A$101,0)),"Check ID",IF(ISNA(MATCH(B453,Settings!$C$13:$C$18,0)),"Check reviewer",IF(LEFT(C453,3)="Yes","Conflict, not counted",IF(COUNTIFS($A$3:A453,A453,$B$3:B453,B453)&gt;1,"Duplicate, not counted",IF(SUM($D$2:$K$2)=0,"Add weights on Rubric",IF(SUMPRODUCT(ISNUMBER(D453:K453)*((D453:K453&gt;4)+(D453:K453&lt;0)))&gt;0,"Check scores",IF(N453&lt;COUNTIF($D$2:$K$2,"&gt;0"),"Incomplete","Counted"))))))))</f>
        <v/>
      </c>
      <c r="P453" s="42">
        <f>IF(O453="Counted",ROUND(SUMPRODUCT(D453:K453,$D$2:$K$2)*100/(4*SUM($D$2:$K$2)),1),"")</f>
        <v/>
      </c>
      <c r="Q453" s="27">
        <f>IF(O453="Counted",1,0)</f>
        <v/>
      </c>
      <c r="R453" s="43">
        <f>IF(ISNUMBER(D453),D453,0)</f>
        <v/>
      </c>
      <c r="S453" s="43">
        <f>IF(ISNUMBER(E453),E453,0)</f>
        <v/>
      </c>
      <c r="T453" s="43">
        <f>IF(ISNUMBER(F453),F453,0)</f>
        <v/>
      </c>
      <c r="U453" s="43">
        <f>IF(ISNUMBER(G453),G453,0)</f>
        <v/>
      </c>
      <c r="V453" s="43">
        <f>IF(ISNUMBER(H453),H453,0)</f>
        <v/>
      </c>
      <c r="W453" s="43">
        <f>IF(ISNUMBER(I453),I453,0)</f>
        <v/>
      </c>
      <c r="X453" s="43">
        <f>IF(ISNUMBER(J453),J453,0)</f>
        <v/>
      </c>
      <c r="Y453" s="43">
        <f>IF(ISNUMBER(K453),K453,0)</f>
        <v/>
      </c>
    </row>
    <row r="454">
      <c r="A454" s="35" t="n"/>
      <c r="B454" s="35" t="n"/>
      <c r="C454" s="35" t="n"/>
      <c r="D454" s="25" t="n"/>
      <c r="E454" s="25" t="n"/>
      <c r="F454" s="25" t="n"/>
      <c r="G454" s="25" t="n"/>
      <c r="H454" s="25" t="n"/>
      <c r="I454" s="25" t="n"/>
      <c r="J454" s="25" t="n"/>
      <c r="K454" s="25" t="n"/>
      <c r="L454" s="35" t="n"/>
      <c r="M454" s="40">
        <f>IF(A454="","",IFERROR(INDEX(Applications!$B$2:$B$101,MATCH(A454,Applications!$A$2:$A$101,0))&amp;"",""))</f>
        <v/>
      </c>
      <c r="N454" s="41">
        <f>IF(A454="","",SUMPRODUCT(ISNUMBER(D454:K454)*($D$2:$K$2&gt;0)))</f>
        <v/>
      </c>
      <c r="O454" s="40">
        <f>IF(A454="","",IF(ISNA(MATCH(A454,Applications!$A$2:$A$101,0)),"Check ID",IF(ISNA(MATCH(B454,Settings!$C$13:$C$18,0)),"Check reviewer",IF(LEFT(C454,3)="Yes","Conflict, not counted",IF(COUNTIFS($A$3:A454,A454,$B$3:B454,B454)&gt;1,"Duplicate, not counted",IF(SUM($D$2:$K$2)=0,"Add weights on Rubric",IF(SUMPRODUCT(ISNUMBER(D454:K454)*((D454:K454&gt;4)+(D454:K454&lt;0)))&gt;0,"Check scores",IF(N454&lt;COUNTIF($D$2:$K$2,"&gt;0"),"Incomplete","Counted"))))))))</f>
        <v/>
      </c>
      <c r="P454" s="42">
        <f>IF(O454="Counted",ROUND(SUMPRODUCT(D454:K454,$D$2:$K$2)*100/(4*SUM($D$2:$K$2)),1),"")</f>
        <v/>
      </c>
      <c r="Q454" s="27">
        <f>IF(O454="Counted",1,0)</f>
        <v/>
      </c>
      <c r="R454" s="43">
        <f>IF(ISNUMBER(D454),D454,0)</f>
        <v/>
      </c>
      <c r="S454" s="43">
        <f>IF(ISNUMBER(E454),E454,0)</f>
        <v/>
      </c>
      <c r="T454" s="43">
        <f>IF(ISNUMBER(F454),F454,0)</f>
        <v/>
      </c>
      <c r="U454" s="43">
        <f>IF(ISNUMBER(G454),G454,0)</f>
        <v/>
      </c>
      <c r="V454" s="43">
        <f>IF(ISNUMBER(H454),H454,0)</f>
        <v/>
      </c>
      <c r="W454" s="43">
        <f>IF(ISNUMBER(I454),I454,0)</f>
        <v/>
      </c>
      <c r="X454" s="43">
        <f>IF(ISNUMBER(J454),J454,0)</f>
        <v/>
      </c>
      <c r="Y454" s="43">
        <f>IF(ISNUMBER(K454),K454,0)</f>
        <v/>
      </c>
    </row>
    <row r="455">
      <c r="A455" s="35" t="n"/>
      <c r="B455" s="35" t="n"/>
      <c r="C455" s="35" t="n"/>
      <c r="D455" s="25" t="n"/>
      <c r="E455" s="25" t="n"/>
      <c r="F455" s="25" t="n"/>
      <c r="G455" s="25" t="n"/>
      <c r="H455" s="25" t="n"/>
      <c r="I455" s="25" t="n"/>
      <c r="J455" s="25" t="n"/>
      <c r="K455" s="25" t="n"/>
      <c r="L455" s="35" t="n"/>
      <c r="M455" s="40">
        <f>IF(A455="","",IFERROR(INDEX(Applications!$B$2:$B$101,MATCH(A455,Applications!$A$2:$A$101,0))&amp;"",""))</f>
        <v/>
      </c>
      <c r="N455" s="41">
        <f>IF(A455="","",SUMPRODUCT(ISNUMBER(D455:K455)*($D$2:$K$2&gt;0)))</f>
        <v/>
      </c>
      <c r="O455" s="40">
        <f>IF(A455="","",IF(ISNA(MATCH(A455,Applications!$A$2:$A$101,0)),"Check ID",IF(ISNA(MATCH(B455,Settings!$C$13:$C$18,0)),"Check reviewer",IF(LEFT(C455,3)="Yes","Conflict, not counted",IF(COUNTIFS($A$3:A455,A455,$B$3:B455,B455)&gt;1,"Duplicate, not counted",IF(SUM($D$2:$K$2)=0,"Add weights on Rubric",IF(SUMPRODUCT(ISNUMBER(D455:K455)*((D455:K455&gt;4)+(D455:K455&lt;0)))&gt;0,"Check scores",IF(N455&lt;COUNTIF($D$2:$K$2,"&gt;0"),"Incomplete","Counted"))))))))</f>
        <v/>
      </c>
      <c r="P455" s="42">
        <f>IF(O455="Counted",ROUND(SUMPRODUCT(D455:K455,$D$2:$K$2)*100/(4*SUM($D$2:$K$2)),1),"")</f>
        <v/>
      </c>
      <c r="Q455" s="27">
        <f>IF(O455="Counted",1,0)</f>
        <v/>
      </c>
      <c r="R455" s="43">
        <f>IF(ISNUMBER(D455),D455,0)</f>
        <v/>
      </c>
      <c r="S455" s="43">
        <f>IF(ISNUMBER(E455),E455,0)</f>
        <v/>
      </c>
      <c r="T455" s="43">
        <f>IF(ISNUMBER(F455),F455,0)</f>
        <v/>
      </c>
      <c r="U455" s="43">
        <f>IF(ISNUMBER(G455),G455,0)</f>
        <v/>
      </c>
      <c r="V455" s="43">
        <f>IF(ISNUMBER(H455),H455,0)</f>
        <v/>
      </c>
      <c r="W455" s="43">
        <f>IF(ISNUMBER(I455),I455,0)</f>
        <v/>
      </c>
      <c r="X455" s="43">
        <f>IF(ISNUMBER(J455),J455,0)</f>
        <v/>
      </c>
      <c r="Y455" s="43">
        <f>IF(ISNUMBER(K455),K455,0)</f>
        <v/>
      </c>
    </row>
    <row r="456">
      <c r="A456" s="35" t="n"/>
      <c r="B456" s="35" t="n"/>
      <c r="C456" s="35" t="n"/>
      <c r="D456" s="25" t="n"/>
      <c r="E456" s="25" t="n"/>
      <c r="F456" s="25" t="n"/>
      <c r="G456" s="25" t="n"/>
      <c r="H456" s="25" t="n"/>
      <c r="I456" s="25" t="n"/>
      <c r="J456" s="25" t="n"/>
      <c r="K456" s="25" t="n"/>
      <c r="L456" s="35" t="n"/>
      <c r="M456" s="40">
        <f>IF(A456="","",IFERROR(INDEX(Applications!$B$2:$B$101,MATCH(A456,Applications!$A$2:$A$101,0))&amp;"",""))</f>
        <v/>
      </c>
      <c r="N456" s="41">
        <f>IF(A456="","",SUMPRODUCT(ISNUMBER(D456:K456)*($D$2:$K$2&gt;0)))</f>
        <v/>
      </c>
      <c r="O456" s="40">
        <f>IF(A456="","",IF(ISNA(MATCH(A456,Applications!$A$2:$A$101,0)),"Check ID",IF(ISNA(MATCH(B456,Settings!$C$13:$C$18,0)),"Check reviewer",IF(LEFT(C456,3)="Yes","Conflict, not counted",IF(COUNTIFS($A$3:A456,A456,$B$3:B456,B456)&gt;1,"Duplicate, not counted",IF(SUM($D$2:$K$2)=0,"Add weights on Rubric",IF(SUMPRODUCT(ISNUMBER(D456:K456)*((D456:K456&gt;4)+(D456:K456&lt;0)))&gt;0,"Check scores",IF(N456&lt;COUNTIF($D$2:$K$2,"&gt;0"),"Incomplete","Counted"))))))))</f>
        <v/>
      </c>
      <c r="P456" s="42">
        <f>IF(O456="Counted",ROUND(SUMPRODUCT(D456:K456,$D$2:$K$2)*100/(4*SUM($D$2:$K$2)),1),"")</f>
        <v/>
      </c>
      <c r="Q456" s="27">
        <f>IF(O456="Counted",1,0)</f>
        <v/>
      </c>
      <c r="R456" s="43">
        <f>IF(ISNUMBER(D456),D456,0)</f>
        <v/>
      </c>
      <c r="S456" s="43">
        <f>IF(ISNUMBER(E456),E456,0)</f>
        <v/>
      </c>
      <c r="T456" s="43">
        <f>IF(ISNUMBER(F456),F456,0)</f>
        <v/>
      </c>
      <c r="U456" s="43">
        <f>IF(ISNUMBER(G456),G456,0)</f>
        <v/>
      </c>
      <c r="V456" s="43">
        <f>IF(ISNUMBER(H456),H456,0)</f>
        <v/>
      </c>
      <c r="W456" s="43">
        <f>IF(ISNUMBER(I456),I456,0)</f>
        <v/>
      </c>
      <c r="X456" s="43">
        <f>IF(ISNUMBER(J456),J456,0)</f>
        <v/>
      </c>
      <c r="Y456" s="43">
        <f>IF(ISNUMBER(K456),K456,0)</f>
        <v/>
      </c>
    </row>
    <row r="457">
      <c r="A457" s="35" t="n"/>
      <c r="B457" s="35" t="n"/>
      <c r="C457" s="35" t="n"/>
      <c r="D457" s="25" t="n"/>
      <c r="E457" s="25" t="n"/>
      <c r="F457" s="25" t="n"/>
      <c r="G457" s="25" t="n"/>
      <c r="H457" s="25" t="n"/>
      <c r="I457" s="25" t="n"/>
      <c r="J457" s="25" t="n"/>
      <c r="K457" s="25" t="n"/>
      <c r="L457" s="35" t="n"/>
      <c r="M457" s="40">
        <f>IF(A457="","",IFERROR(INDEX(Applications!$B$2:$B$101,MATCH(A457,Applications!$A$2:$A$101,0))&amp;"",""))</f>
        <v/>
      </c>
      <c r="N457" s="41">
        <f>IF(A457="","",SUMPRODUCT(ISNUMBER(D457:K457)*($D$2:$K$2&gt;0)))</f>
        <v/>
      </c>
      <c r="O457" s="40">
        <f>IF(A457="","",IF(ISNA(MATCH(A457,Applications!$A$2:$A$101,0)),"Check ID",IF(ISNA(MATCH(B457,Settings!$C$13:$C$18,0)),"Check reviewer",IF(LEFT(C457,3)="Yes","Conflict, not counted",IF(COUNTIFS($A$3:A457,A457,$B$3:B457,B457)&gt;1,"Duplicate, not counted",IF(SUM($D$2:$K$2)=0,"Add weights on Rubric",IF(SUMPRODUCT(ISNUMBER(D457:K457)*((D457:K457&gt;4)+(D457:K457&lt;0)))&gt;0,"Check scores",IF(N457&lt;COUNTIF($D$2:$K$2,"&gt;0"),"Incomplete","Counted"))))))))</f>
        <v/>
      </c>
      <c r="P457" s="42">
        <f>IF(O457="Counted",ROUND(SUMPRODUCT(D457:K457,$D$2:$K$2)*100/(4*SUM($D$2:$K$2)),1),"")</f>
        <v/>
      </c>
      <c r="Q457" s="27">
        <f>IF(O457="Counted",1,0)</f>
        <v/>
      </c>
      <c r="R457" s="43">
        <f>IF(ISNUMBER(D457),D457,0)</f>
        <v/>
      </c>
      <c r="S457" s="43">
        <f>IF(ISNUMBER(E457),E457,0)</f>
        <v/>
      </c>
      <c r="T457" s="43">
        <f>IF(ISNUMBER(F457),F457,0)</f>
        <v/>
      </c>
      <c r="U457" s="43">
        <f>IF(ISNUMBER(G457),G457,0)</f>
        <v/>
      </c>
      <c r="V457" s="43">
        <f>IF(ISNUMBER(H457),H457,0)</f>
        <v/>
      </c>
      <c r="W457" s="43">
        <f>IF(ISNUMBER(I457),I457,0)</f>
        <v/>
      </c>
      <c r="X457" s="43">
        <f>IF(ISNUMBER(J457),J457,0)</f>
        <v/>
      </c>
      <c r="Y457" s="43">
        <f>IF(ISNUMBER(K457),K457,0)</f>
        <v/>
      </c>
    </row>
    <row r="458">
      <c r="A458" s="35" t="n"/>
      <c r="B458" s="35" t="n"/>
      <c r="C458" s="35" t="n"/>
      <c r="D458" s="25" t="n"/>
      <c r="E458" s="25" t="n"/>
      <c r="F458" s="25" t="n"/>
      <c r="G458" s="25" t="n"/>
      <c r="H458" s="25" t="n"/>
      <c r="I458" s="25" t="n"/>
      <c r="J458" s="25" t="n"/>
      <c r="K458" s="25" t="n"/>
      <c r="L458" s="35" t="n"/>
      <c r="M458" s="40">
        <f>IF(A458="","",IFERROR(INDEX(Applications!$B$2:$B$101,MATCH(A458,Applications!$A$2:$A$101,0))&amp;"",""))</f>
        <v/>
      </c>
      <c r="N458" s="41">
        <f>IF(A458="","",SUMPRODUCT(ISNUMBER(D458:K458)*($D$2:$K$2&gt;0)))</f>
        <v/>
      </c>
      <c r="O458" s="40">
        <f>IF(A458="","",IF(ISNA(MATCH(A458,Applications!$A$2:$A$101,0)),"Check ID",IF(ISNA(MATCH(B458,Settings!$C$13:$C$18,0)),"Check reviewer",IF(LEFT(C458,3)="Yes","Conflict, not counted",IF(COUNTIFS($A$3:A458,A458,$B$3:B458,B458)&gt;1,"Duplicate, not counted",IF(SUM($D$2:$K$2)=0,"Add weights on Rubric",IF(SUMPRODUCT(ISNUMBER(D458:K458)*((D458:K458&gt;4)+(D458:K458&lt;0)))&gt;0,"Check scores",IF(N458&lt;COUNTIF($D$2:$K$2,"&gt;0"),"Incomplete","Counted"))))))))</f>
        <v/>
      </c>
      <c r="P458" s="42">
        <f>IF(O458="Counted",ROUND(SUMPRODUCT(D458:K458,$D$2:$K$2)*100/(4*SUM($D$2:$K$2)),1),"")</f>
        <v/>
      </c>
      <c r="Q458" s="27">
        <f>IF(O458="Counted",1,0)</f>
        <v/>
      </c>
      <c r="R458" s="43">
        <f>IF(ISNUMBER(D458),D458,0)</f>
        <v/>
      </c>
      <c r="S458" s="43">
        <f>IF(ISNUMBER(E458),E458,0)</f>
        <v/>
      </c>
      <c r="T458" s="43">
        <f>IF(ISNUMBER(F458),F458,0)</f>
        <v/>
      </c>
      <c r="U458" s="43">
        <f>IF(ISNUMBER(G458),G458,0)</f>
        <v/>
      </c>
      <c r="V458" s="43">
        <f>IF(ISNUMBER(H458),H458,0)</f>
        <v/>
      </c>
      <c r="W458" s="43">
        <f>IF(ISNUMBER(I458),I458,0)</f>
        <v/>
      </c>
      <c r="X458" s="43">
        <f>IF(ISNUMBER(J458),J458,0)</f>
        <v/>
      </c>
      <c r="Y458" s="43">
        <f>IF(ISNUMBER(K458),K458,0)</f>
        <v/>
      </c>
    </row>
    <row r="459">
      <c r="A459" s="35" t="n"/>
      <c r="B459" s="35" t="n"/>
      <c r="C459" s="35" t="n"/>
      <c r="D459" s="25" t="n"/>
      <c r="E459" s="25" t="n"/>
      <c r="F459" s="25" t="n"/>
      <c r="G459" s="25" t="n"/>
      <c r="H459" s="25" t="n"/>
      <c r="I459" s="25" t="n"/>
      <c r="J459" s="25" t="n"/>
      <c r="K459" s="25" t="n"/>
      <c r="L459" s="35" t="n"/>
      <c r="M459" s="40">
        <f>IF(A459="","",IFERROR(INDEX(Applications!$B$2:$B$101,MATCH(A459,Applications!$A$2:$A$101,0))&amp;"",""))</f>
        <v/>
      </c>
      <c r="N459" s="41">
        <f>IF(A459="","",SUMPRODUCT(ISNUMBER(D459:K459)*($D$2:$K$2&gt;0)))</f>
        <v/>
      </c>
      <c r="O459" s="40">
        <f>IF(A459="","",IF(ISNA(MATCH(A459,Applications!$A$2:$A$101,0)),"Check ID",IF(ISNA(MATCH(B459,Settings!$C$13:$C$18,0)),"Check reviewer",IF(LEFT(C459,3)="Yes","Conflict, not counted",IF(COUNTIFS($A$3:A459,A459,$B$3:B459,B459)&gt;1,"Duplicate, not counted",IF(SUM($D$2:$K$2)=0,"Add weights on Rubric",IF(SUMPRODUCT(ISNUMBER(D459:K459)*((D459:K459&gt;4)+(D459:K459&lt;0)))&gt;0,"Check scores",IF(N459&lt;COUNTIF($D$2:$K$2,"&gt;0"),"Incomplete","Counted"))))))))</f>
        <v/>
      </c>
      <c r="P459" s="42">
        <f>IF(O459="Counted",ROUND(SUMPRODUCT(D459:K459,$D$2:$K$2)*100/(4*SUM($D$2:$K$2)),1),"")</f>
        <v/>
      </c>
      <c r="Q459" s="27">
        <f>IF(O459="Counted",1,0)</f>
        <v/>
      </c>
      <c r="R459" s="43">
        <f>IF(ISNUMBER(D459),D459,0)</f>
        <v/>
      </c>
      <c r="S459" s="43">
        <f>IF(ISNUMBER(E459),E459,0)</f>
        <v/>
      </c>
      <c r="T459" s="43">
        <f>IF(ISNUMBER(F459),F459,0)</f>
        <v/>
      </c>
      <c r="U459" s="43">
        <f>IF(ISNUMBER(G459),G459,0)</f>
        <v/>
      </c>
      <c r="V459" s="43">
        <f>IF(ISNUMBER(H459),H459,0)</f>
        <v/>
      </c>
      <c r="W459" s="43">
        <f>IF(ISNUMBER(I459),I459,0)</f>
        <v/>
      </c>
      <c r="X459" s="43">
        <f>IF(ISNUMBER(J459),J459,0)</f>
        <v/>
      </c>
      <c r="Y459" s="43">
        <f>IF(ISNUMBER(K459),K459,0)</f>
        <v/>
      </c>
    </row>
    <row r="460">
      <c r="A460" s="35" t="n"/>
      <c r="B460" s="35" t="n"/>
      <c r="C460" s="35" t="n"/>
      <c r="D460" s="25" t="n"/>
      <c r="E460" s="25" t="n"/>
      <c r="F460" s="25" t="n"/>
      <c r="G460" s="25" t="n"/>
      <c r="H460" s="25" t="n"/>
      <c r="I460" s="25" t="n"/>
      <c r="J460" s="25" t="n"/>
      <c r="K460" s="25" t="n"/>
      <c r="L460" s="35" t="n"/>
      <c r="M460" s="40">
        <f>IF(A460="","",IFERROR(INDEX(Applications!$B$2:$B$101,MATCH(A460,Applications!$A$2:$A$101,0))&amp;"",""))</f>
        <v/>
      </c>
      <c r="N460" s="41">
        <f>IF(A460="","",SUMPRODUCT(ISNUMBER(D460:K460)*($D$2:$K$2&gt;0)))</f>
        <v/>
      </c>
      <c r="O460" s="40">
        <f>IF(A460="","",IF(ISNA(MATCH(A460,Applications!$A$2:$A$101,0)),"Check ID",IF(ISNA(MATCH(B460,Settings!$C$13:$C$18,0)),"Check reviewer",IF(LEFT(C460,3)="Yes","Conflict, not counted",IF(COUNTIFS($A$3:A460,A460,$B$3:B460,B460)&gt;1,"Duplicate, not counted",IF(SUM($D$2:$K$2)=0,"Add weights on Rubric",IF(SUMPRODUCT(ISNUMBER(D460:K460)*((D460:K460&gt;4)+(D460:K460&lt;0)))&gt;0,"Check scores",IF(N460&lt;COUNTIF($D$2:$K$2,"&gt;0"),"Incomplete","Counted"))))))))</f>
        <v/>
      </c>
      <c r="P460" s="42">
        <f>IF(O460="Counted",ROUND(SUMPRODUCT(D460:K460,$D$2:$K$2)*100/(4*SUM($D$2:$K$2)),1),"")</f>
        <v/>
      </c>
      <c r="Q460" s="27">
        <f>IF(O460="Counted",1,0)</f>
        <v/>
      </c>
      <c r="R460" s="43">
        <f>IF(ISNUMBER(D460),D460,0)</f>
        <v/>
      </c>
      <c r="S460" s="43">
        <f>IF(ISNUMBER(E460),E460,0)</f>
        <v/>
      </c>
      <c r="T460" s="43">
        <f>IF(ISNUMBER(F460),F460,0)</f>
        <v/>
      </c>
      <c r="U460" s="43">
        <f>IF(ISNUMBER(G460),G460,0)</f>
        <v/>
      </c>
      <c r="V460" s="43">
        <f>IF(ISNUMBER(H460),H460,0)</f>
        <v/>
      </c>
      <c r="W460" s="43">
        <f>IF(ISNUMBER(I460),I460,0)</f>
        <v/>
      </c>
      <c r="X460" s="43">
        <f>IF(ISNUMBER(J460),J460,0)</f>
        <v/>
      </c>
      <c r="Y460" s="43">
        <f>IF(ISNUMBER(K460),K460,0)</f>
        <v/>
      </c>
    </row>
    <row r="461">
      <c r="A461" s="35" t="n"/>
      <c r="B461" s="35" t="n"/>
      <c r="C461" s="35" t="n"/>
      <c r="D461" s="25" t="n"/>
      <c r="E461" s="25" t="n"/>
      <c r="F461" s="25" t="n"/>
      <c r="G461" s="25" t="n"/>
      <c r="H461" s="25" t="n"/>
      <c r="I461" s="25" t="n"/>
      <c r="J461" s="25" t="n"/>
      <c r="K461" s="25" t="n"/>
      <c r="L461" s="35" t="n"/>
      <c r="M461" s="40">
        <f>IF(A461="","",IFERROR(INDEX(Applications!$B$2:$B$101,MATCH(A461,Applications!$A$2:$A$101,0))&amp;"",""))</f>
        <v/>
      </c>
      <c r="N461" s="41">
        <f>IF(A461="","",SUMPRODUCT(ISNUMBER(D461:K461)*($D$2:$K$2&gt;0)))</f>
        <v/>
      </c>
      <c r="O461" s="40">
        <f>IF(A461="","",IF(ISNA(MATCH(A461,Applications!$A$2:$A$101,0)),"Check ID",IF(ISNA(MATCH(B461,Settings!$C$13:$C$18,0)),"Check reviewer",IF(LEFT(C461,3)="Yes","Conflict, not counted",IF(COUNTIFS($A$3:A461,A461,$B$3:B461,B461)&gt;1,"Duplicate, not counted",IF(SUM($D$2:$K$2)=0,"Add weights on Rubric",IF(SUMPRODUCT(ISNUMBER(D461:K461)*((D461:K461&gt;4)+(D461:K461&lt;0)))&gt;0,"Check scores",IF(N461&lt;COUNTIF($D$2:$K$2,"&gt;0"),"Incomplete","Counted"))))))))</f>
        <v/>
      </c>
      <c r="P461" s="42">
        <f>IF(O461="Counted",ROUND(SUMPRODUCT(D461:K461,$D$2:$K$2)*100/(4*SUM($D$2:$K$2)),1),"")</f>
        <v/>
      </c>
      <c r="Q461" s="27">
        <f>IF(O461="Counted",1,0)</f>
        <v/>
      </c>
      <c r="R461" s="43">
        <f>IF(ISNUMBER(D461),D461,0)</f>
        <v/>
      </c>
      <c r="S461" s="43">
        <f>IF(ISNUMBER(E461),E461,0)</f>
        <v/>
      </c>
      <c r="T461" s="43">
        <f>IF(ISNUMBER(F461),F461,0)</f>
        <v/>
      </c>
      <c r="U461" s="43">
        <f>IF(ISNUMBER(G461),G461,0)</f>
        <v/>
      </c>
      <c r="V461" s="43">
        <f>IF(ISNUMBER(H461),H461,0)</f>
        <v/>
      </c>
      <c r="W461" s="43">
        <f>IF(ISNUMBER(I461),I461,0)</f>
        <v/>
      </c>
      <c r="X461" s="43">
        <f>IF(ISNUMBER(J461),J461,0)</f>
        <v/>
      </c>
      <c r="Y461" s="43">
        <f>IF(ISNUMBER(K461),K461,0)</f>
        <v/>
      </c>
    </row>
    <row r="462">
      <c r="A462" s="35" t="n"/>
      <c r="B462" s="35" t="n"/>
      <c r="C462" s="35" t="n"/>
      <c r="D462" s="25" t="n"/>
      <c r="E462" s="25" t="n"/>
      <c r="F462" s="25" t="n"/>
      <c r="G462" s="25" t="n"/>
      <c r="H462" s="25" t="n"/>
      <c r="I462" s="25" t="n"/>
      <c r="J462" s="25" t="n"/>
      <c r="K462" s="25" t="n"/>
      <c r="L462" s="35" t="n"/>
      <c r="M462" s="40">
        <f>IF(A462="","",IFERROR(INDEX(Applications!$B$2:$B$101,MATCH(A462,Applications!$A$2:$A$101,0))&amp;"",""))</f>
        <v/>
      </c>
      <c r="N462" s="41">
        <f>IF(A462="","",SUMPRODUCT(ISNUMBER(D462:K462)*($D$2:$K$2&gt;0)))</f>
        <v/>
      </c>
      <c r="O462" s="40">
        <f>IF(A462="","",IF(ISNA(MATCH(A462,Applications!$A$2:$A$101,0)),"Check ID",IF(ISNA(MATCH(B462,Settings!$C$13:$C$18,0)),"Check reviewer",IF(LEFT(C462,3)="Yes","Conflict, not counted",IF(COUNTIFS($A$3:A462,A462,$B$3:B462,B462)&gt;1,"Duplicate, not counted",IF(SUM($D$2:$K$2)=0,"Add weights on Rubric",IF(SUMPRODUCT(ISNUMBER(D462:K462)*((D462:K462&gt;4)+(D462:K462&lt;0)))&gt;0,"Check scores",IF(N462&lt;COUNTIF($D$2:$K$2,"&gt;0"),"Incomplete","Counted"))))))))</f>
        <v/>
      </c>
      <c r="P462" s="42">
        <f>IF(O462="Counted",ROUND(SUMPRODUCT(D462:K462,$D$2:$K$2)*100/(4*SUM($D$2:$K$2)),1),"")</f>
        <v/>
      </c>
      <c r="Q462" s="27">
        <f>IF(O462="Counted",1,0)</f>
        <v/>
      </c>
      <c r="R462" s="43">
        <f>IF(ISNUMBER(D462),D462,0)</f>
        <v/>
      </c>
      <c r="S462" s="43">
        <f>IF(ISNUMBER(E462),E462,0)</f>
        <v/>
      </c>
      <c r="T462" s="43">
        <f>IF(ISNUMBER(F462),F462,0)</f>
        <v/>
      </c>
      <c r="U462" s="43">
        <f>IF(ISNUMBER(G462),G462,0)</f>
        <v/>
      </c>
      <c r="V462" s="43">
        <f>IF(ISNUMBER(H462),H462,0)</f>
        <v/>
      </c>
      <c r="W462" s="43">
        <f>IF(ISNUMBER(I462),I462,0)</f>
        <v/>
      </c>
      <c r="X462" s="43">
        <f>IF(ISNUMBER(J462),J462,0)</f>
        <v/>
      </c>
      <c r="Y462" s="43">
        <f>IF(ISNUMBER(K462),K462,0)</f>
        <v/>
      </c>
    </row>
    <row r="463">
      <c r="A463" s="35" t="n"/>
      <c r="B463" s="35" t="n"/>
      <c r="C463" s="35" t="n"/>
      <c r="D463" s="25" t="n"/>
      <c r="E463" s="25" t="n"/>
      <c r="F463" s="25" t="n"/>
      <c r="G463" s="25" t="n"/>
      <c r="H463" s="25" t="n"/>
      <c r="I463" s="25" t="n"/>
      <c r="J463" s="25" t="n"/>
      <c r="K463" s="25" t="n"/>
      <c r="L463" s="35" t="n"/>
      <c r="M463" s="40">
        <f>IF(A463="","",IFERROR(INDEX(Applications!$B$2:$B$101,MATCH(A463,Applications!$A$2:$A$101,0))&amp;"",""))</f>
        <v/>
      </c>
      <c r="N463" s="41">
        <f>IF(A463="","",SUMPRODUCT(ISNUMBER(D463:K463)*($D$2:$K$2&gt;0)))</f>
        <v/>
      </c>
      <c r="O463" s="40">
        <f>IF(A463="","",IF(ISNA(MATCH(A463,Applications!$A$2:$A$101,0)),"Check ID",IF(ISNA(MATCH(B463,Settings!$C$13:$C$18,0)),"Check reviewer",IF(LEFT(C463,3)="Yes","Conflict, not counted",IF(COUNTIFS($A$3:A463,A463,$B$3:B463,B463)&gt;1,"Duplicate, not counted",IF(SUM($D$2:$K$2)=0,"Add weights on Rubric",IF(SUMPRODUCT(ISNUMBER(D463:K463)*((D463:K463&gt;4)+(D463:K463&lt;0)))&gt;0,"Check scores",IF(N463&lt;COUNTIF($D$2:$K$2,"&gt;0"),"Incomplete","Counted"))))))))</f>
        <v/>
      </c>
      <c r="P463" s="42">
        <f>IF(O463="Counted",ROUND(SUMPRODUCT(D463:K463,$D$2:$K$2)*100/(4*SUM($D$2:$K$2)),1),"")</f>
        <v/>
      </c>
      <c r="Q463" s="27">
        <f>IF(O463="Counted",1,0)</f>
        <v/>
      </c>
      <c r="R463" s="43">
        <f>IF(ISNUMBER(D463),D463,0)</f>
        <v/>
      </c>
      <c r="S463" s="43">
        <f>IF(ISNUMBER(E463),E463,0)</f>
        <v/>
      </c>
      <c r="T463" s="43">
        <f>IF(ISNUMBER(F463),F463,0)</f>
        <v/>
      </c>
      <c r="U463" s="43">
        <f>IF(ISNUMBER(G463),G463,0)</f>
        <v/>
      </c>
      <c r="V463" s="43">
        <f>IF(ISNUMBER(H463),H463,0)</f>
        <v/>
      </c>
      <c r="W463" s="43">
        <f>IF(ISNUMBER(I463),I463,0)</f>
        <v/>
      </c>
      <c r="X463" s="43">
        <f>IF(ISNUMBER(J463),J463,0)</f>
        <v/>
      </c>
      <c r="Y463" s="43">
        <f>IF(ISNUMBER(K463),K463,0)</f>
        <v/>
      </c>
    </row>
    <row r="464">
      <c r="A464" s="35" t="n"/>
      <c r="B464" s="35" t="n"/>
      <c r="C464" s="35" t="n"/>
      <c r="D464" s="25" t="n"/>
      <c r="E464" s="25" t="n"/>
      <c r="F464" s="25" t="n"/>
      <c r="G464" s="25" t="n"/>
      <c r="H464" s="25" t="n"/>
      <c r="I464" s="25" t="n"/>
      <c r="J464" s="25" t="n"/>
      <c r="K464" s="25" t="n"/>
      <c r="L464" s="35" t="n"/>
      <c r="M464" s="40">
        <f>IF(A464="","",IFERROR(INDEX(Applications!$B$2:$B$101,MATCH(A464,Applications!$A$2:$A$101,0))&amp;"",""))</f>
        <v/>
      </c>
      <c r="N464" s="41">
        <f>IF(A464="","",SUMPRODUCT(ISNUMBER(D464:K464)*($D$2:$K$2&gt;0)))</f>
        <v/>
      </c>
      <c r="O464" s="40">
        <f>IF(A464="","",IF(ISNA(MATCH(A464,Applications!$A$2:$A$101,0)),"Check ID",IF(ISNA(MATCH(B464,Settings!$C$13:$C$18,0)),"Check reviewer",IF(LEFT(C464,3)="Yes","Conflict, not counted",IF(COUNTIFS($A$3:A464,A464,$B$3:B464,B464)&gt;1,"Duplicate, not counted",IF(SUM($D$2:$K$2)=0,"Add weights on Rubric",IF(SUMPRODUCT(ISNUMBER(D464:K464)*((D464:K464&gt;4)+(D464:K464&lt;0)))&gt;0,"Check scores",IF(N464&lt;COUNTIF($D$2:$K$2,"&gt;0"),"Incomplete","Counted"))))))))</f>
        <v/>
      </c>
      <c r="P464" s="42">
        <f>IF(O464="Counted",ROUND(SUMPRODUCT(D464:K464,$D$2:$K$2)*100/(4*SUM($D$2:$K$2)),1),"")</f>
        <v/>
      </c>
      <c r="Q464" s="27">
        <f>IF(O464="Counted",1,0)</f>
        <v/>
      </c>
      <c r="R464" s="43">
        <f>IF(ISNUMBER(D464),D464,0)</f>
        <v/>
      </c>
      <c r="S464" s="43">
        <f>IF(ISNUMBER(E464),E464,0)</f>
        <v/>
      </c>
      <c r="T464" s="43">
        <f>IF(ISNUMBER(F464),F464,0)</f>
        <v/>
      </c>
      <c r="U464" s="43">
        <f>IF(ISNUMBER(G464),G464,0)</f>
        <v/>
      </c>
      <c r="V464" s="43">
        <f>IF(ISNUMBER(H464),H464,0)</f>
        <v/>
      </c>
      <c r="W464" s="43">
        <f>IF(ISNUMBER(I464),I464,0)</f>
        <v/>
      </c>
      <c r="X464" s="43">
        <f>IF(ISNUMBER(J464),J464,0)</f>
        <v/>
      </c>
      <c r="Y464" s="43">
        <f>IF(ISNUMBER(K464),K464,0)</f>
        <v/>
      </c>
    </row>
    <row r="465">
      <c r="A465" s="35" t="n"/>
      <c r="B465" s="35" t="n"/>
      <c r="C465" s="35" t="n"/>
      <c r="D465" s="25" t="n"/>
      <c r="E465" s="25" t="n"/>
      <c r="F465" s="25" t="n"/>
      <c r="G465" s="25" t="n"/>
      <c r="H465" s="25" t="n"/>
      <c r="I465" s="25" t="n"/>
      <c r="J465" s="25" t="n"/>
      <c r="K465" s="25" t="n"/>
      <c r="L465" s="35" t="n"/>
      <c r="M465" s="40">
        <f>IF(A465="","",IFERROR(INDEX(Applications!$B$2:$B$101,MATCH(A465,Applications!$A$2:$A$101,0))&amp;"",""))</f>
        <v/>
      </c>
      <c r="N465" s="41">
        <f>IF(A465="","",SUMPRODUCT(ISNUMBER(D465:K465)*($D$2:$K$2&gt;0)))</f>
        <v/>
      </c>
      <c r="O465" s="40">
        <f>IF(A465="","",IF(ISNA(MATCH(A465,Applications!$A$2:$A$101,0)),"Check ID",IF(ISNA(MATCH(B465,Settings!$C$13:$C$18,0)),"Check reviewer",IF(LEFT(C465,3)="Yes","Conflict, not counted",IF(COUNTIFS($A$3:A465,A465,$B$3:B465,B465)&gt;1,"Duplicate, not counted",IF(SUM($D$2:$K$2)=0,"Add weights on Rubric",IF(SUMPRODUCT(ISNUMBER(D465:K465)*((D465:K465&gt;4)+(D465:K465&lt;0)))&gt;0,"Check scores",IF(N465&lt;COUNTIF($D$2:$K$2,"&gt;0"),"Incomplete","Counted"))))))))</f>
        <v/>
      </c>
      <c r="P465" s="42">
        <f>IF(O465="Counted",ROUND(SUMPRODUCT(D465:K465,$D$2:$K$2)*100/(4*SUM($D$2:$K$2)),1),"")</f>
        <v/>
      </c>
      <c r="Q465" s="27">
        <f>IF(O465="Counted",1,0)</f>
        <v/>
      </c>
      <c r="R465" s="43">
        <f>IF(ISNUMBER(D465),D465,0)</f>
        <v/>
      </c>
      <c r="S465" s="43">
        <f>IF(ISNUMBER(E465),E465,0)</f>
        <v/>
      </c>
      <c r="T465" s="43">
        <f>IF(ISNUMBER(F465),F465,0)</f>
        <v/>
      </c>
      <c r="U465" s="43">
        <f>IF(ISNUMBER(G465),G465,0)</f>
        <v/>
      </c>
      <c r="V465" s="43">
        <f>IF(ISNUMBER(H465),H465,0)</f>
        <v/>
      </c>
      <c r="W465" s="43">
        <f>IF(ISNUMBER(I465),I465,0)</f>
        <v/>
      </c>
      <c r="X465" s="43">
        <f>IF(ISNUMBER(J465),J465,0)</f>
        <v/>
      </c>
      <c r="Y465" s="43">
        <f>IF(ISNUMBER(K465),K465,0)</f>
        <v/>
      </c>
    </row>
    <row r="466">
      <c r="A466" s="35" t="n"/>
      <c r="B466" s="35" t="n"/>
      <c r="C466" s="35" t="n"/>
      <c r="D466" s="25" t="n"/>
      <c r="E466" s="25" t="n"/>
      <c r="F466" s="25" t="n"/>
      <c r="G466" s="25" t="n"/>
      <c r="H466" s="25" t="n"/>
      <c r="I466" s="25" t="n"/>
      <c r="J466" s="25" t="n"/>
      <c r="K466" s="25" t="n"/>
      <c r="L466" s="35" t="n"/>
      <c r="M466" s="40">
        <f>IF(A466="","",IFERROR(INDEX(Applications!$B$2:$B$101,MATCH(A466,Applications!$A$2:$A$101,0))&amp;"",""))</f>
        <v/>
      </c>
      <c r="N466" s="41">
        <f>IF(A466="","",SUMPRODUCT(ISNUMBER(D466:K466)*($D$2:$K$2&gt;0)))</f>
        <v/>
      </c>
      <c r="O466" s="40">
        <f>IF(A466="","",IF(ISNA(MATCH(A466,Applications!$A$2:$A$101,0)),"Check ID",IF(ISNA(MATCH(B466,Settings!$C$13:$C$18,0)),"Check reviewer",IF(LEFT(C466,3)="Yes","Conflict, not counted",IF(COUNTIFS($A$3:A466,A466,$B$3:B466,B466)&gt;1,"Duplicate, not counted",IF(SUM($D$2:$K$2)=0,"Add weights on Rubric",IF(SUMPRODUCT(ISNUMBER(D466:K466)*((D466:K466&gt;4)+(D466:K466&lt;0)))&gt;0,"Check scores",IF(N466&lt;COUNTIF($D$2:$K$2,"&gt;0"),"Incomplete","Counted"))))))))</f>
        <v/>
      </c>
      <c r="P466" s="42">
        <f>IF(O466="Counted",ROUND(SUMPRODUCT(D466:K466,$D$2:$K$2)*100/(4*SUM($D$2:$K$2)),1),"")</f>
        <v/>
      </c>
      <c r="Q466" s="27">
        <f>IF(O466="Counted",1,0)</f>
        <v/>
      </c>
      <c r="R466" s="43">
        <f>IF(ISNUMBER(D466),D466,0)</f>
        <v/>
      </c>
      <c r="S466" s="43">
        <f>IF(ISNUMBER(E466),E466,0)</f>
        <v/>
      </c>
      <c r="T466" s="43">
        <f>IF(ISNUMBER(F466),F466,0)</f>
        <v/>
      </c>
      <c r="U466" s="43">
        <f>IF(ISNUMBER(G466),G466,0)</f>
        <v/>
      </c>
      <c r="V466" s="43">
        <f>IF(ISNUMBER(H466),H466,0)</f>
        <v/>
      </c>
      <c r="W466" s="43">
        <f>IF(ISNUMBER(I466),I466,0)</f>
        <v/>
      </c>
      <c r="X466" s="43">
        <f>IF(ISNUMBER(J466),J466,0)</f>
        <v/>
      </c>
      <c r="Y466" s="43">
        <f>IF(ISNUMBER(K466),K466,0)</f>
        <v/>
      </c>
    </row>
    <row r="467">
      <c r="A467" s="35" t="n"/>
      <c r="B467" s="35" t="n"/>
      <c r="C467" s="35" t="n"/>
      <c r="D467" s="25" t="n"/>
      <c r="E467" s="25" t="n"/>
      <c r="F467" s="25" t="n"/>
      <c r="G467" s="25" t="n"/>
      <c r="H467" s="25" t="n"/>
      <c r="I467" s="25" t="n"/>
      <c r="J467" s="25" t="n"/>
      <c r="K467" s="25" t="n"/>
      <c r="L467" s="35" t="n"/>
      <c r="M467" s="40">
        <f>IF(A467="","",IFERROR(INDEX(Applications!$B$2:$B$101,MATCH(A467,Applications!$A$2:$A$101,0))&amp;"",""))</f>
        <v/>
      </c>
      <c r="N467" s="41">
        <f>IF(A467="","",SUMPRODUCT(ISNUMBER(D467:K467)*($D$2:$K$2&gt;0)))</f>
        <v/>
      </c>
      <c r="O467" s="40">
        <f>IF(A467="","",IF(ISNA(MATCH(A467,Applications!$A$2:$A$101,0)),"Check ID",IF(ISNA(MATCH(B467,Settings!$C$13:$C$18,0)),"Check reviewer",IF(LEFT(C467,3)="Yes","Conflict, not counted",IF(COUNTIFS($A$3:A467,A467,$B$3:B467,B467)&gt;1,"Duplicate, not counted",IF(SUM($D$2:$K$2)=0,"Add weights on Rubric",IF(SUMPRODUCT(ISNUMBER(D467:K467)*((D467:K467&gt;4)+(D467:K467&lt;0)))&gt;0,"Check scores",IF(N467&lt;COUNTIF($D$2:$K$2,"&gt;0"),"Incomplete","Counted"))))))))</f>
        <v/>
      </c>
      <c r="P467" s="42">
        <f>IF(O467="Counted",ROUND(SUMPRODUCT(D467:K467,$D$2:$K$2)*100/(4*SUM($D$2:$K$2)),1),"")</f>
        <v/>
      </c>
      <c r="Q467" s="27">
        <f>IF(O467="Counted",1,0)</f>
        <v/>
      </c>
      <c r="R467" s="43">
        <f>IF(ISNUMBER(D467),D467,0)</f>
        <v/>
      </c>
      <c r="S467" s="43">
        <f>IF(ISNUMBER(E467),E467,0)</f>
        <v/>
      </c>
      <c r="T467" s="43">
        <f>IF(ISNUMBER(F467),F467,0)</f>
        <v/>
      </c>
      <c r="U467" s="43">
        <f>IF(ISNUMBER(G467),G467,0)</f>
        <v/>
      </c>
      <c r="V467" s="43">
        <f>IF(ISNUMBER(H467),H467,0)</f>
        <v/>
      </c>
      <c r="W467" s="43">
        <f>IF(ISNUMBER(I467),I467,0)</f>
        <v/>
      </c>
      <c r="X467" s="43">
        <f>IF(ISNUMBER(J467),J467,0)</f>
        <v/>
      </c>
      <c r="Y467" s="43">
        <f>IF(ISNUMBER(K467),K467,0)</f>
        <v/>
      </c>
    </row>
    <row r="468">
      <c r="A468" s="35" t="n"/>
      <c r="B468" s="35" t="n"/>
      <c r="C468" s="35" t="n"/>
      <c r="D468" s="25" t="n"/>
      <c r="E468" s="25" t="n"/>
      <c r="F468" s="25" t="n"/>
      <c r="G468" s="25" t="n"/>
      <c r="H468" s="25" t="n"/>
      <c r="I468" s="25" t="n"/>
      <c r="J468" s="25" t="n"/>
      <c r="K468" s="25" t="n"/>
      <c r="L468" s="35" t="n"/>
      <c r="M468" s="40">
        <f>IF(A468="","",IFERROR(INDEX(Applications!$B$2:$B$101,MATCH(A468,Applications!$A$2:$A$101,0))&amp;"",""))</f>
        <v/>
      </c>
      <c r="N468" s="41">
        <f>IF(A468="","",SUMPRODUCT(ISNUMBER(D468:K468)*($D$2:$K$2&gt;0)))</f>
        <v/>
      </c>
      <c r="O468" s="40">
        <f>IF(A468="","",IF(ISNA(MATCH(A468,Applications!$A$2:$A$101,0)),"Check ID",IF(ISNA(MATCH(B468,Settings!$C$13:$C$18,0)),"Check reviewer",IF(LEFT(C468,3)="Yes","Conflict, not counted",IF(COUNTIFS($A$3:A468,A468,$B$3:B468,B468)&gt;1,"Duplicate, not counted",IF(SUM($D$2:$K$2)=0,"Add weights on Rubric",IF(SUMPRODUCT(ISNUMBER(D468:K468)*((D468:K468&gt;4)+(D468:K468&lt;0)))&gt;0,"Check scores",IF(N468&lt;COUNTIF($D$2:$K$2,"&gt;0"),"Incomplete","Counted"))))))))</f>
        <v/>
      </c>
      <c r="P468" s="42">
        <f>IF(O468="Counted",ROUND(SUMPRODUCT(D468:K468,$D$2:$K$2)*100/(4*SUM($D$2:$K$2)),1),"")</f>
        <v/>
      </c>
      <c r="Q468" s="27">
        <f>IF(O468="Counted",1,0)</f>
        <v/>
      </c>
      <c r="R468" s="43">
        <f>IF(ISNUMBER(D468),D468,0)</f>
        <v/>
      </c>
      <c r="S468" s="43">
        <f>IF(ISNUMBER(E468),E468,0)</f>
        <v/>
      </c>
      <c r="T468" s="43">
        <f>IF(ISNUMBER(F468),F468,0)</f>
        <v/>
      </c>
      <c r="U468" s="43">
        <f>IF(ISNUMBER(G468),G468,0)</f>
        <v/>
      </c>
      <c r="V468" s="43">
        <f>IF(ISNUMBER(H468),H468,0)</f>
        <v/>
      </c>
      <c r="W468" s="43">
        <f>IF(ISNUMBER(I468),I468,0)</f>
        <v/>
      </c>
      <c r="X468" s="43">
        <f>IF(ISNUMBER(J468),J468,0)</f>
        <v/>
      </c>
      <c r="Y468" s="43">
        <f>IF(ISNUMBER(K468),K468,0)</f>
        <v/>
      </c>
    </row>
    <row r="469">
      <c r="A469" s="35" t="n"/>
      <c r="B469" s="35" t="n"/>
      <c r="C469" s="35" t="n"/>
      <c r="D469" s="25" t="n"/>
      <c r="E469" s="25" t="n"/>
      <c r="F469" s="25" t="n"/>
      <c r="G469" s="25" t="n"/>
      <c r="H469" s="25" t="n"/>
      <c r="I469" s="25" t="n"/>
      <c r="J469" s="25" t="n"/>
      <c r="K469" s="25" t="n"/>
      <c r="L469" s="35" t="n"/>
      <c r="M469" s="40">
        <f>IF(A469="","",IFERROR(INDEX(Applications!$B$2:$B$101,MATCH(A469,Applications!$A$2:$A$101,0))&amp;"",""))</f>
        <v/>
      </c>
      <c r="N469" s="41">
        <f>IF(A469="","",SUMPRODUCT(ISNUMBER(D469:K469)*($D$2:$K$2&gt;0)))</f>
        <v/>
      </c>
      <c r="O469" s="40">
        <f>IF(A469="","",IF(ISNA(MATCH(A469,Applications!$A$2:$A$101,0)),"Check ID",IF(ISNA(MATCH(B469,Settings!$C$13:$C$18,0)),"Check reviewer",IF(LEFT(C469,3)="Yes","Conflict, not counted",IF(COUNTIFS($A$3:A469,A469,$B$3:B469,B469)&gt;1,"Duplicate, not counted",IF(SUM($D$2:$K$2)=0,"Add weights on Rubric",IF(SUMPRODUCT(ISNUMBER(D469:K469)*((D469:K469&gt;4)+(D469:K469&lt;0)))&gt;0,"Check scores",IF(N469&lt;COUNTIF($D$2:$K$2,"&gt;0"),"Incomplete","Counted"))))))))</f>
        <v/>
      </c>
      <c r="P469" s="42">
        <f>IF(O469="Counted",ROUND(SUMPRODUCT(D469:K469,$D$2:$K$2)*100/(4*SUM($D$2:$K$2)),1),"")</f>
        <v/>
      </c>
      <c r="Q469" s="27">
        <f>IF(O469="Counted",1,0)</f>
        <v/>
      </c>
      <c r="R469" s="43">
        <f>IF(ISNUMBER(D469),D469,0)</f>
        <v/>
      </c>
      <c r="S469" s="43">
        <f>IF(ISNUMBER(E469),E469,0)</f>
        <v/>
      </c>
      <c r="T469" s="43">
        <f>IF(ISNUMBER(F469),F469,0)</f>
        <v/>
      </c>
      <c r="U469" s="43">
        <f>IF(ISNUMBER(G469),G469,0)</f>
        <v/>
      </c>
      <c r="V469" s="43">
        <f>IF(ISNUMBER(H469),H469,0)</f>
        <v/>
      </c>
      <c r="W469" s="43">
        <f>IF(ISNUMBER(I469),I469,0)</f>
        <v/>
      </c>
      <c r="X469" s="43">
        <f>IF(ISNUMBER(J469),J469,0)</f>
        <v/>
      </c>
      <c r="Y469" s="43">
        <f>IF(ISNUMBER(K469),K469,0)</f>
        <v/>
      </c>
    </row>
    <row r="470">
      <c r="A470" s="35" t="n"/>
      <c r="B470" s="35" t="n"/>
      <c r="C470" s="35" t="n"/>
      <c r="D470" s="25" t="n"/>
      <c r="E470" s="25" t="n"/>
      <c r="F470" s="25" t="n"/>
      <c r="G470" s="25" t="n"/>
      <c r="H470" s="25" t="n"/>
      <c r="I470" s="25" t="n"/>
      <c r="J470" s="25" t="n"/>
      <c r="K470" s="25" t="n"/>
      <c r="L470" s="35" t="n"/>
      <c r="M470" s="40">
        <f>IF(A470="","",IFERROR(INDEX(Applications!$B$2:$B$101,MATCH(A470,Applications!$A$2:$A$101,0))&amp;"",""))</f>
        <v/>
      </c>
      <c r="N470" s="41">
        <f>IF(A470="","",SUMPRODUCT(ISNUMBER(D470:K470)*($D$2:$K$2&gt;0)))</f>
        <v/>
      </c>
      <c r="O470" s="40">
        <f>IF(A470="","",IF(ISNA(MATCH(A470,Applications!$A$2:$A$101,0)),"Check ID",IF(ISNA(MATCH(B470,Settings!$C$13:$C$18,0)),"Check reviewer",IF(LEFT(C470,3)="Yes","Conflict, not counted",IF(COUNTIFS($A$3:A470,A470,$B$3:B470,B470)&gt;1,"Duplicate, not counted",IF(SUM($D$2:$K$2)=0,"Add weights on Rubric",IF(SUMPRODUCT(ISNUMBER(D470:K470)*((D470:K470&gt;4)+(D470:K470&lt;0)))&gt;0,"Check scores",IF(N470&lt;COUNTIF($D$2:$K$2,"&gt;0"),"Incomplete","Counted"))))))))</f>
        <v/>
      </c>
      <c r="P470" s="42">
        <f>IF(O470="Counted",ROUND(SUMPRODUCT(D470:K470,$D$2:$K$2)*100/(4*SUM($D$2:$K$2)),1),"")</f>
        <v/>
      </c>
      <c r="Q470" s="27">
        <f>IF(O470="Counted",1,0)</f>
        <v/>
      </c>
      <c r="R470" s="43">
        <f>IF(ISNUMBER(D470),D470,0)</f>
        <v/>
      </c>
      <c r="S470" s="43">
        <f>IF(ISNUMBER(E470),E470,0)</f>
        <v/>
      </c>
      <c r="T470" s="43">
        <f>IF(ISNUMBER(F470),F470,0)</f>
        <v/>
      </c>
      <c r="U470" s="43">
        <f>IF(ISNUMBER(G470),G470,0)</f>
        <v/>
      </c>
      <c r="V470" s="43">
        <f>IF(ISNUMBER(H470),H470,0)</f>
        <v/>
      </c>
      <c r="W470" s="43">
        <f>IF(ISNUMBER(I470),I470,0)</f>
        <v/>
      </c>
      <c r="X470" s="43">
        <f>IF(ISNUMBER(J470),J470,0)</f>
        <v/>
      </c>
      <c r="Y470" s="43">
        <f>IF(ISNUMBER(K470),K470,0)</f>
        <v/>
      </c>
    </row>
    <row r="471">
      <c r="A471" s="35" t="n"/>
      <c r="B471" s="35" t="n"/>
      <c r="C471" s="35" t="n"/>
      <c r="D471" s="25" t="n"/>
      <c r="E471" s="25" t="n"/>
      <c r="F471" s="25" t="n"/>
      <c r="G471" s="25" t="n"/>
      <c r="H471" s="25" t="n"/>
      <c r="I471" s="25" t="n"/>
      <c r="J471" s="25" t="n"/>
      <c r="K471" s="25" t="n"/>
      <c r="L471" s="35" t="n"/>
      <c r="M471" s="40">
        <f>IF(A471="","",IFERROR(INDEX(Applications!$B$2:$B$101,MATCH(A471,Applications!$A$2:$A$101,0))&amp;"",""))</f>
        <v/>
      </c>
      <c r="N471" s="41">
        <f>IF(A471="","",SUMPRODUCT(ISNUMBER(D471:K471)*($D$2:$K$2&gt;0)))</f>
        <v/>
      </c>
      <c r="O471" s="40">
        <f>IF(A471="","",IF(ISNA(MATCH(A471,Applications!$A$2:$A$101,0)),"Check ID",IF(ISNA(MATCH(B471,Settings!$C$13:$C$18,0)),"Check reviewer",IF(LEFT(C471,3)="Yes","Conflict, not counted",IF(COUNTIFS($A$3:A471,A471,$B$3:B471,B471)&gt;1,"Duplicate, not counted",IF(SUM($D$2:$K$2)=0,"Add weights on Rubric",IF(SUMPRODUCT(ISNUMBER(D471:K471)*((D471:K471&gt;4)+(D471:K471&lt;0)))&gt;0,"Check scores",IF(N471&lt;COUNTIF($D$2:$K$2,"&gt;0"),"Incomplete","Counted"))))))))</f>
        <v/>
      </c>
      <c r="P471" s="42">
        <f>IF(O471="Counted",ROUND(SUMPRODUCT(D471:K471,$D$2:$K$2)*100/(4*SUM($D$2:$K$2)),1),"")</f>
        <v/>
      </c>
      <c r="Q471" s="27">
        <f>IF(O471="Counted",1,0)</f>
        <v/>
      </c>
      <c r="R471" s="43">
        <f>IF(ISNUMBER(D471),D471,0)</f>
        <v/>
      </c>
      <c r="S471" s="43">
        <f>IF(ISNUMBER(E471),E471,0)</f>
        <v/>
      </c>
      <c r="T471" s="43">
        <f>IF(ISNUMBER(F471),F471,0)</f>
        <v/>
      </c>
      <c r="U471" s="43">
        <f>IF(ISNUMBER(G471),G471,0)</f>
        <v/>
      </c>
      <c r="V471" s="43">
        <f>IF(ISNUMBER(H471),H471,0)</f>
        <v/>
      </c>
      <c r="W471" s="43">
        <f>IF(ISNUMBER(I471),I471,0)</f>
        <v/>
      </c>
      <c r="X471" s="43">
        <f>IF(ISNUMBER(J471),J471,0)</f>
        <v/>
      </c>
      <c r="Y471" s="43">
        <f>IF(ISNUMBER(K471),K471,0)</f>
        <v/>
      </c>
    </row>
    <row r="472">
      <c r="A472" s="35" t="n"/>
      <c r="B472" s="35" t="n"/>
      <c r="C472" s="35" t="n"/>
      <c r="D472" s="25" t="n"/>
      <c r="E472" s="25" t="n"/>
      <c r="F472" s="25" t="n"/>
      <c r="G472" s="25" t="n"/>
      <c r="H472" s="25" t="n"/>
      <c r="I472" s="25" t="n"/>
      <c r="J472" s="25" t="n"/>
      <c r="K472" s="25" t="n"/>
      <c r="L472" s="35" t="n"/>
      <c r="M472" s="40">
        <f>IF(A472="","",IFERROR(INDEX(Applications!$B$2:$B$101,MATCH(A472,Applications!$A$2:$A$101,0))&amp;"",""))</f>
        <v/>
      </c>
      <c r="N472" s="41">
        <f>IF(A472="","",SUMPRODUCT(ISNUMBER(D472:K472)*($D$2:$K$2&gt;0)))</f>
        <v/>
      </c>
      <c r="O472" s="40">
        <f>IF(A472="","",IF(ISNA(MATCH(A472,Applications!$A$2:$A$101,0)),"Check ID",IF(ISNA(MATCH(B472,Settings!$C$13:$C$18,0)),"Check reviewer",IF(LEFT(C472,3)="Yes","Conflict, not counted",IF(COUNTIFS($A$3:A472,A472,$B$3:B472,B472)&gt;1,"Duplicate, not counted",IF(SUM($D$2:$K$2)=0,"Add weights on Rubric",IF(SUMPRODUCT(ISNUMBER(D472:K472)*((D472:K472&gt;4)+(D472:K472&lt;0)))&gt;0,"Check scores",IF(N472&lt;COUNTIF($D$2:$K$2,"&gt;0"),"Incomplete","Counted"))))))))</f>
        <v/>
      </c>
      <c r="P472" s="42">
        <f>IF(O472="Counted",ROUND(SUMPRODUCT(D472:K472,$D$2:$K$2)*100/(4*SUM($D$2:$K$2)),1),"")</f>
        <v/>
      </c>
      <c r="Q472" s="27">
        <f>IF(O472="Counted",1,0)</f>
        <v/>
      </c>
      <c r="R472" s="43">
        <f>IF(ISNUMBER(D472),D472,0)</f>
        <v/>
      </c>
      <c r="S472" s="43">
        <f>IF(ISNUMBER(E472),E472,0)</f>
        <v/>
      </c>
      <c r="T472" s="43">
        <f>IF(ISNUMBER(F472),F472,0)</f>
        <v/>
      </c>
      <c r="U472" s="43">
        <f>IF(ISNUMBER(G472),G472,0)</f>
        <v/>
      </c>
      <c r="V472" s="43">
        <f>IF(ISNUMBER(H472),H472,0)</f>
        <v/>
      </c>
      <c r="W472" s="43">
        <f>IF(ISNUMBER(I472),I472,0)</f>
        <v/>
      </c>
      <c r="X472" s="43">
        <f>IF(ISNUMBER(J472),J472,0)</f>
        <v/>
      </c>
      <c r="Y472" s="43">
        <f>IF(ISNUMBER(K472),K472,0)</f>
        <v/>
      </c>
    </row>
    <row r="473">
      <c r="A473" s="35" t="n"/>
      <c r="B473" s="35" t="n"/>
      <c r="C473" s="35" t="n"/>
      <c r="D473" s="25" t="n"/>
      <c r="E473" s="25" t="n"/>
      <c r="F473" s="25" t="n"/>
      <c r="G473" s="25" t="n"/>
      <c r="H473" s="25" t="n"/>
      <c r="I473" s="25" t="n"/>
      <c r="J473" s="25" t="n"/>
      <c r="K473" s="25" t="n"/>
      <c r="L473" s="35" t="n"/>
      <c r="M473" s="40">
        <f>IF(A473="","",IFERROR(INDEX(Applications!$B$2:$B$101,MATCH(A473,Applications!$A$2:$A$101,0))&amp;"",""))</f>
        <v/>
      </c>
      <c r="N473" s="41">
        <f>IF(A473="","",SUMPRODUCT(ISNUMBER(D473:K473)*($D$2:$K$2&gt;0)))</f>
        <v/>
      </c>
      <c r="O473" s="40">
        <f>IF(A473="","",IF(ISNA(MATCH(A473,Applications!$A$2:$A$101,0)),"Check ID",IF(ISNA(MATCH(B473,Settings!$C$13:$C$18,0)),"Check reviewer",IF(LEFT(C473,3)="Yes","Conflict, not counted",IF(COUNTIFS($A$3:A473,A473,$B$3:B473,B473)&gt;1,"Duplicate, not counted",IF(SUM($D$2:$K$2)=0,"Add weights on Rubric",IF(SUMPRODUCT(ISNUMBER(D473:K473)*((D473:K473&gt;4)+(D473:K473&lt;0)))&gt;0,"Check scores",IF(N473&lt;COUNTIF($D$2:$K$2,"&gt;0"),"Incomplete","Counted"))))))))</f>
        <v/>
      </c>
      <c r="P473" s="42">
        <f>IF(O473="Counted",ROUND(SUMPRODUCT(D473:K473,$D$2:$K$2)*100/(4*SUM($D$2:$K$2)),1),"")</f>
        <v/>
      </c>
      <c r="Q473" s="27">
        <f>IF(O473="Counted",1,0)</f>
        <v/>
      </c>
      <c r="R473" s="43">
        <f>IF(ISNUMBER(D473),D473,0)</f>
        <v/>
      </c>
      <c r="S473" s="43">
        <f>IF(ISNUMBER(E473),E473,0)</f>
        <v/>
      </c>
      <c r="T473" s="43">
        <f>IF(ISNUMBER(F473),F473,0)</f>
        <v/>
      </c>
      <c r="U473" s="43">
        <f>IF(ISNUMBER(G473),G473,0)</f>
        <v/>
      </c>
      <c r="V473" s="43">
        <f>IF(ISNUMBER(H473),H473,0)</f>
        <v/>
      </c>
      <c r="W473" s="43">
        <f>IF(ISNUMBER(I473),I473,0)</f>
        <v/>
      </c>
      <c r="X473" s="43">
        <f>IF(ISNUMBER(J473),J473,0)</f>
        <v/>
      </c>
      <c r="Y473" s="43">
        <f>IF(ISNUMBER(K473),K473,0)</f>
        <v/>
      </c>
    </row>
    <row r="474">
      <c r="A474" s="35" t="n"/>
      <c r="B474" s="35" t="n"/>
      <c r="C474" s="35" t="n"/>
      <c r="D474" s="25" t="n"/>
      <c r="E474" s="25" t="n"/>
      <c r="F474" s="25" t="n"/>
      <c r="G474" s="25" t="n"/>
      <c r="H474" s="25" t="n"/>
      <c r="I474" s="25" t="n"/>
      <c r="J474" s="25" t="n"/>
      <c r="K474" s="25" t="n"/>
      <c r="L474" s="35" t="n"/>
      <c r="M474" s="40">
        <f>IF(A474="","",IFERROR(INDEX(Applications!$B$2:$B$101,MATCH(A474,Applications!$A$2:$A$101,0))&amp;"",""))</f>
        <v/>
      </c>
      <c r="N474" s="41">
        <f>IF(A474="","",SUMPRODUCT(ISNUMBER(D474:K474)*($D$2:$K$2&gt;0)))</f>
        <v/>
      </c>
      <c r="O474" s="40">
        <f>IF(A474="","",IF(ISNA(MATCH(A474,Applications!$A$2:$A$101,0)),"Check ID",IF(ISNA(MATCH(B474,Settings!$C$13:$C$18,0)),"Check reviewer",IF(LEFT(C474,3)="Yes","Conflict, not counted",IF(COUNTIFS($A$3:A474,A474,$B$3:B474,B474)&gt;1,"Duplicate, not counted",IF(SUM($D$2:$K$2)=0,"Add weights on Rubric",IF(SUMPRODUCT(ISNUMBER(D474:K474)*((D474:K474&gt;4)+(D474:K474&lt;0)))&gt;0,"Check scores",IF(N474&lt;COUNTIF($D$2:$K$2,"&gt;0"),"Incomplete","Counted"))))))))</f>
        <v/>
      </c>
      <c r="P474" s="42">
        <f>IF(O474="Counted",ROUND(SUMPRODUCT(D474:K474,$D$2:$K$2)*100/(4*SUM($D$2:$K$2)),1),"")</f>
        <v/>
      </c>
      <c r="Q474" s="27">
        <f>IF(O474="Counted",1,0)</f>
        <v/>
      </c>
      <c r="R474" s="43">
        <f>IF(ISNUMBER(D474),D474,0)</f>
        <v/>
      </c>
      <c r="S474" s="43">
        <f>IF(ISNUMBER(E474),E474,0)</f>
        <v/>
      </c>
      <c r="T474" s="43">
        <f>IF(ISNUMBER(F474),F474,0)</f>
        <v/>
      </c>
      <c r="U474" s="43">
        <f>IF(ISNUMBER(G474),G474,0)</f>
        <v/>
      </c>
      <c r="V474" s="43">
        <f>IF(ISNUMBER(H474),H474,0)</f>
        <v/>
      </c>
      <c r="W474" s="43">
        <f>IF(ISNUMBER(I474),I474,0)</f>
        <v/>
      </c>
      <c r="X474" s="43">
        <f>IF(ISNUMBER(J474),J474,0)</f>
        <v/>
      </c>
      <c r="Y474" s="43">
        <f>IF(ISNUMBER(K474),K474,0)</f>
        <v/>
      </c>
    </row>
    <row r="475">
      <c r="A475" s="35" t="n"/>
      <c r="B475" s="35" t="n"/>
      <c r="C475" s="35" t="n"/>
      <c r="D475" s="25" t="n"/>
      <c r="E475" s="25" t="n"/>
      <c r="F475" s="25" t="n"/>
      <c r="G475" s="25" t="n"/>
      <c r="H475" s="25" t="n"/>
      <c r="I475" s="25" t="n"/>
      <c r="J475" s="25" t="n"/>
      <c r="K475" s="25" t="n"/>
      <c r="L475" s="35" t="n"/>
      <c r="M475" s="40">
        <f>IF(A475="","",IFERROR(INDEX(Applications!$B$2:$B$101,MATCH(A475,Applications!$A$2:$A$101,0))&amp;"",""))</f>
        <v/>
      </c>
      <c r="N475" s="41">
        <f>IF(A475="","",SUMPRODUCT(ISNUMBER(D475:K475)*($D$2:$K$2&gt;0)))</f>
        <v/>
      </c>
      <c r="O475" s="40">
        <f>IF(A475="","",IF(ISNA(MATCH(A475,Applications!$A$2:$A$101,0)),"Check ID",IF(ISNA(MATCH(B475,Settings!$C$13:$C$18,0)),"Check reviewer",IF(LEFT(C475,3)="Yes","Conflict, not counted",IF(COUNTIFS($A$3:A475,A475,$B$3:B475,B475)&gt;1,"Duplicate, not counted",IF(SUM($D$2:$K$2)=0,"Add weights on Rubric",IF(SUMPRODUCT(ISNUMBER(D475:K475)*((D475:K475&gt;4)+(D475:K475&lt;0)))&gt;0,"Check scores",IF(N475&lt;COUNTIF($D$2:$K$2,"&gt;0"),"Incomplete","Counted"))))))))</f>
        <v/>
      </c>
      <c r="P475" s="42">
        <f>IF(O475="Counted",ROUND(SUMPRODUCT(D475:K475,$D$2:$K$2)*100/(4*SUM($D$2:$K$2)),1),"")</f>
        <v/>
      </c>
      <c r="Q475" s="27">
        <f>IF(O475="Counted",1,0)</f>
        <v/>
      </c>
      <c r="R475" s="43">
        <f>IF(ISNUMBER(D475),D475,0)</f>
        <v/>
      </c>
      <c r="S475" s="43">
        <f>IF(ISNUMBER(E475),E475,0)</f>
        <v/>
      </c>
      <c r="T475" s="43">
        <f>IF(ISNUMBER(F475),F475,0)</f>
        <v/>
      </c>
      <c r="U475" s="43">
        <f>IF(ISNUMBER(G475),G475,0)</f>
        <v/>
      </c>
      <c r="V475" s="43">
        <f>IF(ISNUMBER(H475),H475,0)</f>
        <v/>
      </c>
      <c r="W475" s="43">
        <f>IF(ISNUMBER(I475),I475,0)</f>
        <v/>
      </c>
      <c r="X475" s="43">
        <f>IF(ISNUMBER(J475),J475,0)</f>
        <v/>
      </c>
      <c r="Y475" s="43">
        <f>IF(ISNUMBER(K475),K475,0)</f>
        <v/>
      </c>
    </row>
    <row r="476">
      <c r="A476" s="35" t="n"/>
      <c r="B476" s="35" t="n"/>
      <c r="C476" s="35" t="n"/>
      <c r="D476" s="25" t="n"/>
      <c r="E476" s="25" t="n"/>
      <c r="F476" s="25" t="n"/>
      <c r="G476" s="25" t="n"/>
      <c r="H476" s="25" t="n"/>
      <c r="I476" s="25" t="n"/>
      <c r="J476" s="25" t="n"/>
      <c r="K476" s="25" t="n"/>
      <c r="L476" s="35" t="n"/>
      <c r="M476" s="40">
        <f>IF(A476="","",IFERROR(INDEX(Applications!$B$2:$B$101,MATCH(A476,Applications!$A$2:$A$101,0))&amp;"",""))</f>
        <v/>
      </c>
      <c r="N476" s="41">
        <f>IF(A476="","",SUMPRODUCT(ISNUMBER(D476:K476)*($D$2:$K$2&gt;0)))</f>
        <v/>
      </c>
      <c r="O476" s="40">
        <f>IF(A476="","",IF(ISNA(MATCH(A476,Applications!$A$2:$A$101,0)),"Check ID",IF(ISNA(MATCH(B476,Settings!$C$13:$C$18,0)),"Check reviewer",IF(LEFT(C476,3)="Yes","Conflict, not counted",IF(COUNTIFS($A$3:A476,A476,$B$3:B476,B476)&gt;1,"Duplicate, not counted",IF(SUM($D$2:$K$2)=0,"Add weights on Rubric",IF(SUMPRODUCT(ISNUMBER(D476:K476)*((D476:K476&gt;4)+(D476:K476&lt;0)))&gt;0,"Check scores",IF(N476&lt;COUNTIF($D$2:$K$2,"&gt;0"),"Incomplete","Counted"))))))))</f>
        <v/>
      </c>
      <c r="P476" s="42">
        <f>IF(O476="Counted",ROUND(SUMPRODUCT(D476:K476,$D$2:$K$2)*100/(4*SUM($D$2:$K$2)),1),"")</f>
        <v/>
      </c>
      <c r="Q476" s="27">
        <f>IF(O476="Counted",1,0)</f>
        <v/>
      </c>
      <c r="R476" s="43">
        <f>IF(ISNUMBER(D476),D476,0)</f>
        <v/>
      </c>
      <c r="S476" s="43">
        <f>IF(ISNUMBER(E476),E476,0)</f>
        <v/>
      </c>
      <c r="T476" s="43">
        <f>IF(ISNUMBER(F476),F476,0)</f>
        <v/>
      </c>
      <c r="U476" s="43">
        <f>IF(ISNUMBER(G476),G476,0)</f>
        <v/>
      </c>
      <c r="V476" s="43">
        <f>IF(ISNUMBER(H476),H476,0)</f>
        <v/>
      </c>
      <c r="W476" s="43">
        <f>IF(ISNUMBER(I476),I476,0)</f>
        <v/>
      </c>
      <c r="X476" s="43">
        <f>IF(ISNUMBER(J476),J476,0)</f>
        <v/>
      </c>
      <c r="Y476" s="43">
        <f>IF(ISNUMBER(K476),K476,0)</f>
        <v/>
      </c>
    </row>
    <row r="477">
      <c r="A477" s="35" t="n"/>
      <c r="B477" s="35" t="n"/>
      <c r="C477" s="35" t="n"/>
      <c r="D477" s="25" t="n"/>
      <c r="E477" s="25" t="n"/>
      <c r="F477" s="25" t="n"/>
      <c r="G477" s="25" t="n"/>
      <c r="H477" s="25" t="n"/>
      <c r="I477" s="25" t="n"/>
      <c r="J477" s="25" t="n"/>
      <c r="K477" s="25" t="n"/>
      <c r="L477" s="35" t="n"/>
      <c r="M477" s="40">
        <f>IF(A477="","",IFERROR(INDEX(Applications!$B$2:$B$101,MATCH(A477,Applications!$A$2:$A$101,0))&amp;"",""))</f>
        <v/>
      </c>
      <c r="N477" s="41">
        <f>IF(A477="","",SUMPRODUCT(ISNUMBER(D477:K477)*($D$2:$K$2&gt;0)))</f>
        <v/>
      </c>
      <c r="O477" s="40">
        <f>IF(A477="","",IF(ISNA(MATCH(A477,Applications!$A$2:$A$101,0)),"Check ID",IF(ISNA(MATCH(B477,Settings!$C$13:$C$18,0)),"Check reviewer",IF(LEFT(C477,3)="Yes","Conflict, not counted",IF(COUNTIFS($A$3:A477,A477,$B$3:B477,B477)&gt;1,"Duplicate, not counted",IF(SUM($D$2:$K$2)=0,"Add weights on Rubric",IF(SUMPRODUCT(ISNUMBER(D477:K477)*((D477:K477&gt;4)+(D477:K477&lt;0)))&gt;0,"Check scores",IF(N477&lt;COUNTIF($D$2:$K$2,"&gt;0"),"Incomplete","Counted"))))))))</f>
        <v/>
      </c>
      <c r="P477" s="42">
        <f>IF(O477="Counted",ROUND(SUMPRODUCT(D477:K477,$D$2:$K$2)*100/(4*SUM($D$2:$K$2)),1),"")</f>
        <v/>
      </c>
      <c r="Q477" s="27">
        <f>IF(O477="Counted",1,0)</f>
        <v/>
      </c>
      <c r="R477" s="43">
        <f>IF(ISNUMBER(D477),D477,0)</f>
        <v/>
      </c>
      <c r="S477" s="43">
        <f>IF(ISNUMBER(E477),E477,0)</f>
        <v/>
      </c>
      <c r="T477" s="43">
        <f>IF(ISNUMBER(F477),F477,0)</f>
        <v/>
      </c>
      <c r="U477" s="43">
        <f>IF(ISNUMBER(G477),G477,0)</f>
        <v/>
      </c>
      <c r="V477" s="43">
        <f>IF(ISNUMBER(H477),H477,0)</f>
        <v/>
      </c>
      <c r="W477" s="43">
        <f>IF(ISNUMBER(I477),I477,0)</f>
        <v/>
      </c>
      <c r="X477" s="43">
        <f>IF(ISNUMBER(J477),J477,0)</f>
        <v/>
      </c>
      <c r="Y477" s="43">
        <f>IF(ISNUMBER(K477),K477,0)</f>
        <v/>
      </c>
    </row>
    <row r="478">
      <c r="A478" s="35" t="n"/>
      <c r="B478" s="35" t="n"/>
      <c r="C478" s="35" t="n"/>
      <c r="D478" s="25" t="n"/>
      <c r="E478" s="25" t="n"/>
      <c r="F478" s="25" t="n"/>
      <c r="G478" s="25" t="n"/>
      <c r="H478" s="25" t="n"/>
      <c r="I478" s="25" t="n"/>
      <c r="J478" s="25" t="n"/>
      <c r="K478" s="25" t="n"/>
      <c r="L478" s="35" t="n"/>
      <c r="M478" s="40">
        <f>IF(A478="","",IFERROR(INDEX(Applications!$B$2:$B$101,MATCH(A478,Applications!$A$2:$A$101,0))&amp;"",""))</f>
        <v/>
      </c>
      <c r="N478" s="41">
        <f>IF(A478="","",SUMPRODUCT(ISNUMBER(D478:K478)*($D$2:$K$2&gt;0)))</f>
        <v/>
      </c>
      <c r="O478" s="40">
        <f>IF(A478="","",IF(ISNA(MATCH(A478,Applications!$A$2:$A$101,0)),"Check ID",IF(ISNA(MATCH(B478,Settings!$C$13:$C$18,0)),"Check reviewer",IF(LEFT(C478,3)="Yes","Conflict, not counted",IF(COUNTIFS($A$3:A478,A478,$B$3:B478,B478)&gt;1,"Duplicate, not counted",IF(SUM($D$2:$K$2)=0,"Add weights on Rubric",IF(SUMPRODUCT(ISNUMBER(D478:K478)*((D478:K478&gt;4)+(D478:K478&lt;0)))&gt;0,"Check scores",IF(N478&lt;COUNTIF($D$2:$K$2,"&gt;0"),"Incomplete","Counted"))))))))</f>
        <v/>
      </c>
      <c r="P478" s="42">
        <f>IF(O478="Counted",ROUND(SUMPRODUCT(D478:K478,$D$2:$K$2)*100/(4*SUM($D$2:$K$2)),1),"")</f>
        <v/>
      </c>
      <c r="Q478" s="27">
        <f>IF(O478="Counted",1,0)</f>
        <v/>
      </c>
      <c r="R478" s="43">
        <f>IF(ISNUMBER(D478),D478,0)</f>
        <v/>
      </c>
      <c r="S478" s="43">
        <f>IF(ISNUMBER(E478),E478,0)</f>
        <v/>
      </c>
      <c r="T478" s="43">
        <f>IF(ISNUMBER(F478),F478,0)</f>
        <v/>
      </c>
      <c r="U478" s="43">
        <f>IF(ISNUMBER(G478),G478,0)</f>
        <v/>
      </c>
      <c r="V478" s="43">
        <f>IF(ISNUMBER(H478),H478,0)</f>
        <v/>
      </c>
      <c r="W478" s="43">
        <f>IF(ISNUMBER(I478),I478,0)</f>
        <v/>
      </c>
      <c r="X478" s="43">
        <f>IF(ISNUMBER(J478),J478,0)</f>
        <v/>
      </c>
      <c r="Y478" s="43">
        <f>IF(ISNUMBER(K478),K478,0)</f>
        <v/>
      </c>
    </row>
    <row r="479">
      <c r="A479" s="35" t="n"/>
      <c r="B479" s="35" t="n"/>
      <c r="C479" s="35" t="n"/>
      <c r="D479" s="25" t="n"/>
      <c r="E479" s="25" t="n"/>
      <c r="F479" s="25" t="n"/>
      <c r="G479" s="25" t="n"/>
      <c r="H479" s="25" t="n"/>
      <c r="I479" s="25" t="n"/>
      <c r="J479" s="25" t="n"/>
      <c r="K479" s="25" t="n"/>
      <c r="L479" s="35" t="n"/>
      <c r="M479" s="40">
        <f>IF(A479="","",IFERROR(INDEX(Applications!$B$2:$B$101,MATCH(A479,Applications!$A$2:$A$101,0))&amp;"",""))</f>
        <v/>
      </c>
      <c r="N479" s="41">
        <f>IF(A479="","",SUMPRODUCT(ISNUMBER(D479:K479)*($D$2:$K$2&gt;0)))</f>
        <v/>
      </c>
      <c r="O479" s="40">
        <f>IF(A479="","",IF(ISNA(MATCH(A479,Applications!$A$2:$A$101,0)),"Check ID",IF(ISNA(MATCH(B479,Settings!$C$13:$C$18,0)),"Check reviewer",IF(LEFT(C479,3)="Yes","Conflict, not counted",IF(COUNTIFS($A$3:A479,A479,$B$3:B479,B479)&gt;1,"Duplicate, not counted",IF(SUM($D$2:$K$2)=0,"Add weights on Rubric",IF(SUMPRODUCT(ISNUMBER(D479:K479)*((D479:K479&gt;4)+(D479:K479&lt;0)))&gt;0,"Check scores",IF(N479&lt;COUNTIF($D$2:$K$2,"&gt;0"),"Incomplete","Counted"))))))))</f>
        <v/>
      </c>
      <c r="P479" s="42">
        <f>IF(O479="Counted",ROUND(SUMPRODUCT(D479:K479,$D$2:$K$2)*100/(4*SUM($D$2:$K$2)),1),"")</f>
        <v/>
      </c>
      <c r="Q479" s="27">
        <f>IF(O479="Counted",1,0)</f>
        <v/>
      </c>
      <c r="R479" s="43">
        <f>IF(ISNUMBER(D479),D479,0)</f>
        <v/>
      </c>
      <c r="S479" s="43">
        <f>IF(ISNUMBER(E479),E479,0)</f>
        <v/>
      </c>
      <c r="T479" s="43">
        <f>IF(ISNUMBER(F479),F479,0)</f>
        <v/>
      </c>
      <c r="U479" s="43">
        <f>IF(ISNUMBER(G479),G479,0)</f>
        <v/>
      </c>
      <c r="V479" s="43">
        <f>IF(ISNUMBER(H479),H479,0)</f>
        <v/>
      </c>
      <c r="W479" s="43">
        <f>IF(ISNUMBER(I479),I479,0)</f>
        <v/>
      </c>
      <c r="X479" s="43">
        <f>IF(ISNUMBER(J479),J479,0)</f>
        <v/>
      </c>
      <c r="Y479" s="43">
        <f>IF(ISNUMBER(K479),K479,0)</f>
        <v/>
      </c>
    </row>
    <row r="480">
      <c r="A480" s="35" t="n"/>
      <c r="B480" s="35" t="n"/>
      <c r="C480" s="35" t="n"/>
      <c r="D480" s="25" t="n"/>
      <c r="E480" s="25" t="n"/>
      <c r="F480" s="25" t="n"/>
      <c r="G480" s="25" t="n"/>
      <c r="H480" s="25" t="n"/>
      <c r="I480" s="25" t="n"/>
      <c r="J480" s="25" t="n"/>
      <c r="K480" s="25" t="n"/>
      <c r="L480" s="35" t="n"/>
      <c r="M480" s="40">
        <f>IF(A480="","",IFERROR(INDEX(Applications!$B$2:$B$101,MATCH(A480,Applications!$A$2:$A$101,0))&amp;"",""))</f>
        <v/>
      </c>
      <c r="N480" s="41">
        <f>IF(A480="","",SUMPRODUCT(ISNUMBER(D480:K480)*($D$2:$K$2&gt;0)))</f>
        <v/>
      </c>
      <c r="O480" s="40">
        <f>IF(A480="","",IF(ISNA(MATCH(A480,Applications!$A$2:$A$101,0)),"Check ID",IF(ISNA(MATCH(B480,Settings!$C$13:$C$18,0)),"Check reviewer",IF(LEFT(C480,3)="Yes","Conflict, not counted",IF(COUNTIFS($A$3:A480,A480,$B$3:B480,B480)&gt;1,"Duplicate, not counted",IF(SUM($D$2:$K$2)=0,"Add weights on Rubric",IF(SUMPRODUCT(ISNUMBER(D480:K480)*((D480:K480&gt;4)+(D480:K480&lt;0)))&gt;0,"Check scores",IF(N480&lt;COUNTIF($D$2:$K$2,"&gt;0"),"Incomplete","Counted"))))))))</f>
        <v/>
      </c>
      <c r="P480" s="42">
        <f>IF(O480="Counted",ROUND(SUMPRODUCT(D480:K480,$D$2:$K$2)*100/(4*SUM($D$2:$K$2)),1),"")</f>
        <v/>
      </c>
      <c r="Q480" s="27">
        <f>IF(O480="Counted",1,0)</f>
        <v/>
      </c>
      <c r="R480" s="43">
        <f>IF(ISNUMBER(D480),D480,0)</f>
        <v/>
      </c>
      <c r="S480" s="43">
        <f>IF(ISNUMBER(E480),E480,0)</f>
        <v/>
      </c>
      <c r="T480" s="43">
        <f>IF(ISNUMBER(F480),F480,0)</f>
        <v/>
      </c>
      <c r="U480" s="43">
        <f>IF(ISNUMBER(G480),G480,0)</f>
        <v/>
      </c>
      <c r="V480" s="43">
        <f>IF(ISNUMBER(H480),H480,0)</f>
        <v/>
      </c>
      <c r="W480" s="43">
        <f>IF(ISNUMBER(I480),I480,0)</f>
        <v/>
      </c>
      <c r="X480" s="43">
        <f>IF(ISNUMBER(J480),J480,0)</f>
        <v/>
      </c>
      <c r="Y480" s="43">
        <f>IF(ISNUMBER(K480),K480,0)</f>
        <v/>
      </c>
    </row>
    <row r="481">
      <c r="A481" s="35" t="n"/>
      <c r="B481" s="35" t="n"/>
      <c r="C481" s="35" t="n"/>
      <c r="D481" s="25" t="n"/>
      <c r="E481" s="25" t="n"/>
      <c r="F481" s="25" t="n"/>
      <c r="G481" s="25" t="n"/>
      <c r="H481" s="25" t="n"/>
      <c r="I481" s="25" t="n"/>
      <c r="J481" s="25" t="n"/>
      <c r="K481" s="25" t="n"/>
      <c r="L481" s="35" t="n"/>
      <c r="M481" s="40">
        <f>IF(A481="","",IFERROR(INDEX(Applications!$B$2:$B$101,MATCH(A481,Applications!$A$2:$A$101,0))&amp;"",""))</f>
        <v/>
      </c>
      <c r="N481" s="41">
        <f>IF(A481="","",SUMPRODUCT(ISNUMBER(D481:K481)*($D$2:$K$2&gt;0)))</f>
        <v/>
      </c>
      <c r="O481" s="40">
        <f>IF(A481="","",IF(ISNA(MATCH(A481,Applications!$A$2:$A$101,0)),"Check ID",IF(ISNA(MATCH(B481,Settings!$C$13:$C$18,0)),"Check reviewer",IF(LEFT(C481,3)="Yes","Conflict, not counted",IF(COUNTIFS($A$3:A481,A481,$B$3:B481,B481)&gt;1,"Duplicate, not counted",IF(SUM($D$2:$K$2)=0,"Add weights on Rubric",IF(SUMPRODUCT(ISNUMBER(D481:K481)*((D481:K481&gt;4)+(D481:K481&lt;0)))&gt;0,"Check scores",IF(N481&lt;COUNTIF($D$2:$K$2,"&gt;0"),"Incomplete","Counted"))))))))</f>
        <v/>
      </c>
      <c r="P481" s="42">
        <f>IF(O481="Counted",ROUND(SUMPRODUCT(D481:K481,$D$2:$K$2)*100/(4*SUM($D$2:$K$2)),1),"")</f>
        <v/>
      </c>
      <c r="Q481" s="27">
        <f>IF(O481="Counted",1,0)</f>
        <v/>
      </c>
      <c r="R481" s="43">
        <f>IF(ISNUMBER(D481),D481,0)</f>
        <v/>
      </c>
      <c r="S481" s="43">
        <f>IF(ISNUMBER(E481),E481,0)</f>
        <v/>
      </c>
      <c r="T481" s="43">
        <f>IF(ISNUMBER(F481),F481,0)</f>
        <v/>
      </c>
      <c r="U481" s="43">
        <f>IF(ISNUMBER(G481),G481,0)</f>
        <v/>
      </c>
      <c r="V481" s="43">
        <f>IF(ISNUMBER(H481),H481,0)</f>
        <v/>
      </c>
      <c r="W481" s="43">
        <f>IF(ISNUMBER(I481),I481,0)</f>
        <v/>
      </c>
      <c r="X481" s="43">
        <f>IF(ISNUMBER(J481),J481,0)</f>
        <v/>
      </c>
      <c r="Y481" s="43">
        <f>IF(ISNUMBER(K481),K481,0)</f>
        <v/>
      </c>
    </row>
    <row r="482">
      <c r="A482" s="35" t="n"/>
      <c r="B482" s="35" t="n"/>
      <c r="C482" s="35" t="n"/>
      <c r="D482" s="25" t="n"/>
      <c r="E482" s="25" t="n"/>
      <c r="F482" s="25" t="n"/>
      <c r="G482" s="25" t="n"/>
      <c r="H482" s="25" t="n"/>
      <c r="I482" s="25" t="n"/>
      <c r="J482" s="25" t="n"/>
      <c r="K482" s="25" t="n"/>
      <c r="L482" s="35" t="n"/>
      <c r="M482" s="40">
        <f>IF(A482="","",IFERROR(INDEX(Applications!$B$2:$B$101,MATCH(A482,Applications!$A$2:$A$101,0))&amp;"",""))</f>
        <v/>
      </c>
      <c r="N482" s="41">
        <f>IF(A482="","",SUMPRODUCT(ISNUMBER(D482:K482)*($D$2:$K$2&gt;0)))</f>
        <v/>
      </c>
      <c r="O482" s="40">
        <f>IF(A482="","",IF(ISNA(MATCH(A482,Applications!$A$2:$A$101,0)),"Check ID",IF(ISNA(MATCH(B482,Settings!$C$13:$C$18,0)),"Check reviewer",IF(LEFT(C482,3)="Yes","Conflict, not counted",IF(COUNTIFS($A$3:A482,A482,$B$3:B482,B482)&gt;1,"Duplicate, not counted",IF(SUM($D$2:$K$2)=0,"Add weights on Rubric",IF(SUMPRODUCT(ISNUMBER(D482:K482)*((D482:K482&gt;4)+(D482:K482&lt;0)))&gt;0,"Check scores",IF(N482&lt;COUNTIF($D$2:$K$2,"&gt;0"),"Incomplete","Counted"))))))))</f>
        <v/>
      </c>
      <c r="P482" s="42">
        <f>IF(O482="Counted",ROUND(SUMPRODUCT(D482:K482,$D$2:$K$2)*100/(4*SUM($D$2:$K$2)),1),"")</f>
        <v/>
      </c>
      <c r="Q482" s="27">
        <f>IF(O482="Counted",1,0)</f>
        <v/>
      </c>
      <c r="R482" s="43">
        <f>IF(ISNUMBER(D482),D482,0)</f>
        <v/>
      </c>
      <c r="S482" s="43">
        <f>IF(ISNUMBER(E482),E482,0)</f>
        <v/>
      </c>
      <c r="T482" s="43">
        <f>IF(ISNUMBER(F482),F482,0)</f>
        <v/>
      </c>
      <c r="U482" s="43">
        <f>IF(ISNUMBER(G482),G482,0)</f>
        <v/>
      </c>
      <c r="V482" s="43">
        <f>IF(ISNUMBER(H482),H482,0)</f>
        <v/>
      </c>
      <c r="W482" s="43">
        <f>IF(ISNUMBER(I482),I482,0)</f>
        <v/>
      </c>
      <c r="X482" s="43">
        <f>IF(ISNUMBER(J482),J482,0)</f>
        <v/>
      </c>
      <c r="Y482" s="43">
        <f>IF(ISNUMBER(K482),K482,0)</f>
        <v/>
      </c>
    </row>
    <row r="483">
      <c r="A483" s="35" t="n"/>
      <c r="B483" s="35" t="n"/>
      <c r="C483" s="35" t="n"/>
      <c r="D483" s="25" t="n"/>
      <c r="E483" s="25" t="n"/>
      <c r="F483" s="25" t="n"/>
      <c r="G483" s="25" t="n"/>
      <c r="H483" s="25" t="n"/>
      <c r="I483" s="25" t="n"/>
      <c r="J483" s="25" t="n"/>
      <c r="K483" s="25" t="n"/>
      <c r="L483" s="35" t="n"/>
      <c r="M483" s="40">
        <f>IF(A483="","",IFERROR(INDEX(Applications!$B$2:$B$101,MATCH(A483,Applications!$A$2:$A$101,0))&amp;"",""))</f>
        <v/>
      </c>
      <c r="N483" s="41">
        <f>IF(A483="","",SUMPRODUCT(ISNUMBER(D483:K483)*($D$2:$K$2&gt;0)))</f>
        <v/>
      </c>
      <c r="O483" s="40">
        <f>IF(A483="","",IF(ISNA(MATCH(A483,Applications!$A$2:$A$101,0)),"Check ID",IF(ISNA(MATCH(B483,Settings!$C$13:$C$18,0)),"Check reviewer",IF(LEFT(C483,3)="Yes","Conflict, not counted",IF(COUNTIFS($A$3:A483,A483,$B$3:B483,B483)&gt;1,"Duplicate, not counted",IF(SUM($D$2:$K$2)=0,"Add weights on Rubric",IF(SUMPRODUCT(ISNUMBER(D483:K483)*((D483:K483&gt;4)+(D483:K483&lt;0)))&gt;0,"Check scores",IF(N483&lt;COUNTIF($D$2:$K$2,"&gt;0"),"Incomplete","Counted"))))))))</f>
        <v/>
      </c>
      <c r="P483" s="42">
        <f>IF(O483="Counted",ROUND(SUMPRODUCT(D483:K483,$D$2:$K$2)*100/(4*SUM($D$2:$K$2)),1),"")</f>
        <v/>
      </c>
      <c r="Q483" s="27">
        <f>IF(O483="Counted",1,0)</f>
        <v/>
      </c>
      <c r="R483" s="43">
        <f>IF(ISNUMBER(D483),D483,0)</f>
        <v/>
      </c>
      <c r="S483" s="43">
        <f>IF(ISNUMBER(E483),E483,0)</f>
        <v/>
      </c>
      <c r="T483" s="43">
        <f>IF(ISNUMBER(F483),F483,0)</f>
        <v/>
      </c>
      <c r="U483" s="43">
        <f>IF(ISNUMBER(G483),G483,0)</f>
        <v/>
      </c>
      <c r="V483" s="43">
        <f>IF(ISNUMBER(H483),H483,0)</f>
        <v/>
      </c>
      <c r="W483" s="43">
        <f>IF(ISNUMBER(I483),I483,0)</f>
        <v/>
      </c>
      <c r="X483" s="43">
        <f>IF(ISNUMBER(J483),J483,0)</f>
        <v/>
      </c>
      <c r="Y483" s="43">
        <f>IF(ISNUMBER(K483),K483,0)</f>
        <v/>
      </c>
    </row>
    <row r="484">
      <c r="A484" s="35" t="n"/>
      <c r="B484" s="35" t="n"/>
      <c r="C484" s="35" t="n"/>
      <c r="D484" s="25" t="n"/>
      <c r="E484" s="25" t="n"/>
      <c r="F484" s="25" t="n"/>
      <c r="G484" s="25" t="n"/>
      <c r="H484" s="25" t="n"/>
      <c r="I484" s="25" t="n"/>
      <c r="J484" s="25" t="n"/>
      <c r="K484" s="25" t="n"/>
      <c r="L484" s="35" t="n"/>
      <c r="M484" s="40">
        <f>IF(A484="","",IFERROR(INDEX(Applications!$B$2:$B$101,MATCH(A484,Applications!$A$2:$A$101,0))&amp;"",""))</f>
        <v/>
      </c>
      <c r="N484" s="41">
        <f>IF(A484="","",SUMPRODUCT(ISNUMBER(D484:K484)*($D$2:$K$2&gt;0)))</f>
        <v/>
      </c>
      <c r="O484" s="40">
        <f>IF(A484="","",IF(ISNA(MATCH(A484,Applications!$A$2:$A$101,0)),"Check ID",IF(ISNA(MATCH(B484,Settings!$C$13:$C$18,0)),"Check reviewer",IF(LEFT(C484,3)="Yes","Conflict, not counted",IF(COUNTIFS($A$3:A484,A484,$B$3:B484,B484)&gt;1,"Duplicate, not counted",IF(SUM($D$2:$K$2)=0,"Add weights on Rubric",IF(SUMPRODUCT(ISNUMBER(D484:K484)*((D484:K484&gt;4)+(D484:K484&lt;0)))&gt;0,"Check scores",IF(N484&lt;COUNTIF($D$2:$K$2,"&gt;0"),"Incomplete","Counted"))))))))</f>
        <v/>
      </c>
      <c r="P484" s="42">
        <f>IF(O484="Counted",ROUND(SUMPRODUCT(D484:K484,$D$2:$K$2)*100/(4*SUM($D$2:$K$2)),1),"")</f>
        <v/>
      </c>
      <c r="Q484" s="27">
        <f>IF(O484="Counted",1,0)</f>
        <v/>
      </c>
      <c r="R484" s="43">
        <f>IF(ISNUMBER(D484),D484,0)</f>
        <v/>
      </c>
      <c r="S484" s="43">
        <f>IF(ISNUMBER(E484),E484,0)</f>
        <v/>
      </c>
      <c r="T484" s="43">
        <f>IF(ISNUMBER(F484),F484,0)</f>
        <v/>
      </c>
      <c r="U484" s="43">
        <f>IF(ISNUMBER(G484),G484,0)</f>
        <v/>
      </c>
      <c r="V484" s="43">
        <f>IF(ISNUMBER(H484),H484,0)</f>
        <v/>
      </c>
      <c r="W484" s="43">
        <f>IF(ISNUMBER(I484),I484,0)</f>
        <v/>
      </c>
      <c r="X484" s="43">
        <f>IF(ISNUMBER(J484),J484,0)</f>
        <v/>
      </c>
      <c r="Y484" s="43">
        <f>IF(ISNUMBER(K484),K484,0)</f>
        <v/>
      </c>
    </row>
    <row r="485">
      <c r="A485" s="35" t="n"/>
      <c r="B485" s="35" t="n"/>
      <c r="C485" s="35" t="n"/>
      <c r="D485" s="25" t="n"/>
      <c r="E485" s="25" t="n"/>
      <c r="F485" s="25" t="n"/>
      <c r="G485" s="25" t="n"/>
      <c r="H485" s="25" t="n"/>
      <c r="I485" s="25" t="n"/>
      <c r="J485" s="25" t="n"/>
      <c r="K485" s="25" t="n"/>
      <c r="L485" s="35" t="n"/>
      <c r="M485" s="40">
        <f>IF(A485="","",IFERROR(INDEX(Applications!$B$2:$B$101,MATCH(A485,Applications!$A$2:$A$101,0))&amp;"",""))</f>
        <v/>
      </c>
      <c r="N485" s="41">
        <f>IF(A485="","",SUMPRODUCT(ISNUMBER(D485:K485)*($D$2:$K$2&gt;0)))</f>
        <v/>
      </c>
      <c r="O485" s="40">
        <f>IF(A485="","",IF(ISNA(MATCH(A485,Applications!$A$2:$A$101,0)),"Check ID",IF(ISNA(MATCH(B485,Settings!$C$13:$C$18,0)),"Check reviewer",IF(LEFT(C485,3)="Yes","Conflict, not counted",IF(COUNTIFS($A$3:A485,A485,$B$3:B485,B485)&gt;1,"Duplicate, not counted",IF(SUM($D$2:$K$2)=0,"Add weights on Rubric",IF(SUMPRODUCT(ISNUMBER(D485:K485)*((D485:K485&gt;4)+(D485:K485&lt;0)))&gt;0,"Check scores",IF(N485&lt;COUNTIF($D$2:$K$2,"&gt;0"),"Incomplete","Counted"))))))))</f>
        <v/>
      </c>
      <c r="P485" s="42">
        <f>IF(O485="Counted",ROUND(SUMPRODUCT(D485:K485,$D$2:$K$2)*100/(4*SUM($D$2:$K$2)),1),"")</f>
        <v/>
      </c>
      <c r="Q485" s="27">
        <f>IF(O485="Counted",1,0)</f>
        <v/>
      </c>
      <c r="R485" s="43">
        <f>IF(ISNUMBER(D485),D485,0)</f>
        <v/>
      </c>
      <c r="S485" s="43">
        <f>IF(ISNUMBER(E485),E485,0)</f>
        <v/>
      </c>
      <c r="T485" s="43">
        <f>IF(ISNUMBER(F485),F485,0)</f>
        <v/>
      </c>
      <c r="U485" s="43">
        <f>IF(ISNUMBER(G485),G485,0)</f>
        <v/>
      </c>
      <c r="V485" s="43">
        <f>IF(ISNUMBER(H485),H485,0)</f>
        <v/>
      </c>
      <c r="W485" s="43">
        <f>IF(ISNUMBER(I485),I485,0)</f>
        <v/>
      </c>
      <c r="X485" s="43">
        <f>IF(ISNUMBER(J485),J485,0)</f>
        <v/>
      </c>
      <c r="Y485" s="43">
        <f>IF(ISNUMBER(K485),K485,0)</f>
        <v/>
      </c>
    </row>
    <row r="486">
      <c r="A486" s="35" t="n"/>
      <c r="B486" s="35" t="n"/>
      <c r="C486" s="35" t="n"/>
      <c r="D486" s="25" t="n"/>
      <c r="E486" s="25" t="n"/>
      <c r="F486" s="25" t="n"/>
      <c r="G486" s="25" t="n"/>
      <c r="H486" s="25" t="n"/>
      <c r="I486" s="25" t="n"/>
      <c r="J486" s="25" t="n"/>
      <c r="K486" s="25" t="n"/>
      <c r="L486" s="35" t="n"/>
      <c r="M486" s="40">
        <f>IF(A486="","",IFERROR(INDEX(Applications!$B$2:$B$101,MATCH(A486,Applications!$A$2:$A$101,0))&amp;"",""))</f>
        <v/>
      </c>
      <c r="N486" s="41">
        <f>IF(A486="","",SUMPRODUCT(ISNUMBER(D486:K486)*($D$2:$K$2&gt;0)))</f>
        <v/>
      </c>
      <c r="O486" s="40">
        <f>IF(A486="","",IF(ISNA(MATCH(A486,Applications!$A$2:$A$101,0)),"Check ID",IF(ISNA(MATCH(B486,Settings!$C$13:$C$18,0)),"Check reviewer",IF(LEFT(C486,3)="Yes","Conflict, not counted",IF(COUNTIFS($A$3:A486,A486,$B$3:B486,B486)&gt;1,"Duplicate, not counted",IF(SUM($D$2:$K$2)=0,"Add weights on Rubric",IF(SUMPRODUCT(ISNUMBER(D486:K486)*((D486:K486&gt;4)+(D486:K486&lt;0)))&gt;0,"Check scores",IF(N486&lt;COUNTIF($D$2:$K$2,"&gt;0"),"Incomplete","Counted"))))))))</f>
        <v/>
      </c>
      <c r="P486" s="42">
        <f>IF(O486="Counted",ROUND(SUMPRODUCT(D486:K486,$D$2:$K$2)*100/(4*SUM($D$2:$K$2)),1),"")</f>
        <v/>
      </c>
      <c r="Q486" s="27">
        <f>IF(O486="Counted",1,0)</f>
        <v/>
      </c>
      <c r="R486" s="43">
        <f>IF(ISNUMBER(D486),D486,0)</f>
        <v/>
      </c>
      <c r="S486" s="43">
        <f>IF(ISNUMBER(E486),E486,0)</f>
        <v/>
      </c>
      <c r="T486" s="43">
        <f>IF(ISNUMBER(F486),F486,0)</f>
        <v/>
      </c>
      <c r="U486" s="43">
        <f>IF(ISNUMBER(G486),G486,0)</f>
        <v/>
      </c>
      <c r="V486" s="43">
        <f>IF(ISNUMBER(H486),H486,0)</f>
        <v/>
      </c>
      <c r="W486" s="43">
        <f>IF(ISNUMBER(I486),I486,0)</f>
        <v/>
      </c>
      <c r="X486" s="43">
        <f>IF(ISNUMBER(J486),J486,0)</f>
        <v/>
      </c>
      <c r="Y486" s="43">
        <f>IF(ISNUMBER(K486),K486,0)</f>
        <v/>
      </c>
    </row>
    <row r="487">
      <c r="A487" s="35" t="n"/>
      <c r="B487" s="35" t="n"/>
      <c r="C487" s="35" t="n"/>
      <c r="D487" s="25" t="n"/>
      <c r="E487" s="25" t="n"/>
      <c r="F487" s="25" t="n"/>
      <c r="G487" s="25" t="n"/>
      <c r="H487" s="25" t="n"/>
      <c r="I487" s="25" t="n"/>
      <c r="J487" s="25" t="n"/>
      <c r="K487" s="25" t="n"/>
      <c r="L487" s="35" t="n"/>
      <c r="M487" s="40">
        <f>IF(A487="","",IFERROR(INDEX(Applications!$B$2:$B$101,MATCH(A487,Applications!$A$2:$A$101,0))&amp;"",""))</f>
        <v/>
      </c>
      <c r="N487" s="41">
        <f>IF(A487="","",SUMPRODUCT(ISNUMBER(D487:K487)*($D$2:$K$2&gt;0)))</f>
        <v/>
      </c>
      <c r="O487" s="40">
        <f>IF(A487="","",IF(ISNA(MATCH(A487,Applications!$A$2:$A$101,0)),"Check ID",IF(ISNA(MATCH(B487,Settings!$C$13:$C$18,0)),"Check reviewer",IF(LEFT(C487,3)="Yes","Conflict, not counted",IF(COUNTIFS($A$3:A487,A487,$B$3:B487,B487)&gt;1,"Duplicate, not counted",IF(SUM($D$2:$K$2)=0,"Add weights on Rubric",IF(SUMPRODUCT(ISNUMBER(D487:K487)*((D487:K487&gt;4)+(D487:K487&lt;0)))&gt;0,"Check scores",IF(N487&lt;COUNTIF($D$2:$K$2,"&gt;0"),"Incomplete","Counted"))))))))</f>
        <v/>
      </c>
      <c r="P487" s="42">
        <f>IF(O487="Counted",ROUND(SUMPRODUCT(D487:K487,$D$2:$K$2)*100/(4*SUM($D$2:$K$2)),1),"")</f>
        <v/>
      </c>
      <c r="Q487" s="27">
        <f>IF(O487="Counted",1,0)</f>
        <v/>
      </c>
      <c r="R487" s="43">
        <f>IF(ISNUMBER(D487),D487,0)</f>
        <v/>
      </c>
      <c r="S487" s="43">
        <f>IF(ISNUMBER(E487),E487,0)</f>
        <v/>
      </c>
      <c r="T487" s="43">
        <f>IF(ISNUMBER(F487),F487,0)</f>
        <v/>
      </c>
      <c r="U487" s="43">
        <f>IF(ISNUMBER(G487),G487,0)</f>
        <v/>
      </c>
      <c r="V487" s="43">
        <f>IF(ISNUMBER(H487),H487,0)</f>
        <v/>
      </c>
      <c r="W487" s="43">
        <f>IF(ISNUMBER(I487),I487,0)</f>
        <v/>
      </c>
      <c r="X487" s="43">
        <f>IF(ISNUMBER(J487),J487,0)</f>
        <v/>
      </c>
      <c r="Y487" s="43">
        <f>IF(ISNUMBER(K487),K487,0)</f>
        <v/>
      </c>
    </row>
    <row r="488">
      <c r="A488" s="35" t="n"/>
      <c r="B488" s="35" t="n"/>
      <c r="C488" s="35" t="n"/>
      <c r="D488" s="25" t="n"/>
      <c r="E488" s="25" t="n"/>
      <c r="F488" s="25" t="n"/>
      <c r="G488" s="25" t="n"/>
      <c r="H488" s="25" t="n"/>
      <c r="I488" s="25" t="n"/>
      <c r="J488" s="25" t="n"/>
      <c r="K488" s="25" t="n"/>
      <c r="L488" s="35" t="n"/>
      <c r="M488" s="40">
        <f>IF(A488="","",IFERROR(INDEX(Applications!$B$2:$B$101,MATCH(A488,Applications!$A$2:$A$101,0))&amp;"",""))</f>
        <v/>
      </c>
      <c r="N488" s="41">
        <f>IF(A488="","",SUMPRODUCT(ISNUMBER(D488:K488)*($D$2:$K$2&gt;0)))</f>
        <v/>
      </c>
      <c r="O488" s="40">
        <f>IF(A488="","",IF(ISNA(MATCH(A488,Applications!$A$2:$A$101,0)),"Check ID",IF(ISNA(MATCH(B488,Settings!$C$13:$C$18,0)),"Check reviewer",IF(LEFT(C488,3)="Yes","Conflict, not counted",IF(COUNTIFS($A$3:A488,A488,$B$3:B488,B488)&gt;1,"Duplicate, not counted",IF(SUM($D$2:$K$2)=0,"Add weights on Rubric",IF(SUMPRODUCT(ISNUMBER(D488:K488)*((D488:K488&gt;4)+(D488:K488&lt;0)))&gt;0,"Check scores",IF(N488&lt;COUNTIF($D$2:$K$2,"&gt;0"),"Incomplete","Counted"))))))))</f>
        <v/>
      </c>
      <c r="P488" s="42">
        <f>IF(O488="Counted",ROUND(SUMPRODUCT(D488:K488,$D$2:$K$2)*100/(4*SUM($D$2:$K$2)),1),"")</f>
        <v/>
      </c>
      <c r="Q488" s="27">
        <f>IF(O488="Counted",1,0)</f>
        <v/>
      </c>
      <c r="R488" s="43">
        <f>IF(ISNUMBER(D488),D488,0)</f>
        <v/>
      </c>
      <c r="S488" s="43">
        <f>IF(ISNUMBER(E488),E488,0)</f>
        <v/>
      </c>
      <c r="T488" s="43">
        <f>IF(ISNUMBER(F488),F488,0)</f>
        <v/>
      </c>
      <c r="U488" s="43">
        <f>IF(ISNUMBER(G488),G488,0)</f>
        <v/>
      </c>
      <c r="V488" s="43">
        <f>IF(ISNUMBER(H488),H488,0)</f>
        <v/>
      </c>
      <c r="W488" s="43">
        <f>IF(ISNUMBER(I488),I488,0)</f>
        <v/>
      </c>
      <c r="X488" s="43">
        <f>IF(ISNUMBER(J488),J488,0)</f>
        <v/>
      </c>
      <c r="Y488" s="43">
        <f>IF(ISNUMBER(K488),K488,0)</f>
        <v/>
      </c>
    </row>
    <row r="489">
      <c r="A489" s="35" t="n"/>
      <c r="B489" s="35" t="n"/>
      <c r="C489" s="35" t="n"/>
      <c r="D489" s="25" t="n"/>
      <c r="E489" s="25" t="n"/>
      <c r="F489" s="25" t="n"/>
      <c r="G489" s="25" t="n"/>
      <c r="H489" s="25" t="n"/>
      <c r="I489" s="25" t="n"/>
      <c r="J489" s="25" t="n"/>
      <c r="K489" s="25" t="n"/>
      <c r="L489" s="35" t="n"/>
      <c r="M489" s="40">
        <f>IF(A489="","",IFERROR(INDEX(Applications!$B$2:$B$101,MATCH(A489,Applications!$A$2:$A$101,0))&amp;"",""))</f>
        <v/>
      </c>
      <c r="N489" s="41">
        <f>IF(A489="","",SUMPRODUCT(ISNUMBER(D489:K489)*($D$2:$K$2&gt;0)))</f>
        <v/>
      </c>
      <c r="O489" s="40">
        <f>IF(A489="","",IF(ISNA(MATCH(A489,Applications!$A$2:$A$101,0)),"Check ID",IF(ISNA(MATCH(B489,Settings!$C$13:$C$18,0)),"Check reviewer",IF(LEFT(C489,3)="Yes","Conflict, not counted",IF(COUNTIFS($A$3:A489,A489,$B$3:B489,B489)&gt;1,"Duplicate, not counted",IF(SUM($D$2:$K$2)=0,"Add weights on Rubric",IF(SUMPRODUCT(ISNUMBER(D489:K489)*((D489:K489&gt;4)+(D489:K489&lt;0)))&gt;0,"Check scores",IF(N489&lt;COUNTIF($D$2:$K$2,"&gt;0"),"Incomplete","Counted"))))))))</f>
        <v/>
      </c>
      <c r="P489" s="42">
        <f>IF(O489="Counted",ROUND(SUMPRODUCT(D489:K489,$D$2:$K$2)*100/(4*SUM($D$2:$K$2)),1),"")</f>
        <v/>
      </c>
      <c r="Q489" s="27">
        <f>IF(O489="Counted",1,0)</f>
        <v/>
      </c>
      <c r="R489" s="43">
        <f>IF(ISNUMBER(D489),D489,0)</f>
        <v/>
      </c>
      <c r="S489" s="43">
        <f>IF(ISNUMBER(E489),E489,0)</f>
        <v/>
      </c>
      <c r="T489" s="43">
        <f>IF(ISNUMBER(F489),F489,0)</f>
        <v/>
      </c>
      <c r="U489" s="43">
        <f>IF(ISNUMBER(G489),G489,0)</f>
        <v/>
      </c>
      <c r="V489" s="43">
        <f>IF(ISNUMBER(H489),H489,0)</f>
        <v/>
      </c>
      <c r="W489" s="43">
        <f>IF(ISNUMBER(I489),I489,0)</f>
        <v/>
      </c>
      <c r="X489" s="43">
        <f>IF(ISNUMBER(J489),J489,0)</f>
        <v/>
      </c>
      <c r="Y489" s="43">
        <f>IF(ISNUMBER(K489),K489,0)</f>
        <v/>
      </c>
    </row>
    <row r="490">
      <c r="A490" s="35" t="n"/>
      <c r="B490" s="35" t="n"/>
      <c r="C490" s="35" t="n"/>
      <c r="D490" s="25" t="n"/>
      <c r="E490" s="25" t="n"/>
      <c r="F490" s="25" t="n"/>
      <c r="G490" s="25" t="n"/>
      <c r="H490" s="25" t="n"/>
      <c r="I490" s="25" t="n"/>
      <c r="J490" s="25" t="n"/>
      <c r="K490" s="25" t="n"/>
      <c r="L490" s="35" t="n"/>
      <c r="M490" s="40">
        <f>IF(A490="","",IFERROR(INDEX(Applications!$B$2:$B$101,MATCH(A490,Applications!$A$2:$A$101,0))&amp;"",""))</f>
        <v/>
      </c>
      <c r="N490" s="41">
        <f>IF(A490="","",SUMPRODUCT(ISNUMBER(D490:K490)*($D$2:$K$2&gt;0)))</f>
        <v/>
      </c>
      <c r="O490" s="40">
        <f>IF(A490="","",IF(ISNA(MATCH(A490,Applications!$A$2:$A$101,0)),"Check ID",IF(ISNA(MATCH(B490,Settings!$C$13:$C$18,0)),"Check reviewer",IF(LEFT(C490,3)="Yes","Conflict, not counted",IF(COUNTIFS($A$3:A490,A490,$B$3:B490,B490)&gt;1,"Duplicate, not counted",IF(SUM($D$2:$K$2)=0,"Add weights on Rubric",IF(SUMPRODUCT(ISNUMBER(D490:K490)*((D490:K490&gt;4)+(D490:K490&lt;0)))&gt;0,"Check scores",IF(N490&lt;COUNTIF($D$2:$K$2,"&gt;0"),"Incomplete","Counted"))))))))</f>
        <v/>
      </c>
      <c r="P490" s="42">
        <f>IF(O490="Counted",ROUND(SUMPRODUCT(D490:K490,$D$2:$K$2)*100/(4*SUM($D$2:$K$2)),1),"")</f>
        <v/>
      </c>
      <c r="Q490" s="27">
        <f>IF(O490="Counted",1,0)</f>
        <v/>
      </c>
      <c r="R490" s="43">
        <f>IF(ISNUMBER(D490),D490,0)</f>
        <v/>
      </c>
      <c r="S490" s="43">
        <f>IF(ISNUMBER(E490),E490,0)</f>
        <v/>
      </c>
      <c r="T490" s="43">
        <f>IF(ISNUMBER(F490),F490,0)</f>
        <v/>
      </c>
      <c r="U490" s="43">
        <f>IF(ISNUMBER(G490),G490,0)</f>
        <v/>
      </c>
      <c r="V490" s="43">
        <f>IF(ISNUMBER(H490),H490,0)</f>
        <v/>
      </c>
      <c r="W490" s="43">
        <f>IF(ISNUMBER(I490),I490,0)</f>
        <v/>
      </c>
      <c r="X490" s="43">
        <f>IF(ISNUMBER(J490),J490,0)</f>
        <v/>
      </c>
      <c r="Y490" s="43">
        <f>IF(ISNUMBER(K490),K490,0)</f>
        <v/>
      </c>
    </row>
    <row r="491">
      <c r="A491" s="35" t="n"/>
      <c r="B491" s="35" t="n"/>
      <c r="C491" s="35" t="n"/>
      <c r="D491" s="25" t="n"/>
      <c r="E491" s="25" t="n"/>
      <c r="F491" s="25" t="n"/>
      <c r="G491" s="25" t="n"/>
      <c r="H491" s="25" t="n"/>
      <c r="I491" s="25" t="n"/>
      <c r="J491" s="25" t="n"/>
      <c r="K491" s="25" t="n"/>
      <c r="L491" s="35" t="n"/>
      <c r="M491" s="40">
        <f>IF(A491="","",IFERROR(INDEX(Applications!$B$2:$B$101,MATCH(A491,Applications!$A$2:$A$101,0))&amp;"",""))</f>
        <v/>
      </c>
      <c r="N491" s="41">
        <f>IF(A491="","",SUMPRODUCT(ISNUMBER(D491:K491)*($D$2:$K$2&gt;0)))</f>
        <v/>
      </c>
      <c r="O491" s="40">
        <f>IF(A491="","",IF(ISNA(MATCH(A491,Applications!$A$2:$A$101,0)),"Check ID",IF(ISNA(MATCH(B491,Settings!$C$13:$C$18,0)),"Check reviewer",IF(LEFT(C491,3)="Yes","Conflict, not counted",IF(COUNTIFS($A$3:A491,A491,$B$3:B491,B491)&gt;1,"Duplicate, not counted",IF(SUM($D$2:$K$2)=0,"Add weights on Rubric",IF(SUMPRODUCT(ISNUMBER(D491:K491)*((D491:K491&gt;4)+(D491:K491&lt;0)))&gt;0,"Check scores",IF(N491&lt;COUNTIF($D$2:$K$2,"&gt;0"),"Incomplete","Counted"))))))))</f>
        <v/>
      </c>
      <c r="P491" s="42">
        <f>IF(O491="Counted",ROUND(SUMPRODUCT(D491:K491,$D$2:$K$2)*100/(4*SUM($D$2:$K$2)),1),"")</f>
        <v/>
      </c>
      <c r="Q491" s="27">
        <f>IF(O491="Counted",1,0)</f>
        <v/>
      </c>
      <c r="R491" s="43">
        <f>IF(ISNUMBER(D491),D491,0)</f>
        <v/>
      </c>
      <c r="S491" s="43">
        <f>IF(ISNUMBER(E491),E491,0)</f>
        <v/>
      </c>
      <c r="T491" s="43">
        <f>IF(ISNUMBER(F491),F491,0)</f>
        <v/>
      </c>
      <c r="U491" s="43">
        <f>IF(ISNUMBER(G491),G491,0)</f>
        <v/>
      </c>
      <c r="V491" s="43">
        <f>IF(ISNUMBER(H491),H491,0)</f>
        <v/>
      </c>
      <c r="W491" s="43">
        <f>IF(ISNUMBER(I491),I491,0)</f>
        <v/>
      </c>
      <c r="X491" s="43">
        <f>IF(ISNUMBER(J491),J491,0)</f>
        <v/>
      </c>
      <c r="Y491" s="43">
        <f>IF(ISNUMBER(K491),K491,0)</f>
        <v/>
      </c>
    </row>
    <row r="492">
      <c r="A492" s="35" t="n"/>
      <c r="B492" s="35" t="n"/>
      <c r="C492" s="35" t="n"/>
      <c r="D492" s="25" t="n"/>
      <c r="E492" s="25" t="n"/>
      <c r="F492" s="25" t="n"/>
      <c r="G492" s="25" t="n"/>
      <c r="H492" s="25" t="n"/>
      <c r="I492" s="25" t="n"/>
      <c r="J492" s="25" t="n"/>
      <c r="K492" s="25" t="n"/>
      <c r="L492" s="35" t="n"/>
      <c r="M492" s="40">
        <f>IF(A492="","",IFERROR(INDEX(Applications!$B$2:$B$101,MATCH(A492,Applications!$A$2:$A$101,0))&amp;"",""))</f>
        <v/>
      </c>
      <c r="N492" s="41">
        <f>IF(A492="","",SUMPRODUCT(ISNUMBER(D492:K492)*($D$2:$K$2&gt;0)))</f>
        <v/>
      </c>
      <c r="O492" s="40">
        <f>IF(A492="","",IF(ISNA(MATCH(A492,Applications!$A$2:$A$101,0)),"Check ID",IF(ISNA(MATCH(B492,Settings!$C$13:$C$18,0)),"Check reviewer",IF(LEFT(C492,3)="Yes","Conflict, not counted",IF(COUNTIFS($A$3:A492,A492,$B$3:B492,B492)&gt;1,"Duplicate, not counted",IF(SUM($D$2:$K$2)=0,"Add weights on Rubric",IF(SUMPRODUCT(ISNUMBER(D492:K492)*((D492:K492&gt;4)+(D492:K492&lt;0)))&gt;0,"Check scores",IF(N492&lt;COUNTIF($D$2:$K$2,"&gt;0"),"Incomplete","Counted"))))))))</f>
        <v/>
      </c>
      <c r="P492" s="42">
        <f>IF(O492="Counted",ROUND(SUMPRODUCT(D492:K492,$D$2:$K$2)*100/(4*SUM($D$2:$K$2)),1),"")</f>
        <v/>
      </c>
      <c r="Q492" s="27">
        <f>IF(O492="Counted",1,0)</f>
        <v/>
      </c>
      <c r="R492" s="43">
        <f>IF(ISNUMBER(D492),D492,0)</f>
        <v/>
      </c>
      <c r="S492" s="43">
        <f>IF(ISNUMBER(E492),E492,0)</f>
        <v/>
      </c>
      <c r="T492" s="43">
        <f>IF(ISNUMBER(F492),F492,0)</f>
        <v/>
      </c>
      <c r="U492" s="43">
        <f>IF(ISNUMBER(G492),G492,0)</f>
        <v/>
      </c>
      <c r="V492" s="43">
        <f>IF(ISNUMBER(H492),H492,0)</f>
        <v/>
      </c>
      <c r="W492" s="43">
        <f>IF(ISNUMBER(I492),I492,0)</f>
        <v/>
      </c>
      <c r="X492" s="43">
        <f>IF(ISNUMBER(J492),J492,0)</f>
        <v/>
      </c>
      <c r="Y492" s="43">
        <f>IF(ISNUMBER(K492),K492,0)</f>
        <v/>
      </c>
    </row>
    <row r="493">
      <c r="A493" s="35" t="n"/>
      <c r="B493" s="35" t="n"/>
      <c r="C493" s="35" t="n"/>
      <c r="D493" s="25" t="n"/>
      <c r="E493" s="25" t="n"/>
      <c r="F493" s="25" t="n"/>
      <c r="G493" s="25" t="n"/>
      <c r="H493" s="25" t="n"/>
      <c r="I493" s="25" t="n"/>
      <c r="J493" s="25" t="n"/>
      <c r="K493" s="25" t="n"/>
      <c r="L493" s="35" t="n"/>
      <c r="M493" s="40">
        <f>IF(A493="","",IFERROR(INDEX(Applications!$B$2:$B$101,MATCH(A493,Applications!$A$2:$A$101,0))&amp;"",""))</f>
        <v/>
      </c>
      <c r="N493" s="41">
        <f>IF(A493="","",SUMPRODUCT(ISNUMBER(D493:K493)*($D$2:$K$2&gt;0)))</f>
        <v/>
      </c>
      <c r="O493" s="40">
        <f>IF(A493="","",IF(ISNA(MATCH(A493,Applications!$A$2:$A$101,0)),"Check ID",IF(ISNA(MATCH(B493,Settings!$C$13:$C$18,0)),"Check reviewer",IF(LEFT(C493,3)="Yes","Conflict, not counted",IF(COUNTIFS($A$3:A493,A493,$B$3:B493,B493)&gt;1,"Duplicate, not counted",IF(SUM($D$2:$K$2)=0,"Add weights on Rubric",IF(SUMPRODUCT(ISNUMBER(D493:K493)*((D493:K493&gt;4)+(D493:K493&lt;0)))&gt;0,"Check scores",IF(N493&lt;COUNTIF($D$2:$K$2,"&gt;0"),"Incomplete","Counted"))))))))</f>
        <v/>
      </c>
      <c r="P493" s="42">
        <f>IF(O493="Counted",ROUND(SUMPRODUCT(D493:K493,$D$2:$K$2)*100/(4*SUM($D$2:$K$2)),1),"")</f>
        <v/>
      </c>
      <c r="Q493" s="27">
        <f>IF(O493="Counted",1,0)</f>
        <v/>
      </c>
      <c r="R493" s="43">
        <f>IF(ISNUMBER(D493),D493,0)</f>
        <v/>
      </c>
      <c r="S493" s="43">
        <f>IF(ISNUMBER(E493),E493,0)</f>
        <v/>
      </c>
      <c r="T493" s="43">
        <f>IF(ISNUMBER(F493),F493,0)</f>
        <v/>
      </c>
      <c r="U493" s="43">
        <f>IF(ISNUMBER(G493),G493,0)</f>
        <v/>
      </c>
      <c r="V493" s="43">
        <f>IF(ISNUMBER(H493),H493,0)</f>
        <v/>
      </c>
      <c r="W493" s="43">
        <f>IF(ISNUMBER(I493),I493,0)</f>
        <v/>
      </c>
      <c r="X493" s="43">
        <f>IF(ISNUMBER(J493),J493,0)</f>
        <v/>
      </c>
      <c r="Y493" s="43">
        <f>IF(ISNUMBER(K493),K493,0)</f>
        <v/>
      </c>
    </row>
    <row r="494">
      <c r="A494" s="35" t="n"/>
      <c r="B494" s="35" t="n"/>
      <c r="C494" s="35" t="n"/>
      <c r="D494" s="25" t="n"/>
      <c r="E494" s="25" t="n"/>
      <c r="F494" s="25" t="n"/>
      <c r="G494" s="25" t="n"/>
      <c r="H494" s="25" t="n"/>
      <c r="I494" s="25" t="n"/>
      <c r="J494" s="25" t="n"/>
      <c r="K494" s="25" t="n"/>
      <c r="L494" s="35" t="n"/>
      <c r="M494" s="40">
        <f>IF(A494="","",IFERROR(INDEX(Applications!$B$2:$B$101,MATCH(A494,Applications!$A$2:$A$101,0))&amp;"",""))</f>
        <v/>
      </c>
      <c r="N494" s="41">
        <f>IF(A494="","",SUMPRODUCT(ISNUMBER(D494:K494)*($D$2:$K$2&gt;0)))</f>
        <v/>
      </c>
      <c r="O494" s="40">
        <f>IF(A494="","",IF(ISNA(MATCH(A494,Applications!$A$2:$A$101,0)),"Check ID",IF(ISNA(MATCH(B494,Settings!$C$13:$C$18,0)),"Check reviewer",IF(LEFT(C494,3)="Yes","Conflict, not counted",IF(COUNTIFS($A$3:A494,A494,$B$3:B494,B494)&gt;1,"Duplicate, not counted",IF(SUM($D$2:$K$2)=0,"Add weights on Rubric",IF(SUMPRODUCT(ISNUMBER(D494:K494)*((D494:K494&gt;4)+(D494:K494&lt;0)))&gt;0,"Check scores",IF(N494&lt;COUNTIF($D$2:$K$2,"&gt;0"),"Incomplete","Counted"))))))))</f>
        <v/>
      </c>
      <c r="P494" s="42">
        <f>IF(O494="Counted",ROUND(SUMPRODUCT(D494:K494,$D$2:$K$2)*100/(4*SUM($D$2:$K$2)),1),"")</f>
        <v/>
      </c>
      <c r="Q494" s="27">
        <f>IF(O494="Counted",1,0)</f>
        <v/>
      </c>
      <c r="R494" s="43">
        <f>IF(ISNUMBER(D494),D494,0)</f>
        <v/>
      </c>
      <c r="S494" s="43">
        <f>IF(ISNUMBER(E494),E494,0)</f>
        <v/>
      </c>
      <c r="T494" s="43">
        <f>IF(ISNUMBER(F494),F494,0)</f>
        <v/>
      </c>
      <c r="U494" s="43">
        <f>IF(ISNUMBER(G494),G494,0)</f>
        <v/>
      </c>
      <c r="V494" s="43">
        <f>IF(ISNUMBER(H494),H494,0)</f>
        <v/>
      </c>
      <c r="W494" s="43">
        <f>IF(ISNUMBER(I494),I494,0)</f>
        <v/>
      </c>
      <c r="X494" s="43">
        <f>IF(ISNUMBER(J494),J494,0)</f>
        <v/>
      </c>
      <c r="Y494" s="43">
        <f>IF(ISNUMBER(K494),K494,0)</f>
        <v/>
      </c>
    </row>
    <row r="495">
      <c r="A495" s="35" t="n"/>
      <c r="B495" s="35" t="n"/>
      <c r="C495" s="35" t="n"/>
      <c r="D495" s="25" t="n"/>
      <c r="E495" s="25" t="n"/>
      <c r="F495" s="25" t="n"/>
      <c r="G495" s="25" t="n"/>
      <c r="H495" s="25" t="n"/>
      <c r="I495" s="25" t="n"/>
      <c r="J495" s="25" t="n"/>
      <c r="K495" s="25" t="n"/>
      <c r="L495" s="35" t="n"/>
      <c r="M495" s="40">
        <f>IF(A495="","",IFERROR(INDEX(Applications!$B$2:$B$101,MATCH(A495,Applications!$A$2:$A$101,0))&amp;"",""))</f>
        <v/>
      </c>
      <c r="N495" s="41">
        <f>IF(A495="","",SUMPRODUCT(ISNUMBER(D495:K495)*($D$2:$K$2&gt;0)))</f>
        <v/>
      </c>
      <c r="O495" s="40">
        <f>IF(A495="","",IF(ISNA(MATCH(A495,Applications!$A$2:$A$101,0)),"Check ID",IF(ISNA(MATCH(B495,Settings!$C$13:$C$18,0)),"Check reviewer",IF(LEFT(C495,3)="Yes","Conflict, not counted",IF(COUNTIFS($A$3:A495,A495,$B$3:B495,B495)&gt;1,"Duplicate, not counted",IF(SUM($D$2:$K$2)=0,"Add weights on Rubric",IF(SUMPRODUCT(ISNUMBER(D495:K495)*((D495:K495&gt;4)+(D495:K495&lt;0)))&gt;0,"Check scores",IF(N495&lt;COUNTIF($D$2:$K$2,"&gt;0"),"Incomplete","Counted"))))))))</f>
        <v/>
      </c>
      <c r="P495" s="42">
        <f>IF(O495="Counted",ROUND(SUMPRODUCT(D495:K495,$D$2:$K$2)*100/(4*SUM($D$2:$K$2)),1),"")</f>
        <v/>
      </c>
      <c r="Q495" s="27">
        <f>IF(O495="Counted",1,0)</f>
        <v/>
      </c>
      <c r="R495" s="43">
        <f>IF(ISNUMBER(D495),D495,0)</f>
        <v/>
      </c>
      <c r="S495" s="43">
        <f>IF(ISNUMBER(E495),E495,0)</f>
        <v/>
      </c>
      <c r="T495" s="43">
        <f>IF(ISNUMBER(F495),F495,0)</f>
        <v/>
      </c>
      <c r="U495" s="43">
        <f>IF(ISNUMBER(G495),G495,0)</f>
        <v/>
      </c>
      <c r="V495" s="43">
        <f>IF(ISNUMBER(H495),H495,0)</f>
        <v/>
      </c>
      <c r="W495" s="43">
        <f>IF(ISNUMBER(I495),I495,0)</f>
        <v/>
      </c>
      <c r="X495" s="43">
        <f>IF(ISNUMBER(J495),J495,0)</f>
        <v/>
      </c>
      <c r="Y495" s="43">
        <f>IF(ISNUMBER(K495),K495,0)</f>
        <v/>
      </c>
    </row>
    <row r="496">
      <c r="A496" s="35" t="n"/>
      <c r="B496" s="35" t="n"/>
      <c r="C496" s="35" t="n"/>
      <c r="D496" s="25" t="n"/>
      <c r="E496" s="25" t="n"/>
      <c r="F496" s="25" t="n"/>
      <c r="G496" s="25" t="n"/>
      <c r="H496" s="25" t="n"/>
      <c r="I496" s="25" t="n"/>
      <c r="J496" s="25" t="n"/>
      <c r="K496" s="25" t="n"/>
      <c r="L496" s="35" t="n"/>
      <c r="M496" s="40">
        <f>IF(A496="","",IFERROR(INDEX(Applications!$B$2:$B$101,MATCH(A496,Applications!$A$2:$A$101,0))&amp;"",""))</f>
        <v/>
      </c>
      <c r="N496" s="41">
        <f>IF(A496="","",SUMPRODUCT(ISNUMBER(D496:K496)*($D$2:$K$2&gt;0)))</f>
        <v/>
      </c>
      <c r="O496" s="40">
        <f>IF(A496="","",IF(ISNA(MATCH(A496,Applications!$A$2:$A$101,0)),"Check ID",IF(ISNA(MATCH(B496,Settings!$C$13:$C$18,0)),"Check reviewer",IF(LEFT(C496,3)="Yes","Conflict, not counted",IF(COUNTIFS($A$3:A496,A496,$B$3:B496,B496)&gt;1,"Duplicate, not counted",IF(SUM($D$2:$K$2)=0,"Add weights on Rubric",IF(SUMPRODUCT(ISNUMBER(D496:K496)*((D496:K496&gt;4)+(D496:K496&lt;0)))&gt;0,"Check scores",IF(N496&lt;COUNTIF($D$2:$K$2,"&gt;0"),"Incomplete","Counted"))))))))</f>
        <v/>
      </c>
      <c r="P496" s="42">
        <f>IF(O496="Counted",ROUND(SUMPRODUCT(D496:K496,$D$2:$K$2)*100/(4*SUM($D$2:$K$2)),1),"")</f>
        <v/>
      </c>
      <c r="Q496" s="27">
        <f>IF(O496="Counted",1,0)</f>
        <v/>
      </c>
      <c r="R496" s="43">
        <f>IF(ISNUMBER(D496),D496,0)</f>
        <v/>
      </c>
      <c r="S496" s="43">
        <f>IF(ISNUMBER(E496),E496,0)</f>
        <v/>
      </c>
      <c r="T496" s="43">
        <f>IF(ISNUMBER(F496),F496,0)</f>
        <v/>
      </c>
      <c r="U496" s="43">
        <f>IF(ISNUMBER(G496),G496,0)</f>
        <v/>
      </c>
      <c r="V496" s="43">
        <f>IF(ISNUMBER(H496),H496,0)</f>
        <v/>
      </c>
      <c r="W496" s="43">
        <f>IF(ISNUMBER(I496),I496,0)</f>
        <v/>
      </c>
      <c r="X496" s="43">
        <f>IF(ISNUMBER(J496),J496,0)</f>
        <v/>
      </c>
      <c r="Y496" s="43">
        <f>IF(ISNUMBER(K496),K496,0)</f>
        <v/>
      </c>
    </row>
    <row r="497">
      <c r="A497" s="35" t="n"/>
      <c r="B497" s="35" t="n"/>
      <c r="C497" s="35" t="n"/>
      <c r="D497" s="25" t="n"/>
      <c r="E497" s="25" t="n"/>
      <c r="F497" s="25" t="n"/>
      <c r="G497" s="25" t="n"/>
      <c r="H497" s="25" t="n"/>
      <c r="I497" s="25" t="n"/>
      <c r="J497" s="25" t="n"/>
      <c r="K497" s="25" t="n"/>
      <c r="L497" s="35" t="n"/>
      <c r="M497" s="40">
        <f>IF(A497="","",IFERROR(INDEX(Applications!$B$2:$B$101,MATCH(A497,Applications!$A$2:$A$101,0))&amp;"",""))</f>
        <v/>
      </c>
      <c r="N497" s="41">
        <f>IF(A497="","",SUMPRODUCT(ISNUMBER(D497:K497)*($D$2:$K$2&gt;0)))</f>
        <v/>
      </c>
      <c r="O497" s="40">
        <f>IF(A497="","",IF(ISNA(MATCH(A497,Applications!$A$2:$A$101,0)),"Check ID",IF(ISNA(MATCH(B497,Settings!$C$13:$C$18,0)),"Check reviewer",IF(LEFT(C497,3)="Yes","Conflict, not counted",IF(COUNTIFS($A$3:A497,A497,$B$3:B497,B497)&gt;1,"Duplicate, not counted",IF(SUM($D$2:$K$2)=0,"Add weights on Rubric",IF(SUMPRODUCT(ISNUMBER(D497:K497)*((D497:K497&gt;4)+(D497:K497&lt;0)))&gt;0,"Check scores",IF(N497&lt;COUNTIF($D$2:$K$2,"&gt;0"),"Incomplete","Counted"))))))))</f>
        <v/>
      </c>
      <c r="P497" s="42">
        <f>IF(O497="Counted",ROUND(SUMPRODUCT(D497:K497,$D$2:$K$2)*100/(4*SUM($D$2:$K$2)),1),"")</f>
        <v/>
      </c>
      <c r="Q497" s="27">
        <f>IF(O497="Counted",1,0)</f>
        <v/>
      </c>
      <c r="R497" s="43">
        <f>IF(ISNUMBER(D497),D497,0)</f>
        <v/>
      </c>
      <c r="S497" s="43">
        <f>IF(ISNUMBER(E497),E497,0)</f>
        <v/>
      </c>
      <c r="T497" s="43">
        <f>IF(ISNUMBER(F497),F497,0)</f>
        <v/>
      </c>
      <c r="U497" s="43">
        <f>IF(ISNUMBER(G497),G497,0)</f>
        <v/>
      </c>
      <c r="V497" s="43">
        <f>IF(ISNUMBER(H497),H497,0)</f>
        <v/>
      </c>
      <c r="W497" s="43">
        <f>IF(ISNUMBER(I497),I497,0)</f>
        <v/>
      </c>
      <c r="X497" s="43">
        <f>IF(ISNUMBER(J497),J497,0)</f>
        <v/>
      </c>
      <c r="Y497" s="43">
        <f>IF(ISNUMBER(K497),K497,0)</f>
        <v/>
      </c>
    </row>
    <row r="498">
      <c r="A498" s="35" t="n"/>
      <c r="B498" s="35" t="n"/>
      <c r="C498" s="35" t="n"/>
      <c r="D498" s="25" t="n"/>
      <c r="E498" s="25" t="n"/>
      <c r="F498" s="25" t="n"/>
      <c r="G498" s="25" t="n"/>
      <c r="H498" s="25" t="n"/>
      <c r="I498" s="25" t="n"/>
      <c r="J498" s="25" t="n"/>
      <c r="K498" s="25" t="n"/>
      <c r="L498" s="35" t="n"/>
      <c r="M498" s="40">
        <f>IF(A498="","",IFERROR(INDEX(Applications!$B$2:$B$101,MATCH(A498,Applications!$A$2:$A$101,0))&amp;"",""))</f>
        <v/>
      </c>
      <c r="N498" s="41">
        <f>IF(A498="","",SUMPRODUCT(ISNUMBER(D498:K498)*($D$2:$K$2&gt;0)))</f>
        <v/>
      </c>
      <c r="O498" s="40">
        <f>IF(A498="","",IF(ISNA(MATCH(A498,Applications!$A$2:$A$101,0)),"Check ID",IF(ISNA(MATCH(B498,Settings!$C$13:$C$18,0)),"Check reviewer",IF(LEFT(C498,3)="Yes","Conflict, not counted",IF(COUNTIFS($A$3:A498,A498,$B$3:B498,B498)&gt;1,"Duplicate, not counted",IF(SUM($D$2:$K$2)=0,"Add weights on Rubric",IF(SUMPRODUCT(ISNUMBER(D498:K498)*((D498:K498&gt;4)+(D498:K498&lt;0)))&gt;0,"Check scores",IF(N498&lt;COUNTIF($D$2:$K$2,"&gt;0"),"Incomplete","Counted"))))))))</f>
        <v/>
      </c>
      <c r="P498" s="42">
        <f>IF(O498="Counted",ROUND(SUMPRODUCT(D498:K498,$D$2:$K$2)*100/(4*SUM($D$2:$K$2)),1),"")</f>
        <v/>
      </c>
      <c r="Q498" s="27">
        <f>IF(O498="Counted",1,0)</f>
        <v/>
      </c>
      <c r="R498" s="43">
        <f>IF(ISNUMBER(D498),D498,0)</f>
        <v/>
      </c>
      <c r="S498" s="43">
        <f>IF(ISNUMBER(E498),E498,0)</f>
        <v/>
      </c>
      <c r="T498" s="43">
        <f>IF(ISNUMBER(F498),F498,0)</f>
        <v/>
      </c>
      <c r="U498" s="43">
        <f>IF(ISNUMBER(G498),G498,0)</f>
        <v/>
      </c>
      <c r="V498" s="43">
        <f>IF(ISNUMBER(H498),H498,0)</f>
        <v/>
      </c>
      <c r="W498" s="43">
        <f>IF(ISNUMBER(I498),I498,0)</f>
        <v/>
      </c>
      <c r="X498" s="43">
        <f>IF(ISNUMBER(J498),J498,0)</f>
        <v/>
      </c>
      <c r="Y498" s="43">
        <f>IF(ISNUMBER(K498),K498,0)</f>
        <v/>
      </c>
    </row>
    <row r="499">
      <c r="A499" s="35" t="n"/>
      <c r="B499" s="35" t="n"/>
      <c r="C499" s="35" t="n"/>
      <c r="D499" s="25" t="n"/>
      <c r="E499" s="25" t="n"/>
      <c r="F499" s="25" t="n"/>
      <c r="G499" s="25" t="n"/>
      <c r="H499" s="25" t="n"/>
      <c r="I499" s="25" t="n"/>
      <c r="J499" s="25" t="n"/>
      <c r="K499" s="25" t="n"/>
      <c r="L499" s="35" t="n"/>
      <c r="M499" s="40">
        <f>IF(A499="","",IFERROR(INDEX(Applications!$B$2:$B$101,MATCH(A499,Applications!$A$2:$A$101,0))&amp;"",""))</f>
        <v/>
      </c>
      <c r="N499" s="41">
        <f>IF(A499="","",SUMPRODUCT(ISNUMBER(D499:K499)*($D$2:$K$2&gt;0)))</f>
        <v/>
      </c>
      <c r="O499" s="40">
        <f>IF(A499="","",IF(ISNA(MATCH(A499,Applications!$A$2:$A$101,0)),"Check ID",IF(ISNA(MATCH(B499,Settings!$C$13:$C$18,0)),"Check reviewer",IF(LEFT(C499,3)="Yes","Conflict, not counted",IF(COUNTIFS($A$3:A499,A499,$B$3:B499,B499)&gt;1,"Duplicate, not counted",IF(SUM($D$2:$K$2)=0,"Add weights on Rubric",IF(SUMPRODUCT(ISNUMBER(D499:K499)*((D499:K499&gt;4)+(D499:K499&lt;0)))&gt;0,"Check scores",IF(N499&lt;COUNTIF($D$2:$K$2,"&gt;0"),"Incomplete","Counted"))))))))</f>
        <v/>
      </c>
      <c r="P499" s="42">
        <f>IF(O499="Counted",ROUND(SUMPRODUCT(D499:K499,$D$2:$K$2)*100/(4*SUM($D$2:$K$2)),1),"")</f>
        <v/>
      </c>
      <c r="Q499" s="27">
        <f>IF(O499="Counted",1,0)</f>
        <v/>
      </c>
      <c r="R499" s="43">
        <f>IF(ISNUMBER(D499),D499,0)</f>
        <v/>
      </c>
      <c r="S499" s="43">
        <f>IF(ISNUMBER(E499),E499,0)</f>
        <v/>
      </c>
      <c r="T499" s="43">
        <f>IF(ISNUMBER(F499),F499,0)</f>
        <v/>
      </c>
      <c r="U499" s="43">
        <f>IF(ISNUMBER(G499),G499,0)</f>
        <v/>
      </c>
      <c r="V499" s="43">
        <f>IF(ISNUMBER(H499),H499,0)</f>
        <v/>
      </c>
      <c r="W499" s="43">
        <f>IF(ISNUMBER(I499),I499,0)</f>
        <v/>
      </c>
      <c r="X499" s="43">
        <f>IF(ISNUMBER(J499),J499,0)</f>
        <v/>
      </c>
      <c r="Y499" s="43">
        <f>IF(ISNUMBER(K499),K499,0)</f>
        <v/>
      </c>
    </row>
    <row r="500">
      <c r="A500" s="35" t="n"/>
      <c r="B500" s="35" t="n"/>
      <c r="C500" s="35" t="n"/>
      <c r="D500" s="25" t="n"/>
      <c r="E500" s="25" t="n"/>
      <c r="F500" s="25" t="n"/>
      <c r="G500" s="25" t="n"/>
      <c r="H500" s="25" t="n"/>
      <c r="I500" s="25" t="n"/>
      <c r="J500" s="25" t="n"/>
      <c r="K500" s="25" t="n"/>
      <c r="L500" s="35" t="n"/>
      <c r="M500" s="40">
        <f>IF(A500="","",IFERROR(INDEX(Applications!$B$2:$B$101,MATCH(A500,Applications!$A$2:$A$101,0))&amp;"",""))</f>
        <v/>
      </c>
      <c r="N500" s="41">
        <f>IF(A500="","",SUMPRODUCT(ISNUMBER(D500:K500)*($D$2:$K$2&gt;0)))</f>
        <v/>
      </c>
      <c r="O500" s="40">
        <f>IF(A500="","",IF(ISNA(MATCH(A500,Applications!$A$2:$A$101,0)),"Check ID",IF(ISNA(MATCH(B500,Settings!$C$13:$C$18,0)),"Check reviewer",IF(LEFT(C500,3)="Yes","Conflict, not counted",IF(COUNTIFS($A$3:A500,A500,$B$3:B500,B500)&gt;1,"Duplicate, not counted",IF(SUM($D$2:$K$2)=0,"Add weights on Rubric",IF(SUMPRODUCT(ISNUMBER(D500:K500)*((D500:K500&gt;4)+(D500:K500&lt;0)))&gt;0,"Check scores",IF(N500&lt;COUNTIF($D$2:$K$2,"&gt;0"),"Incomplete","Counted"))))))))</f>
        <v/>
      </c>
      <c r="P500" s="42">
        <f>IF(O500="Counted",ROUND(SUMPRODUCT(D500:K500,$D$2:$K$2)*100/(4*SUM($D$2:$K$2)),1),"")</f>
        <v/>
      </c>
      <c r="Q500" s="27">
        <f>IF(O500="Counted",1,0)</f>
        <v/>
      </c>
      <c r="R500" s="43">
        <f>IF(ISNUMBER(D500),D500,0)</f>
        <v/>
      </c>
      <c r="S500" s="43">
        <f>IF(ISNUMBER(E500),E500,0)</f>
        <v/>
      </c>
      <c r="T500" s="43">
        <f>IF(ISNUMBER(F500),F500,0)</f>
        <v/>
      </c>
      <c r="U500" s="43">
        <f>IF(ISNUMBER(G500),G500,0)</f>
        <v/>
      </c>
      <c r="V500" s="43">
        <f>IF(ISNUMBER(H500),H500,0)</f>
        <v/>
      </c>
      <c r="W500" s="43">
        <f>IF(ISNUMBER(I500),I500,0)</f>
        <v/>
      </c>
      <c r="X500" s="43">
        <f>IF(ISNUMBER(J500),J500,0)</f>
        <v/>
      </c>
      <c r="Y500" s="43">
        <f>IF(ISNUMBER(K500),K500,0)</f>
        <v/>
      </c>
    </row>
    <row r="501">
      <c r="A501" s="35" t="n"/>
      <c r="B501" s="35" t="n"/>
      <c r="C501" s="35" t="n"/>
      <c r="D501" s="25" t="n"/>
      <c r="E501" s="25" t="n"/>
      <c r="F501" s="25" t="n"/>
      <c r="G501" s="25" t="n"/>
      <c r="H501" s="25" t="n"/>
      <c r="I501" s="25" t="n"/>
      <c r="J501" s="25" t="n"/>
      <c r="K501" s="25" t="n"/>
      <c r="L501" s="35" t="n"/>
      <c r="M501" s="40">
        <f>IF(A501="","",IFERROR(INDEX(Applications!$B$2:$B$101,MATCH(A501,Applications!$A$2:$A$101,0))&amp;"",""))</f>
        <v/>
      </c>
      <c r="N501" s="41">
        <f>IF(A501="","",SUMPRODUCT(ISNUMBER(D501:K501)*($D$2:$K$2&gt;0)))</f>
        <v/>
      </c>
      <c r="O501" s="40">
        <f>IF(A501="","",IF(ISNA(MATCH(A501,Applications!$A$2:$A$101,0)),"Check ID",IF(ISNA(MATCH(B501,Settings!$C$13:$C$18,0)),"Check reviewer",IF(LEFT(C501,3)="Yes","Conflict, not counted",IF(COUNTIFS($A$3:A501,A501,$B$3:B501,B501)&gt;1,"Duplicate, not counted",IF(SUM($D$2:$K$2)=0,"Add weights on Rubric",IF(SUMPRODUCT(ISNUMBER(D501:K501)*((D501:K501&gt;4)+(D501:K501&lt;0)))&gt;0,"Check scores",IF(N501&lt;COUNTIF($D$2:$K$2,"&gt;0"),"Incomplete","Counted"))))))))</f>
        <v/>
      </c>
      <c r="P501" s="42">
        <f>IF(O501="Counted",ROUND(SUMPRODUCT(D501:K501,$D$2:$K$2)*100/(4*SUM($D$2:$K$2)),1),"")</f>
        <v/>
      </c>
      <c r="Q501" s="27">
        <f>IF(O501="Counted",1,0)</f>
        <v/>
      </c>
      <c r="R501" s="43">
        <f>IF(ISNUMBER(D501),D501,0)</f>
        <v/>
      </c>
      <c r="S501" s="43">
        <f>IF(ISNUMBER(E501),E501,0)</f>
        <v/>
      </c>
      <c r="T501" s="43">
        <f>IF(ISNUMBER(F501),F501,0)</f>
        <v/>
      </c>
      <c r="U501" s="43">
        <f>IF(ISNUMBER(G501),G501,0)</f>
        <v/>
      </c>
      <c r="V501" s="43">
        <f>IF(ISNUMBER(H501),H501,0)</f>
        <v/>
      </c>
      <c r="W501" s="43">
        <f>IF(ISNUMBER(I501),I501,0)</f>
        <v/>
      </c>
      <c r="X501" s="43">
        <f>IF(ISNUMBER(J501),J501,0)</f>
        <v/>
      </c>
      <c r="Y501" s="43">
        <f>IF(ISNUMBER(K501),K501,0)</f>
        <v/>
      </c>
    </row>
    <row r="502">
      <c r="A502" s="35" t="n"/>
      <c r="B502" s="35" t="n"/>
      <c r="C502" s="35" t="n"/>
      <c r="D502" s="25" t="n"/>
      <c r="E502" s="25" t="n"/>
      <c r="F502" s="25" t="n"/>
      <c r="G502" s="25" t="n"/>
      <c r="H502" s="25" t="n"/>
      <c r="I502" s="25" t="n"/>
      <c r="J502" s="25" t="n"/>
      <c r="K502" s="25" t="n"/>
      <c r="L502" s="35" t="n"/>
      <c r="M502" s="40">
        <f>IF(A502="","",IFERROR(INDEX(Applications!$B$2:$B$101,MATCH(A502,Applications!$A$2:$A$101,0))&amp;"",""))</f>
        <v/>
      </c>
      <c r="N502" s="41">
        <f>IF(A502="","",SUMPRODUCT(ISNUMBER(D502:K502)*($D$2:$K$2&gt;0)))</f>
        <v/>
      </c>
      <c r="O502" s="40">
        <f>IF(A502="","",IF(ISNA(MATCH(A502,Applications!$A$2:$A$101,0)),"Check ID",IF(ISNA(MATCH(B502,Settings!$C$13:$C$18,0)),"Check reviewer",IF(LEFT(C502,3)="Yes","Conflict, not counted",IF(COUNTIFS($A$3:A502,A502,$B$3:B502,B502)&gt;1,"Duplicate, not counted",IF(SUM($D$2:$K$2)=0,"Add weights on Rubric",IF(SUMPRODUCT(ISNUMBER(D502:K502)*((D502:K502&gt;4)+(D502:K502&lt;0)))&gt;0,"Check scores",IF(N502&lt;COUNTIF($D$2:$K$2,"&gt;0"),"Incomplete","Counted"))))))))</f>
        <v/>
      </c>
      <c r="P502" s="42">
        <f>IF(O502="Counted",ROUND(SUMPRODUCT(D502:K502,$D$2:$K$2)*100/(4*SUM($D$2:$K$2)),1),"")</f>
        <v/>
      </c>
      <c r="Q502" s="27">
        <f>IF(O502="Counted",1,0)</f>
        <v/>
      </c>
      <c r="R502" s="43">
        <f>IF(ISNUMBER(D502),D502,0)</f>
        <v/>
      </c>
      <c r="S502" s="43">
        <f>IF(ISNUMBER(E502),E502,0)</f>
        <v/>
      </c>
      <c r="T502" s="43">
        <f>IF(ISNUMBER(F502),F502,0)</f>
        <v/>
      </c>
      <c r="U502" s="43">
        <f>IF(ISNUMBER(G502),G502,0)</f>
        <v/>
      </c>
      <c r="V502" s="43">
        <f>IF(ISNUMBER(H502),H502,0)</f>
        <v/>
      </c>
      <c r="W502" s="43">
        <f>IF(ISNUMBER(I502),I502,0)</f>
        <v/>
      </c>
      <c r="X502" s="43">
        <f>IF(ISNUMBER(J502),J502,0)</f>
        <v/>
      </c>
      <c r="Y502" s="43">
        <f>IF(ISNUMBER(K502),K502,0)</f>
        <v/>
      </c>
    </row>
  </sheetData>
  <mergeCells count="1">
    <mergeCell ref="A2:C2"/>
  </mergeCells>
  <dataValidations count="4">
    <dataValidation sqref="A3:A502" showDropDown="0" showInputMessage="1" showErrorMessage="1" allowBlank="1" errorTitle="Application ID" error="Pick a value from the list. Pick an ID from the Applications tab." promptTitle="Application ID" prompt="Pick an ID from the Applications tab." type="list" errorStyle="warning">
      <formula1>Applications!$A$2:$A$101</formula1>
    </dataValidation>
    <dataValidation sqref="B3:B502" showDropDown="0" showInputMessage="1" showErrorMessage="1" allowBlank="1" errorTitle="Reviewer" error="Pick a value from the list. Pick your name from the Settings tab." promptTitle="Reviewer" prompt="Pick your name from the Settings tab." type="list" errorStyle="warning">
      <formula1>Settings!$C$13:$C$18</formula1>
    </dataValidation>
    <dataValidation sqref="C3:C502" showDropDown="0" showInputMessage="1" showErrorMessage="1" allowBlank="1" errorTitle="Conflict of interest" error="Pick a value from the list. Pick No, or Yes, I step out." promptTitle="Conflict of interest" prompt="Pick No, or Yes, I step out." type="list" errorStyle="warning">
      <formula1>Settings!$G$4:$G$5</formula1>
    </dataValidation>
    <dataValidation sqref="D3:K502" showDropDown="0" showInputMessage="1" showErrorMessage="1" allowBlank="1" errorTitle="Score" error="Type a whole number from 0 to 4." promptTitle="Score" prompt="Score 0 to 4. See the Rubric tab for what each number means." type="whole" errorStyle="warning" operator="between">
      <formula1>0</formula1>
      <formula2>4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4" customWidth="1" min="11" max="11"/>
  </cols>
  <sheetData>
    <row r="1" ht="44" customHeight="1">
      <c r="A1" s="3" t="inlineStr">
        <is>
          <t>Application ID</t>
        </is>
      </c>
      <c r="B1" s="3" t="inlineStr">
        <is>
          <t>Reviews counted</t>
        </is>
      </c>
      <c r="C1" s="3">
        <f>"Gap: "&amp;IF(Rubric!$B$5="","criterion 1",Rubric!$B$5)</f>
        <v/>
      </c>
      <c r="D1" s="3">
        <f>"Gap: "&amp;IF(Rubric!$B$6="","criterion 2",Rubric!$B$6)</f>
        <v/>
      </c>
      <c r="E1" s="3">
        <f>"Gap: "&amp;IF(Rubric!$B$7="","criterion 3",Rubric!$B$7)</f>
        <v/>
      </c>
      <c r="F1" s="3">
        <f>"Gap: "&amp;IF(Rubric!$B$8="","criterion 4",Rubric!$B$8)</f>
        <v/>
      </c>
      <c r="G1" s="3">
        <f>"Gap: "&amp;IF(Rubric!$B$9="","criterion 5",Rubric!$B$9)</f>
        <v/>
      </c>
      <c r="H1" s="3">
        <f>"Gap: "&amp;IF(Rubric!$B$10="","criterion 6",Rubric!$B$10)</f>
        <v/>
      </c>
      <c r="I1" s="3">
        <f>"Gap: "&amp;IF(Rubric!$B$11="","criterion 7",Rubric!$B$11)</f>
        <v/>
      </c>
      <c r="J1" s="3">
        <f>"Gap: "&amp;IF(Rubric!$B$12="","criterion 8",Rubric!$B$12)</f>
        <v/>
      </c>
      <c r="K1" s="3" t="inlineStr">
        <is>
          <t>Biggest gap on one criterion</t>
        </is>
      </c>
    </row>
    <row r="2">
      <c r="A2" s="41">
        <f>IF(Applications!$A2="","",Applications!$A2&amp;"")</f>
        <v/>
      </c>
      <c r="B2" s="41">
        <f>IF($A2="","",COUNTIFS(Scores!$A$3:$A$502,$A2,Scores!$O$3:$O$502,"Counted"))</f>
        <v/>
      </c>
      <c r="C2" s="41">
        <f>IF(OR($A2="",N($B2)&lt;2,Scores!$D$2=0),"",(SUMPRODUCT(MAX((Scores!$A$3:$A$502=$A2)*Scores!$Q$3:$Q$502*(Scores!$R$3:$R$502+1)))-1)-(5-SUMPRODUCT(MAX((Scores!$A$3:$A$502=$A2)*Scores!$Q$3:$Q$502*(5-Scores!$R$3:$R$502)))))</f>
        <v/>
      </c>
      <c r="D2" s="41">
        <f>IF(OR($A2="",N($B2)&lt;2,Scores!$E$2=0),"",(SUMPRODUCT(MAX((Scores!$A$3:$A$502=$A2)*Scores!$Q$3:$Q$502*(Scores!$S$3:$S$502+1)))-1)-(5-SUMPRODUCT(MAX((Scores!$A$3:$A$502=$A2)*Scores!$Q$3:$Q$502*(5-Scores!$S$3:$S$502)))))</f>
        <v/>
      </c>
      <c r="E2" s="41">
        <f>IF(OR($A2="",N($B2)&lt;2,Scores!$F$2=0),"",(SUMPRODUCT(MAX((Scores!$A$3:$A$502=$A2)*Scores!$Q$3:$Q$502*(Scores!$T$3:$T$502+1)))-1)-(5-SUMPRODUCT(MAX((Scores!$A$3:$A$502=$A2)*Scores!$Q$3:$Q$502*(5-Scores!$T$3:$T$502)))))</f>
        <v/>
      </c>
      <c r="F2" s="41">
        <f>IF(OR($A2="",N($B2)&lt;2,Scores!$G$2=0),"",(SUMPRODUCT(MAX((Scores!$A$3:$A$502=$A2)*Scores!$Q$3:$Q$502*(Scores!$U$3:$U$502+1)))-1)-(5-SUMPRODUCT(MAX((Scores!$A$3:$A$502=$A2)*Scores!$Q$3:$Q$502*(5-Scores!$U$3:$U$502)))))</f>
        <v/>
      </c>
      <c r="G2" s="41">
        <f>IF(OR($A2="",N($B2)&lt;2,Scores!$H$2=0),"",(SUMPRODUCT(MAX((Scores!$A$3:$A$502=$A2)*Scores!$Q$3:$Q$502*(Scores!$V$3:$V$502+1)))-1)-(5-SUMPRODUCT(MAX((Scores!$A$3:$A$502=$A2)*Scores!$Q$3:$Q$502*(5-Scores!$V$3:$V$502)))))</f>
        <v/>
      </c>
      <c r="H2" s="41">
        <f>IF(OR($A2="",N($B2)&lt;2,Scores!$I$2=0),"",(SUMPRODUCT(MAX((Scores!$A$3:$A$502=$A2)*Scores!$Q$3:$Q$502*(Scores!$W$3:$W$502+1)))-1)-(5-SUMPRODUCT(MAX((Scores!$A$3:$A$502=$A2)*Scores!$Q$3:$Q$502*(5-Scores!$W$3:$W$502)))))</f>
        <v/>
      </c>
      <c r="I2" s="41">
        <f>IF(OR($A2="",N($B2)&lt;2,Scores!$J$2=0),"",(SUMPRODUCT(MAX((Scores!$A$3:$A$502=$A2)*Scores!$Q$3:$Q$502*(Scores!$X$3:$X$502+1)))-1)-(5-SUMPRODUCT(MAX((Scores!$A$3:$A$502=$A2)*Scores!$Q$3:$Q$502*(5-Scores!$X$3:$X$502)))))</f>
        <v/>
      </c>
      <c r="J2" s="41">
        <f>IF(OR($A2="",N($B2)&lt;2,Scores!$K$2=0),"",(SUMPRODUCT(MAX((Scores!$A$3:$A$502=$A2)*Scores!$Q$3:$Q$502*(Scores!$Y$3:$Y$502+1)))-1)-(5-SUMPRODUCT(MAX((Scores!$A$3:$A$502=$A2)*Scores!$Q$3:$Q$502*(5-Scores!$Y$3:$Y$502)))))</f>
        <v/>
      </c>
      <c r="K2" s="27">
        <f>IF(COUNT(C2:J2)=0,"",MAX(C2:J2))</f>
        <v/>
      </c>
    </row>
    <row r="3">
      <c r="A3" s="41">
        <f>IF(Applications!$A3="","",Applications!$A3&amp;"")</f>
        <v/>
      </c>
      <c r="B3" s="41">
        <f>IF($A3="","",COUNTIFS(Scores!$A$3:$A$502,$A3,Scores!$O$3:$O$502,"Counted"))</f>
        <v/>
      </c>
      <c r="C3" s="41">
        <f>IF(OR($A3="",N($B3)&lt;2,Scores!$D$2=0),"",(SUMPRODUCT(MAX((Scores!$A$3:$A$502=$A3)*Scores!$Q$3:$Q$502*(Scores!$R$3:$R$502+1)))-1)-(5-SUMPRODUCT(MAX((Scores!$A$3:$A$502=$A3)*Scores!$Q$3:$Q$502*(5-Scores!$R$3:$R$502)))))</f>
        <v/>
      </c>
      <c r="D3" s="41">
        <f>IF(OR($A3="",N($B3)&lt;2,Scores!$E$2=0),"",(SUMPRODUCT(MAX((Scores!$A$3:$A$502=$A3)*Scores!$Q$3:$Q$502*(Scores!$S$3:$S$502+1)))-1)-(5-SUMPRODUCT(MAX((Scores!$A$3:$A$502=$A3)*Scores!$Q$3:$Q$502*(5-Scores!$S$3:$S$502)))))</f>
        <v/>
      </c>
      <c r="E3" s="41">
        <f>IF(OR($A3="",N($B3)&lt;2,Scores!$F$2=0),"",(SUMPRODUCT(MAX((Scores!$A$3:$A$502=$A3)*Scores!$Q$3:$Q$502*(Scores!$T$3:$T$502+1)))-1)-(5-SUMPRODUCT(MAX((Scores!$A$3:$A$502=$A3)*Scores!$Q$3:$Q$502*(5-Scores!$T$3:$T$502)))))</f>
        <v/>
      </c>
      <c r="F3" s="41">
        <f>IF(OR($A3="",N($B3)&lt;2,Scores!$G$2=0),"",(SUMPRODUCT(MAX((Scores!$A$3:$A$502=$A3)*Scores!$Q$3:$Q$502*(Scores!$U$3:$U$502+1)))-1)-(5-SUMPRODUCT(MAX((Scores!$A$3:$A$502=$A3)*Scores!$Q$3:$Q$502*(5-Scores!$U$3:$U$502)))))</f>
        <v/>
      </c>
      <c r="G3" s="41">
        <f>IF(OR($A3="",N($B3)&lt;2,Scores!$H$2=0),"",(SUMPRODUCT(MAX((Scores!$A$3:$A$502=$A3)*Scores!$Q$3:$Q$502*(Scores!$V$3:$V$502+1)))-1)-(5-SUMPRODUCT(MAX((Scores!$A$3:$A$502=$A3)*Scores!$Q$3:$Q$502*(5-Scores!$V$3:$V$502)))))</f>
        <v/>
      </c>
      <c r="H3" s="41">
        <f>IF(OR($A3="",N($B3)&lt;2,Scores!$I$2=0),"",(SUMPRODUCT(MAX((Scores!$A$3:$A$502=$A3)*Scores!$Q$3:$Q$502*(Scores!$W$3:$W$502+1)))-1)-(5-SUMPRODUCT(MAX((Scores!$A$3:$A$502=$A3)*Scores!$Q$3:$Q$502*(5-Scores!$W$3:$W$502)))))</f>
        <v/>
      </c>
      <c r="I3" s="41">
        <f>IF(OR($A3="",N($B3)&lt;2,Scores!$J$2=0),"",(SUMPRODUCT(MAX((Scores!$A$3:$A$502=$A3)*Scores!$Q$3:$Q$502*(Scores!$X$3:$X$502+1)))-1)-(5-SUMPRODUCT(MAX((Scores!$A$3:$A$502=$A3)*Scores!$Q$3:$Q$502*(5-Scores!$X$3:$X$502)))))</f>
        <v/>
      </c>
      <c r="J3" s="41">
        <f>IF(OR($A3="",N($B3)&lt;2,Scores!$K$2=0),"",(SUMPRODUCT(MAX((Scores!$A$3:$A$502=$A3)*Scores!$Q$3:$Q$502*(Scores!$Y$3:$Y$502+1)))-1)-(5-SUMPRODUCT(MAX((Scores!$A$3:$A$502=$A3)*Scores!$Q$3:$Q$502*(5-Scores!$Y$3:$Y$502)))))</f>
        <v/>
      </c>
      <c r="K3" s="27">
        <f>IF(COUNT(C3:J3)=0,"",MAX(C3:J3))</f>
        <v/>
      </c>
    </row>
    <row r="4">
      <c r="A4" s="41">
        <f>IF(Applications!$A4="","",Applications!$A4&amp;"")</f>
        <v/>
      </c>
      <c r="B4" s="41">
        <f>IF($A4="","",COUNTIFS(Scores!$A$3:$A$502,$A4,Scores!$O$3:$O$502,"Counted"))</f>
        <v/>
      </c>
      <c r="C4" s="41">
        <f>IF(OR($A4="",N($B4)&lt;2,Scores!$D$2=0),"",(SUMPRODUCT(MAX((Scores!$A$3:$A$502=$A4)*Scores!$Q$3:$Q$502*(Scores!$R$3:$R$502+1)))-1)-(5-SUMPRODUCT(MAX((Scores!$A$3:$A$502=$A4)*Scores!$Q$3:$Q$502*(5-Scores!$R$3:$R$502)))))</f>
        <v/>
      </c>
      <c r="D4" s="41">
        <f>IF(OR($A4="",N($B4)&lt;2,Scores!$E$2=0),"",(SUMPRODUCT(MAX((Scores!$A$3:$A$502=$A4)*Scores!$Q$3:$Q$502*(Scores!$S$3:$S$502+1)))-1)-(5-SUMPRODUCT(MAX((Scores!$A$3:$A$502=$A4)*Scores!$Q$3:$Q$502*(5-Scores!$S$3:$S$502)))))</f>
        <v/>
      </c>
      <c r="E4" s="41">
        <f>IF(OR($A4="",N($B4)&lt;2,Scores!$F$2=0),"",(SUMPRODUCT(MAX((Scores!$A$3:$A$502=$A4)*Scores!$Q$3:$Q$502*(Scores!$T$3:$T$502+1)))-1)-(5-SUMPRODUCT(MAX((Scores!$A$3:$A$502=$A4)*Scores!$Q$3:$Q$502*(5-Scores!$T$3:$T$502)))))</f>
        <v/>
      </c>
      <c r="F4" s="41">
        <f>IF(OR($A4="",N($B4)&lt;2,Scores!$G$2=0),"",(SUMPRODUCT(MAX((Scores!$A$3:$A$502=$A4)*Scores!$Q$3:$Q$502*(Scores!$U$3:$U$502+1)))-1)-(5-SUMPRODUCT(MAX((Scores!$A$3:$A$502=$A4)*Scores!$Q$3:$Q$502*(5-Scores!$U$3:$U$502)))))</f>
        <v/>
      </c>
      <c r="G4" s="41">
        <f>IF(OR($A4="",N($B4)&lt;2,Scores!$H$2=0),"",(SUMPRODUCT(MAX((Scores!$A$3:$A$502=$A4)*Scores!$Q$3:$Q$502*(Scores!$V$3:$V$502+1)))-1)-(5-SUMPRODUCT(MAX((Scores!$A$3:$A$502=$A4)*Scores!$Q$3:$Q$502*(5-Scores!$V$3:$V$502)))))</f>
        <v/>
      </c>
      <c r="H4" s="41">
        <f>IF(OR($A4="",N($B4)&lt;2,Scores!$I$2=0),"",(SUMPRODUCT(MAX((Scores!$A$3:$A$502=$A4)*Scores!$Q$3:$Q$502*(Scores!$W$3:$W$502+1)))-1)-(5-SUMPRODUCT(MAX((Scores!$A$3:$A$502=$A4)*Scores!$Q$3:$Q$502*(5-Scores!$W$3:$W$502)))))</f>
        <v/>
      </c>
      <c r="I4" s="41">
        <f>IF(OR($A4="",N($B4)&lt;2,Scores!$J$2=0),"",(SUMPRODUCT(MAX((Scores!$A$3:$A$502=$A4)*Scores!$Q$3:$Q$502*(Scores!$X$3:$X$502+1)))-1)-(5-SUMPRODUCT(MAX((Scores!$A$3:$A$502=$A4)*Scores!$Q$3:$Q$502*(5-Scores!$X$3:$X$502)))))</f>
        <v/>
      </c>
      <c r="J4" s="41">
        <f>IF(OR($A4="",N($B4)&lt;2,Scores!$K$2=0),"",(SUMPRODUCT(MAX((Scores!$A$3:$A$502=$A4)*Scores!$Q$3:$Q$502*(Scores!$Y$3:$Y$502+1)))-1)-(5-SUMPRODUCT(MAX((Scores!$A$3:$A$502=$A4)*Scores!$Q$3:$Q$502*(5-Scores!$Y$3:$Y$502)))))</f>
        <v/>
      </c>
      <c r="K4" s="27">
        <f>IF(COUNT(C4:J4)=0,"",MAX(C4:J4))</f>
        <v/>
      </c>
    </row>
    <row r="5">
      <c r="A5" s="41">
        <f>IF(Applications!$A5="","",Applications!$A5&amp;"")</f>
        <v/>
      </c>
      <c r="B5" s="41">
        <f>IF($A5="","",COUNTIFS(Scores!$A$3:$A$502,$A5,Scores!$O$3:$O$502,"Counted"))</f>
        <v/>
      </c>
      <c r="C5" s="41">
        <f>IF(OR($A5="",N($B5)&lt;2,Scores!$D$2=0),"",(SUMPRODUCT(MAX((Scores!$A$3:$A$502=$A5)*Scores!$Q$3:$Q$502*(Scores!$R$3:$R$502+1)))-1)-(5-SUMPRODUCT(MAX((Scores!$A$3:$A$502=$A5)*Scores!$Q$3:$Q$502*(5-Scores!$R$3:$R$502)))))</f>
        <v/>
      </c>
      <c r="D5" s="41">
        <f>IF(OR($A5="",N($B5)&lt;2,Scores!$E$2=0),"",(SUMPRODUCT(MAX((Scores!$A$3:$A$502=$A5)*Scores!$Q$3:$Q$502*(Scores!$S$3:$S$502+1)))-1)-(5-SUMPRODUCT(MAX((Scores!$A$3:$A$502=$A5)*Scores!$Q$3:$Q$502*(5-Scores!$S$3:$S$502)))))</f>
        <v/>
      </c>
      <c r="E5" s="41">
        <f>IF(OR($A5="",N($B5)&lt;2,Scores!$F$2=0),"",(SUMPRODUCT(MAX((Scores!$A$3:$A$502=$A5)*Scores!$Q$3:$Q$502*(Scores!$T$3:$T$502+1)))-1)-(5-SUMPRODUCT(MAX((Scores!$A$3:$A$502=$A5)*Scores!$Q$3:$Q$502*(5-Scores!$T$3:$T$502)))))</f>
        <v/>
      </c>
      <c r="F5" s="41">
        <f>IF(OR($A5="",N($B5)&lt;2,Scores!$G$2=0),"",(SUMPRODUCT(MAX((Scores!$A$3:$A$502=$A5)*Scores!$Q$3:$Q$502*(Scores!$U$3:$U$502+1)))-1)-(5-SUMPRODUCT(MAX((Scores!$A$3:$A$502=$A5)*Scores!$Q$3:$Q$502*(5-Scores!$U$3:$U$502)))))</f>
        <v/>
      </c>
      <c r="G5" s="41">
        <f>IF(OR($A5="",N($B5)&lt;2,Scores!$H$2=0),"",(SUMPRODUCT(MAX((Scores!$A$3:$A$502=$A5)*Scores!$Q$3:$Q$502*(Scores!$V$3:$V$502+1)))-1)-(5-SUMPRODUCT(MAX((Scores!$A$3:$A$502=$A5)*Scores!$Q$3:$Q$502*(5-Scores!$V$3:$V$502)))))</f>
        <v/>
      </c>
      <c r="H5" s="41">
        <f>IF(OR($A5="",N($B5)&lt;2,Scores!$I$2=0),"",(SUMPRODUCT(MAX((Scores!$A$3:$A$502=$A5)*Scores!$Q$3:$Q$502*(Scores!$W$3:$W$502+1)))-1)-(5-SUMPRODUCT(MAX((Scores!$A$3:$A$502=$A5)*Scores!$Q$3:$Q$502*(5-Scores!$W$3:$W$502)))))</f>
        <v/>
      </c>
      <c r="I5" s="41">
        <f>IF(OR($A5="",N($B5)&lt;2,Scores!$J$2=0),"",(SUMPRODUCT(MAX((Scores!$A$3:$A$502=$A5)*Scores!$Q$3:$Q$502*(Scores!$X$3:$X$502+1)))-1)-(5-SUMPRODUCT(MAX((Scores!$A$3:$A$502=$A5)*Scores!$Q$3:$Q$502*(5-Scores!$X$3:$X$502)))))</f>
        <v/>
      </c>
      <c r="J5" s="41">
        <f>IF(OR($A5="",N($B5)&lt;2,Scores!$K$2=0),"",(SUMPRODUCT(MAX((Scores!$A$3:$A$502=$A5)*Scores!$Q$3:$Q$502*(Scores!$Y$3:$Y$502+1)))-1)-(5-SUMPRODUCT(MAX((Scores!$A$3:$A$502=$A5)*Scores!$Q$3:$Q$502*(5-Scores!$Y$3:$Y$502)))))</f>
        <v/>
      </c>
      <c r="K5" s="27">
        <f>IF(COUNT(C5:J5)=0,"",MAX(C5:J5))</f>
        <v/>
      </c>
    </row>
    <row r="6">
      <c r="A6" s="41">
        <f>IF(Applications!$A6="","",Applications!$A6&amp;"")</f>
        <v/>
      </c>
      <c r="B6" s="41">
        <f>IF($A6="","",COUNTIFS(Scores!$A$3:$A$502,$A6,Scores!$O$3:$O$502,"Counted"))</f>
        <v/>
      </c>
      <c r="C6" s="41">
        <f>IF(OR($A6="",N($B6)&lt;2,Scores!$D$2=0),"",(SUMPRODUCT(MAX((Scores!$A$3:$A$502=$A6)*Scores!$Q$3:$Q$502*(Scores!$R$3:$R$502+1)))-1)-(5-SUMPRODUCT(MAX((Scores!$A$3:$A$502=$A6)*Scores!$Q$3:$Q$502*(5-Scores!$R$3:$R$502)))))</f>
        <v/>
      </c>
      <c r="D6" s="41">
        <f>IF(OR($A6="",N($B6)&lt;2,Scores!$E$2=0),"",(SUMPRODUCT(MAX((Scores!$A$3:$A$502=$A6)*Scores!$Q$3:$Q$502*(Scores!$S$3:$S$502+1)))-1)-(5-SUMPRODUCT(MAX((Scores!$A$3:$A$502=$A6)*Scores!$Q$3:$Q$502*(5-Scores!$S$3:$S$502)))))</f>
        <v/>
      </c>
      <c r="E6" s="41">
        <f>IF(OR($A6="",N($B6)&lt;2,Scores!$F$2=0),"",(SUMPRODUCT(MAX((Scores!$A$3:$A$502=$A6)*Scores!$Q$3:$Q$502*(Scores!$T$3:$T$502+1)))-1)-(5-SUMPRODUCT(MAX((Scores!$A$3:$A$502=$A6)*Scores!$Q$3:$Q$502*(5-Scores!$T$3:$T$502)))))</f>
        <v/>
      </c>
      <c r="F6" s="41">
        <f>IF(OR($A6="",N($B6)&lt;2,Scores!$G$2=0),"",(SUMPRODUCT(MAX((Scores!$A$3:$A$502=$A6)*Scores!$Q$3:$Q$502*(Scores!$U$3:$U$502+1)))-1)-(5-SUMPRODUCT(MAX((Scores!$A$3:$A$502=$A6)*Scores!$Q$3:$Q$502*(5-Scores!$U$3:$U$502)))))</f>
        <v/>
      </c>
      <c r="G6" s="41">
        <f>IF(OR($A6="",N($B6)&lt;2,Scores!$H$2=0),"",(SUMPRODUCT(MAX((Scores!$A$3:$A$502=$A6)*Scores!$Q$3:$Q$502*(Scores!$V$3:$V$502+1)))-1)-(5-SUMPRODUCT(MAX((Scores!$A$3:$A$502=$A6)*Scores!$Q$3:$Q$502*(5-Scores!$V$3:$V$502)))))</f>
        <v/>
      </c>
      <c r="H6" s="41">
        <f>IF(OR($A6="",N($B6)&lt;2,Scores!$I$2=0),"",(SUMPRODUCT(MAX((Scores!$A$3:$A$502=$A6)*Scores!$Q$3:$Q$502*(Scores!$W$3:$W$502+1)))-1)-(5-SUMPRODUCT(MAX((Scores!$A$3:$A$502=$A6)*Scores!$Q$3:$Q$502*(5-Scores!$W$3:$W$502)))))</f>
        <v/>
      </c>
      <c r="I6" s="41">
        <f>IF(OR($A6="",N($B6)&lt;2,Scores!$J$2=0),"",(SUMPRODUCT(MAX((Scores!$A$3:$A$502=$A6)*Scores!$Q$3:$Q$502*(Scores!$X$3:$X$502+1)))-1)-(5-SUMPRODUCT(MAX((Scores!$A$3:$A$502=$A6)*Scores!$Q$3:$Q$502*(5-Scores!$X$3:$X$502)))))</f>
        <v/>
      </c>
      <c r="J6" s="41">
        <f>IF(OR($A6="",N($B6)&lt;2,Scores!$K$2=0),"",(SUMPRODUCT(MAX((Scores!$A$3:$A$502=$A6)*Scores!$Q$3:$Q$502*(Scores!$Y$3:$Y$502+1)))-1)-(5-SUMPRODUCT(MAX((Scores!$A$3:$A$502=$A6)*Scores!$Q$3:$Q$502*(5-Scores!$Y$3:$Y$502)))))</f>
        <v/>
      </c>
      <c r="K6" s="27">
        <f>IF(COUNT(C6:J6)=0,"",MAX(C6:J6))</f>
        <v/>
      </c>
    </row>
    <row r="7">
      <c r="A7" s="41">
        <f>IF(Applications!$A7="","",Applications!$A7&amp;"")</f>
        <v/>
      </c>
      <c r="B7" s="41">
        <f>IF($A7="","",COUNTIFS(Scores!$A$3:$A$502,$A7,Scores!$O$3:$O$502,"Counted"))</f>
        <v/>
      </c>
      <c r="C7" s="41">
        <f>IF(OR($A7="",N($B7)&lt;2,Scores!$D$2=0),"",(SUMPRODUCT(MAX((Scores!$A$3:$A$502=$A7)*Scores!$Q$3:$Q$502*(Scores!$R$3:$R$502+1)))-1)-(5-SUMPRODUCT(MAX((Scores!$A$3:$A$502=$A7)*Scores!$Q$3:$Q$502*(5-Scores!$R$3:$R$502)))))</f>
        <v/>
      </c>
      <c r="D7" s="41">
        <f>IF(OR($A7="",N($B7)&lt;2,Scores!$E$2=0),"",(SUMPRODUCT(MAX((Scores!$A$3:$A$502=$A7)*Scores!$Q$3:$Q$502*(Scores!$S$3:$S$502+1)))-1)-(5-SUMPRODUCT(MAX((Scores!$A$3:$A$502=$A7)*Scores!$Q$3:$Q$502*(5-Scores!$S$3:$S$502)))))</f>
        <v/>
      </c>
      <c r="E7" s="41">
        <f>IF(OR($A7="",N($B7)&lt;2,Scores!$F$2=0),"",(SUMPRODUCT(MAX((Scores!$A$3:$A$502=$A7)*Scores!$Q$3:$Q$502*(Scores!$T$3:$T$502+1)))-1)-(5-SUMPRODUCT(MAX((Scores!$A$3:$A$502=$A7)*Scores!$Q$3:$Q$502*(5-Scores!$T$3:$T$502)))))</f>
        <v/>
      </c>
      <c r="F7" s="41">
        <f>IF(OR($A7="",N($B7)&lt;2,Scores!$G$2=0),"",(SUMPRODUCT(MAX((Scores!$A$3:$A$502=$A7)*Scores!$Q$3:$Q$502*(Scores!$U$3:$U$502+1)))-1)-(5-SUMPRODUCT(MAX((Scores!$A$3:$A$502=$A7)*Scores!$Q$3:$Q$502*(5-Scores!$U$3:$U$502)))))</f>
        <v/>
      </c>
      <c r="G7" s="41">
        <f>IF(OR($A7="",N($B7)&lt;2,Scores!$H$2=0),"",(SUMPRODUCT(MAX((Scores!$A$3:$A$502=$A7)*Scores!$Q$3:$Q$502*(Scores!$V$3:$V$502+1)))-1)-(5-SUMPRODUCT(MAX((Scores!$A$3:$A$502=$A7)*Scores!$Q$3:$Q$502*(5-Scores!$V$3:$V$502)))))</f>
        <v/>
      </c>
      <c r="H7" s="41">
        <f>IF(OR($A7="",N($B7)&lt;2,Scores!$I$2=0),"",(SUMPRODUCT(MAX((Scores!$A$3:$A$502=$A7)*Scores!$Q$3:$Q$502*(Scores!$W$3:$W$502+1)))-1)-(5-SUMPRODUCT(MAX((Scores!$A$3:$A$502=$A7)*Scores!$Q$3:$Q$502*(5-Scores!$W$3:$W$502)))))</f>
        <v/>
      </c>
      <c r="I7" s="41">
        <f>IF(OR($A7="",N($B7)&lt;2,Scores!$J$2=0),"",(SUMPRODUCT(MAX((Scores!$A$3:$A$502=$A7)*Scores!$Q$3:$Q$502*(Scores!$X$3:$X$502+1)))-1)-(5-SUMPRODUCT(MAX((Scores!$A$3:$A$502=$A7)*Scores!$Q$3:$Q$502*(5-Scores!$X$3:$X$502)))))</f>
        <v/>
      </c>
      <c r="J7" s="41">
        <f>IF(OR($A7="",N($B7)&lt;2,Scores!$K$2=0),"",(SUMPRODUCT(MAX((Scores!$A$3:$A$502=$A7)*Scores!$Q$3:$Q$502*(Scores!$Y$3:$Y$502+1)))-1)-(5-SUMPRODUCT(MAX((Scores!$A$3:$A$502=$A7)*Scores!$Q$3:$Q$502*(5-Scores!$Y$3:$Y$502)))))</f>
        <v/>
      </c>
      <c r="K7" s="27">
        <f>IF(COUNT(C7:J7)=0,"",MAX(C7:J7))</f>
        <v/>
      </c>
    </row>
    <row r="8">
      <c r="A8" s="41">
        <f>IF(Applications!$A8="","",Applications!$A8&amp;"")</f>
        <v/>
      </c>
      <c r="B8" s="41">
        <f>IF($A8="","",COUNTIFS(Scores!$A$3:$A$502,$A8,Scores!$O$3:$O$502,"Counted"))</f>
        <v/>
      </c>
      <c r="C8" s="41">
        <f>IF(OR($A8="",N($B8)&lt;2,Scores!$D$2=0),"",(SUMPRODUCT(MAX((Scores!$A$3:$A$502=$A8)*Scores!$Q$3:$Q$502*(Scores!$R$3:$R$502+1)))-1)-(5-SUMPRODUCT(MAX((Scores!$A$3:$A$502=$A8)*Scores!$Q$3:$Q$502*(5-Scores!$R$3:$R$502)))))</f>
        <v/>
      </c>
      <c r="D8" s="41">
        <f>IF(OR($A8="",N($B8)&lt;2,Scores!$E$2=0),"",(SUMPRODUCT(MAX((Scores!$A$3:$A$502=$A8)*Scores!$Q$3:$Q$502*(Scores!$S$3:$S$502+1)))-1)-(5-SUMPRODUCT(MAX((Scores!$A$3:$A$502=$A8)*Scores!$Q$3:$Q$502*(5-Scores!$S$3:$S$502)))))</f>
        <v/>
      </c>
      <c r="E8" s="41">
        <f>IF(OR($A8="",N($B8)&lt;2,Scores!$F$2=0),"",(SUMPRODUCT(MAX((Scores!$A$3:$A$502=$A8)*Scores!$Q$3:$Q$502*(Scores!$T$3:$T$502+1)))-1)-(5-SUMPRODUCT(MAX((Scores!$A$3:$A$502=$A8)*Scores!$Q$3:$Q$502*(5-Scores!$T$3:$T$502)))))</f>
        <v/>
      </c>
      <c r="F8" s="41">
        <f>IF(OR($A8="",N($B8)&lt;2,Scores!$G$2=0),"",(SUMPRODUCT(MAX((Scores!$A$3:$A$502=$A8)*Scores!$Q$3:$Q$502*(Scores!$U$3:$U$502+1)))-1)-(5-SUMPRODUCT(MAX((Scores!$A$3:$A$502=$A8)*Scores!$Q$3:$Q$502*(5-Scores!$U$3:$U$502)))))</f>
        <v/>
      </c>
      <c r="G8" s="41">
        <f>IF(OR($A8="",N($B8)&lt;2,Scores!$H$2=0),"",(SUMPRODUCT(MAX((Scores!$A$3:$A$502=$A8)*Scores!$Q$3:$Q$502*(Scores!$V$3:$V$502+1)))-1)-(5-SUMPRODUCT(MAX((Scores!$A$3:$A$502=$A8)*Scores!$Q$3:$Q$502*(5-Scores!$V$3:$V$502)))))</f>
        <v/>
      </c>
      <c r="H8" s="41">
        <f>IF(OR($A8="",N($B8)&lt;2,Scores!$I$2=0),"",(SUMPRODUCT(MAX((Scores!$A$3:$A$502=$A8)*Scores!$Q$3:$Q$502*(Scores!$W$3:$W$502+1)))-1)-(5-SUMPRODUCT(MAX((Scores!$A$3:$A$502=$A8)*Scores!$Q$3:$Q$502*(5-Scores!$W$3:$W$502)))))</f>
        <v/>
      </c>
      <c r="I8" s="41">
        <f>IF(OR($A8="",N($B8)&lt;2,Scores!$J$2=0),"",(SUMPRODUCT(MAX((Scores!$A$3:$A$502=$A8)*Scores!$Q$3:$Q$502*(Scores!$X$3:$X$502+1)))-1)-(5-SUMPRODUCT(MAX((Scores!$A$3:$A$502=$A8)*Scores!$Q$3:$Q$502*(5-Scores!$X$3:$X$502)))))</f>
        <v/>
      </c>
      <c r="J8" s="41">
        <f>IF(OR($A8="",N($B8)&lt;2,Scores!$K$2=0),"",(SUMPRODUCT(MAX((Scores!$A$3:$A$502=$A8)*Scores!$Q$3:$Q$502*(Scores!$Y$3:$Y$502+1)))-1)-(5-SUMPRODUCT(MAX((Scores!$A$3:$A$502=$A8)*Scores!$Q$3:$Q$502*(5-Scores!$Y$3:$Y$502)))))</f>
        <v/>
      </c>
      <c r="K8" s="27">
        <f>IF(COUNT(C8:J8)=0,"",MAX(C8:J8))</f>
        <v/>
      </c>
    </row>
    <row r="9">
      <c r="A9" s="41">
        <f>IF(Applications!$A9="","",Applications!$A9&amp;"")</f>
        <v/>
      </c>
      <c r="B9" s="41">
        <f>IF($A9="","",COUNTIFS(Scores!$A$3:$A$502,$A9,Scores!$O$3:$O$502,"Counted"))</f>
        <v/>
      </c>
      <c r="C9" s="41">
        <f>IF(OR($A9="",N($B9)&lt;2,Scores!$D$2=0),"",(SUMPRODUCT(MAX((Scores!$A$3:$A$502=$A9)*Scores!$Q$3:$Q$502*(Scores!$R$3:$R$502+1)))-1)-(5-SUMPRODUCT(MAX((Scores!$A$3:$A$502=$A9)*Scores!$Q$3:$Q$502*(5-Scores!$R$3:$R$502)))))</f>
        <v/>
      </c>
      <c r="D9" s="41">
        <f>IF(OR($A9="",N($B9)&lt;2,Scores!$E$2=0),"",(SUMPRODUCT(MAX((Scores!$A$3:$A$502=$A9)*Scores!$Q$3:$Q$502*(Scores!$S$3:$S$502+1)))-1)-(5-SUMPRODUCT(MAX((Scores!$A$3:$A$502=$A9)*Scores!$Q$3:$Q$502*(5-Scores!$S$3:$S$502)))))</f>
        <v/>
      </c>
      <c r="E9" s="41">
        <f>IF(OR($A9="",N($B9)&lt;2,Scores!$F$2=0),"",(SUMPRODUCT(MAX((Scores!$A$3:$A$502=$A9)*Scores!$Q$3:$Q$502*(Scores!$T$3:$T$502+1)))-1)-(5-SUMPRODUCT(MAX((Scores!$A$3:$A$502=$A9)*Scores!$Q$3:$Q$502*(5-Scores!$T$3:$T$502)))))</f>
        <v/>
      </c>
      <c r="F9" s="41">
        <f>IF(OR($A9="",N($B9)&lt;2,Scores!$G$2=0),"",(SUMPRODUCT(MAX((Scores!$A$3:$A$502=$A9)*Scores!$Q$3:$Q$502*(Scores!$U$3:$U$502+1)))-1)-(5-SUMPRODUCT(MAX((Scores!$A$3:$A$502=$A9)*Scores!$Q$3:$Q$502*(5-Scores!$U$3:$U$502)))))</f>
        <v/>
      </c>
      <c r="G9" s="41">
        <f>IF(OR($A9="",N($B9)&lt;2,Scores!$H$2=0),"",(SUMPRODUCT(MAX((Scores!$A$3:$A$502=$A9)*Scores!$Q$3:$Q$502*(Scores!$V$3:$V$502+1)))-1)-(5-SUMPRODUCT(MAX((Scores!$A$3:$A$502=$A9)*Scores!$Q$3:$Q$502*(5-Scores!$V$3:$V$502)))))</f>
        <v/>
      </c>
      <c r="H9" s="41">
        <f>IF(OR($A9="",N($B9)&lt;2,Scores!$I$2=0),"",(SUMPRODUCT(MAX((Scores!$A$3:$A$502=$A9)*Scores!$Q$3:$Q$502*(Scores!$W$3:$W$502+1)))-1)-(5-SUMPRODUCT(MAX((Scores!$A$3:$A$502=$A9)*Scores!$Q$3:$Q$502*(5-Scores!$W$3:$W$502)))))</f>
        <v/>
      </c>
      <c r="I9" s="41">
        <f>IF(OR($A9="",N($B9)&lt;2,Scores!$J$2=0),"",(SUMPRODUCT(MAX((Scores!$A$3:$A$502=$A9)*Scores!$Q$3:$Q$502*(Scores!$X$3:$X$502+1)))-1)-(5-SUMPRODUCT(MAX((Scores!$A$3:$A$502=$A9)*Scores!$Q$3:$Q$502*(5-Scores!$X$3:$X$502)))))</f>
        <v/>
      </c>
      <c r="J9" s="41">
        <f>IF(OR($A9="",N($B9)&lt;2,Scores!$K$2=0),"",(SUMPRODUCT(MAX((Scores!$A$3:$A$502=$A9)*Scores!$Q$3:$Q$502*(Scores!$Y$3:$Y$502+1)))-1)-(5-SUMPRODUCT(MAX((Scores!$A$3:$A$502=$A9)*Scores!$Q$3:$Q$502*(5-Scores!$Y$3:$Y$502)))))</f>
        <v/>
      </c>
      <c r="K9" s="27">
        <f>IF(COUNT(C9:J9)=0,"",MAX(C9:J9))</f>
        <v/>
      </c>
    </row>
    <row r="10">
      <c r="A10" s="41">
        <f>IF(Applications!$A10="","",Applications!$A10&amp;"")</f>
        <v/>
      </c>
      <c r="B10" s="41">
        <f>IF($A10="","",COUNTIFS(Scores!$A$3:$A$502,$A10,Scores!$O$3:$O$502,"Counted"))</f>
        <v/>
      </c>
      <c r="C10" s="41">
        <f>IF(OR($A10="",N($B10)&lt;2,Scores!$D$2=0),"",(SUMPRODUCT(MAX((Scores!$A$3:$A$502=$A10)*Scores!$Q$3:$Q$502*(Scores!$R$3:$R$502+1)))-1)-(5-SUMPRODUCT(MAX((Scores!$A$3:$A$502=$A10)*Scores!$Q$3:$Q$502*(5-Scores!$R$3:$R$502)))))</f>
        <v/>
      </c>
      <c r="D10" s="41">
        <f>IF(OR($A10="",N($B10)&lt;2,Scores!$E$2=0),"",(SUMPRODUCT(MAX((Scores!$A$3:$A$502=$A10)*Scores!$Q$3:$Q$502*(Scores!$S$3:$S$502+1)))-1)-(5-SUMPRODUCT(MAX((Scores!$A$3:$A$502=$A10)*Scores!$Q$3:$Q$502*(5-Scores!$S$3:$S$502)))))</f>
        <v/>
      </c>
      <c r="E10" s="41">
        <f>IF(OR($A10="",N($B10)&lt;2,Scores!$F$2=0),"",(SUMPRODUCT(MAX((Scores!$A$3:$A$502=$A10)*Scores!$Q$3:$Q$502*(Scores!$T$3:$T$502+1)))-1)-(5-SUMPRODUCT(MAX((Scores!$A$3:$A$502=$A10)*Scores!$Q$3:$Q$502*(5-Scores!$T$3:$T$502)))))</f>
        <v/>
      </c>
      <c r="F10" s="41">
        <f>IF(OR($A10="",N($B10)&lt;2,Scores!$G$2=0),"",(SUMPRODUCT(MAX((Scores!$A$3:$A$502=$A10)*Scores!$Q$3:$Q$502*(Scores!$U$3:$U$502+1)))-1)-(5-SUMPRODUCT(MAX((Scores!$A$3:$A$502=$A10)*Scores!$Q$3:$Q$502*(5-Scores!$U$3:$U$502)))))</f>
        <v/>
      </c>
      <c r="G10" s="41">
        <f>IF(OR($A10="",N($B10)&lt;2,Scores!$H$2=0),"",(SUMPRODUCT(MAX((Scores!$A$3:$A$502=$A10)*Scores!$Q$3:$Q$502*(Scores!$V$3:$V$502+1)))-1)-(5-SUMPRODUCT(MAX((Scores!$A$3:$A$502=$A10)*Scores!$Q$3:$Q$502*(5-Scores!$V$3:$V$502)))))</f>
        <v/>
      </c>
      <c r="H10" s="41">
        <f>IF(OR($A10="",N($B10)&lt;2,Scores!$I$2=0),"",(SUMPRODUCT(MAX((Scores!$A$3:$A$502=$A10)*Scores!$Q$3:$Q$502*(Scores!$W$3:$W$502+1)))-1)-(5-SUMPRODUCT(MAX((Scores!$A$3:$A$502=$A10)*Scores!$Q$3:$Q$502*(5-Scores!$W$3:$W$502)))))</f>
        <v/>
      </c>
      <c r="I10" s="41">
        <f>IF(OR($A10="",N($B10)&lt;2,Scores!$J$2=0),"",(SUMPRODUCT(MAX((Scores!$A$3:$A$502=$A10)*Scores!$Q$3:$Q$502*(Scores!$X$3:$X$502+1)))-1)-(5-SUMPRODUCT(MAX((Scores!$A$3:$A$502=$A10)*Scores!$Q$3:$Q$502*(5-Scores!$X$3:$X$502)))))</f>
        <v/>
      </c>
      <c r="J10" s="41">
        <f>IF(OR($A10="",N($B10)&lt;2,Scores!$K$2=0),"",(SUMPRODUCT(MAX((Scores!$A$3:$A$502=$A10)*Scores!$Q$3:$Q$502*(Scores!$Y$3:$Y$502+1)))-1)-(5-SUMPRODUCT(MAX((Scores!$A$3:$A$502=$A10)*Scores!$Q$3:$Q$502*(5-Scores!$Y$3:$Y$502)))))</f>
        <v/>
      </c>
      <c r="K10" s="27">
        <f>IF(COUNT(C10:J10)=0,"",MAX(C10:J10))</f>
        <v/>
      </c>
    </row>
    <row r="11">
      <c r="A11" s="41">
        <f>IF(Applications!$A11="","",Applications!$A11&amp;"")</f>
        <v/>
      </c>
      <c r="B11" s="41">
        <f>IF($A11="","",COUNTIFS(Scores!$A$3:$A$502,$A11,Scores!$O$3:$O$502,"Counted"))</f>
        <v/>
      </c>
      <c r="C11" s="41">
        <f>IF(OR($A11="",N($B11)&lt;2,Scores!$D$2=0),"",(SUMPRODUCT(MAX((Scores!$A$3:$A$502=$A11)*Scores!$Q$3:$Q$502*(Scores!$R$3:$R$502+1)))-1)-(5-SUMPRODUCT(MAX((Scores!$A$3:$A$502=$A11)*Scores!$Q$3:$Q$502*(5-Scores!$R$3:$R$502)))))</f>
        <v/>
      </c>
      <c r="D11" s="41">
        <f>IF(OR($A11="",N($B11)&lt;2,Scores!$E$2=0),"",(SUMPRODUCT(MAX((Scores!$A$3:$A$502=$A11)*Scores!$Q$3:$Q$502*(Scores!$S$3:$S$502+1)))-1)-(5-SUMPRODUCT(MAX((Scores!$A$3:$A$502=$A11)*Scores!$Q$3:$Q$502*(5-Scores!$S$3:$S$502)))))</f>
        <v/>
      </c>
      <c r="E11" s="41">
        <f>IF(OR($A11="",N($B11)&lt;2,Scores!$F$2=0),"",(SUMPRODUCT(MAX((Scores!$A$3:$A$502=$A11)*Scores!$Q$3:$Q$502*(Scores!$T$3:$T$502+1)))-1)-(5-SUMPRODUCT(MAX((Scores!$A$3:$A$502=$A11)*Scores!$Q$3:$Q$502*(5-Scores!$T$3:$T$502)))))</f>
        <v/>
      </c>
      <c r="F11" s="41">
        <f>IF(OR($A11="",N($B11)&lt;2,Scores!$G$2=0),"",(SUMPRODUCT(MAX((Scores!$A$3:$A$502=$A11)*Scores!$Q$3:$Q$502*(Scores!$U$3:$U$502+1)))-1)-(5-SUMPRODUCT(MAX((Scores!$A$3:$A$502=$A11)*Scores!$Q$3:$Q$502*(5-Scores!$U$3:$U$502)))))</f>
        <v/>
      </c>
      <c r="G11" s="41">
        <f>IF(OR($A11="",N($B11)&lt;2,Scores!$H$2=0),"",(SUMPRODUCT(MAX((Scores!$A$3:$A$502=$A11)*Scores!$Q$3:$Q$502*(Scores!$V$3:$V$502+1)))-1)-(5-SUMPRODUCT(MAX((Scores!$A$3:$A$502=$A11)*Scores!$Q$3:$Q$502*(5-Scores!$V$3:$V$502)))))</f>
        <v/>
      </c>
      <c r="H11" s="41">
        <f>IF(OR($A11="",N($B11)&lt;2,Scores!$I$2=0),"",(SUMPRODUCT(MAX((Scores!$A$3:$A$502=$A11)*Scores!$Q$3:$Q$502*(Scores!$W$3:$W$502+1)))-1)-(5-SUMPRODUCT(MAX((Scores!$A$3:$A$502=$A11)*Scores!$Q$3:$Q$502*(5-Scores!$W$3:$W$502)))))</f>
        <v/>
      </c>
      <c r="I11" s="41">
        <f>IF(OR($A11="",N($B11)&lt;2,Scores!$J$2=0),"",(SUMPRODUCT(MAX((Scores!$A$3:$A$502=$A11)*Scores!$Q$3:$Q$502*(Scores!$X$3:$X$502+1)))-1)-(5-SUMPRODUCT(MAX((Scores!$A$3:$A$502=$A11)*Scores!$Q$3:$Q$502*(5-Scores!$X$3:$X$502)))))</f>
        <v/>
      </c>
      <c r="J11" s="41">
        <f>IF(OR($A11="",N($B11)&lt;2,Scores!$K$2=0),"",(SUMPRODUCT(MAX((Scores!$A$3:$A$502=$A11)*Scores!$Q$3:$Q$502*(Scores!$Y$3:$Y$502+1)))-1)-(5-SUMPRODUCT(MAX((Scores!$A$3:$A$502=$A11)*Scores!$Q$3:$Q$502*(5-Scores!$Y$3:$Y$502)))))</f>
        <v/>
      </c>
      <c r="K11" s="27">
        <f>IF(COUNT(C11:J11)=0,"",MAX(C11:J11))</f>
        <v/>
      </c>
    </row>
    <row r="12">
      <c r="A12" s="41">
        <f>IF(Applications!$A12="","",Applications!$A12&amp;"")</f>
        <v/>
      </c>
      <c r="B12" s="41">
        <f>IF($A12="","",COUNTIFS(Scores!$A$3:$A$502,$A12,Scores!$O$3:$O$502,"Counted"))</f>
        <v/>
      </c>
      <c r="C12" s="41">
        <f>IF(OR($A12="",N($B12)&lt;2,Scores!$D$2=0),"",(SUMPRODUCT(MAX((Scores!$A$3:$A$502=$A12)*Scores!$Q$3:$Q$502*(Scores!$R$3:$R$502+1)))-1)-(5-SUMPRODUCT(MAX((Scores!$A$3:$A$502=$A12)*Scores!$Q$3:$Q$502*(5-Scores!$R$3:$R$502)))))</f>
        <v/>
      </c>
      <c r="D12" s="41">
        <f>IF(OR($A12="",N($B12)&lt;2,Scores!$E$2=0),"",(SUMPRODUCT(MAX((Scores!$A$3:$A$502=$A12)*Scores!$Q$3:$Q$502*(Scores!$S$3:$S$502+1)))-1)-(5-SUMPRODUCT(MAX((Scores!$A$3:$A$502=$A12)*Scores!$Q$3:$Q$502*(5-Scores!$S$3:$S$502)))))</f>
        <v/>
      </c>
      <c r="E12" s="41">
        <f>IF(OR($A12="",N($B12)&lt;2,Scores!$F$2=0),"",(SUMPRODUCT(MAX((Scores!$A$3:$A$502=$A12)*Scores!$Q$3:$Q$502*(Scores!$T$3:$T$502+1)))-1)-(5-SUMPRODUCT(MAX((Scores!$A$3:$A$502=$A12)*Scores!$Q$3:$Q$502*(5-Scores!$T$3:$T$502)))))</f>
        <v/>
      </c>
      <c r="F12" s="41">
        <f>IF(OR($A12="",N($B12)&lt;2,Scores!$G$2=0),"",(SUMPRODUCT(MAX((Scores!$A$3:$A$502=$A12)*Scores!$Q$3:$Q$502*(Scores!$U$3:$U$502+1)))-1)-(5-SUMPRODUCT(MAX((Scores!$A$3:$A$502=$A12)*Scores!$Q$3:$Q$502*(5-Scores!$U$3:$U$502)))))</f>
        <v/>
      </c>
      <c r="G12" s="41">
        <f>IF(OR($A12="",N($B12)&lt;2,Scores!$H$2=0),"",(SUMPRODUCT(MAX((Scores!$A$3:$A$502=$A12)*Scores!$Q$3:$Q$502*(Scores!$V$3:$V$502+1)))-1)-(5-SUMPRODUCT(MAX((Scores!$A$3:$A$502=$A12)*Scores!$Q$3:$Q$502*(5-Scores!$V$3:$V$502)))))</f>
        <v/>
      </c>
      <c r="H12" s="41">
        <f>IF(OR($A12="",N($B12)&lt;2,Scores!$I$2=0),"",(SUMPRODUCT(MAX((Scores!$A$3:$A$502=$A12)*Scores!$Q$3:$Q$502*(Scores!$W$3:$W$502+1)))-1)-(5-SUMPRODUCT(MAX((Scores!$A$3:$A$502=$A12)*Scores!$Q$3:$Q$502*(5-Scores!$W$3:$W$502)))))</f>
        <v/>
      </c>
      <c r="I12" s="41">
        <f>IF(OR($A12="",N($B12)&lt;2,Scores!$J$2=0),"",(SUMPRODUCT(MAX((Scores!$A$3:$A$502=$A12)*Scores!$Q$3:$Q$502*(Scores!$X$3:$X$502+1)))-1)-(5-SUMPRODUCT(MAX((Scores!$A$3:$A$502=$A12)*Scores!$Q$3:$Q$502*(5-Scores!$X$3:$X$502)))))</f>
        <v/>
      </c>
      <c r="J12" s="41">
        <f>IF(OR($A12="",N($B12)&lt;2,Scores!$K$2=0),"",(SUMPRODUCT(MAX((Scores!$A$3:$A$502=$A12)*Scores!$Q$3:$Q$502*(Scores!$Y$3:$Y$502+1)))-1)-(5-SUMPRODUCT(MAX((Scores!$A$3:$A$502=$A12)*Scores!$Q$3:$Q$502*(5-Scores!$Y$3:$Y$502)))))</f>
        <v/>
      </c>
      <c r="K12" s="27">
        <f>IF(COUNT(C12:J12)=0,"",MAX(C12:J12))</f>
        <v/>
      </c>
    </row>
    <row r="13">
      <c r="A13" s="41">
        <f>IF(Applications!$A13="","",Applications!$A13&amp;"")</f>
        <v/>
      </c>
      <c r="B13" s="41">
        <f>IF($A13="","",COUNTIFS(Scores!$A$3:$A$502,$A13,Scores!$O$3:$O$502,"Counted"))</f>
        <v/>
      </c>
      <c r="C13" s="41">
        <f>IF(OR($A13="",N($B13)&lt;2,Scores!$D$2=0),"",(SUMPRODUCT(MAX((Scores!$A$3:$A$502=$A13)*Scores!$Q$3:$Q$502*(Scores!$R$3:$R$502+1)))-1)-(5-SUMPRODUCT(MAX((Scores!$A$3:$A$502=$A13)*Scores!$Q$3:$Q$502*(5-Scores!$R$3:$R$502)))))</f>
        <v/>
      </c>
      <c r="D13" s="41">
        <f>IF(OR($A13="",N($B13)&lt;2,Scores!$E$2=0),"",(SUMPRODUCT(MAX((Scores!$A$3:$A$502=$A13)*Scores!$Q$3:$Q$502*(Scores!$S$3:$S$502+1)))-1)-(5-SUMPRODUCT(MAX((Scores!$A$3:$A$502=$A13)*Scores!$Q$3:$Q$502*(5-Scores!$S$3:$S$502)))))</f>
        <v/>
      </c>
      <c r="E13" s="41">
        <f>IF(OR($A13="",N($B13)&lt;2,Scores!$F$2=0),"",(SUMPRODUCT(MAX((Scores!$A$3:$A$502=$A13)*Scores!$Q$3:$Q$502*(Scores!$T$3:$T$502+1)))-1)-(5-SUMPRODUCT(MAX((Scores!$A$3:$A$502=$A13)*Scores!$Q$3:$Q$502*(5-Scores!$T$3:$T$502)))))</f>
        <v/>
      </c>
      <c r="F13" s="41">
        <f>IF(OR($A13="",N($B13)&lt;2,Scores!$G$2=0),"",(SUMPRODUCT(MAX((Scores!$A$3:$A$502=$A13)*Scores!$Q$3:$Q$502*(Scores!$U$3:$U$502+1)))-1)-(5-SUMPRODUCT(MAX((Scores!$A$3:$A$502=$A13)*Scores!$Q$3:$Q$502*(5-Scores!$U$3:$U$502)))))</f>
        <v/>
      </c>
      <c r="G13" s="41">
        <f>IF(OR($A13="",N($B13)&lt;2,Scores!$H$2=0),"",(SUMPRODUCT(MAX((Scores!$A$3:$A$502=$A13)*Scores!$Q$3:$Q$502*(Scores!$V$3:$V$502+1)))-1)-(5-SUMPRODUCT(MAX((Scores!$A$3:$A$502=$A13)*Scores!$Q$3:$Q$502*(5-Scores!$V$3:$V$502)))))</f>
        <v/>
      </c>
      <c r="H13" s="41">
        <f>IF(OR($A13="",N($B13)&lt;2,Scores!$I$2=0),"",(SUMPRODUCT(MAX((Scores!$A$3:$A$502=$A13)*Scores!$Q$3:$Q$502*(Scores!$W$3:$W$502+1)))-1)-(5-SUMPRODUCT(MAX((Scores!$A$3:$A$502=$A13)*Scores!$Q$3:$Q$502*(5-Scores!$W$3:$W$502)))))</f>
        <v/>
      </c>
      <c r="I13" s="41">
        <f>IF(OR($A13="",N($B13)&lt;2,Scores!$J$2=0),"",(SUMPRODUCT(MAX((Scores!$A$3:$A$502=$A13)*Scores!$Q$3:$Q$502*(Scores!$X$3:$X$502+1)))-1)-(5-SUMPRODUCT(MAX((Scores!$A$3:$A$502=$A13)*Scores!$Q$3:$Q$502*(5-Scores!$X$3:$X$502)))))</f>
        <v/>
      </c>
      <c r="J13" s="41">
        <f>IF(OR($A13="",N($B13)&lt;2,Scores!$K$2=0),"",(SUMPRODUCT(MAX((Scores!$A$3:$A$502=$A13)*Scores!$Q$3:$Q$502*(Scores!$Y$3:$Y$502+1)))-1)-(5-SUMPRODUCT(MAX((Scores!$A$3:$A$502=$A13)*Scores!$Q$3:$Q$502*(5-Scores!$Y$3:$Y$502)))))</f>
        <v/>
      </c>
      <c r="K13" s="27">
        <f>IF(COUNT(C13:J13)=0,"",MAX(C13:J13))</f>
        <v/>
      </c>
    </row>
    <row r="14">
      <c r="A14" s="41">
        <f>IF(Applications!$A14="","",Applications!$A14&amp;"")</f>
        <v/>
      </c>
      <c r="B14" s="41">
        <f>IF($A14="","",COUNTIFS(Scores!$A$3:$A$502,$A14,Scores!$O$3:$O$502,"Counted"))</f>
        <v/>
      </c>
      <c r="C14" s="41">
        <f>IF(OR($A14="",N($B14)&lt;2,Scores!$D$2=0),"",(SUMPRODUCT(MAX((Scores!$A$3:$A$502=$A14)*Scores!$Q$3:$Q$502*(Scores!$R$3:$R$502+1)))-1)-(5-SUMPRODUCT(MAX((Scores!$A$3:$A$502=$A14)*Scores!$Q$3:$Q$502*(5-Scores!$R$3:$R$502)))))</f>
        <v/>
      </c>
      <c r="D14" s="41">
        <f>IF(OR($A14="",N($B14)&lt;2,Scores!$E$2=0),"",(SUMPRODUCT(MAX((Scores!$A$3:$A$502=$A14)*Scores!$Q$3:$Q$502*(Scores!$S$3:$S$502+1)))-1)-(5-SUMPRODUCT(MAX((Scores!$A$3:$A$502=$A14)*Scores!$Q$3:$Q$502*(5-Scores!$S$3:$S$502)))))</f>
        <v/>
      </c>
      <c r="E14" s="41">
        <f>IF(OR($A14="",N($B14)&lt;2,Scores!$F$2=0),"",(SUMPRODUCT(MAX((Scores!$A$3:$A$502=$A14)*Scores!$Q$3:$Q$502*(Scores!$T$3:$T$502+1)))-1)-(5-SUMPRODUCT(MAX((Scores!$A$3:$A$502=$A14)*Scores!$Q$3:$Q$502*(5-Scores!$T$3:$T$502)))))</f>
        <v/>
      </c>
      <c r="F14" s="41">
        <f>IF(OR($A14="",N($B14)&lt;2,Scores!$G$2=0),"",(SUMPRODUCT(MAX((Scores!$A$3:$A$502=$A14)*Scores!$Q$3:$Q$502*(Scores!$U$3:$U$502+1)))-1)-(5-SUMPRODUCT(MAX((Scores!$A$3:$A$502=$A14)*Scores!$Q$3:$Q$502*(5-Scores!$U$3:$U$502)))))</f>
        <v/>
      </c>
      <c r="G14" s="41">
        <f>IF(OR($A14="",N($B14)&lt;2,Scores!$H$2=0),"",(SUMPRODUCT(MAX((Scores!$A$3:$A$502=$A14)*Scores!$Q$3:$Q$502*(Scores!$V$3:$V$502+1)))-1)-(5-SUMPRODUCT(MAX((Scores!$A$3:$A$502=$A14)*Scores!$Q$3:$Q$502*(5-Scores!$V$3:$V$502)))))</f>
        <v/>
      </c>
      <c r="H14" s="41">
        <f>IF(OR($A14="",N($B14)&lt;2,Scores!$I$2=0),"",(SUMPRODUCT(MAX((Scores!$A$3:$A$502=$A14)*Scores!$Q$3:$Q$502*(Scores!$W$3:$W$502+1)))-1)-(5-SUMPRODUCT(MAX((Scores!$A$3:$A$502=$A14)*Scores!$Q$3:$Q$502*(5-Scores!$W$3:$W$502)))))</f>
        <v/>
      </c>
      <c r="I14" s="41">
        <f>IF(OR($A14="",N($B14)&lt;2,Scores!$J$2=0),"",(SUMPRODUCT(MAX((Scores!$A$3:$A$502=$A14)*Scores!$Q$3:$Q$502*(Scores!$X$3:$X$502+1)))-1)-(5-SUMPRODUCT(MAX((Scores!$A$3:$A$502=$A14)*Scores!$Q$3:$Q$502*(5-Scores!$X$3:$X$502)))))</f>
        <v/>
      </c>
      <c r="J14" s="41">
        <f>IF(OR($A14="",N($B14)&lt;2,Scores!$K$2=0),"",(SUMPRODUCT(MAX((Scores!$A$3:$A$502=$A14)*Scores!$Q$3:$Q$502*(Scores!$Y$3:$Y$502+1)))-1)-(5-SUMPRODUCT(MAX((Scores!$A$3:$A$502=$A14)*Scores!$Q$3:$Q$502*(5-Scores!$Y$3:$Y$502)))))</f>
        <v/>
      </c>
      <c r="K14" s="27">
        <f>IF(COUNT(C14:J14)=0,"",MAX(C14:J14))</f>
        <v/>
      </c>
    </row>
    <row r="15">
      <c r="A15" s="41">
        <f>IF(Applications!$A15="","",Applications!$A15&amp;"")</f>
        <v/>
      </c>
      <c r="B15" s="41">
        <f>IF($A15="","",COUNTIFS(Scores!$A$3:$A$502,$A15,Scores!$O$3:$O$502,"Counted"))</f>
        <v/>
      </c>
      <c r="C15" s="41">
        <f>IF(OR($A15="",N($B15)&lt;2,Scores!$D$2=0),"",(SUMPRODUCT(MAX((Scores!$A$3:$A$502=$A15)*Scores!$Q$3:$Q$502*(Scores!$R$3:$R$502+1)))-1)-(5-SUMPRODUCT(MAX((Scores!$A$3:$A$502=$A15)*Scores!$Q$3:$Q$502*(5-Scores!$R$3:$R$502)))))</f>
        <v/>
      </c>
      <c r="D15" s="41">
        <f>IF(OR($A15="",N($B15)&lt;2,Scores!$E$2=0),"",(SUMPRODUCT(MAX((Scores!$A$3:$A$502=$A15)*Scores!$Q$3:$Q$502*(Scores!$S$3:$S$502+1)))-1)-(5-SUMPRODUCT(MAX((Scores!$A$3:$A$502=$A15)*Scores!$Q$3:$Q$502*(5-Scores!$S$3:$S$502)))))</f>
        <v/>
      </c>
      <c r="E15" s="41">
        <f>IF(OR($A15="",N($B15)&lt;2,Scores!$F$2=0),"",(SUMPRODUCT(MAX((Scores!$A$3:$A$502=$A15)*Scores!$Q$3:$Q$502*(Scores!$T$3:$T$502+1)))-1)-(5-SUMPRODUCT(MAX((Scores!$A$3:$A$502=$A15)*Scores!$Q$3:$Q$502*(5-Scores!$T$3:$T$502)))))</f>
        <v/>
      </c>
      <c r="F15" s="41">
        <f>IF(OR($A15="",N($B15)&lt;2,Scores!$G$2=0),"",(SUMPRODUCT(MAX((Scores!$A$3:$A$502=$A15)*Scores!$Q$3:$Q$502*(Scores!$U$3:$U$502+1)))-1)-(5-SUMPRODUCT(MAX((Scores!$A$3:$A$502=$A15)*Scores!$Q$3:$Q$502*(5-Scores!$U$3:$U$502)))))</f>
        <v/>
      </c>
      <c r="G15" s="41">
        <f>IF(OR($A15="",N($B15)&lt;2,Scores!$H$2=0),"",(SUMPRODUCT(MAX((Scores!$A$3:$A$502=$A15)*Scores!$Q$3:$Q$502*(Scores!$V$3:$V$502+1)))-1)-(5-SUMPRODUCT(MAX((Scores!$A$3:$A$502=$A15)*Scores!$Q$3:$Q$502*(5-Scores!$V$3:$V$502)))))</f>
        <v/>
      </c>
      <c r="H15" s="41">
        <f>IF(OR($A15="",N($B15)&lt;2,Scores!$I$2=0),"",(SUMPRODUCT(MAX((Scores!$A$3:$A$502=$A15)*Scores!$Q$3:$Q$502*(Scores!$W$3:$W$502+1)))-1)-(5-SUMPRODUCT(MAX((Scores!$A$3:$A$502=$A15)*Scores!$Q$3:$Q$502*(5-Scores!$W$3:$W$502)))))</f>
        <v/>
      </c>
      <c r="I15" s="41">
        <f>IF(OR($A15="",N($B15)&lt;2,Scores!$J$2=0),"",(SUMPRODUCT(MAX((Scores!$A$3:$A$502=$A15)*Scores!$Q$3:$Q$502*(Scores!$X$3:$X$502+1)))-1)-(5-SUMPRODUCT(MAX((Scores!$A$3:$A$502=$A15)*Scores!$Q$3:$Q$502*(5-Scores!$X$3:$X$502)))))</f>
        <v/>
      </c>
      <c r="J15" s="41">
        <f>IF(OR($A15="",N($B15)&lt;2,Scores!$K$2=0),"",(SUMPRODUCT(MAX((Scores!$A$3:$A$502=$A15)*Scores!$Q$3:$Q$502*(Scores!$Y$3:$Y$502+1)))-1)-(5-SUMPRODUCT(MAX((Scores!$A$3:$A$502=$A15)*Scores!$Q$3:$Q$502*(5-Scores!$Y$3:$Y$502)))))</f>
        <v/>
      </c>
      <c r="K15" s="27">
        <f>IF(COUNT(C15:J15)=0,"",MAX(C15:J15))</f>
        <v/>
      </c>
    </row>
    <row r="16">
      <c r="A16" s="41">
        <f>IF(Applications!$A16="","",Applications!$A16&amp;"")</f>
        <v/>
      </c>
      <c r="B16" s="41">
        <f>IF($A16="","",COUNTIFS(Scores!$A$3:$A$502,$A16,Scores!$O$3:$O$502,"Counted"))</f>
        <v/>
      </c>
      <c r="C16" s="41">
        <f>IF(OR($A16="",N($B16)&lt;2,Scores!$D$2=0),"",(SUMPRODUCT(MAX((Scores!$A$3:$A$502=$A16)*Scores!$Q$3:$Q$502*(Scores!$R$3:$R$502+1)))-1)-(5-SUMPRODUCT(MAX((Scores!$A$3:$A$502=$A16)*Scores!$Q$3:$Q$502*(5-Scores!$R$3:$R$502)))))</f>
        <v/>
      </c>
      <c r="D16" s="41">
        <f>IF(OR($A16="",N($B16)&lt;2,Scores!$E$2=0),"",(SUMPRODUCT(MAX((Scores!$A$3:$A$502=$A16)*Scores!$Q$3:$Q$502*(Scores!$S$3:$S$502+1)))-1)-(5-SUMPRODUCT(MAX((Scores!$A$3:$A$502=$A16)*Scores!$Q$3:$Q$502*(5-Scores!$S$3:$S$502)))))</f>
        <v/>
      </c>
      <c r="E16" s="41">
        <f>IF(OR($A16="",N($B16)&lt;2,Scores!$F$2=0),"",(SUMPRODUCT(MAX((Scores!$A$3:$A$502=$A16)*Scores!$Q$3:$Q$502*(Scores!$T$3:$T$502+1)))-1)-(5-SUMPRODUCT(MAX((Scores!$A$3:$A$502=$A16)*Scores!$Q$3:$Q$502*(5-Scores!$T$3:$T$502)))))</f>
        <v/>
      </c>
      <c r="F16" s="41">
        <f>IF(OR($A16="",N($B16)&lt;2,Scores!$G$2=0),"",(SUMPRODUCT(MAX((Scores!$A$3:$A$502=$A16)*Scores!$Q$3:$Q$502*(Scores!$U$3:$U$502+1)))-1)-(5-SUMPRODUCT(MAX((Scores!$A$3:$A$502=$A16)*Scores!$Q$3:$Q$502*(5-Scores!$U$3:$U$502)))))</f>
        <v/>
      </c>
      <c r="G16" s="41">
        <f>IF(OR($A16="",N($B16)&lt;2,Scores!$H$2=0),"",(SUMPRODUCT(MAX((Scores!$A$3:$A$502=$A16)*Scores!$Q$3:$Q$502*(Scores!$V$3:$V$502+1)))-1)-(5-SUMPRODUCT(MAX((Scores!$A$3:$A$502=$A16)*Scores!$Q$3:$Q$502*(5-Scores!$V$3:$V$502)))))</f>
        <v/>
      </c>
      <c r="H16" s="41">
        <f>IF(OR($A16="",N($B16)&lt;2,Scores!$I$2=0),"",(SUMPRODUCT(MAX((Scores!$A$3:$A$502=$A16)*Scores!$Q$3:$Q$502*(Scores!$W$3:$W$502+1)))-1)-(5-SUMPRODUCT(MAX((Scores!$A$3:$A$502=$A16)*Scores!$Q$3:$Q$502*(5-Scores!$W$3:$W$502)))))</f>
        <v/>
      </c>
      <c r="I16" s="41">
        <f>IF(OR($A16="",N($B16)&lt;2,Scores!$J$2=0),"",(SUMPRODUCT(MAX((Scores!$A$3:$A$502=$A16)*Scores!$Q$3:$Q$502*(Scores!$X$3:$X$502+1)))-1)-(5-SUMPRODUCT(MAX((Scores!$A$3:$A$502=$A16)*Scores!$Q$3:$Q$502*(5-Scores!$X$3:$X$502)))))</f>
        <v/>
      </c>
      <c r="J16" s="41">
        <f>IF(OR($A16="",N($B16)&lt;2,Scores!$K$2=0),"",(SUMPRODUCT(MAX((Scores!$A$3:$A$502=$A16)*Scores!$Q$3:$Q$502*(Scores!$Y$3:$Y$502+1)))-1)-(5-SUMPRODUCT(MAX((Scores!$A$3:$A$502=$A16)*Scores!$Q$3:$Q$502*(5-Scores!$Y$3:$Y$502)))))</f>
        <v/>
      </c>
      <c r="K16" s="27">
        <f>IF(COUNT(C16:J16)=0,"",MAX(C16:J16))</f>
        <v/>
      </c>
    </row>
    <row r="17">
      <c r="A17" s="41">
        <f>IF(Applications!$A17="","",Applications!$A17&amp;"")</f>
        <v/>
      </c>
      <c r="B17" s="41">
        <f>IF($A17="","",COUNTIFS(Scores!$A$3:$A$502,$A17,Scores!$O$3:$O$502,"Counted"))</f>
        <v/>
      </c>
      <c r="C17" s="41">
        <f>IF(OR($A17="",N($B17)&lt;2,Scores!$D$2=0),"",(SUMPRODUCT(MAX((Scores!$A$3:$A$502=$A17)*Scores!$Q$3:$Q$502*(Scores!$R$3:$R$502+1)))-1)-(5-SUMPRODUCT(MAX((Scores!$A$3:$A$502=$A17)*Scores!$Q$3:$Q$502*(5-Scores!$R$3:$R$502)))))</f>
        <v/>
      </c>
      <c r="D17" s="41">
        <f>IF(OR($A17="",N($B17)&lt;2,Scores!$E$2=0),"",(SUMPRODUCT(MAX((Scores!$A$3:$A$502=$A17)*Scores!$Q$3:$Q$502*(Scores!$S$3:$S$502+1)))-1)-(5-SUMPRODUCT(MAX((Scores!$A$3:$A$502=$A17)*Scores!$Q$3:$Q$502*(5-Scores!$S$3:$S$502)))))</f>
        <v/>
      </c>
      <c r="E17" s="41">
        <f>IF(OR($A17="",N($B17)&lt;2,Scores!$F$2=0),"",(SUMPRODUCT(MAX((Scores!$A$3:$A$502=$A17)*Scores!$Q$3:$Q$502*(Scores!$T$3:$T$502+1)))-1)-(5-SUMPRODUCT(MAX((Scores!$A$3:$A$502=$A17)*Scores!$Q$3:$Q$502*(5-Scores!$T$3:$T$502)))))</f>
        <v/>
      </c>
      <c r="F17" s="41">
        <f>IF(OR($A17="",N($B17)&lt;2,Scores!$G$2=0),"",(SUMPRODUCT(MAX((Scores!$A$3:$A$502=$A17)*Scores!$Q$3:$Q$502*(Scores!$U$3:$U$502+1)))-1)-(5-SUMPRODUCT(MAX((Scores!$A$3:$A$502=$A17)*Scores!$Q$3:$Q$502*(5-Scores!$U$3:$U$502)))))</f>
        <v/>
      </c>
      <c r="G17" s="41">
        <f>IF(OR($A17="",N($B17)&lt;2,Scores!$H$2=0),"",(SUMPRODUCT(MAX((Scores!$A$3:$A$502=$A17)*Scores!$Q$3:$Q$502*(Scores!$V$3:$V$502+1)))-1)-(5-SUMPRODUCT(MAX((Scores!$A$3:$A$502=$A17)*Scores!$Q$3:$Q$502*(5-Scores!$V$3:$V$502)))))</f>
        <v/>
      </c>
      <c r="H17" s="41">
        <f>IF(OR($A17="",N($B17)&lt;2,Scores!$I$2=0),"",(SUMPRODUCT(MAX((Scores!$A$3:$A$502=$A17)*Scores!$Q$3:$Q$502*(Scores!$W$3:$W$502+1)))-1)-(5-SUMPRODUCT(MAX((Scores!$A$3:$A$502=$A17)*Scores!$Q$3:$Q$502*(5-Scores!$W$3:$W$502)))))</f>
        <v/>
      </c>
      <c r="I17" s="41">
        <f>IF(OR($A17="",N($B17)&lt;2,Scores!$J$2=0),"",(SUMPRODUCT(MAX((Scores!$A$3:$A$502=$A17)*Scores!$Q$3:$Q$502*(Scores!$X$3:$X$502+1)))-1)-(5-SUMPRODUCT(MAX((Scores!$A$3:$A$502=$A17)*Scores!$Q$3:$Q$502*(5-Scores!$X$3:$X$502)))))</f>
        <v/>
      </c>
      <c r="J17" s="41">
        <f>IF(OR($A17="",N($B17)&lt;2,Scores!$K$2=0),"",(SUMPRODUCT(MAX((Scores!$A$3:$A$502=$A17)*Scores!$Q$3:$Q$502*(Scores!$Y$3:$Y$502+1)))-1)-(5-SUMPRODUCT(MAX((Scores!$A$3:$A$502=$A17)*Scores!$Q$3:$Q$502*(5-Scores!$Y$3:$Y$502)))))</f>
        <v/>
      </c>
      <c r="K17" s="27">
        <f>IF(COUNT(C17:J17)=0,"",MAX(C17:J17))</f>
        <v/>
      </c>
    </row>
    <row r="18">
      <c r="A18" s="41">
        <f>IF(Applications!$A18="","",Applications!$A18&amp;"")</f>
        <v/>
      </c>
      <c r="B18" s="41">
        <f>IF($A18="","",COUNTIFS(Scores!$A$3:$A$502,$A18,Scores!$O$3:$O$502,"Counted"))</f>
        <v/>
      </c>
      <c r="C18" s="41">
        <f>IF(OR($A18="",N($B18)&lt;2,Scores!$D$2=0),"",(SUMPRODUCT(MAX((Scores!$A$3:$A$502=$A18)*Scores!$Q$3:$Q$502*(Scores!$R$3:$R$502+1)))-1)-(5-SUMPRODUCT(MAX((Scores!$A$3:$A$502=$A18)*Scores!$Q$3:$Q$502*(5-Scores!$R$3:$R$502)))))</f>
        <v/>
      </c>
      <c r="D18" s="41">
        <f>IF(OR($A18="",N($B18)&lt;2,Scores!$E$2=0),"",(SUMPRODUCT(MAX((Scores!$A$3:$A$502=$A18)*Scores!$Q$3:$Q$502*(Scores!$S$3:$S$502+1)))-1)-(5-SUMPRODUCT(MAX((Scores!$A$3:$A$502=$A18)*Scores!$Q$3:$Q$502*(5-Scores!$S$3:$S$502)))))</f>
        <v/>
      </c>
      <c r="E18" s="41">
        <f>IF(OR($A18="",N($B18)&lt;2,Scores!$F$2=0),"",(SUMPRODUCT(MAX((Scores!$A$3:$A$502=$A18)*Scores!$Q$3:$Q$502*(Scores!$T$3:$T$502+1)))-1)-(5-SUMPRODUCT(MAX((Scores!$A$3:$A$502=$A18)*Scores!$Q$3:$Q$502*(5-Scores!$T$3:$T$502)))))</f>
        <v/>
      </c>
      <c r="F18" s="41">
        <f>IF(OR($A18="",N($B18)&lt;2,Scores!$G$2=0),"",(SUMPRODUCT(MAX((Scores!$A$3:$A$502=$A18)*Scores!$Q$3:$Q$502*(Scores!$U$3:$U$502+1)))-1)-(5-SUMPRODUCT(MAX((Scores!$A$3:$A$502=$A18)*Scores!$Q$3:$Q$502*(5-Scores!$U$3:$U$502)))))</f>
        <v/>
      </c>
      <c r="G18" s="41">
        <f>IF(OR($A18="",N($B18)&lt;2,Scores!$H$2=0),"",(SUMPRODUCT(MAX((Scores!$A$3:$A$502=$A18)*Scores!$Q$3:$Q$502*(Scores!$V$3:$V$502+1)))-1)-(5-SUMPRODUCT(MAX((Scores!$A$3:$A$502=$A18)*Scores!$Q$3:$Q$502*(5-Scores!$V$3:$V$502)))))</f>
        <v/>
      </c>
      <c r="H18" s="41">
        <f>IF(OR($A18="",N($B18)&lt;2,Scores!$I$2=0),"",(SUMPRODUCT(MAX((Scores!$A$3:$A$502=$A18)*Scores!$Q$3:$Q$502*(Scores!$W$3:$W$502+1)))-1)-(5-SUMPRODUCT(MAX((Scores!$A$3:$A$502=$A18)*Scores!$Q$3:$Q$502*(5-Scores!$W$3:$W$502)))))</f>
        <v/>
      </c>
      <c r="I18" s="41">
        <f>IF(OR($A18="",N($B18)&lt;2,Scores!$J$2=0),"",(SUMPRODUCT(MAX((Scores!$A$3:$A$502=$A18)*Scores!$Q$3:$Q$502*(Scores!$X$3:$X$502+1)))-1)-(5-SUMPRODUCT(MAX((Scores!$A$3:$A$502=$A18)*Scores!$Q$3:$Q$502*(5-Scores!$X$3:$X$502)))))</f>
        <v/>
      </c>
      <c r="J18" s="41">
        <f>IF(OR($A18="",N($B18)&lt;2,Scores!$K$2=0),"",(SUMPRODUCT(MAX((Scores!$A$3:$A$502=$A18)*Scores!$Q$3:$Q$502*(Scores!$Y$3:$Y$502+1)))-1)-(5-SUMPRODUCT(MAX((Scores!$A$3:$A$502=$A18)*Scores!$Q$3:$Q$502*(5-Scores!$Y$3:$Y$502)))))</f>
        <v/>
      </c>
      <c r="K18" s="27">
        <f>IF(COUNT(C18:J18)=0,"",MAX(C18:J18))</f>
        <v/>
      </c>
    </row>
    <row r="19">
      <c r="A19" s="41">
        <f>IF(Applications!$A19="","",Applications!$A19&amp;"")</f>
        <v/>
      </c>
      <c r="B19" s="41">
        <f>IF($A19="","",COUNTIFS(Scores!$A$3:$A$502,$A19,Scores!$O$3:$O$502,"Counted"))</f>
        <v/>
      </c>
      <c r="C19" s="41">
        <f>IF(OR($A19="",N($B19)&lt;2,Scores!$D$2=0),"",(SUMPRODUCT(MAX((Scores!$A$3:$A$502=$A19)*Scores!$Q$3:$Q$502*(Scores!$R$3:$R$502+1)))-1)-(5-SUMPRODUCT(MAX((Scores!$A$3:$A$502=$A19)*Scores!$Q$3:$Q$502*(5-Scores!$R$3:$R$502)))))</f>
        <v/>
      </c>
      <c r="D19" s="41">
        <f>IF(OR($A19="",N($B19)&lt;2,Scores!$E$2=0),"",(SUMPRODUCT(MAX((Scores!$A$3:$A$502=$A19)*Scores!$Q$3:$Q$502*(Scores!$S$3:$S$502+1)))-1)-(5-SUMPRODUCT(MAX((Scores!$A$3:$A$502=$A19)*Scores!$Q$3:$Q$502*(5-Scores!$S$3:$S$502)))))</f>
        <v/>
      </c>
      <c r="E19" s="41">
        <f>IF(OR($A19="",N($B19)&lt;2,Scores!$F$2=0),"",(SUMPRODUCT(MAX((Scores!$A$3:$A$502=$A19)*Scores!$Q$3:$Q$502*(Scores!$T$3:$T$502+1)))-1)-(5-SUMPRODUCT(MAX((Scores!$A$3:$A$502=$A19)*Scores!$Q$3:$Q$502*(5-Scores!$T$3:$T$502)))))</f>
        <v/>
      </c>
      <c r="F19" s="41">
        <f>IF(OR($A19="",N($B19)&lt;2,Scores!$G$2=0),"",(SUMPRODUCT(MAX((Scores!$A$3:$A$502=$A19)*Scores!$Q$3:$Q$502*(Scores!$U$3:$U$502+1)))-1)-(5-SUMPRODUCT(MAX((Scores!$A$3:$A$502=$A19)*Scores!$Q$3:$Q$502*(5-Scores!$U$3:$U$502)))))</f>
        <v/>
      </c>
      <c r="G19" s="41">
        <f>IF(OR($A19="",N($B19)&lt;2,Scores!$H$2=0),"",(SUMPRODUCT(MAX((Scores!$A$3:$A$502=$A19)*Scores!$Q$3:$Q$502*(Scores!$V$3:$V$502+1)))-1)-(5-SUMPRODUCT(MAX((Scores!$A$3:$A$502=$A19)*Scores!$Q$3:$Q$502*(5-Scores!$V$3:$V$502)))))</f>
        <v/>
      </c>
      <c r="H19" s="41">
        <f>IF(OR($A19="",N($B19)&lt;2,Scores!$I$2=0),"",(SUMPRODUCT(MAX((Scores!$A$3:$A$502=$A19)*Scores!$Q$3:$Q$502*(Scores!$W$3:$W$502+1)))-1)-(5-SUMPRODUCT(MAX((Scores!$A$3:$A$502=$A19)*Scores!$Q$3:$Q$502*(5-Scores!$W$3:$W$502)))))</f>
        <v/>
      </c>
      <c r="I19" s="41">
        <f>IF(OR($A19="",N($B19)&lt;2,Scores!$J$2=0),"",(SUMPRODUCT(MAX((Scores!$A$3:$A$502=$A19)*Scores!$Q$3:$Q$502*(Scores!$X$3:$X$502+1)))-1)-(5-SUMPRODUCT(MAX((Scores!$A$3:$A$502=$A19)*Scores!$Q$3:$Q$502*(5-Scores!$X$3:$X$502)))))</f>
        <v/>
      </c>
      <c r="J19" s="41">
        <f>IF(OR($A19="",N($B19)&lt;2,Scores!$K$2=0),"",(SUMPRODUCT(MAX((Scores!$A$3:$A$502=$A19)*Scores!$Q$3:$Q$502*(Scores!$Y$3:$Y$502+1)))-1)-(5-SUMPRODUCT(MAX((Scores!$A$3:$A$502=$A19)*Scores!$Q$3:$Q$502*(5-Scores!$Y$3:$Y$502)))))</f>
        <v/>
      </c>
      <c r="K19" s="27">
        <f>IF(COUNT(C19:J19)=0,"",MAX(C19:J19))</f>
        <v/>
      </c>
    </row>
    <row r="20">
      <c r="A20" s="41">
        <f>IF(Applications!$A20="","",Applications!$A20&amp;"")</f>
        <v/>
      </c>
      <c r="B20" s="41">
        <f>IF($A20="","",COUNTIFS(Scores!$A$3:$A$502,$A20,Scores!$O$3:$O$502,"Counted"))</f>
        <v/>
      </c>
      <c r="C20" s="41">
        <f>IF(OR($A20="",N($B20)&lt;2,Scores!$D$2=0),"",(SUMPRODUCT(MAX((Scores!$A$3:$A$502=$A20)*Scores!$Q$3:$Q$502*(Scores!$R$3:$R$502+1)))-1)-(5-SUMPRODUCT(MAX((Scores!$A$3:$A$502=$A20)*Scores!$Q$3:$Q$502*(5-Scores!$R$3:$R$502)))))</f>
        <v/>
      </c>
      <c r="D20" s="41">
        <f>IF(OR($A20="",N($B20)&lt;2,Scores!$E$2=0),"",(SUMPRODUCT(MAX((Scores!$A$3:$A$502=$A20)*Scores!$Q$3:$Q$502*(Scores!$S$3:$S$502+1)))-1)-(5-SUMPRODUCT(MAX((Scores!$A$3:$A$502=$A20)*Scores!$Q$3:$Q$502*(5-Scores!$S$3:$S$502)))))</f>
        <v/>
      </c>
      <c r="E20" s="41">
        <f>IF(OR($A20="",N($B20)&lt;2,Scores!$F$2=0),"",(SUMPRODUCT(MAX((Scores!$A$3:$A$502=$A20)*Scores!$Q$3:$Q$502*(Scores!$T$3:$T$502+1)))-1)-(5-SUMPRODUCT(MAX((Scores!$A$3:$A$502=$A20)*Scores!$Q$3:$Q$502*(5-Scores!$T$3:$T$502)))))</f>
        <v/>
      </c>
      <c r="F20" s="41">
        <f>IF(OR($A20="",N($B20)&lt;2,Scores!$G$2=0),"",(SUMPRODUCT(MAX((Scores!$A$3:$A$502=$A20)*Scores!$Q$3:$Q$502*(Scores!$U$3:$U$502+1)))-1)-(5-SUMPRODUCT(MAX((Scores!$A$3:$A$502=$A20)*Scores!$Q$3:$Q$502*(5-Scores!$U$3:$U$502)))))</f>
        <v/>
      </c>
      <c r="G20" s="41">
        <f>IF(OR($A20="",N($B20)&lt;2,Scores!$H$2=0),"",(SUMPRODUCT(MAX((Scores!$A$3:$A$502=$A20)*Scores!$Q$3:$Q$502*(Scores!$V$3:$V$502+1)))-1)-(5-SUMPRODUCT(MAX((Scores!$A$3:$A$502=$A20)*Scores!$Q$3:$Q$502*(5-Scores!$V$3:$V$502)))))</f>
        <v/>
      </c>
      <c r="H20" s="41">
        <f>IF(OR($A20="",N($B20)&lt;2,Scores!$I$2=0),"",(SUMPRODUCT(MAX((Scores!$A$3:$A$502=$A20)*Scores!$Q$3:$Q$502*(Scores!$W$3:$W$502+1)))-1)-(5-SUMPRODUCT(MAX((Scores!$A$3:$A$502=$A20)*Scores!$Q$3:$Q$502*(5-Scores!$W$3:$W$502)))))</f>
        <v/>
      </c>
      <c r="I20" s="41">
        <f>IF(OR($A20="",N($B20)&lt;2,Scores!$J$2=0),"",(SUMPRODUCT(MAX((Scores!$A$3:$A$502=$A20)*Scores!$Q$3:$Q$502*(Scores!$X$3:$X$502+1)))-1)-(5-SUMPRODUCT(MAX((Scores!$A$3:$A$502=$A20)*Scores!$Q$3:$Q$502*(5-Scores!$X$3:$X$502)))))</f>
        <v/>
      </c>
      <c r="J20" s="41">
        <f>IF(OR($A20="",N($B20)&lt;2,Scores!$K$2=0),"",(SUMPRODUCT(MAX((Scores!$A$3:$A$502=$A20)*Scores!$Q$3:$Q$502*(Scores!$Y$3:$Y$502+1)))-1)-(5-SUMPRODUCT(MAX((Scores!$A$3:$A$502=$A20)*Scores!$Q$3:$Q$502*(5-Scores!$Y$3:$Y$502)))))</f>
        <v/>
      </c>
      <c r="K20" s="27">
        <f>IF(COUNT(C20:J20)=0,"",MAX(C20:J20))</f>
        <v/>
      </c>
    </row>
    <row r="21">
      <c r="A21" s="41">
        <f>IF(Applications!$A21="","",Applications!$A21&amp;"")</f>
        <v/>
      </c>
      <c r="B21" s="41">
        <f>IF($A21="","",COUNTIFS(Scores!$A$3:$A$502,$A21,Scores!$O$3:$O$502,"Counted"))</f>
        <v/>
      </c>
      <c r="C21" s="41">
        <f>IF(OR($A21="",N($B21)&lt;2,Scores!$D$2=0),"",(SUMPRODUCT(MAX((Scores!$A$3:$A$502=$A21)*Scores!$Q$3:$Q$502*(Scores!$R$3:$R$502+1)))-1)-(5-SUMPRODUCT(MAX((Scores!$A$3:$A$502=$A21)*Scores!$Q$3:$Q$502*(5-Scores!$R$3:$R$502)))))</f>
        <v/>
      </c>
      <c r="D21" s="41">
        <f>IF(OR($A21="",N($B21)&lt;2,Scores!$E$2=0),"",(SUMPRODUCT(MAX((Scores!$A$3:$A$502=$A21)*Scores!$Q$3:$Q$502*(Scores!$S$3:$S$502+1)))-1)-(5-SUMPRODUCT(MAX((Scores!$A$3:$A$502=$A21)*Scores!$Q$3:$Q$502*(5-Scores!$S$3:$S$502)))))</f>
        <v/>
      </c>
      <c r="E21" s="41">
        <f>IF(OR($A21="",N($B21)&lt;2,Scores!$F$2=0),"",(SUMPRODUCT(MAX((Scores!$A$3:$A$502=$A21)*Scores!$Q$3:$Q$502*(Scores!$T$3:$T$502+1)))-1)-(5-SUMPRODUCT(MAX((Scores!$A$3:$A$502=$A21)*Scores!$Q$3:$Q$502*(5-Scores!$T$3:$T$502)))))</f>
        <v/>
      </c>
      <c r="F21" s="41">
        <f>IF(OR($A21="",N($B21)&lt;2,Scores!$G$2=0),"",(SUMPRODUCT(MAX((Scores!$A$3:$A$502=$A21)*Scores!$Q$3:$Q$502*(Scores!$U$3:$U$502+1)))-1)-(5-SUMPRODUCT(MAX((Scores!$A$3:$A$502=$A21)*Scores!$Q$3:$Q$502*(5-Scores!$U$3:$U$502)))))</f>
        <v/>
      </c>
      <c r="G21" s="41">
        <f>IF(OR($A21="",N($B21)&lt;2,Scores!$H$2=0),"",(SUMPRODUCT(MAX((Scores!$A$3:$A$502=$A21)*Scores!$Q$3:$Q$502*(Scores!$V$3:$V$502+1)))-1)-(5-SUMPRODUCT(MAX((Scores!$A$3:$A$502=$A21)*Scores!$Q$3:$Q$502*(5-Scores!$V$3:$V$502)))))</f>
        <v/>
      </c>
      <c r="H21" s="41">
        <f>IF(OR($A21="",N($B21)&lt;2,Scores!$I$2=0),"",(SUMPRODUCT(MAX((Scores!$A$3:$A$502=$A21)*Scores!$Q$3:$Q$502*(Scores!$W$3:$W$502+1)))-1)-(5-SUMPRODUCT(MAX((Scores!$A$3:$A$502=$A21)*Scores!$Q$3:$Q$502*(5-Scores!$W$3:$W$502)))))</f>
        <v/>
      </c>
      <c r="I21" s="41">
        <f>IF(OR($A21="",N($B21)&lt;2,Scores!$J$2=0),"",(SUMPRODUCT(MAX((Scores!$A$3:$A$502=$A21)*Scores!$Q$3:$Q$502*(Scores!$X$3:$X$502+1)))-1)-(5-SUMPRODUCT(MAX((Scores!$A$3:$A$502=$A21)*Scores!$Q$3:$Q$502*(5-Scores!$X$3:$X$502)))))</f>
        <v/>
      </c>
      <c r="J21" s="41">
        <f>IF(OR($A21="",N($B21)&lt;2,Scores!$K$2=0),"",(SUMPRODUCT(MAX((Scores!$A$3:$A$502=$A21)*Scores!$Q$3:$Q$502*(Scores!$Y$3:$Y$502+1)))-1)-(5-SUMPRODUCT(MAX((Scores!$A$3:$A$502=$A21)*Scores!$Q$3:$Q$502*(5-Scores!$Y$3:$Y$502)))))</f>
        <v/>
      </c>
      <c r="K21" s="27">
        <f>IF(COUNT(C21:J21)=0,"",MAX(C21:J21))</f>
        <v/>
      </c>
    </row>
    <row r="22">
      <c r="A22" s="41">
        <f>IF(Applications!$A22="","",Applications!$A22&amp;"")</f>
        <v/>
      </c>
      <c r="B22" s="41">
        <f>IF($A22="","",COUNTIFS(Scores!$A$3:$A$502,$A22,Scores!$O$3:$O$502,"Counted"))</f>
        <v/>
      </c>
      <c r="C22" s="41">
        <f>IF(OR($A22="",N($B22)&lt;2,Scores!$D$2=0),"",(SUMPRODUCT(MAX((Scores!$A$3:$A$502=$A22)*Scores!$Q$3:$Q$502*(Scores!$R$3:$R$502+1)))-1)-(5-SUMPRODUCT(MAX((Scores!$A$3:$A$502=$A22)*Scores!$Q$3:$Q$502*(5-Scores!$R$3:$R$502)))))</f>
        <v/>
      </c>
      <c r="D22" s="41">
        <f>IF(OR($A22="",N($B22)&lt;2,Scores!$E$2=0),"",(SUMPRODUCT(MAX((Scores!$A$3:$A$502=$A22)*Scores!$Q$3:$Q$502*(Scores!$S$3:$S$502+1)))-1)-(5-SUMPRODUCT(MAX((Scores!$A$3:$A$502=$A22)*Scores!$Q$3:$Q$502*(5-Scores!$S$3:$S$502)))))</f>
        <v/>
      </c>
      <c r="E22" s="41">
        <f>IF(OR($A22="",N($B22)&lt;2,Scores!$F$2=0),"",(SUMPRODUCT(MAX((Scores!$A$3:$A$502=$A22)*Scores!$Q$3:$Q$502*(Scores!$T$3:$T$502+1)))-1)-(5-SUMPRODUCT(MAX((Scores!$A$3:$A$502=$A22)*Scores!$Q$3:$Q$502*(5-Scores!$T$3:$T$502)))))</f>
        <v/>
      </c>
      <c r="F22" s="41">
        <f>IF(OR($A22="",N($B22)&lt;2,Scores!$G$2=0),"",(SUMPRODUCT(MAX((Scores!$A$3:$A$502=$A22)*Scores!$Q$3:$Q$502*(Scores!$U$3:$U$502+1)))-1)-(5-SUMPRODUCT(MAX((Scores!$A$3:$A$502=$A22)*Scores!$Q$3:$Q$502*(5-Scores!$U$3:$U$502)))))</f>
        <v/>
      </c>
      <c r="G22" s="41">
        <f>IF(OR($A22="",N($B22)&lt;2,Scores!$H$2=0),"",(SUMPRODUCT(MAX((Scores!$A$3:$A$502=$A22)*Scores!$Q$3:$Q$502*(Scores!$V$3:$V$502+1)))-1)-(5-SUMPRODUCT(MAX((Scores!$A$3:$A$502=$A22)*Scores!$Q$3:$Q$502*(5-Scores!$V$3:$V$502)))))</f>
        <v/>
      </c>
      <c r="H22" s="41">
        <f>IF(OR($A22="",N($B22)&lt;2,Scores!$I$2=0),"",(SUMPRODUCT(MAX((Scores!$A$3:$A$502=$A22)*Scores!$Q$3:$Q$502*(Scores!$W$3:$W$502+1)))-1)-(5-SUMPRODUCT(MAX((Scores!$A$3:$A$502=$A22)*Scores!$Q$3:$Q$502*(5-Scores!$W$3:$W$502)))))</f>
        <v/>
      </c>
      <c r="I22" s="41">
        <f>IF(OR($A22="",N($B22)&lt;2,Scores!$J$2=0),"",(SUMPRODUCT(MAX((Scores!$A$3:$A$502=$A22)*Scores!$Q$3:$Q$502*(Scores!$X$3:$X$502+1)))-1)-(5-SUMPRODUCT(MAX((Scores!$A$3:$A$502=$A22)*Scores!$Q$3:$Q$502*(5-Scores!$X$3:$X$502)))))</f>
        <v/>
      </c>
      <c r="J22" s="41">
        <f>IF(OR($A22="",N($B22)&lt;2,Scores!$K$2=0),"",(SUMPRODUCT(MAX((Scores!$A$3:$A$502=$A22)*Scores!$Q$3:$Q$502*(Scores!$Y$3:$Y$502+1)))-1)-(5-SUMPRODUCT(MAX((Scores!$A$3:$A$502=$A22)*Scores!$Q$3:$Q$502*(5-Scores!$Y$3:$Y$502)))))</f>
        <v/>
      </c>
      <c r="K22" s="27">
        <f>IF(COUNT(C22:J22)=0,"",MAX(C22:J22))</f>
        <v/>
      </c>
    </row>
    <row r="23">
      <c r="A23" s="41">
        <f>IF(Applications!$A23="","",Applications!$A23&amp;"")</f>
        <v/>
      </c>
      <c r="B23" s="41">
        <f>IF($A23="","",COUNTIFS(Scores!$A$3:$A$502,$A23,Scores!$O$3:$O$502,"Counted"))</f>
        <v/>
      </c>
      <c r="C23" s="41">
        <f>IF(OR($A23="",N($B23)&lt;2,Scores!$D$2=0),"",(SUMPRODUCT(MAX((Scores!$A$3:$A$502=$A23)*Scores!$Q$3:$Q$502*(Scores!$R$3:$R$502+1)))-1)-(5-SUMPRODUCT(MAX((Scores!$A$3:$A$502=$A23)*Scores!$Q$3:$Q$502*(5-Scores!$R$3:$R$502)))))</f>
        <v/>
      </c>
      <c r="D23" s="41">
        <f>IF(OR($A23="",N($B23)&lt;2,Scores!$E$2=0),"",(SUMPRODUCT(MAX((Scores!$A$3:$A$502=$A23)*Scores!$Q$3:$Q$502*(Scores!$S$3:$S$502+1)))-1)-(5-SUMPRODUCT(MAX((Scores!$A$3:$A$502=$A23)*Scores!$Q$3:$Q$502*(5-Scores!$S$3:$S$502)))))</f>
        <v/>
      </c>
      <c r="E23" s="41">
        <f>IF(OR($A23="",N($B23)&lt;2,Scores!$F$2=0),"",(SUMPRODUCT(MAX((Scores!$A$3:$A$502=$A23)*Scores!$Q$3:$Q$502*(Scores!$T$3:$T$502+1)))-1)-(5-SUMPRODUCT(MAX((Scores!$A$3:$A$502=$A23)*Scores!$Q$3:$Q$502*(5-Scores!$T$3:$T$502)))))</f>
        <v/>
      </c>
      <c r="F23" s="41">
        <f>IF(OR($A23="",N($B23)&lt;2,Scores!$G$2=0),"",(SUMPRODUCT(MAX((Scores!$A$3:$A$502=$A23)*Scores!$Q$3:$Q$502*(Scores!$U$3:$U$502+1)))-1)-(5-SUMPRODUCT(MAX((Scores!$A$3:$A$502=$A23)*Scores!$Q$3:$Q$502*(5-Scores!$U$3:$U$502)))))</f>
        <v/>
      </c>
      <c r="G23" s="41">
        <f>IF(OR($A23="",N($B23)&lt;2,Scores!$H$2=0),"",(SUMPRODUCT(MAX((Scores!$A$3:$A$502=$A23)*Scores!$Q$3:$Q$502*(Scores!$V$3:$V$502+1)))-1)-(5-SUMPRODUCT(MAX((Scores!$A$3:$A$502=$A23)*Scores!$Q$3:$Q$502*(5-Scores!$V$3:$V$502)))))</f>
        <v/>
      </c>
      <c r="H23" s="41">
        <f>IF(OR($A23="",N($B23)&lt;2,Scores!$I$2=0),"",(SUMPRODUCT(MAX((Scores!$A$3:$A$502=$A23)*Scores!$Q$3:$Q$502*(Scores!$W$3:$W$502+1)))-1)-(5-SUMPRODUCT(MAX((Scores!$A$3:$A$502=$A23)*Scores!$Q$3:$Q$502*(5-Scores!$W$3:$W$502)))))</f>
        <v/>
      </c>
      <c r="I23" s="41">
        <f>IF(OR($A23="",N($B23)&lt;2,Scores!$J$2=0),"",(SUMPRODUCT(MAX((Scores!$A$3:$A$502=$A23)*Scores!$Q$3:$Q$502*(Scores!$X$3:$X$502+1)))-1)-(5-SUMPRODUCT(MAX((Scores!$A$3:$A$502=$A23)*Scores!$Q$3:$Q$502*(5-Scores!$X$3:$X$502)))))</f>
        <v/>
      </c>
      <c r="J23" s="41">
        <f>IF(OR($A23="",N($B23)&lt;2,Scores!$K$2=0),"",(SUMPRODUCT(MAX((Scores!$A$3:$A$502=$A23)*Scores!$Q$3:$Q$502*(Scores!$Y$3:$Y$502+1)))-1)-(5-SUMPRODUCT(MAX((Scores!$A$3:$A$502=$A23)*Scores!$Q$3:$Q$502*(5-Scores!$Y$3:$Y$502)))))</f>
        <v/>
      </c>
      <c r="K23" s="27">
        <f>IF(COUNT(C23:J23)=0,"",MAX(C23:J23))</f>
        <v/>
      </c>
    </row>
    <row r="24">
      <c r="A24" s="41">
        <f>IF(Applications!$A24="","",Applications!$A24&amp;"")</f>
        <v/>
      </c>
      <c r="B24" s="41">
        <f>IF($A24="","",COUNTIFS(Scores!$A$3:$A$502,$A24,Scores!$O$3:$O$502,"Counted"))</f>
        <v/>
      </c>
      <c r="C24" s="41">
        <f>IF(OR($A24="",N($B24)&lt;2,Scores!$D$2=0),"",(SUMPRODUCT(MAX((Scores!$A$3:$A$502=$A24)*Scores!$Q$3:$Q$502*(Scores!$R$3:$R$502+1)))-1)-(5-SUMPRODUCT(MAX((Scores!$A$3:$A$502=$A24)*Scores!$Q$3:$Q$502*(5-Scores!$R$3:$R$502)))))</f>
        <v/>
      </c>
      <c r="D24" s="41">
        <f>IF(OR($A24="",N($B24)&lt;2,Scores!$E$2=0),"",(SUMPRODUCT(MAX((Scores!$A$3:$A$502=$A24)*Scores!$Q$3:$Q$502*(Scores!$S$3:$S$502+1)))-1)-(5-SUMPRODUCT(MAX((Scores!$A$3:$A$502=$A24)*Scores!$Q$3:$Q$502*(5-Scores!$S$3:$S$502)))))</f>
        <v/>
      </c>
      <c r="E24" s="41">
        <f>IF(OR($A24="",N($B24)&lt;2,Scores!$F$2=0),"",(SUMPRODUCT(MAX((Scores!$A$3:$A$502=$A24)*Scores!$Q$3:$Q$502*(Scores!$T$3:$T$502+1)))-1)-(5-SUMPRODUCT(MAX((Scores!$A$3:$A$502=$A24)*Scores!$Q$3:$Q$502*(5-Scores!$T$3:$T$502)))))</f>
        <v/>
      </c>
      <c r="F24" s="41">
        <f>IF(OR($A24="",N($B24)&lt;2,Scores!$G$2=0),"",(SUMPRODUCT(MAX((Scores!$A$3:$A$502=$A24)*Scores!$Q$3:$Q$502*(Scores!$U$3:$U$502+1)))-1)-(5-SUMPRODUCT(MAX((Scores!$A$3:$A$502=$A24)*Scores!$Q$3:$Q$502*(5-Scores!$U$3:$U$502)))))</f>
        <v/>
      </c>
      <c r="G24" s="41">
        <f>IF(OR($A24="",N($B24)&lt;2,Scores!$H$2=0),"",(SUMPRODUCT(MAX((Scores!$A$3:$A$502=$A24)*Scores!$Q$3:$Q$502*(Scores!$V$3:$V$502+1)))-1)-(5-SUMPRODUCT(MAX((Scores!$A$3:$A$502=$A24)*Scores!$Q$3:$Q$502*(5-Scores!$V$3:$V$502)))))</f>
        <v/>
      </c>
      <c r="H24" s="41">
        <f>IF(OR($A24="",N($B24)&lt;2,Scores!$I$2=0),"",(SUMPRODUCT(MAX((Scores!$A$3:$A$502=$A24)*Scores!$Q$3:$Q$502*(Scores!$W$3:$W$502+1)))-1)-(5-SUMPRODUCT(MAX((Scores!$A$3:$A$502=$A24)*Scores!$Q$3:$Q$502*(5-Scores!$W$3:$W$502)))))</f>
        <v/>
      </c>
      <c r="I24" s="41">
        <f>IF(OR($A24="",N($B24)&lt;2,Scores!$J$2=0),"",(SUMPRODUCT(MAX((Scores!$A$3:$A$502=$A24)*Scores!$Q$3:$Q$502*(Scores!$X$3:$X$502+1)))-1)-(5-SUMPRODUCT(MAX((Scores!$A$3:$A$502=$A24)*Scores!$Q$3:$Q$502*(5-Scores!$X$3:$X$502)))))</f>
        <v/>
      </c>
      <c r="J24" s="41">
        <f>IF(OR($A24="",N($B24)&lt;2,Scores!$K$2=0),"",(SUMPRODUCT(MAX((Scores!$A$3:$A$502=$A24)*Scores!$Q$3:$Q$502*(Scores!$Y$3:$Y$502+1)))-1)-(5-SUMPRODUCT(MAX((Scores!$A$3:$A$502=$A24)*Scores!$Q$3:$Q$502*(5-Scores!$Y$3:$Y$502)))))</f>
        <v/>
      </c>
      <c r="K24" s="27">
        <f>IF(COUNT(C24:J24)=0,"",MAX(C24:J24))</f>
        <v/>
      </c>
    </row>
    <row r="25">
      <c r="A25" s="41">
        <f>IF(Applications!$A25="","",Applications!$A25&amp;"")</f>
        <v/>
      </c>
      <c r="B25" s="41">
        <f>IF($A25="","",COUNTIFS(Scores!$A$3:$A$502,$A25,Scores!$O$3:$O$502,"Counted"))</f>
        <v/>
      </c>
      <c r="C25" s="41">
        <f>IF(OR($A25="",N($B25)&lt;2,Scores!$D$2=0),"",(SUMPRODUCT(MAX((Scores!$A$3:$A$502=$A25)*Scores!$Q$3:$Q$502*(Scores!$R$3:$R$502+1)))-1)-(5-SUMPRODUCT(MAX((Scores!$A$3:$A$502=$A25)*Scores!$Q$3:$Q$502*(5-Scores!$R$3:$R$502)))))</f>
        <v/>
      </c>
      <c r="D25" s="41">
        <f>IF(OR($A25="",N($B25)&lt;2,Scores!$E$2=0),"",(SUMPRODUCT(MAX((Scores!$A$3:$A$502=$A25)*Scores!$Q$3:$Q$502*(Scores!$S$3:$S$502+1)))-1)-(5-SUMPRODUCT(MAX((Scores!$A$3:$A$502=$A25)*Scores!$Q$3:$Q$502*(5-Scores!$S$3:$S$502)))))</f>
        <v/>
      </c>
      <c r="E25" s="41">
        <f>IF(OR($A25="",N($B25)&lt;2,Scores!$F$2=0),"",(SUMPRODUCT(MAX((Scores!$A$3:$A$502=$A25)*Scores!$Q$3:$Q$502*(Scores!$T$3:$T$502+1)))-1)-(5-SUMPRODUCT(MAX((Scores!$A$3:$A$502=$A25)*Scores!$Q$3:$Q$502*(5-Scores!$T$3:$T$502)))))</f>
        <v/>
      </c>
      <c r="F25" s="41">
        <f>IF(OR($A25="",N($B25)&lt;2,Scores!$G$2=0),"",(SUMPRODUCT(MAX((Scores!$A$3:$A$502=$A25)*Scores!$Q$3:$Q$502*(Scores!$U$3:$U$502+1)))-1)-(5-SUMPRODUCT(MAX((Scores!$A$3:$A$502=$A25)*Scores!$Q$3:$Q$502*(5-Scores!$U$3:$U$502)))))</f>
        <v/>
      </c>
      <c r="G25" s="41">
        <f>IF(OR($A25="",N($B25)&lt;2,Scores!$H$2=0),"",(SUMPRODUCT(MAX((Scores!$A$3:$A$502=$A25)*Scores!$Q$3:$Q$502*(Scores!$V$3:$V$502+1)))-1)-(5-SUMPRODUCT(MAX((Scores!$A$3:$A$502=$A25)*Scores!$Q$3:$Q$502*(5-Scores!$V$3:$V$502)))))</f>
        <v/>
      </c>
      <c r="H25" s="41">
        <f>IF(OR($A25="",N($B25)&lt;2,Scores!$I$2=0),"",(SUMPRODUCT(MAX((Scores!$A$3:$A$502=$A25)*Scores!$Q$3:$Q$502*(Scores!$W$3:$W$502+1)))-1)-(5-SUMPRODUCT(MAX((Scores!$A$3:$A$502=$A25)*Scores!$Q$3:$Q$502*(5-Scores!$W$3:$W$502)))))</f>
        <v/>
      </c>
      <c r="I25" s="41">
        <f>IF(OR($A25="",N($B25)&lt;2,Scores!$J$2=0),"",(SUMPRODUCT(MAX((Scores!$A$3:$A$502=$A25)*Scores!$Q$3:$Q$502*(Scores!$X$3:$X$502+1)))-1)-(5-SUMPRODUCT(MAX((Scores!$A$3:$A$502=$A25)*Scores!$Q$3:$Q$502*(5-Scores!$X$3:$X$502)))))</f>
        <v/>
      </c>
      <c r="J25" s="41">
        <f>IF(OR($A25="",N($B25)&lt;2,Scores!$K$2=0),"",(SUMPRODUCT(MAX((Scores!$A$3:$A$502=$A25)*Scores!$Q$3:$Q$502*(Scores!$Y$3:$Y$502+1)))-1)-(5-SUMPRODUCT(MAX((Scores!$A$3:$A$502=$A25)*Scores!$Q$3:$Q$502*(5-Scores!$Y$3:$Y$502)))))</f>
        <v/>
      </c>
      <c r="K25" s="27">
        <f>IF(COUNT(C25:J25)=0,"",MAX(C25:J25))</f>
        <v/>
      </c>
    </row>
    <row r="26">
      <c r="A26" s="41">
        <f>IF(Applications!$A26="","",Applications!$A26&amp;"")</f>
        <v/>
      </c>
      <c r="B26" s="41">
        <f>IF($A26="","",COUNTIFS(Scores!$A$3:$A$502,$A26,Scores!$O$3:$O$502,"Counted"))</f>
        <v/>
      </c>
      <c r="C26" s="41">
        <f>IF(OR($A26="",N($B26)&lt;2,Scores!$D$2=0),"",(SUMPRODUCT(MAX((Scores!$A$3:$A$502=$A26)*Scores!$Q$3:$Q$502*(Scores!$R$3:$R$502+1)))-1)-(5-SUMPRODUCT(MAX((Scores!$A$3:$A$502=$A26)*Scores!$Q$3:$Q$502*(5-Scores!$R$3:$R$502)))))</f>
        <v/>
      </c>
      <c r="D26" s="41">
        <f>IF(OR($A26="",N($B26)&lt;2,Scores!$E$2=0),"",(SUMPRODUCT(MAX((Scores!$A$3:$A$502=$A26)*Scores!$Q$3:$Q$502*(Scores!$S$3:$S$502+1)))-1)-(5-SUMPRODUCT(MAX((Scores!$A$3:$A$502=$A26)*Scores!$Q$3:$Q$502*(5-Scores!$S$3:$S$502)))))</f>
        <v/>
      </c>
      <c r="E26" s="41">
        <f>IF(OR($A26="",N($B26)&lt;2,Scores!$F$2=0),"",(SUMPRODUCT(MAX((Scores!$A$3:$A$502=$A26)*Scores!$Q$3:$Q$502*(Scores!$T$3:$T$502+1)))-1)-(5-SUMPRODUCT(MAX((Scores!$A$3:$A$502=$A26)*Scores!$Q$3:$Q$502*(5-Scores!$T$3:$T$502)))))</f>
        <v/>
      </c>
      <c r="F26" s="41">
        <f>IF(OR($A26="",N($B26)&lt;2,Scores!$G$2=0),"",(SUMPRODUCT(MAX((Scores!$A$3:$A$502=$A26)*Scores!$Q$3:$Q$502*(Scores!$U$3:$U$502+1)))-1)-(5-SUMPRODUCT(MAX((Scores!$A$3:$A$502=$A26)*Scores!$Q$3:$Q$502*(5-Scores!$U$3:$U$502)))))</f>
        <v/>
      </c>
      <c r="G26" s="41">
        <f>IF(OR($A26="",N($B26)&lt;2,Scores!$H$2=0),"",(SUMPRODUCT(MAX((Scores!$A$3:$A$502=$A26)*Scores!$Q$3:$Q$502*(Scores!$V$3:$V$502+1)))-1)-(5-SUMPRODUCT(MAX((Scores!$A$3:$A$502=$A26)*Scores!$Q$3:$Q$502*(5-Scores!$V$3:$V$502)))))</f>
        <v/>
      </c>
      <c r="H26" s="41">
        <f>IF(OR($A26="",N($B26)&lt;2,Scores!$I$2=0),"",(SUMPRODUCT(MAX((Scores!$A$3:$A$502=$A26)*Scores!$Q$3:$Q$502*(Scores!$W$3:$W$502+1)))-1)-(5-SUMPRODUCT(MAX((Scores!$A$3:$A$502=$A26)*Scores!$Q$3:$Q$502*(5-Scores!$W$3:$W$502)))))</f>
        <v/>
      </c>
      <c r="I26" s="41">
        <f>IF(OR($A26="",N($B26)&lt;2,Scores!$J$2=0),"",(SUMPRODUCT(MAX((Scores!$A$3:$A$502=$A26)*Scores!$Q$3:$Q$502*(Scores!$X$3:$X$502+1)))-1)-(5-SUMPRODUCT(MAX((Scores!$A$3:$A$502=$A26)*Scores!$Q$3:$Q$502*(5-Scores!$X$3:$X$502)))))</f>
        <v/>
      </c>
      <c r="J26" s="41">
        <f>IF(OR($A26="",N($B26)&lt;2,Scores!$K$2=0),"",(SUMPRODUCT(MAX((Scores!$A$3:$A$502=$A26)*Scores!$Q$3:$Q$502*(Scores!$Y$3:$Y$502+1)))-1)-(5-SUMPRODUCT(MAX((Scores!$A$3:$A$502=$A26)*Scores!$Q$3:$Q$502*(5-Scores!$Y$3:$Y$502)))))</f>
        <v/>
      </c>
      <c r="K26" s="27">
        <f>IF(COUNT(C26:J26)=0,"",MAX(C26:J26))</f>
        <v/>
      </c>
    </row>
    <row r="27">
      <c r="A27" s="41">
        <f>IF(Applications!$A27="","",Applications!$A27&amp;"")</f>
        <v/>
      </c>
      <c r="B27" s="41">
        <f>IF($A27="","",COUNTIFS(Scores!$A$3:$A$502,$A27,Scores!$O$3:$O$502,"Counted"))</f>
        <v/>
      </c>
      <c r="C27" s="41">
        <f>IF(OR($A27="",N($B27)&lt;2,Scores!$D$2=0),"",(SUMPRODUCT(MAX((Scores!$A$3:$A$502=$A27)*Scores!$Q$3:$Q$502*(Scores!$R$3:$R$502+1)))-1)-(5-SUMPRODUCT(MAX((Scores!$A$3:$A$502=$A27)*Scores!$Q$3:$Q$502*(5-Scores!$R$3:$R$502)))))</f>
        <v/>
      </c>
      <c r="D27" s="41">
        <f>IF(OR($A27="",N($B27)&lt;2,Scores!$E$2=0),"",(SUMPRODUCT(MAX((Scores!$A$3:$A$502=$A27)*Scores!$Q$3:$Q$502*(Scores!$S$3:$S$502+1)))-1)-(5-SUMPRODUCT(MAX((Scores!$A$3:$A$502=$A27)*Scores!$Q$3:$Q$502*(5-Scores!$S$3:$S$502)))))</f>
        <v/>
      </c>
      <c r="E27" s="41">
        <f>IF(OR($A27="",N($B27)&lt;2,Scores!$F$2=0),"",(SUMPRODUCT(MAX((Scores!$A$3:$A$502=$A27)*Scores!$Q$3:$Q$502*(Scores!$T$3:$T$502+1)))-1)-(5-SUMPRODUCT(MAX((Scores!$A$3:$A$502=$A27)*Scores!$Q$3:$Q$502*(5-Scores!$T$3:$T$502)))))</f>
        <v/>
      </c>
      <c r="F27" s="41">
        <f>IF(OR($A27="",N($B27)&lt;2,Scores!$G$2=0),"",(SUMPRODUCT(MAX((Scores!$A$3:$A$502=$A27)*Scores!$Q$3:$Q$502*(Scores!$U$3:$U$502+1)))-1)-(5-SUMPRODUCT(MAX((Scores!$A$3:$A$502=$A27)*Scores!$Q$3:$Q$502*(5-Scores!$U$3:$U$502)))))</f>
        <v/>
      </c>
      <c r="G27" s="41">
        <f>IF(OR($A27="",N($B27)&lt;2,Scores!$H$2=0),"",(SUMPRODUCT(MAX((Scores!$A$3:$A$502=$A27)*Scores!$Q$3:$Q$502*(Scores!$V$3:$V$502+1)))-1)-(5-SUMPRODUCT(MAX((Scores!$A$3:$A$502=$A27)*Scores!$Q$3:$Q$502*(5-Scores!$V$3:$V$502)))))</f>
        <v/>
      </c>
      <c r="H27" s="41">
        <f>IF(OR($A27="",N($B27)&lt;2,Scores!$I$2=0),"",(SUMPRODUCT(MAX((Scores!$A$3:$A$502=$A27)*Scores!$Q$3:$Q$502*(Scores!$W$3:$W$502+1)))-1)-(5-SUMPRODUCT(MAX((Scores!$A$3:$A$502=$A27)*Scores!$Q$3:$Q$502*(5-Scores!$W$3:$W$502)))))</f>
        <v/>
      </c>
      <c r="I27" s="41">
        <f>IF(OR($A27="",N($B27)&lt;2,Scores!$J$2=0),"",(SUMPRODUCT(MAX((Scores!$A$3:$A$502=$A27)*Scores!$Q$3:$Q$502*(Scores!$X$3:$X$502+1)))-1)-(5-SUMPRODUCT(MAX((Scores!$A$3:$A$502=$A27)*Scores!$Q$3:$Q$502*(5-Scores!$X$3:$X$502)))))</f>
        <v/>
      </c>
      <c r="J27" s="41">
        <f>IF(OR($A27="",N($B27)&lt;2,Scores!$K$2=0),"",(SUMPRODUCT(MAX((Scores!$A$3:$A$502=$A27)*Scores!$Q$3:$Q$502*(Scores!$Y$3:$Y$502+1)))-1)-(5-SUMPRODUCT(MAX((Scores!$A$3:$A$502=$A27)*Scores!$Q$3:$Q$502*(5-Scores!$Y$3:$Y$502)))))</f>
        <v/>
      </c>
      <c r="K27" s="27">
        <f>IF(COUNT(C27:J27)=0,"",MAX(C27:J27))</f>
        <v/>
      </c>
    </row>
    <row r="28">
      <c r="A28" s="41">
        <f>IF(Applications!$A28="","",Applications!$A28&amp;"")</f>
        <v/>
      </c>
      <c r="B28" s="41">
        <f>IF($A28="","",COUNTIFS(Scores!$A$3:$A$502,$A28,Scores!$O$3:$O$502,"Counted"))</f>
        <v/>
      </c>
      <c r="C28" s="41">
        <f>IF(OR($A28="",N($B28)&lt;2,Scores!$D$2=0),"",(SUMPRODUCT(MAX((Scores!$A$3:$A$502=$A28)*Scores!$Q$3:$Q$502*(Scores!$R$3:$R$502+1)))-1)-(5-SUMPRODUCT(MAX((Scores!$A$3:$A$502=$A28)*Scores!$Q$3:$Q$502*(5-Scores!$R$3:$R$502)))))</f>
        <v/>
      </c>
      <c r="D28" s="41">
        <f>IF(OR($A28="",N($B28)&lt;2,Scores!$E$2=0),"",(SUMPRODUCT(MAX((Scores!$A$3:$A$502=$A28)*Scores!$Q$3:$Q$502*(Scores!$S$3:$S$502+1)))-1)-(5-SUMPRODUCT(MAX((Scores!$A$3:$A$502=$A28)*Scores!$Q$3:$Q$502*(5-Scores!$S$3:$S$502)))))</f>
        <v/>
      </c>
      <c r="E28" s="41">
        <f>IF(OR($A28="",N($B28)&lt;2,Scores!$F$2=0),"",(SUMPRODUCT(MAX((Scores!$A$3:$A$502=$A28)*Scores!$Q$3:$Q$502*(Scores!$T$3:$T$502+1)))-1)-(5-SUMPRODUCT(MAX((Scores!$A$3:$A$502=$A28)*Scores!$Q$3:$Q$502*(5-Scores!$T$3:$T$502)))))</f>
        <v/>
      </c>
      <c r="F28" s="41">
        <f>IF(OR($A28="",N($B28)&lt;2,Scores!$G$2=0),"",(SUMPRODUCT(MAX((Scores!$A$3:$A$502=$A28)*Scores!$Q$3:$Q$502*(Scores!$U$3:$U$502+1)))-1)-(5-SUMPRODUCT(MAX((Scores!$A$3:$A$502=$A28)*Scores!$Q$3:$Q$502*(5-Scores!$U$3:$U$502)))))</f>
        <v/>
      </c>
      <c r="G28" s="41">
        <f>IF(OR($A28="",N($B28)&lt;2,Scores!$H$2=0),"",(SUMPRODUCT(MAX((Scores!$A$3:$A$502=$A28)*Scores!$Q$3:$Q$502*(Scores!$V$3:$V$502+1)))-1)-(5-SUMPRODUCT(MAX((Scores!$A$3:$A$502=$A28)*Scores!$Q$3:$Q$502*(5-Scores!$V$3:$V$502)))))</f>
        <v/>
      </c>
      <c r="H28" s="41">
        <f>IF(OR($A28="",N($B28)&lt;2,Scores!$I$2=0),"",(SUMPRODUCT(MAX((Scores!$A$3:$A$502=$A28)*Scores!$Q$3:$Q$502*(Scores!$W$3:$W$502+1)))-1)-(5-SUMPRODUCT(MAX((Scores!$A$3:$A$502=$A28)*Scores!$Q$3:$Q$502*(5-Scores!$W$3:$W$502)))))</f>
        <v/>
      </c>
      <c r="I28" s="41">
        <f>IF(OR($A28="",N($B28)&lt;2,Scores!$J$2=0),"",(SUMPRODUCT(MAX((Scores!$A$3:$A$502=$A28)*Scores!$Q$3:$Q$502*(Scores!$X$3:$X$502+1)))-1)-(5-SUMPRODUCT(MAX((Scores!$A$3:$A$502=$A28)*Scores!$Q$3:$Q$502*(5-Scores!$X$3:$X$502)))))</f>
        <v/>
      </c>
      <c r="J28" s="41">
        <f>IF(OR($A28="",N($B28)&lt;2,Scores!$K$2=0),"",(SUMPRODUCT(MAX((Scores!$A$3:$A$502=$A28)*Scores!$Q$3:$Q$502*(Scores!$Y$3:$Y$502+1)))-1)-(5-SUMPRODUCT(MAX((Scores!$A$3:$A$502=$A28)*Scores!$Q$3:$Q$502*(5-Scores!$Y$3:$Y$502)))))</f>
        <v/>
      </c>
      <c r="K28" s="27">
        <f>IF(COUNT(C28:J28)=0,"",MAX(C28:J28))</f>
        <v/>
      </c>
    </row>
    <row r="29">
      <c r="A29" s="41">
        <f>IF(Applications!$A29="","",Applications!$A29&amp;"")</f>
        <v/>
      </c>
      <c r="B29" s="41">
        <f>IF($A29="","",COUNTIFS(Scores!$A$3:$A$502,$A29,Scores!$O$3:$O$502,"Counted"))</f>
        <v/>
      </c>
      <c r="C29" s="41">
        <f>IF(OR($A29="",N($B29)&lt;2,Scores!$D$2=0),"",(SUMPRODUCT(MAX((Scores!$A$3:$A$502=$A29)*Scores!$Q$3:$Q$502*(Scores!$R$3:$R$502+1)))-1)-(5-SUMPRODUCT(MAX((Scores!$A$3:$A$502=$A29)*Scores!$Q$3:$Q$502*(5-Scores!$R$3:$R$502)))))</f>
        <v/>
      </c>
      <c r="D29" s="41">
        <f>IF(OR($A29="",N($B29)&lt;2,Scores!$E$2=0),"",(SUMPRODUCT(MAX((Scores!$A$3:$A$502=$A29)*Scores!$Q$3:$Q$502*(Scores!$S$3:$S$502+1)))-1)-(5-SUMPRODUCT(MAX((Scores!$A$3:$A$502=$A29)*Scores!$Q$3:$Q$502*(5-Scores!$S$3:$S$502)))))</f>
        <v/>
      </c>
      <c r="E29" s="41">
        <f>IF(OR($A29="",N($B29)&lt;2,Scores!$F$2=0),"",(SUMPRODUCT(MAX((Scores!$A$3:$A$502=$A29)*Scores!$Q$3:$Q$502*(Scores!$T$3:$T$502+1)))-1)-(5-SUMPRODUCT(MAX((Scores!$A$3:$A$502=$A29)*Scores!$Q$3:$Q$502*(5-Scores!$T$3:$T$502)))))</f>
        <v/>
      </c>
      <c r="F29" s="41">
        <f>IF(OR($A29="",N($B29)&lt;2,Scores!$G$2=0),"",(SUMPRODUCT(MAX((Scores!$A$3:$A$502=$A29)*Scores!$Q$3:$Q$502*(Scores!$U$3:$U$502+1)))-1)-(5-SUMPRODUCT(MAX((Scores!$A$3:$A$502=$A29)*Scores!$Q$3:$Q$502*(5-Scores!$U$3:$U$502)))))</f>
        <v/>
      </c>
      <c r="G29" s="41">
        <f>IF(OR($A29="",N($B29)&lt;2,Scores!$H$2=0),"",(SUMPRODUCT(MAX((Scores!$A$3:$A$502=$A29)*Scores!$Q$3:$Q$502*(Scores!$V$3:$V$502+1)))-1)-(5-SUMPRODUCT(MAX((Scores!$A$3:$A$502=$A29)*Scores!$Q$3:$Q$502*(5-Scores!$V$3:$V$502)))))</f>
        <v/>
      </c>
      <c r="H29" s="41">
        <f>IF(OR($A29="",N($B29)&lt;2,Scores!$I$2=0),"",(SUMPRODUCT(MAX((Scores!$A$3:$A$502=$A29)*Scores!$Q$3:$Q$502*(Scores!$W$3:$W$502+1)))-1)-(5-SUMPRODUCT(MAX((Scores!$A$3:$A$502=$A29)*Scores!$Q$3:$Q$502*(5-Scores!$W$3:$W$502)))))</f>
        <v/>
      </c>
      <c r="I29" s="41">
        <f>IF(OR($A29="",N($B29)&lt;2,Scores!$J$2=0),"",(SUMPRODUCT(MAX((Scores!$A$3:$A$502=$A29)*Scores!$Q$3:$Q$502*(Scores!$X$3:$X$502+1)))-1)-(5-SUMPRODUCT(MAX((Scores!$A$3:$A$502=$A29)*Scores!$Q$3:$Q$502*(5-Scores!$X$3:$X$502)))))</f>
        <v/>
      </c>
      <c r="J29" s="41">
        <f>IF(OR($A29="",N($B29)&lt;2,Scores!$K$2=0),"",(SUMPRODUCT(MAX((Scores!$A$3:$A$502=$A29)*Scores!$Q$3:$Q$502*(Scores!$Y$3:$Y$502+1)))-1)-(5-SUMPRODUCT(MAX((Scores!$A$3:$A$502=$A29)*Scores!$Q$3:$Q$502*(5-Scores!$Y$3:$Y$502)))))</f>
        <v/>
      </c>
      <c r="K29" s="27">
        <f>IF(COUNT(C29:J29)=0,"",MAX(C29:J29))</f>
        <v/>
      </c>
    </row>
    <row r="30">
      <c r="A30" s="41">
        <f>IF(Applications!$A30="","",Applications!$A30&amp;"")</f>
        <v/>
      </c>
      <c r="B30" s="41">
        <f>IF($A30="","",COUNTIFS(Scores!$A$3:$A$502,$A30,Scores!$O$3:$O$502,"Counted"))</f>
        <v/>
      </c>
      <c r="C30" s="41">
        <f>IF(OR($A30="",N($B30)&lt;2,Scores!$D$2=0),"",(SUMPRODUCT(MAX((Scores!$A$3:$A$502=$A30)*Scores!$Q$3:$Q$502*(Scores!$R$3:$R$502+1)))-1)-(5-SUMPRODUCT(MAX((Scores!$A$3:$A$502=$A30)*Scores!$Q$3:$Q$502*(5-Scores!$R$3:$R$502)))))</f>
        <v/>
      </c>
      <c r="D30" s="41">
        <f>IF(OR($A30="",N($B30)&lt;2,Scores!$E$2=0),"",(SUMPRODUCT(MAX((Scores!$A$3:$A$502=$A30)*Scores!$Q$3:$Q$502*(Scores!$S$3:$S$502+1)))-1)-(5-SUMPRODUCT(MAX((Scores!$A$3:$A$502=$A30)*Scores!$Q$3:$Q$502*(5-Scores!$S$3:$S$502)))))</f>
        <v/>
      </c>
      <c r="E30" s="41">
        <f>IF(OR($A30="",N($B30)&lt;2,Scores!$F$2=0),"",(SUMPRODUCT(MAX((Scores!$A$3:$A$502=$A30)*Scores!$Q$3:$Q$502*(Scores!$T$3:$T$502+1)))-1)-(5-SUMPRODUCT(MAX((Scores!$A$3:$A$502=$A30)*Scores!$Q$3:$Q$502*(5-Scores!$T$3:$T$502)))))</f>
        <v/>
      </c>
      <c r="F30" s="41">
        <f>IF(OR($A30="",N($B30)&lt;2,Scores!$G$2=0),"",(SUMPRODUCT(MAX((Scores!$A$3:$A$502=$A30)*Scores!$Q$3:$Q$502*(Scores!$U$3:$U$502+1)))-1)-(5-SUMPRODUCT(MAX((Scores!$A$3:$A$502=$A30)*Scores!$Q$3:$Q$502*(5-Scores!$U$3:$U$502)))))</f>
        <v/>
      </c>
      <c r="G30" s="41">
        <f>IF(OR($A30="",N($B30)&lt;2,Scores!$H$2=0),"",(SUMPRODUCT(MAX((Scores!$A$3:$A$502=$A30)*Scores!$Q$3:$Q$502*(Scores!$V$3:$V$502+1)))-1)-(5-SUMPRODUCT(MAX((Scores!$A$3:$A$502=$A30)*Scores!$Q$3:$Q$502*(5-Scores!$V$3:$V$502)))))</f>
        <v/>
      </c>
      <c r="H30" s="41">
        <f>IF(OR($A30="",N($B30)&lt;2,Scores!$I$2=0),"",(SUMPRODUCT(MAX((Scores!$A$3:$A$502=$A30)*Scores!$Q$3:$Q$502*(Scores!$W$3:$W$502+1)))-1)-(5-SUMPRODUCT(MAX((Scores!$A$3:$A$502=$A30)*Scores!$Q$3:$Q$502*(5-Scores!$W$3:$W$502)))))</f>
        <v/>
      </c>
      <c r="I30" s="41">
        <f>IF(OR($A30="",N($B30)&lt;2,Scores!$J$2=0),"",(SUMPRODUCT(MAX((Scores!$A$3:$A$502=$A30)*Scores!$Q$3:$Q$502*(Scores!$X$3:$X$502+1)))-1)-(5-SUMPRODUCT(MAX((Scores!$A$3:$A$502=$A30)*Scores!$Q$3:$Q$502*(5-Scores!$X$3:$X$502)))))</f>
        <v/>
      </c>
      <c r="J30" s="41">
        <f>IF(OR($A30="",N($B30)&lt;2,Scores!$K$2=0),"",(SUMPRODUCT(MAX((Scores!$A$3:$A$502=$A30)*Scores!$Q$3:$Q$502*(Scores!$Y$3:$Y$502+1)))-1)-(5-SUMPRODUCT(MAX((Scores!$A$3:$A$502=$A30)*Scores!$Q$3:$Q$502*(5-Scores!$Y$3:$Y$502)))))</f>
        <v/>
      </c>
      <c r="K30" s="27">
        <f>IF(COUNT(C30:J30)=0,"",MAX(C30:J30))</f>
        <v/>
      </c>
    </row>
    <row r="31">
      <c r="A31" s="41">
        <f>IF(Applications!$A31="","",Applications!$A31&amp;"")</f>
        <v/>
      </c>
      <c r="B31" s="41">
        <f>IF($A31="","",COUNTIFS(Scores!$A$3:$A$502,$A31,Scores!$O$3:$O$502,"Counted"))</f>
        <v/>
      </c>
      <c r="C31" s="41">
        <f>IF(OR($A31="",N($B31)&lt;2,Scores!$D$2=0),"",(SUMPRODUCT(MAX((Scores!$A$3:$A$502=$A31)*Scores!$Q$3:$Q$502*(Scores!$R$3:$R$502+1)))-1)-(5-SUMPRODUCT(MAX((Scores!$A$3:$A$502=$A31)*Scores!$Q$3:$Q$502*(5-Scores!$R$3:$R$502)))))</f>
        <v/>
      </c>
      <c r="D31" s="41">
        <f>IF(OR($A31="",N($B31)&lt;2,Scores!$E$2=0),"",(SUMPRODUCT(MAX((Scores!$A$3:$A$502=$A31)*Scores!$Q$3:$Q$502*(Scores!$S$3:$S$502+1)))-1)-(5-SUMPRODUCT(MAX((Scores!$A$3:$A$502=$A31)*Scores!$Q$3:$Q$502*(5-Scores!$S$3:$S$502)))))</f>
        <v/>
      </c>
      <c r="E31" s="41">
        <f>IF(OR($A31="",N($B31)&lt;2,Scores!$F$2=0),"",(SUMPRODUCT(MAX((Scores!$A$3:$A$502=$A31)*Scores!$Q$3:$Q$502*(Scores!$T$3:$T$502+1)))-1)-(5-SUMPRODUCT(MAX((Scores!$A$3:$A$502=$A31)*Scores!$Q$3:$Q$502*(5-Scores!$T$3:$T$502)))))</f>
        <v/>
      </c>
      <c r="F31" s="41">
        <f>IF(OR($A31="",N($B31)&lt;2,Scores!$G$2=0),"",(SUMPRODUCT(MAX((Scores!$A$3:$A$502=$A31)*Scores!$Q$3:$Q$502*(Scores!$U$3:$U$502+1)))-1)-(5-SUMPRODUCT(MAX((Scores!$A$3:$A$502=$A31)*Scores!$Q$3:$Q$502*(5-Scores!$U$3:$U$502)))))</f>
        <v/>
      </c>
      <c r="G31" s="41">
        <f>IF(OR($A31="",N($B31)&lt;2,Scores!$H$2=0),"",(SUMPRODUCT(MAX((Scores!$A$3:$A$502=$A31)*Scores!$Q$3:$Q$502*(Scores!$V$3:$V$502+1)))-1)-(5-SUMPRODUCT(MAX((Scores!$A$3:$A$502=$A31)*Scores!$Q$3:$Q$502*(5-Scores!$V$3:$V$502)))))</f>
        <v/>
      </c>
      <c r="H31" s="41">
        <f>IF(OR($A31="",N($B31)&lt;2,Scores!$I$2=0),"",(SUMPRODUCT(MAX((Scores!$A$3:$A$502=$A31)*Scores!$Q$3:$Q$502*(Scores!$W$3:$W$502+1)))-1)-(5-SUMPRODUCT(MAX((Scores!$A$3:$A$502=$A31)*Scores!$Q$3:$Q$502*(5-Scores!$W$3:$W$502)))))</f>
        <v/>
      </c>
      <c r="I31" s="41">
        <f>IF(OR($A31="",N($B31)&lt;2,Scores!$J$2=0),"",(SUMPRODUCT(MAX((Scores!$A$3:$A$502=$A31)*Scores!$Q$3:$Q$502*(Scores!$X$3:$X$502+1)))-1)-(5-SUMPRODUCT(MAX((Scores!$A$3:$A$502=$A31)*Scores!$Q$3:$Q$502*(5-Scores!$X$3:$X$502)))))</f>
        <v/>
      </c>
      <c r="J31" s="41">
        <f>IF(OR($A31="",N($B31)&lt;2,Scores!$K$2=0),"",(SUMPRODUCT(MAX((Scores!$A$3:$A$502=$A31)*Scores!$Q$3:$Q$502*(Scores!$Y$3:$Y$502+1)))-1)-(5-SUMPRODUCT(MAX((Scores!$A$3:$A$502=$A31)*Scores!$Q$3:$Q$502*(5-Scores!$Y$3:$Y$502)))))</f>
        <v/>
      </c>
      <c r="K31" s="27">
        <f>IF(COUNT(C31:J31)=0,"",MAX(C31:J31))</f>
        <v/>
      </c>
    </row>
    <row r="32">
      <c r="A32" s="41">
        <f>IF(Applications!$A32="","",Applications!$A32&amp;"")</f>
        <v/>
      </c>
      <c r="B32" s="41">
        <f>IF($A32="","",COUNTIFS(Scores!$A$3:$A$502,$A32,Scores!$O$3:$O$502,"Counted"))</f>
        <v/>
      </c>
      <c r="C32" s="41">
        <f>IF(OR($A32="",N($B32)&lt;2,Scores!$D$2=0),"",(SUMPRODUCT(MAX((Scores!$A$3:$A$502=$A32)*Scores!$Q$3:$Q$502*(Scores!$R$3:$R$502+1)))-1)-(5-SUMPRODUCT(MAX((Scores!$A$3:$A$502=$A32)*Scores!$Q$3:$Q$502*(5-Scores!$R$3:$R$502)))))</f>
        <v/>
      </c>
      <c r="D32" s="41">
        <f>IF(OR($A32="",N($B32)&lt;2,Scores!$E$2=0),"",(SUMPRODUCT(MAX((Scores!$A$3:$A$502=$A32)*Scores!$Q$3:$Q$502*(Scores!$S$3:$S$502+1)))-1)-(5-SUMPRODUCT(MAX((Scores!$A$3:$A$502=$A32)*Scores!$Q$3:$Q$502*(5-Scores!$S$3:$S$502)))))</f>
        <v/>
      </c>
      <c r="E32" s="41">
        <f>IF(OR($A32="",N($B32)&lt;2,Scores!$F$2=0),"",(SUMPRODUCT(MAX((Scores!$A$3:$A$502=$A32)*Scores!$Q$3:$Q$502*(Scores!$T$3:$T$502+1)))-1)-(5-SUMPRODUCT(MAX((Scores!$A$3:$A$502=$A32)*Scores!$Q$3:$Q$502*(5-Scores!$T$3:$T$502)))))</f>
        <v/>
      </c>
      <c r="F32" s="41">
        <f>IF(OR($A32="",N($B32)&lt;2,Scores!$G$2=0),"",(SUMPRODUCT(MAX((Scores!$A$3:$A$502=$A32)*Scores!$Q$3:$Q$502*(Scores!$U$3:$U$502+1)))-1)-(5-SUMPRODUCT(MAX((Scores!$A$3:$A$502=$A32)*Scores!$Q$3:$Q$502*(5-Scores!$U$3:$U$502)))))</f>
        <v/>
      </c>
      <c r="G32" s="41">
        <f>IF(OR($A32="",N($B32)&lt;2,Scores!$H$2=0),"",(SUMPRODUCT(MAX((Scores!$A$3:$A$502=$A32)*Scores!$Q$3:$Q$502*(Scores!$V$3:$V$502+1)))-1)-(5-SUMPRODUCT(MAX((Scores!$A$3:$A$502=$A32)*Scores!$Q$3:$Q$502*(5-Scores!$V$3:$V$502)))))</f>
        <v/>
      </c>
      <c r="H32" s="41">
        <f>IF(OR($A32="",N($B32)&lt;2,Scores!$I$2=0),"",(SUMPRODUCT(MAX((Scores!$A$3:$A$502=$A32)*Scores!$Q$3:$Q$502*(Scores!$W$3:$W$502+1)))-1)-(5-SUMPRODUCT(MAX((Scores!$A$3:$A$502=$A32)*Scores!$Q$3:$Q$502*(5-Scores!$W$3:$W$502)))))</f>
        <v/>
      </c>
      <c r="I32" s="41">
        <f>IF(OR($A32="",N($B32)&lt;2,Scores!$J$2=0),"",(SUMPRODUCT(MAX((Scores!$A$3:$A$502=$A32)*Scores!$Q$3:$Q$502*(Scores!$X$3:$X$502+1)))-1)-(5-SUMPRODUCT(MAX((Scores!$A$3:$A$502=$A32)*Scores!$Q$3:$Q$502*(5-Scores!$X$3:$X$502)))))</f>
        <v/>
      </c>
      <c r="J32" s="41">
        <f>IF(OR($A32="",N($B32)&lt;2,Scores!$K$2=0),"",(SUMPRODUCT(MAX((Scores!$A$3:$A$502=$A32)*Scores!$Q$3:$Q$502*(Scores!$Y$3:$Y$502+1)))-1)-(5-SUMPRODUCT(MAX((Scores!$A$3:$A$502=$A32)*Scores!$Q$3:$Q$502*(5-Scores!$Y$3:$Y$502)))))</f>
        <v/>
      </c>
      <c r="K32" s="27">
        <f>IF(COUNT(C32:J32)=0,"",MAX(C32:J32))</f>
        <v/>
      </c>
    </row>
    <row r="33">
      <c r="A33" s="41">
        <f>IF(Applications!$A33="","",Applications!$A33&amp;"")</f>
        <v/>
      </c>
      <c r="B33" s="41">
        <f>IF($A33="","",COUNTIFS(Scores!$A$3:$A$502,$A33,Scores!$O$3:$O$502,"Counted"))</f>
        <v/>
      </c>
      <c r="C33" s="41">
        <f>IF(OR($A33="",N($B33)&lt;2,Scores!$D$2=0),"",(SUMPRODUCT(MAX((Scores!$A$3:$A$502=$A33)*Scores!$Q$3:$Q$502*(Scores!$R$3:$R$502+1)))-1)-(5-SUMPRODUCT(MAX((Scores!$A$3:$A$502=$A33)*Scores!$Q$3:$Q$502*(5-Scores!$R$3:$R$502)))))</f>
        <v/>
      </c>
      <c r="D33" s="41">
        <f>IF(OR($A33="",N($B33)&lt;2,Scores!$E$2=0),"",(SUMPRODUCT(MAX((Scores!$A$3:$A$502=$A33)*Scores!$Q$3:$Q$502*(Scores!$S$3:$S$502+1)))-1)-(5-SUMPRODUCT(MAX((Scores!$A$3:$A$502=$A33)*Scores!$Q$3:$Q$502*(5-Scores!$S$3:$S$502)))))</f>
        <v/>
      </c>
      <c r="E33" s="41">
        <f>IF(OR($A33="",N($B33)&lt;2,Scores!$F$2=0),"",(SUMPRODUCT(MAX((Scores!$A$3:$A$502=$A33)*Scores!$Q$3:$Q$502*(Scores!$T$3:$T$502+1)))-1)-(5-SUMPRODUCT(MAX((Scores!$A$3:$A$502=$A33)*Scores!$Q$3:$Q$502*(5-Scores!$T$3:$T$502)))))</f>
        <v/>
      </c>
      <c r="F33" s="41">
        <f>IF(OR($A33="",N($B33)&lt;2,Scores!$G$2=0),"",(SUMPRODUCT(MAX((Scores!$A$3:$A$502=$A33)*Scores!$Q$3:$Q$502*(Scores!$U$3:$U$502+1)))-1)-(5-SUMPRODUCT(MAX((Scores!$A$3:$A$502=$A33)*Scores!$Q$3:$Q$502*(5-Scores!$U$3:$U$502)))))</f>
        <v/>
      </c>
      <c r="G33" s="41">
        <f>IF(OR($A33="",N($B33)&lt;2,Scores!$H$2=0),"",(SUMPRODUCT(MAX((Scores!$A$3:$A$502=$A33)*Scores!$Q$3:$Q$502*(Scores!$V$3:$V$502+1)))-1)-(5-SUMPRODUCT(MAX((Scores!$A$3:$A$502=$A33)*Scores!$Q$3:$Q$502*(5-Scores!$V$3:$V$502)))))</f>
        <v/>
      </c>
      <c r="H33" s="41">
        <f>IF(OR($A33="",N($B33)&lt;2,Scores!$I$2=0),"",(SUMPRODUCT(MAX((Scores!$A$3:$A$502=$A33)*Scores!$Q$3:$Q$502*(Scores!$W$3:$W$502+1)))-1)-(5-SUMPRODUCT(MAX((Scores!$A$3:$A$502=$A33)*Scores!$Q$3:$Q$502*(5-Scores!$W$3:$W$502)))))</f>
        <v/>
      </c>
      <c r="I33" s="41">
        <f>IF(OR($A33="",N($B33)&lt;2,Scores!$J$2=0),"",(SUMPRODUCT(MAX((Scores!$A$3:$A$502=$A33)*Scores!$Q$3:$Q$502*(Scores!$X$3:$X$502+1)))-1)-(5-SUMPRODUCT(MAX((Scores!$A$3:$A$502=$A33)*Scores!$Q$3:$Q$502*(5-Scores!$X$3:$X$502)))))</f>
        <v/>
      </c>
      <c r="J33" s="41">
        <f>IF(OR($A33="",N($B33)&lt;2,Scores!$K$2=0),"",(SUMPRODUCT(MAX((Scores!$A$3:$A$502=$A33)*Scores!$Q$3:$Q$502*(Scores!$Y$3:$Y$502+1)))-1)-(5-SUMPRODUCT(MAX((Scores!$A$3:$A$502=$A33)*Scores!$Q$3:$Q$502*(5-Scores!$Y$3:$Y$502)))))</f>
        <v/>
      </c>
      <c r="K33" s="27">
        <f>IF(COUNT(C33:J33)=0,"",MAX(C33:J33))</f>
        <v/>
      </c>
    </row>
    <row r="34">
      <c r="A34" s="41">
        <f>IF(Applications!$A34="","",Applications!$A34&amp;"")</f>
        <v/>
      </c>
      <c r="B34" s="41">
        <f>IF($A34="","",COUNTIFS(Scores!$A$3:$A$502,$A34,Scores!$O$3:$O$502,"Counted"))</f>
        <v/>
      </c>
      <c r="C34" s="41">
        <f>IF(OR($A34="",N($B34)&lt;2,Scores!$D$2=0),"",(SUMPRODUCT(MAX((Scores!$A$3:$A$502=$A34)*Scores!$Q$3:$Q$502*(Scores!$R$3:$R$502+1)))-1)-(5-SUMPRODUCT(MAX((Scores!$A$3:$A$502=$A34)*Scores!$Q$3:$Q$502*(5-Scores!$R$3:$R$502)))))</f>
        <v/>
      </c>
      <c r="D34" s="41">
        <f>IF(OR($A34="",N($B34)&lt;2,Scores!$E$2=0),"",(SUMPRODUCT(MAX((Scores!$A$3:$A$502=$A34)*Scores!$Q$3:$Q$502*(Scores!$S$3:$S$502+1)))-1)-(5-SUMPRODUCT(MAX((Scores!$A$3:$A$502=$A34)*Scores!$Q$3:$Q$502*(5-Scores!$S$3:$S$502)))))</f>
        <v/>
      </c>
      <c r="E34" s="41">
        <f>IF(OR($A34="",N($B34)&lt;2,Scores!$F$2=0),"",(SUMPRODUCT(MAX((Scores!$A$3:$A$502=$A34)*Scores!$Q$3:$Q$502*(Scores!$T$3:$T$502+1)))-1)-(5-SUMPRODUCT(MAX((Scores!$A$3:$A$502=$A34)*Scores!$Q$3:$Q$502*(5-Scores!$T$3:$T$502)))))</f>
        <v/>
      </c>
      <c r="F34" s="41">
        <f>IF(OR($A34="",N($B34)&lt;2,Scores!$G$2=0),"",(SUMPRODUCT(MAX((Scores!$A$3:$A$502=$A34)*Scores!$Q$3:$Q$502*(Scores!$U$3:$U$502+1)))-1)-(5-SUMPRODUCT(MAX((Scores!$A$3:$A$502=$A34)*Scores!$Q$3:$Q$502*(5-Scores!$U$3:$U$502)))))</f>
        <v/>
      </c>
      <c r="G34" s="41">
        <f>IF(OR($A34="",N($B34)&lt;2,Scores!$H$2=0),"",(SUMPRODUCT(MAX((Scores!$A$3:$A$502=$A34)*Scores!$Q$3:$Q$502*(Scores!$V$3:$V$502+1)))-1)-(5-SUMPRODUCT(MAX((Scores!$A$3:$A$502=$A34)*Scores!$Q$3:$Q$502*(5-Scores!$V$3:$V$502)))))</f>
        <v/>
      </c>
      <c r="H34" s="41">
        <f>IF(OR($A34="",N($B34)&lt;2,Scores!$I$2=0),"",(SUMPRODUCT(MAX((Scores!$A$3:$A$502=$A34)*Scores!$Q$3:$Q$502*(Scores!$W$3:$W$502+1)))-1)-(5-SUMPRODUCT(MAX((Scores!$A$3:$A$502=$A34)*Scores!$Q$3:$Q$502*(5-Scores!$W$3:$W$502)))))</f>
        <v/>
      </c>
      <c r="I34" s="41">
        <f>IF(OR($A34="",N($B34)&lt;2,Scores!$J$2=0),"",(SUMPRODUCT(MAX((Scores!$A$3:$A$502=$A34)*Scores!$Q$3:$Q$502*(Scores!$X$3:$X$502+1)))-1)-(5-SUMPRODUCT(MAX((Scores!$A$3:$A$502=$A34)*Scores!$Q$3:$Q$502*(5-Scores!$X$3:$X$502)))))</f>
        <v/>
      </c>
      <c r="J34" s="41">
        <f>IF(OR($A34="",N($B34)&lt;2,Scores!$K$2=0),"",(SUMPRODUCT(MAX((Scores!$A$3:$A$502=$A34)*Scores!$Q$3:$Q$502*(Scores!$Y$3:$Y$502+1)))-1)-(5-SUMPRODUCT(MAX((Scores!$A$3:$A$502=$A34)*Scores!$Q$3:$Q$502*(5-Scores!$Y$3:$Y$502)))))</f>
        <v/>
      </c>
      <c r="K34" s="27">
        <f>IF(COUNT(C34:J34)=0,"",MAX(C34:J34))</f>
        <v/>
      </c>
    </row>
    <row r="35">
      <c r="A35" s="41">
        <f>IF(Applications!$A35="","",Applications!$A35&amp;"")</f>
        <v/>
      </c>
      <c r="B35" s="41">
        <f>IF($A35="","",COUNTIFS(Scores!$A$3:$A$502,$A35,Scores!$O$3:$O$502,"Counted"))</f>
        <v/>
      </c>
      <c r="C35" s="41">
        <f>IF(OR($A35="",N($B35)&lt;2,Scores!$D$2=0),"",(SUMPRODUCT(MAX((Scores!$A$3:$A$502=$A35)*Scores!$Q$3:$Q$502*(Scores!$R$3:$R$502+1)))-1)-(5-SUMPRODUCT(MAX((Scores!$A$3:$A$502=$A35)*Scores!$Q$3:$Q$502*(5-Scores!$R$3:$R$502)))))</f>
        <v/>
      </c>
      <c r="D35" s="41">
        <f>IF(OR($A35="",N($B35)&lt;2,Scores!$E$2=0),"",(SUMPRODUCT(MAX((Scores!$A$3:$A$502=$A35)*Scores!$Q$3:$Q$502*(Scores!$S$3:$S$502+1)))-1)-(5-SUMPRODUCT(MAX((Scores!$A$3:$A$502=$A35)*Scores!$Q$3:$Q$502*(5-Scores!$S$3:$S$502)))))</f>
        <v/>
      </c>
      <c r="E35" s="41">
        <f>IF(OR($A35="",N($B35)&lt;2,Scores!$F$2=0),"",(SUMPRODUCT(MAX((Scores!$A$3:$A$502=$A35)*Scores!$Q$3:$Q$502*(Scores!$T$3:$T$502+1)))-1)-(5-SUMPRODUCT(MAX((Scores!$A$3:$A$502=$A35)*Scores!$Q$3:$Q$502*(5-Scores!$T$3:$T$502)))))</f>
        <v/>
      </c>
      <c r="F35" s="41">
        <f>IF(OR($A35="",N($B35)&lt;2,Scores!$G$2=0),"",(SUMPRODUCT(MAX((Scores!$A$3:$A$502=$A35)*Scores!$Q$3:$Q$502*(Scores!$U$3:$U$502+1)))-1)-(5-SUMPRODUCT(MAX((Scores!$A$3:$A$502=$A35)*Scores!$Q$3:$Q$502*(5-Scores!$U$3:$U$502)))))</f>
        <v/>
      </c>
      <c r="G35" s="41">
        <f>IF(OR($A35="",N($B35)&lt;2,Scores!$H$2=0),"",(SUMPRODUCT(MAX((Scores!$A$3:$A$502=$A35)*Scores!$Q$3:$Q$502*(Scores!$V$3:$V$502+1)))-1)-(5-SUMPRODUCT(MAX((Scores!$A$3:$A$502=$A35)*Scores!$Q$3:$Q$502*(5-Scores!$V$3:$V$502)))))</f>
        <v/>
      </c>
      <c r="H35" s="41">
        <f>IF(OR($A35="",N($B35)&lt;2,Scores!$I$2=0),"",(SUMPRODUCT(MAX((Scores!$A$3:$A$502=$A35)*Scores!$Q$3:$Q$502*(Scores!$W$3:$W$502+1)))-1)-(5-SUMPRODUCT(MAX((Scores!$A$3:$A$502=$A35)*Scores!$Q$3:$Q$502*(5-Scores!$W$3:$W$502)))))</f>
        <v/>
      </c>
      <c r="I35" s="41">
        <f>IF(OR($A35="",N($B35)&lt;2,Scores!$J$2=0),"",(SUMPRODUCT(MAX((Scores!$A$3:$A$502=$A35)*Scores!$Q$3:$Q$502*(Scores!$X$3:$X$502+1)))-1)-(5-SUMPRODUCT(MAX((Scores!$A$3:$A$502=$A35)*Scores!$Q$3:$Q$502*(5-Scores!$X$3:$X$502)))))</f>
        <v/>
      </c>
      <c r="J35" s="41">
        <f>IF(OR($A35="",N($B35)&lt;2,Scores!$K$2=0),"",(SUMPRODUCT(MAX((Scores!$A$3:$A$502=$A35)*Scores!$Q$3:$Q$502*(Scores!$Y$3:$Y$502+1)))-1)-(5-SUMPRODUCT(MAX((Scores!$A$3:$A$502=$A35)*Scores!$Q$3:$Q$502*(5-Scores!$Y$3:$Y$502)))))</f>
        <v/>
      </c>
      <c r="K35" s="27">
        <f>IF(COUNT(C35:J35)=0,"",MAX(C35:J35))</f>
        <v/>
      </c>
    </row>
    <row r="36">
      <c r="A36" s="41">
        <f>IF(Applications!$A36="","",Applications!$A36&amp;"")</f>
        <v/>
      </c>
      <c r="B36" s="41">
        <f>IF($A36="","",COUNTIFS(Scores!$A$3:$A$502,$A36,Scores!$O$3:$O$502,"Counted"))</f>
        <v/>
      </c>
      <c r="C36" s="41">
        <f>IF(OR($A36="",N($B36)&lt;2,Scores!$D$2=0),"",(SUMPRODUCT(MAX((Scores!$A$3:$A$502=$A36)*Scores!$Q$3:$Q$502*(Scores!$R$3:$R$502+1)))-1)-(5-SUMPRODUCT(MAX((Scores!$A$3:$A$502=$A36)*Scores!$Q$3:$Q$502*(5-Scores!$R$3:$R$502)))))</f>
        <v/>
      </c>
      <c r="D36" s="41">
        <f>IF(OR($A36="",N($B36)&lt;2,Scores!$E$2=0),"",(SUMPRODUCT(MAX((Scores!$A$3:$A$502=$A36)*Scores!$Q$3:$Q$502*(Scores!$S$3:$S$502+1)))-1)-(5-SUMPRODUCT(MAX((Scores!$A$3:$A$502=$A36)*Scores!$Q$3:$Q$502*(5-Scores!$S$3:$S$502)))))</f>
        <v/>
      </c>
      <c r="E36" s="41">
        <f>IF(OR($A36="",N($B36)&lt;2,Scores!$F$2=0),"",(SUMPRODUCT(MAX((Scores!$A$3:$A$502=$A36)*Scores!$Q$3:$Q$502*(Scores!$T$3:$T$502+1)))-1)-(5-SUMPRODUCT(MAX((Scores!$A$3:$A$502=$A36)*Scores!$Q$3:$Q$502*(5-Scores!$T$3:$T$502)))))</f>
        <v/>
      </c>
      <c r="F36" s="41">
        <f>IF(OR($A36="",N($B36)&lt;2,Scores!$G$2=0),"",(SUMPRODUCT(MAX((Scores!$A$3:$A$502=$A36)*Scores!$Q$3:$Q$502*(Scores!$U$3:$U$502+1)))-1)-(5-SUMPRODUCT(MAX((Scores!$A$3:$A$502=$A36)*Scores!$Q$3:$Q$502*(5-Scores!$U$3:$U$502)))))</f>
        <v/>
      </c>
      <c r="G36" s="41">
        <f>IF(OR($A36="",N($B36)&lt;2,Scores!$H$2=0),"",(SUMPRODUCT(MAX((Scores!$A$3:$A$502=$A36)*Scores!$Q$3:$Q$502*(Scores!$V$3:$V$502+1)))-1)-(5-SUMPRODUCT(MAX((Scores!$A$3:$A$502=$A36)*Scores!$Q$3:$Q$502*(5-Scores!$V$3:$V$502)))))</f>
        <v/>
      </c>
      <c r="H36" s="41">
        <f>IF(OR($A36="",N($B36)&lt;2,Scores!$I$2=0),"",(SUMPRODUCT(MAX((Scores!$A$3:$A$502=$A36)*Scores!$Q$3:$Q$502*(Scores!$W$3:$W$502+1)))-1)-(5-SUMPRODUCT(MAX((Scores!$A$3:$A$502=$A36)*Scores!$Q$3:$Q$502*(5-Scores!$W$3:$W$502)))))</f>
        <v/>
      </c>
      <c r="I36" s="41">
        <f>IF(OR($A36="",N($B36)&lt;2,Scores!$J$2=0),"",(SUMPRODUCT(MAX((Scores!$A$3:$A$502=$A36)*Scores!$Q$3:$Q$502*(Scores!$X$3:$X$502+1)))-1)-(5-SUMPRODUCT(MAX((Scores!$A$3:$A$502=$A36)*Scores!$Q$3:$Q$502*(5-Scores!$X$3:$X$502)))))</f>
        <v/>
      </c>
      <c r="J36" s="41">
        <f>IF(OR($A36="",N($B36)&lt;2,Scores!$K$2=0),"",(SUMPRODUCT(MAX((Scores!$A$3:$A$502=$A36)*Scores!$Q$3:$Q$502*(Scores!$Y$3:$Y$502+1)))-1)-(5-SUMPRODUCT(MAX((Scores!$A$3:$A$502=$A36)*Scores!$Q$3:$Q$502*(5-Scores!$Y$3:$Y$502)))))</f>
        <v/>
      </c>
      <c r="K36" s="27">
        <f>IF(COUNT(C36:J36)=0,"",MAX(C36:J36))</f>
        <v/>
      </c>
    </row>
    <row r="37">
      <c r="A37" s="41">
        <f>IF(Applications!$A37="","",Applications!$A37&amp;"")</f>
        <v/>
      </c>
      <c r="B37" s="41">
        <f>IF($A37="","",COUNTIFS(Scores!$A$3:$A$502,$A37,Scores!$O$3:$O$502,"Counted"))</f>
        <v/>
      </c>
      <c r="C37" s="41">
        <f>IF(OR($A37="",N($B37)&lt;2,Scores!$D$2=0),"",(SUMPRODUCT(MAX((Scores!$A$3:$A$502=$A37)*Scores!$Q$3:$Q$502*(Scores!$R$3:$R$502+1)))-1)-(5-SUMPRODUCT(MAX((Scores!$A$3:$A$502=$A37)*Scores!$Q$3:$Q$502*(5-Scores!$R$3:$R$502)))))</f>
        <v/>
      </c>
      <c r="D37" s="41">
        <f>IF(OR($A37="",N($B37)&lt;2,Scores!$E$2=0),"",(SUMPRODUCT(MAX((Scores!$A$3:$A$502=$A37)*Scores!$Q$3:$Q$502*(Scores!$S$3:$S$502+1)))-1)-(5-SUMPRODUCT(MAX((Scores!$A$3:$A$502=$A37)*Scores!$Q$3:$Q$502*(5-Scores!$S$3:$S$502)))))</f>
        <v/>
      </c>
      <c r="E37" s="41">
        <f>IF(OR($A37="",N($B37)&lt;2,Scores!$F$2=0),"",(SUMPRODUCT(MAX((Scores!$A$3:$A$502=$A37)*Scores!$Q$3:$Q$502*(Scores!$T$3:$T$502+1)))-1)-(5-SUMPRODUCT(MAX((Scores!$A$3:$A$502=$A37)*Scores!$Q$3:$Q$502*(5-Scores!$T$3:$T$502)))))</f>
        <v/>
      </c>
      <c r="F37" s="41">
        <f>IF(OR($A37="",N($B37)&lt;2,Scores!$G$2=0),"",(SUMPRODUCT(MAX((Scores!$A$3:$A$502=$A37)*Scores!$Q$3:$Q$502*(Scores!$U$3:$U$502+1)))-1)-(5-SUMPRODUCT(MAX((Scores!$A$3:$A$502=$A37)*Scores!$Q$3:$Q$502*(5-Scores!$U$3:$U$502)))))</f>
        <v/>
      </c>
      <c r="G37" s="41">
        <f>IF(OR($A37="",N($B37)&lt;2,Scores!$H$2=0),"",(SUMPRODUCT(MAX((Scores!$A$3:$A$502=$A37)*Scores!$Q$3:$Q$502*(Scores!$V$3:$V$502+1)))-1)-(5-SUMPRODUCT(MAX((Scores!$A$3:$A$502=$A37)*Scores!$Q$3:$Q$502*(5-Scores!$V$3:$V$502)))))</f>
        <v/>
      </c>
      <c r="H37" s="41">
        <f>IF(OR($A37="",N($B37)&lt;2,Scores!$I$2=0),"",(SUMPRODUCT(MAX((Scores!$A$3:$A$502=$A37)*Scores!$Q$3:$Q$502*(Scores!$W$3:$W$502+1)))-1)-(5-SUMPRODUCT(MAX((Scores!$A$3:$A$502=$A37)*Scores!$Q$3:$Q$502*(5-Scores!$W$3:$W$502)))))</f>
        <v/>
      </c>
      <c r="I37" s="41">
        <f>IF(OR($A37="",N($B37)&lt;2,Scores!$J$2=0),"",(SUMPRODUCT(MAX((Scores!$A$3:$A$502=$A37)*Scores!$Q$3:$Q$502*(Scores!$X$3:$X$502+1)))-1)-(5-SUMPRODUCT(MAX((Scores!$A$3:$A$502=$A37)*Scores!$Q$3:$Q$502*(5-Scores!$X$3:$X$502)))))</f>
        <v/>
      </c>
      <c r="J37" s="41">
        <f>IF(OR($A37="",N($B37)&lt;2,Scores!$K$2=0),"",(SUMPRODUCT(MAX((Scores!$A$3:$A$502=$A37)*Scores!$Q$3:$Q$502*(Scores!$Y$3:$Y$502+1)))-1)-(5-SUMPRODUCT(MAX((Scores!$A$3:$A$502=$A37)*Scores!$Q$3:$Q$502*(5-Scores!$Y$3:$Y$502)))))</f>
        <v/>
      </c>
      <c r="K37" s="27">
        <f>IF(COUNT(C37:J37)=0,"",MAX(C37:J37))</f>
        <v/>
      </c>
    </row>
    <row r="38">
      <c r="A38" s="41">
        <f>IF(Applications!$A38="","",Applications!$A38&amp;"")</f>
        <v/>
      </c>
      <c r="B38" s="41">
        <f>IF($A38="","",COUNTIFS(Scores!$A$3:$A$502,$A38,Scores!$O$3:$O$502,"Counted"))</f>
        <v/>
      </c>
      <c r="C38" s="41">
        <f>IF(OR($A38="",N($B38)&lt;2,Scores!$D$2=0),"",(SUMPRODUCT(MAX((Scores!$A$3:$A$502=$A38)*Scores!$Q$3:$Q$502*(Scores!$R$3:$R$502+1)))-1)-(5-SUMPRODUCT(MAX((Scores!$A$3:$A$502=$A38)*Scores!$Q$3:$Q$502*(5-Scores!$R$3:$R$502)))))</f>
        <v/>
      </c>
      <c r="D38" s="41">
        <f>IF(OR($A38="",N($B38)&lt;2,Scores!$E$2=0),"",(SUMPRODUCT(MAX((Scores!$A$3:$A$502=$A38)*Scores!$Q$3:$Q$502*(Scores!$S$3:$S$502+1)))-1)-(5-SUMPRODUCT(MAX((Scores!$A$3:$A$502=$A38)*Scores!$Q$3:$Q$502*(5-Scores!$S$3:$S$502)))))</f>
        <v/>
      </c>
      <c r="E38" s="41">
        <f>IF(OR($A38="",N($B38)&lt;2,Scores!$F$2=0),"",(SUMPRODUCT(MAX((Scores!$A$3:$A$502=$A38)*Scores!$Q$3:$Q$502*(Scores!$T$3:$T$502+1)))-1)-(5-SUMPRODUCT(MAX((Scores!$A$3:$A$502=$A38)*Scores!$Q$3:$Q$502*(5-Scores!$T$3:$T$502)))))</f>
        <v/>
      </c>
      <c r="F38" s="41">
        <f>IF(OR($A38="",N($B38)&lt;2,Scores!$G$2=0),"",(SUMPRODUCT(MAX((Scores!$A$3:$A$502=$A38)*Scores!$Q$3:$Q$502*(Scores!$U$3:$U$502+1)))-1)-(5-SUMPRODUCT(MAX((Scores!$A$3:$A$502=$A38)*Scores!$Q$3:$Q$502*(5-Scores!$U$3:$U$502)))))</f>
        <v/>
      </c>
      <c r="G38" s="41">
        <f>IF(OR($A38="",N($B38)&lt;2,Scores!$H$2=0),"",(SUMPRODUCT(MAX((Scores!$A$3:$A$502=$A38)*Scores!$Q$3:$Q$502*(Scores!$V$3:$V$502+1)))-1)-(5-SUMPRODUCT(MAX((Scores!$A$3:$A$502=$A38)*Scores!$Q$3:$Q$502*(5-Scores!$V$3:$V$502)))))</f>
        <v/>
      </c>
      <c r="H38" s="41">
        <f>IF(OR($A38="",N($B38)&lt;2,Scores!$I$2=0),"",(SUMPRODUCT(MAX((Scores!$A$3:$A$502=$A38)*Scores!$Q$3:$Q$502*(Scores!$W$3:$W$502+1)))-1)-(5-SUMPRODUCT(MAX((Scores!$A$3:$A$502=$A38)*Scores!$Q$3:$Q$502*(5-Scores!$W$3:$W$502)))))</f>
        <v/>
      </c>
      <c r="I38" s="41">
        <f>IF(OR($A38="",N($B38)&lt;2,Scores!$J$2=0),"",(SUMPRODUCT(MAX((Scores!$A$3:$A$502=$A38)*Scores!$Q$3:$Q$502*(Scores!$X$3:$X$502+1)))-1)-(5-SUMPRODUCT(MAX((Scores!$A$3:$A$502=$A38)*Scores!$Q$3:$Q$502*(5-Scores!$X$3:$X$502)))))</f>
        <v/>
      </c>
      <c r="J38" s="41">
        <f>IF(OR($A38="",N($B38)&lt;2,Scores!$K$2=0),"",(SUMPRODUCT(MAX((Scores!$A$3:$A$502=$A38)*Scores!$Q$3:$Q$502*(Scores!$Y$3:$Y$502+1)))-1)-(5-SUMPRODUCT(MAX((Scores!$A$3:$A$502=$A38)*Scores!$Q$3:$Q$502*(5-Scores!$Y$3:$Y$502)))))</f>
        <v/>
      </c>
      <c r="K38" s="27">
        <f>IF(COUNT(C38:J38)=0,"",MAX(C38:J38))</f>
        <v/>
      </c>
    </row>
    <row r="39">
      <c r="A39" s="41">
        <f>IF(Applications!$A39="","",Applications!$A39&amp;"")</f>
        <v/>
      </c>
      <c r="B39" s="41">
        <f>IF($A39="","",COUNTIFS(Scores!$A$3:$A$502,$A39,Scores!$O$3:$O$502,"Counted"))</f>
        <v/>
      </c>
      <c r="C39" s="41">
        <f>IF(OR($A39="",N($B39)&lt;2,Scores!$D$2=0),"",(SUMPRODUCT(MAX((Scores!$A$3:$A$502=$A39)*Scores!$Q$3:$Q$502*(Scores!$R$3:$R$502+1)))-1)-(5-SUMPRODUCT(MAX((Scores!$A$3:$A$502=$A39)*Scores!$Q$3:$Q$502*(5-Scores!$R$3:$R$502)))))</f>
        <v/>
      </c>
      <c r="D39" s="41">
        <f>IF(OR($A39="",N($B39)&lt;2,Scores!$E$2=0),"",(SUMPRODUCT(MAX((Scores!$A$3:$A$502=$A39)*Scores!$Q$3:$Q$502*(Scores!$S$3:$S$502+1)))-1)-(5-SUMPRODUCT(MAX((Scores!$A$3:$A$502=$A39)*Scores!$Q$3:$Q$502*(5-Scores!$S$3:$S$502)))))</f>
        <v/>
      </c>
      <c r="E39" s="41">
        <f>IF(OR($A39="",N($B39)&lt;2,Scores!$F$2=0),"",(SUMPRODUCT(MAX((Scores!$A$3:$A$502=$A39)*Scores!$Q$3:$Q$502*(Scores!$T$3:$T$502+1)))-1)-(5-SUMPRODUCT(MAX((Scores!$A$3:$A$502=$A39)*Scores!$Q$3:$Q$502*(5-Scores!$T$3:$T$502)))))</f>
        <v/>
      </c>
      <c r="F39" s="41">
        <f>IF(OR($A39="",N($B39)&lt;2,Scores!$G$2=0),"",(SUMPRODUCT(MAX((Scores!$A$3:$A$502=$A39)*Scores!$Q$3:$Q$502*(Scores!$U$3:$U$502+1)))-1)-(5-SUMPRODUCT(MAX((Scores!$A$3:$A$502=$A39)*Scores!$Q$3:$Q$502*(5-Scores!$U$3:$U$502)))))</f>
        <v/>
      </c>
      <c r="G39" s="41">
        <f>IF(OR($A39="",N($B39)&lt;2,Scores!$H$2=0),"",(SUMPRODUCT(MAX((Scores!$A$3:$A$502=$A39)*Scores!$Q$3:$Q$502*(Scores!$V$3:$V$502+1)))-1)-(5-SUMPRODUCT(MAX((Scores!$A$3:$A$502=$A39)*Scores!$Q$3:$Q$502*(5-Scores!$V$3:$V$502)))))</f>
        <v/>
      </c>
      <c r="H39" s="41">
        <f>IF(OR($A39="",N($B39)&lt;2,Scores!$I$2=0),"",(SUMPRODUCT(MAX((Scores!$A$3:$A$502=$A39)*Scores!$Q$3:$Q$502*(Scores!$W$3:$W$502+1)))-1)-(5-SUMPRODUCT(MAX((Scores!$A$3:$A$502=$A39)*Scores!$Q$3:$Q$502*(5-Scores!$W$3:$W$502)))))</f>
        <v/>
      </c>
      <c r="I39" s="41">
        <f>IF(OR($A39="",N($B39)&lt;2,Scores!$J$2=0),"",(SUMPRODUCT(MAX((Scores!$A$3:$A$502=$A39)*Scores!$Q$3:$Q$502*(Scores!$X$3:$X$502+1)))-1)-(5-SUMPRODUCT(MAX((Scores!$A$3:$A$502=$A39)*Scores!$Q$3:$Q$502*(5-Scores!$X$3:$X$502)))))</f>
        <v/>
      </c>
      <c r="J39" s="41">
        <f>IF(OR($A39="",N($B39)&lt;2,Scores!$K$2=0),"",(SUMPRODUCT(MAX((Scores!$A$3:$A$502=$A39)*Scores!$Q$3:$Q$502*(Scores!$Y$3:$Y$502+1)))-1)-(5-SUMPRODUCT(MAX((Scores!$A$3:$A$502=$A39)*Scores!$Q$3:$Q$502*(5-Scores!$Y$3:$Y$502)))))</f>
        <v/>
      </c>
      <c r="K39" s="27">
        <f>IF(COUNT(C39:J39)=0,"",MAX(C39:J39))</f>
        <v/>
      </c>
    </row>
    <row r="40">
      <c r="A40" s="41">
        <f>IF(Applications!$A40="","",Applications!$A40&amp;"")</f>
        <v/>
      </c>
      <c r="B40" s="41">
        <f>IF($A40="","",COUNTIFS(Scores!$A$3:$A$502,$A40,Scores!$O$3:$O$502,"Counted"))</f>
        <v/>
      </c>
      <c r="C40" s="41">
        <f>IF(OR($A40="",N($B40)&lt;2,Scores!$D$2=0),"",(SUMPRODUCT(MAX((Scores!$A$3:$A$502=$A40)*Scores!$Q$3:$Q$502*(Scores!$R$3:$R$502+1)))-1)-(5-SUMPRODUCT(MAX((Scores!$A$3:$A$502=$A40)*Scores!$Q$3:$Q$502*(5-Scores!$R$3:$R$502)))))</f>
        <v/>
      </c>
      <c r="D40" s="41">
        <f>IF(OR($A40="",N($B40)&lt;2,Scores!$E$2=0),"",(SUMPRODUCT(MAX((Scores!$A$3:$A$502=$A40)*Scores!$Q$3:$Q$502*(Scores!$S$3:$S$502+1)))-1)-(5-SUMPRODUCT(MAX((Scores!$A$3:$A$502=$A40)*Scores!$Q$3:$Q$502*(5-Scores!$S$3:$S$502)))))</f>
        <v/>
      </c>
      <c r="E40" s="41">
        <f>IF(OR($A40="",N($B40)&lt;2,Scores!$F$2=0),"",(SUMPRODUCT(MAX((Scores!$A$3:$A$502=$A40)*Scores!$Q$3:$Q$502*(Scores!$T$3:$T$502+1)))-1)-(5-SUMPRODUCT(MAX((Scores!$A$3:$A$502=$A40)*Scores!$Q$3:$Q$502*(5-Scores!$T$3:$T$502)))))</f>
        <v/>
      </c>
      <c r="F40" s="41">
        <f>IF(OR($A40="",N($B40)&lt;2,Scores!$G$2=0),"",(SUMPRODUCT(MAX((Scores!$A$3:$A$502=$A40)*Scores!$Q$3:$Q$502*(Scores!$U$3:$U$502+1)))-1)-(5-SUMPRODUCT(MAX((Scores!$A$3:$A$502=$A40)*Scores!$Q$3:$Q$502*(5-Scores!$U$3:$U$502)))))</f>
        <v/>
      </c>
      <c r="G40" s="41">
        <f>IF(OR($A40="",N($B40)&lt;2,Scores!$H$2=0),"",(SUMPRODUCT(MAX((Scores!$A$3:$A$502=$A40)*Scores!$Q$3:$Q$502*(Scores!$V$3:$V$502+1)))-1)-(5-SUMPRODUCT(MAX((Scores!$A$3:$A$502=$A40)*Scores!$Q$3:$Q$502*(5-Scores!$V$3:$V$502)))))</f>
        <v/>
      </c>
      <c r="H40" s="41">
        <f>IF(OR($A40="",N($B40)&lt;2,Scores!$I$2=0),"",(SUMPRODUCT(MAX((Scores!$A$3:$A$502=$A40)*Scores!$Q$3:$Q$502*(Scores!$W$3:$W$502+1)))-1)-(5-SUMPRODUCT(MAX((Scores!$A$3:$A$502=$A40)*Scores!$Q$3:$Q$502*(5-Scores!$W$3:$W$502)))))</f>
        <v/>
      </c>
      <c r="I40" s="41">
        <f>IF(OR($A40="",N($B40)&lt;2,Scores!$J$2=0),"",(SUMPRODUCT(MAX((Scores!$A$3:$A$502=$A40)*Scores!$Q$3:$Q$502*(Scores!$X$3:$X$502+1)))-1)-(5-SUMPRODUCT(MAX((Scores!$A$3:$A$502=$A40)*Scores!$Q$3:$Q$502*(5-Scores!$X$3:$X$502)))))</f>
        <v/>
      </c>
      <c r="J40" s="41">
        <f>IF(OR($A40="",N($B40)&lt;2,Scores!$K$2=0),"",(SUMPRODUCT(MAX((Scores!$A$3:$A$502=$A40)*Scores!$Q$3:$Q$502*(Scores!$Y$3:$Y$502+1)))-1)-(5-SUMPRODUCT(MAX((Scores!$A$3:$A$502=$A40)*Scores!$Q$3:$Q$502*(5-Scores!$Y$3:$Y$502)))))</f>
        <v/>
      </c>
      <c r="K40" s="27">
        <f>IF(COUNT(C40:J40)=0,"",MAX(C40:J40))</f>
        <v/>
      </c>
    </row>
    <row r="41">
      <c r="A41" s="41">
        <f>IF(Applications!$A41="","",Applications!$A41&amp;"")</f>
        <v/>
      </c>
      <c r="B41" s="41">
        <f>IF($A41="","",COUNTIFS(Scores!$A$3:$A$502,$A41,Scores!$O$3:$O$502,"Counted"))</f>
        <v/>
      </c>
      <c r="C41" s="41">
        <f>IF(OR($A41="",N($B41)&lt;2,Scores!$D$2=0),"",(SUMPRODUCT(MAX((Scores!$A$3:$A$502=$A41)*Scores!$Q$3:$Q$502*(Scores!$R$3:$R$502+1)))-1)-(5-SUMPRODUCT(MAX((Scores!$A$3:$A$502=$A41)*Scores!$Q$3:$Q$502*(5-Scores!$R$3:$R$502)))))</f>
        <v/>
      </c>
      <c r="D41" s="41">
        <f>IF(OR($A41="",N($B41)&lt;2,Scores!$E$2=0),"",(SUMPRODUCT(MAX((Scores!$A$3:$A$502=$A41)*Scores!$Q$3:$Q$502*(Scores!$S$3:$S$502+1)))-1)-(5-SUMPRODUCT(MAX((Scores!$A$3:$A$502=$A41)*Scores!$Q$3:$Q$502*(5-Scores!$S$3:$S$502)))))</f>
        <v/>
      </c>
      <c r="E41" s="41">
        <f>IF(OR($A41="",N($B41)&lt;2,Scores!$F$2=0),"",(SUMPRODUCT(MAX((Scores!$A$3:$A$502=$A41)*Scores!$Q$3:$Q$502*(Scores!$T$3:$T$502+1)))-1)-(5-SUMPRODUCT(MAX((Scores!$A$3:$A$502=$A41)*Scores!$Q$3:$Q$502*(5-Scores!$T$3:$T$502)))))</f>
        <v/>
      </c>
      <c r="F41" s="41">
        <f>IF(OR($A41="",N($B41)&lt;2,Scores!$G$2=0),"",(SUMPRODUCT(MAX((Scores!$A$3:$A$502=$A41)*Scores!$Q$3:$Q$502*(Scores!$U$3:$U$502+1)))-1)-(5-SUMPRODUCT(MAX((Scores!$A$3:$A$502=$A41)*Scores!$Q$3:$Q$502*(5-Scores!$U$3:$U$502)))))</f>
        <v/>
      </c>
      <c r="G41" s="41">
        <f>IF(OR($A41="",N($B41)&lt;2,Scores!$H$2=0),"",(SUMPRODUCT(MAX((Scores!$A$3:$A$502=$A41)*Scores!$Q$3:$Q$502*(Scores!$V$3:$V$502+1)))-1)-(5-SUMPRODUCT(MAX((Scores!$A$3:$A$502=$A41)*Scores!$Q$3:$Q$502*(5-Scores!$V$3:$V$502)))))</f>
        <v/>
      </c>
      <c r="H41" s="41">
        <f>IF(OR($A41="",N($B41)&lt;2,Scores!$I$2=0),"",(SUMPRODUCT(MAX((Scores!$A$3:$A$502=$A41)*Scores!$Q$3:$Q$502*(Scores!$W$3:$W$502+1)))-1)-(5-SUMPRODUCT(MAX((Scores!$A$3:$A$502=$A41)*Scores!$Q$3:$Q$502*(5-Scores!$W$3:$W$502)))))</f>
        <v/>
      </c>
      <c r="I41" s="41">
        <f>IF(OR($A41="",N($B41)&lt;2,Scores!$J$2=0),"",(SUMPRODUCT(MAX((Scores!$A$3:$A$502=$A41)*Scores!$Q$3:$Q$502*(Scores!$X$3:$X$502+1)))-1)-(5-SUMPRODUCT(MAX((Scores!$A$3:$A$502=$A41)*Scores!$Q$3:$Q$502*(5-Scores!$X$3:$X$502)))))</f>
        <v/>
      </c>
      <c r="J41" s="41">
        <f>IF(OR($A41="",N($B41)&lt;2,Scores!$K$2=0),"",(SUMPRODUCT(MAX((Scores!$A$3:$A$502=$A41)*Scores!$Q$3:$Q$502*(Scores!$Y$3:$Y$502+1)))-1)-(5-SUMPRODUCT(MAX((Scores!$A$3:$A$502=$A41)*Scores!$Q$3:$Q$502*(5-Scores!$Y$3:$Y$502)))))</f>
        <v/>
      </c>
      <c r="K41" s="27">
        <f>IF(COUNT(C41:J41)=0,"",MAX(C41:J41))</f>
        <v/>
      </c>
    </row>
    <row r="42">
      <c r="A42" s="41">
        <f>IF(Applications!$A42="","",Applications!$A42&amp;"")</f>
        <v/>
      </c>
      <c r="B42" s="41">
        <f>IF($A42="","",COUNTIFS(Scores!$A$3:$A$502,$A42,Scores!$O$3:$O$502,"Counted"))</f>
        <v/>
      </c>
      <c r="C42" s="41">
        <f>IF(OR($A42="",N($B42)&lt;2,Scores!$D$2=0),"",(SUMPRODUCT(MAX((Scores!$A$3:$A$502=$A42)*Scores!$Q$3:$Q$502*(Scores!$R$3:$R$502+1)))-1)-(5-SUMPRODUCT(MAX((Scores!$A$3:$A$502=$A42)*Scores!$Q$3:$Q$502*(5-Scores!$R$3:$R$502)))))</f>
        <v/>
      </c>
      <c r="D42" s="41">
        <f>IF(OR($A42="",N($B42)&lt;2,Scores!$E$2=0),"",(SUMPRODUCT(MAX((Scores!$A$3:$A$502=$A42)*Scores!$Q$3:$Q$502*(Scores!$S$3:$S$502+1)))-1)-(5-SUMPRODUCT(MAX((Scores!$A$3:$A$502=$A42)*Scores!$Q$3:$Q$502*(5-Scores!$S$3:$S$502)))))</f>
        <v/>
      </c>
      <c r="E42" s="41">
        <f>IF(OR($A42="",N($B42)&lt;2,Scores!$F$2=0),"",(SUMPRODUCT(MAX((Scores!$A$3:$A$502=$A42)*Scores!$Q$3:$Q$502*(Scores!$T$3:$T$502+1)))-1)-(5-SUMPRODUCT(MAX((Scores!$A$3:$A$502=$A42)*Scores!$Q$3:$Q$502*(5-Scores!$T$3:$T$502)))))</f>
        <v/>
      </c>
      <c r="F42" s="41">
        <f>IF(OR($A42="",N($B42)&lt;2,Scores!$G$2=0),"",(SUMPRODUCT(MAX((Scores!$A$3:$A$502=$A42)*Scores!$Q$3:$Q$502*(Scores!$U$3:$U$502+1)))-1)-(5-SUMPRODUCT(MAX((Scores!$A$3:$A$502=$A42)*Scores!$Q$3:$Q$502*(5-Scores!$U$3:$U$502)))))</f>
        <v/>
      </c>
      <c r="G42" s="41">
        <f>IF(OR($A42="",N($B42)&lt;2,Scores!$H$2=0),"",(SUMPRODUCT(MAX((Scores!$A$3:$A$502=$A42)*Scores!$Q$3:$Q$502*(Scores!$V$3:$V$502+1)))-1)-(5-SUMPRODUCT(MAX((Scores!$A$3:$A$502=$A42)*Scores!$Q$3:$Q$502*(5-Scores!$V$3:$V$502)))))</f>
        <v/>
      </c>
      <c r="H42" s="41">
        <f>IF(OR($A42="",N($B42)&lt;2,Scores!$I$2=0),"",(SUMPRODUCT(MAX((Scores!$A$3:$A$502=$A42)*Scores!$Q$3:$Q$502*(Scores!$W$3:$W$502+1)))-1)-(5-SUMPRODUCT(MAX((Scores!$A$3:$A$502=$A42)*Scores!$Q$3:$Q$502*(5-Scores!$W$3:$W$502)))))</f>
        <v/>
      </c>
      <c r="I42" s="41">
        <f>IF(OR($A42="",N($B42)&lt;2,Scores!$J$2=0),"",(SUMPRODUCT(MAX((Scores!$A$3:$A$502=$A42)*Scores!$Q$3:$Q$502*(Scores!$X$3:$X$502+1)))-1)-(5-SUMPRODUCT(MAX((Scores!$A$3:$A$502=$A42)*Scores!$Q$3:$Q$502*(5-Scores!$X$3:$X$502)))))</f>
        <v/>
      </c>
      <c r="J42" s="41">
        <f>IF(OR($A42="",N($B42)&lt;2,Scores!$K$2=0),"",(SUMPRODUCT(MAX((Scores!$A$3:$A$502=$A42)*Scores!$Q$3:$Q$502*(Scores!$Y$3:$Y$502+1)))-1)-(5-SUMPRODUCT(MAX((Scores!$A$3:$A$502=$A42)*Scores!$Q$3:$Q$502*(5-Scores!$Y$3:$Y$502)))))</f>
        <v/>
      </c>
      <c r="K42" s="27">
        <f>IF(COUNT(C42:J42)=0,"",MAX(C42:J42))</f>
        <v/>
      </c>
    </row>
    <row r="43">
      <c r="A43" s="41">
        <f>IF(Applications!$A43="","",Applications!$A43&amp;"")</f>
        <v/>
      </c>
      <c r="B43" s="41">
        <f>IF($A43="","",COUNTIFS(Scores!$A$3:$A$502,$A43,Scores!$O$3:$O$502,"Counted"))</f>
        <v/>
      </c>
      <c r="C43" s="41">
        <f>IF(OR($A43="",N($B43)&lt;2,Scores!$D$2=0),"",(SUMPRODUCT(MAX((Scores!$A$3:$A$502=$A43)*Scores!$Q$3:$Q$502*(Scores!$R$3:$R$502+1)))-1)-(5-SUMPRODUCT(MAX((Scores!$A$3:$A$502=$A43)*Scores!$Q$3:$Q$502*(5-Scores!$R$3:$R$502)))))</f>
        <v/>
      </c>
      <c r="D43" s="41">
        <f>IF(OR($A43="",N($B43)&lt;2,Scores!$E$2=0),"",(SUMPRODUCT(MAX((Scores!$A$3:$A$502=$A43)*Scores!$Q$3:$Q$502*(Scores!$S$3:$S$502+1)))-1)-(5-SUMPRODUCT(MAX((Scores!$A$3:$A$502=$A43)*Scores!$Q$3:$Q$502*(5-Scores!$S$3:$S$502)))))</f>
        <v/>
      </c>
      <c r="E43" s="41">
        <f>IF(OR($A43="",N($B43)&lt;2,Scores!$F$2=0),"",(SUMPRODUCT(MAX((Scores!$A$3:$A$502=$A43)*Scores!$Q$3:$Q$502*(Scores!$T$3:$T$502+1)))-1)-(5-SUMPRODUCT(MAX((Scores!$A$3:$A$502=$A43)*Scores!$Q$3:$Q$502*(5-Scores!$T$3:$T$502)))))</f>
        <v/>
      </c>
      <c r="F43" s="41">
        <f>IF(OR($A43="",N($B43)&lt;2,Scores!$G$2=0),"",(SUMPRODUCT(MAX((Scores!$A$3:$A$502=$A43)*Scores!$Q$3:$Q$502*(Scores!$U$3:$U$502+1)))-1)-(5-SUMPRODUCT(MAX((Scores!$A$3:$A$502=$A43)*Scores!$Q$3:$Q$502*(5-Scores!$U$3:$U$502)))))</f>
        <v/>
      </c>
      <c r="G43" s="41">
        <f>IF(OR($A43="",N($B43)&lt;2,Scores!$H$2=0),"",(SUMPRODUCT(MAX((Scores!$A$3:$A$502=$A43)*Scores!$Q$3:$Q$502*(Scores!$V$3:$V$502+1)))-1)-(5-SUMPRODUCT(MAX((Scores!$A$3:$A$502=$A43)*Scores!$Q$3:$Q$502*(5-Scores!$V$3:$V$502)))))</f>
        <v/>
      </c>
      <c r="H43" s="41">
        <f>IF(OR($A43="",N($B43)&lt;2,Scores!$I$2=0),"",(SUMPRODUCT(MAX((Scores!$A$3:$A$502=$A43)*Scores!$Q$3:$Q$502*(Scores!$W$3:$W$502+1)))-1)-(5-SUMPRODUCT(MAX((Scores!$A$3:$A$502=$A43)*Scores!$Q$3:$Q$502*(5-Scores!$W$3:$W$502)))))</f>
        <v/>
      </c>
      <c r="I43" s="41">
        <f>IF(OR($A43="",N($B43)&lt;2,Scores!$J$2=0),"",(SUMPRODUCT(MAX((Scores!$A$3:$A$502=$A43)*Scores!$Q$3:$Q$502*(Scores!$X$3:$X$502+1)))-1)-(5-SUMPRODUCT(MAX((Scores!$A$3:$A$502=$A43)*Scores!$Q$3:$Q$502*(5-Scores!$X$3:$X$502)))))</f>
        <v/>
      </c>
      <c r="J43" s="41">
        <f>IF(OR($A43="",N($B43)&lt;2,Scores!$K$2=0),"",(SUMPRODUCT(MAX((Scores!$A$3:$A$502=$A43)*Scores!$Q$3:$Q$502*(Scores!$Y$3:$Y$502+1)))-1)-(5-SUMPRODUCT(MAX((Scores!$A$3:$A$502=$A43)*Scores!$Q$3:$Q$502*(5-Scores!$Y$3:$Y$502)))))</f>
        <v/>
      </c>
      <c r="K43" s="27">
        <f>IF(COUNT(C43:J43)=0,"",MAX(C43:J43))</f>
        <v/>
      </c>
    </row>
    <row r="44">
      <c r="A44" s="41">
        <f>IF(Applications!$A44="","",Applications!$A44&amp;"")</f>
        <v/>
      </c>
      <c r="B44" s="41">
        <f>IF($A44="","",COUNTIFS(Scores!$A$3:$A$502,$A44,Scores!$O$3:$O$502,"Counted"))</f>
        <v/>
      </c>
      <c r="C44" s="41">
        <f>IF(OR($A44="",N($B44)&lt;2,Scores!$D$2=0),"",(SUMPRODUCT(MAX((Scores!$A$3:$A$502=$A44)*Scores!$Q$3:$Q$502*(Scores!$R$3:$R$502+1)))-1)-(5-SUMPRODUCT(MAX((Scores!$A$3:$A$502=$A44)*Scores!$Q$3:$Q$502*(5-Scores!$R$3:$R$502)))))</f>
        <v/>
      </c>
      <c r="D44" s="41">
        <f>IF(OR($A44="",N($B44)&lt;2,Scores!$E$2=0),"",(SUMPRODUCT(MAX((Scores!$A$3:$A$502=$A44)*Scores!$Q$3:$Q$502*(Scores!$S$3:$S$502+1)))-1)-(5-SUMPRODUCT(MAX((Scores!$A$3:$A$502=$A44)*Scores!$Q$3:$Q$502*(5-Scores!$S$3:$S$502)))))</f>
        <v/>
      </c>
      <c r="E44" s="41">
        <f>IF(OR($A44="",N($B44)&lt;2,Scores!$F$2=0),"",(SUMPRODUCT(MAX((Scores!$A$3:$A$502=$A44)*Scores!$Q$3:$Q$502*(Scores!$T$3:$T$502+1)))-1)-(5-SUMPRODUCT(MAX((Scores!$A$3:$A$502=$A44)*Scores!$Q$3:$Q$502*(5-Scores!$T$3:$T$502)))))</f>
        <v/>
      </c>
      <c r="F44" s="41">
        <f>IF(OR($A44="",N($B44)&lt;2,Scores!$G$2=0),"",(SUMPRODUCT(MAX((Scores!$A$3:$A$502=$A44)*Scores!$Q$3:$Q$502*(Scores!$U$3:$U$502+1)))-1)-(5-SUMPRODUCT(MAX((Scores!$A$3:$A$502=$A44)*Scores!$Q$3:$Q$502*(5-Scores!$U$3:$U$502)))))</f>
        <v/>
      </c>
      <c r="G44" s="41">
        <f>IF(OR($A44="",N($B44)&lt;2,Scores!$H$2=0),"",(SUMPRODUCT(MAX((Scores!$A$3:$A$502=$A44)*Scores!$Q$3:$Q$502*(Scores!$V$3:$V$502+1)))-1)-(5-SUMPRODUCT(MAX((Scores!$A$3:$A$502=$A44)*Scores!$Q$3:$Q$502*(5-Scores!$V$3:$V$502)))))</f>
        <v/>
      </c>
      <c r="H44" s="41">
        <f>IF(OR($A44="",N($B44)&lt;2,Scores!$I$2=0),"",(SUMPRODUCT(MAX((Scores!$A$3:$A$502=$A44)*Scores!$Q$3:$Q$502*(Scores!$W$3:$W$502+1)))-1)-(5-SUMPRODUCT(MAX((Scores!$A$3:$A$502=$A44)*Scores!$Q$3:$Q$502*(5-Scores!$W$3:$W$502)))))</f>
        <v/>
      </c>
      <c r="I44" s="41">
        <f>IF(OR($A44="",N($B44)&lt;2,Scores!$J$2=0),"",(SUMPRODUCT(MAX((Scores!$A$3:$A$502=$A44)*Scores!$Q$3:$Q$502*(Scores!$X$3:$X$502+1)))-1)-(5-SUMPRODUCT(MAX((Scores!$A$3:$A$502=$A44)*Scores!$Q$3:$Q$502*(5-Scores!$X$3:$X$502)))))</f>
        <v/>
      </c>
      <c r="J44" s="41">
        <f>IF(OR($A44="",N($B44)&lt;2,Scores!$K$2=0),"",(SUMPRODUCT(MAX((Scores!$A$3:$A$502=$A44)*Scores!$Q$3:$Q$502*(Scores!$Y$3:$Y$502+1)))-1)-(5-SUMPRODUCT(MAX((Scores!$A$3:$A$502=$A44)*Scores!$Q$3:$Q$502*(5-Scores!$Y$3:$Y$502)))))</f>
        <v/>
      </c>
      <c r="K44" s="27">
        <f>IF(COUNT(C44:J44)=0,"",MAX(C44:J44))</f>
        <v/>
      </c>
    </row>
    <row r="45">
      <c r="A45" s="41">
        <f>IF(Applications!$A45="","",Applications!$A45&amp;"")</f>
        <v/>
      </c>
      <c r="B45" s="41">
        <f>IF($A45="","",COUNTIFS(Scores!$A$3:$A$502,$A45,Scores!$O$3:$O$502,"Counted"))</f>
        <v/>
      </c>
      <c r="C45" s="41">
        <f>IF(OR($A45="",N($B45)&lt;2,Scores!$D$2=0),"",(SUMPRODUCT(MAX((Scores!$A$3:$A$502=$A45)*Scores!$Q$3:$Q$502*(Scores!$R$3:$R$502+1)))-1)-(5-SUMPRODUCT(MAX((Scores!$A$3:$A$502=$A45)*Scores!$Q$3:$Q$502*(5-Scores!$R$3:$R$502)))))</f>
        <v/>
      </c>
      <c r="D45" s="41">
        <f>IF(OR($A45="",N($B45)&lt;2,Scores!$E$2=0),"",(SUMPRODUCT(MAX((Scores!$A$3:$A$502=$A45)*Scores!$Q$3:$Q$502*(Scores!$S$3:$S$502+1)))-1)-(5-SUMPRODUCT(MAX((Scores!$A$3:$A$502=$A45)*Scores!$Q$3:$Q$502*(5-Scores!$S$3:$S$502)))))</f>
        <v/>
      </c>
      <c r="E45" s="41">
        <f>IF(OR($A45="",N($B45)&lt;2,Scores!$F$2=0),"",(SUMPRODUCT(MAX((Scores!$A$3:$A$502=$A45)*Scores!$Q$3:$Q$502*(Scores!$T$3:$T$502+1)))-1)-(5-SUMPRODUCT(MAX((Scores!$A$3:$A$502=$A45)*Scores!$Q$3:$Q$502*(5-Scores!$T$3:$T$502)))))</f>
        <v/>
      </c>
      <c r="F45" s="41">
        <f>IF(OR($A45="",N($B45)&lt;2,Scores!$G$2=0),"",(SUMPRODUCT(MAX((Scores!$A$3:$A$502=$A45)*Scores!$Q$3:$Q$502*(Scores!$U$3:$U$502+1)))-1)-(5-SUMPRODUCT(MAX((Scores!$A$3:$A$502=$A45)*Scores!$Q$3:$Q$502*(5-Scores!$U$3:$U$502)))))</f>
        <v/>
      </c>
      <c r="G45" s="41">
        <f>IF(OR($A45="",N($B45)&lt;2,Scores!$H$2=0),"",(SUMPRODUCT(MAX((Scores!$A$3:$A$502=$A45)*Scores!$Q$3:$Q$502*(Scores!$V$3:$V$502+1)))-1)-(5-SUMPRODUCT(MAX((Scores!$A$3:$A$502=$A45)*Scores!$Q$3:$Q$502*(5-Scores!$V$3:$V$502)))))</f>
        <v/>
      </c>
      <c r="H45" s="41">
        <f>IF(OR($A45="",N($B45)&lt;2,Scores!$I$2=0),"",(SUMPRODUCT(MAX((Scores!$A$3:$A$502=$A45)*Scores!$Q$3:$Q$502*(Scores!$W$3:$W$502+1)))-1)-(5-SUMPRODUCT(MAX((Scores!$A$3:$A$502=$A45)*Scores!$Q$3:$Q$502*(5-Scores!$W$3:$W$502)))))</f>
        <v/>
      </c>
      <c r="I45" s="41">
        <f>IF(OR($A45="",N($B45)&lt;2,Scores!$J$2=0),"",(SUMPRODUCT(MAX((Scores!$A$3:$A$502=$A45)*Scores!$Q$3:$Q$502*(Scores!$X$3:$X$502+1)))-1)-(5-SUMPRODUCT(MAX((Scores!$A$3:$A$502=$A45)*Scores!$Q$3:$Q$502*(5-Scores!$X$3:$X$502)))))</f>
        <v/>
      </c>
      <c r="J45" s="41">
        <f>IF(OR($A45="",N($B45)&lt;2,Scores!$K$2=0),"",(SUMPRODUCT(MAX((Scores!$A$3:$A$502=$A45)*Scores!$Q$3:$Q$502*(Scores!$Y$3:$Y$502+1)))-1)-(5-SUMPRODUCT(MAX((Scores!$A$3:$A$502=$A45)*Scores!$Q$3:$Q$502*(5-Scores!$Y$3:$Y$502)))))</f>
        <v/>
      </c>
      <c r="K45" s="27">
        <f>IF(COUNT(C45:J45)=0,"",MAX(C45:J45))</f>
        <v/>
      </c>
    </row>
    <row r="46">
      <c r="A46" s="41">
        <f>IF(Applications!$A46="","",Applications!$A46&amp;"")</f>
        <v/>
      </c>
      <c r="B46" s="41">
        <f>IF($A46="","",COUNTIFS(Scores!$A$3:$A$502,$A46,Scores!$O$3:$O$502,"Counted"))</f>
        <v/>
      </c>
      <c r="C46" s="41">
        <f>IF(OR($A46="",N($B46)&lt;2,Scores!$D$2=0),"",(SUMPRODUCT(MAX((Scores!$A$3:$A$502=$A46)*Scores!$Q$3:$Q$502*(Scores!$R$3:$R$502+1)))-1)-(5-SUMPRODUCT(MAX((Scores!$A$3:$A$502=$A46)*Scores!$Q$3:$Q$502*(5-Scores!$R$3:$R$502)))))</f>
        <v/>
      </c>
      <c r="D46" s="41">
        <f>IF(OR($A46="",N($B46)&lt;2,Scores!$E$2=0),"",(SUMPRODUCT(MAX((Scores!$A$3:$A$502=$A46)*Scores!$Q$3:$Q$502*(Scores!$S$3:$S$502+1)))-1)-(5-SUMPRODUCT(MAX((Scores!$A$3:$A$502=$A46)*Scores!$Q$3:$Q$502*(5-Scores!$S$3:$S$502)))))</f>
        <v/>
      </c>
      <c r="E46" s="41">
        <f>IF(OR($A46="",N($B46)&lt;2,Scores!$F$2=0),"",(SUMPRODUCT(MAX((Scores!$A$3:$A$502=$A46)*Scores!$Q$3:$Q$502*(Scores!$T$3:$T$502+1)))-1)-(5-SUMPRODUCT(MAX((Scores!$A$3:$A$502=$A46)*Scores!$Q$3:$Q$502*(5-Scores!$T$3:$T$502)))))</f>
        <v/>
      </c>
      <c r="F46" s="41">
        <f>IF(OR($A46="",N($B46)&lt;2,Scores!$G$2=0),"",(SUMPRODUCT(MAX((Scores!$A$3:$A$502=$A46)*Scores!$Q$3:$Q$502*(Scores!$U$3:$U$502+1)))-1)-(5-SUMPRODUCT(MAX((Scores!$A$3:$A$502=$A46)*Scores!$Q$3:$Q$502*(5-Scores!$U$3:$U$502)))))</f>
        <v/>
      </c>
      <c r="G46" s="41">
        <f>IF(OR($A46="",N($B46)&lt;2,Scores!$H$2=0),"",(SUMPRODUCT(MAX((Scores!$A$3:$A$502=$A46)*Scores!$Q$3:$Q$502*(Scores!$V$3:$V$502+1)))-1)-(5-SUMPRODUCT(MAX((Scores!$A$3:$A$502=$A46)*Scores!$Q$3:$Q$502*(5-Scores!$V$3:$V$502)))))</f>
        <v/>
      </c>
      <c r="H46" s="41">
        <f>IF(OR($A46="",N($B46)&lt;2,Scores!$I$2=0),"",(SUMPRODUCT(MAX((Scores!$A$3:$A$502=$A46)*Scores!$Q$3:$Q$502*(Scores!$W$3:$W$502+1)))-1)-(5-SUMPRODUCT(MAX((Scores!$A$3:$A$502=$A46)*Scores!$Q$3:$Q$502*(5-Scores!$W$3:$W$502)))))</f>
        <v/>
      </c>
      <c r="I46" s="41">
        <f>IF(OR($A46="",N($B46)&lt;2,Scores!$J$2=0),"",(SUMPRODUCT(MAX((Scores!$A$3:$A$502=$A46)*Scores!$Q$3:$Q$502*(Scores!$X$3:$X$502+1)))-1)-(5-SUMPRODUCT(MAX((Scores!$A$3:$A$502=$A46)*Scores!$Q$3:$Q$502*(5-Scores!$X$3:$X$502)))))</f>
        <v/>
      </c>
      <c r="J46" s="41">
        <f>IF(OR($A46="",N($B46)&lt;2,Scores!$K$2=0),"",(SUMPRODUCT(MAX((Scores!$A$3:$A$502=$A46)*Scores!$Q$3:$Q$502*(Scores!$Y$3:$Y$502+1)))-1)-(5-SUMPRODUCT(MAX((Scores!$A$3:$A$502=$A46)*Scores!$Q$3:$Q$502*(5-Scores!$Y$3:$Y$502)))))</f>
        <v/>
      </c>
      <c r="K46" s="27">
        <f>IF(COUNT(C46:J46)=0,"",MAX(C46:J46))</f>
        <v/>
      </c>
    </row>
    <row r="47">
      <c r="A47" s="41">
        <f>IF(Applications!$A47="","",Applications!$A47&amp;"")</f>
        <v/>
      </c>
      <c r="B47" s="41">
        <f>IF($A47="","",COUNTIFS(Scores!$A$3:$A$502,$A47,Scores!$O$3:$O$502,"Counted"))</f>
        <v/>
      </c>
      <c r="C47" s="41">
        <f>IF(OR($A47="",N($B47)&lt;2,Scores!$D$2=0),"",(SUMPRODUCT(MAX((Scores!$A$3:$A$502=$A47)*Scores!$Q$3:$Q$502*(Scores!$R$3:$R$502+1)))-1)-(5-SUMPRODUCT(MAX((Scores!$A$3:$A$502=$A47)*Scores!$Q$3:$Q$502*(5-Scores!$R$3:$R$502)))))</f>
        <v/>
      </c>
      <c r="D47" s="41">
        <f>IF(OR($A47="",N($B47)&lt;2,Scores!$E$2=0),"",(SUMPRODUCT(MAX((Scores!$A$3:$A$502=$A47)*Scores!$Q$3:$Q$502*(Scores!$S$3:$S$502+1)))-1)-(5-SUMPRODUCT(MAX((Scores!$A$3:$A$502=$A47)*Scores!$Q$3:$Q$502*(5-Scores!$S$3:$S$502)))))</f>
        <v/>
      </c>
      <c r="E47" s="41">
        <f>IF(OR($A47="",N($B47)&lt;2,Scores!$F$2=0),"",(SUMPRODUCT(MAX((Scores!$A$3:$A$502=$A47)*Scores!$Q$3:$Q$502*(Scores!$T$3:$T$502+1)))-1)-(5-SUMPRODUCT(MAX((Scores!$A$3:$A$502=$A47)*Scores!$Q$3:$Q$502*(5-Scores!$T$3:$T$502)))))</f>
        <v/>
      </c>
      <c r="F47" s="41">
        <f>IF(OR($A47="",N($B47)&lt;2,Scores!$G$2=0),"",(SUMPRODUCT(MAX((Scores!$A$3:$A$502=$A47)*Scores!$Q$3:$Q$502*(Scores!$U$3:$U$502+1)))-1)-(5-SUMPRODUCT(MAX((Scores!$A$3:$A$502=$A47)*Scores!$Q$3:$Q$502*(5-Scores!$U$3:$U$502)))))</f>
        <v/>
      </c>
      <c r="G47" s="41">
        <f>IF(OR($A47="",N($B47)&lt;2,Scores!$H$2=0),"",(SUMPRODUCT(MAX((Scores!$A$3:$A$502=$A47)*Scores!$Q$3:$Q$502*(Scores!$V$3:$V$502+1)))-1)-(5-SUMPRODUCT(MAX((Scores!$A$3:$A$502=$A47)*Scores!$Q$3:$Q$502*(5-Scores!$V$3:$V$502)))))</f>
        <v/>
      </c>
      <c r="H47" s="41">
        <f>IF(OR($A47="",N($B47)&lt;2,Scores!$I$2=0),"",(SUMPRODUCT(MAX((Scores!$A$3:$A$502=$A47)*Scores!$Q$3:$Q$502*(Scores!$W$3:$W$502+1)))-1)-(5-SUMPRODUCT(MAX((Scores!$A$3:$A$502=$A47)*Scores!$Q$3:$Q$502*(5-Scores!$W$3:$W$502)))))</f>
        <v/>
      </c>
      <c r="I47" s="41">
        <f>IF(OR($A47="",N($B47)&lt;2,Scores!$J$2=0),"",(SUMPRODUCT(MAX((Scores!$A$3:$A$502=$A47)*Scores!$Q$3:$Q$502*(Scores!$X$3:$X$502+1)))-1)-(5-SUMPRODUCT(MAX((Scores!$A$3:$A$502=$A47)*Scores!$Q$3:$Q$502*(5-Scores!$X$3:$X$502)))))</f>
        <v/>
      </c>
      <c r="J47" s="41">
        <f>IF(OR($A47="",N($B47)&lt;2,Scores!$K$2=0),"",(SUMPRODUCT(MAX((Scores!$A$3:$A$502=$A47)*Scores!$Q$3:$Q$502*(Scores!$Y$3:$Y$502+1)))-1)-(5-SUMPRODUCT(MAX((Scores!$A$3:$A$502=$A47)*Scores!$Q$3:$Q$502*(5-Scores!$Y$3:$Y$502)))))</f>
        <v/>
      </c>
      <c r="K47" s="27">
        <f>IF(COUNT(C47:J47)=0,"",MAX(C47:J47))</f>
        <v/>
      </c>
    </row>
    <row r="48">
      <c r="A48" s="41">
        <f>IF(Applications!$A48="","",Applications!$A48&amp;"")</f>
        <v/>
      </c>
      <c r="B48" s="41">
        <f>IF($A48="","",COUNTIFS(Scores!$A$3:$A$502,$A48,Scores!$O$3:$O$502,"Counted"))</f>
        <v/>
      </c>
      <c r="C48" s="41">
        <f>IF(OR($A48="",N($B48)&lt;2,Scores!$D$2=0),"",(SUMPRODUCT(MAX((Scores!$A$3:$A$502=$A48)*Scores!$Q$3:$Q$502*(Scores!$R$3:$R$502+1)))-1)-(5-SUMPRODUCT(MAX((Scores!$A$3:$A$502=$A48)*Scores!$Q$3:$Q$502*(5-Scores!$R$3:$R$502)))))</f>
        <v/>
      </c>
      <c r="D48" s="41">
        <f>IF(OR($A48="",N($B48)&lt;2,Scores!$E$2=0),"",(SUMPRODUCT(MAX((Scores!$A$3:$A$502=$A48)*Scores!$Q$3:$Q$502*(Scores!$S$3:$S$502+1)))-1)-(5-SUMPRODUCT(MAX((Scores!$A$3:$A$502=$A48)*Scores!$Q$3:$Q$502*(5-Scores!$S$3:$S$502)))))</f>
        <v/>
      </c>
      <c r="E48" s="41">
        <f>IF(OR($A48="",N($B48)&lt;2,Scores!$F$2=0),"",(SUMPRODUCT(MAX((Scores!$A$3:$A$502=$A48)*Scores!$Q$3:$Q$502*(Scores!$T$3:$T$502+1)))-1)-(5-SUMPRODUCT(MAX((Scores!$A$3:$A$502=$A48)*Scores!$Q$3:$Q$502*(5-Scores!$T$3:$T$502)))))</f>
        <v/>
      </c>
      <c r="F48" s="41">
        <f>IF(OR($A48="",N($B48)&lt;2,Scores!$G$2=0),"",(SUMPRODUCT(MAX((Scores!$A$3:$A$502=$A48)*Scores!$Q$3:$Q$502*(Scores!$U$3:$U$502+1)))-1)-(5-SUMPRODUCT(MAX((Scores!$A$3:$A$502=$A48)*Scores!$Q$3:$Q$502*(5-Scores!$U$3:$U$502)))))</f>
        <v/>
      </c>
      <c r="G48" s="41">
        <f>IF(OR($A48="",N($B48)&lt;2,Scores!$H$2=0),"",(SUMPRODUCT(MAX((Scores!$A$3:$A$502=$A48)*Scores!$Q$3:$Q$502*(Scores!$V$3:$V$502+1)))-1)-(5-SUMPRODUCT(MAX((Scores!$A$3:$A$502=$A48)*Scores!$Q$3:$Q$502*(5-Scores!$V$3:$V$502)))))</f>
        <v/>
      </c>
      <c r="H48" s="41">
        <f>IF(OR($A48="",N($B48)&lt;2,Scores!$I$2=0),"",(SUMPRODUCT(MAX((Scores!$A$3:$A$502=$A48)*Scores!$Q$3:$Q$502*(Scores!$W$3:$W$502+1)))-1)-(5-SUMPRODUCT(MAX((Scores!$A$3:$A$502=$A48)*Scores!$Q$3:$Q$502*(5-Scores!$W$3:$W$502)))))</f>
        <v/>
      </c>
      <c r="I48" s="41">
        <f>IF(OR($A48="",N($B48)&lt;2,Scores!$J$2=0),"",(SUMPRODUCT(MAX((Scores!$A$3:$A$502=$A48)*Scores!$Q$3:$Q$502*(Scores!$X$3:$X$502+1)))-1)-(5-SUMPRODUCT(MAX((Scores!$A$3:$A$502=$A48)*Scores!$Q$3:$Q$502*(5-Scores!$X$3:$X$502)))))</f>
        <v/>
      </c>
      <c r="J48" s="41">
        <f>IF(OR($A48="",N($B48)&lt;2,Scores!$K$2=0),"",(SUMPRODUCT(MAX((Scores!$A$3:$A$502=$A48)*Scores!$Q$3:$Q$502*(Scores!$Y$3:$Y$502+1)))-1)-(5-SUMPRODUCT(MAX((Scores!$A$3:$A$502=$A48)*Scores!$Q$3:$Q$502*(5-Scores!$Y$3:$Y$502)))))</f>
        <v/>
      </c>
      <c r="K48" s="27">
        <f>IF(COUNT(C48:J48)=0,"",MAX(C48:J48))</f>
        <v/>
      </c>
    </row>
    <row r="49">
      <c r="A49" s="41">
        <f>IF(Applications!$A49="","",Applications!$A49&amp;"")</f>
        <v/>
      </c>
      <c r="B49" s="41">
        <f>IF($A49="","",COUNTIFS(Scores!$A$3:$A$502,$A49,Scores!$O$3:$O$502,"Counted"))</f>
        <v/>
      </c>
      <c r="C49" s="41">
        <f>IF(OR($A49="",N($B49)&lt;2,Scores!$D$2=0),"",(SUMPRODUCT(MAX((Scores!$A$3:$A$502=$A49)*Scores!$Q$3:$Q$502*(Scores!$R$3:$R$502+1)))-1)-(5-SUMPRODUCT(MAX((Scores!$A$3:$A$502=$A49)*Scores!$Q$3:$Q$502*(5-Scores!$R$3:$R$502)))))</f>
        <v/>
      </c>
      <c r="D49" s="41">
        <f>IF(OR($A49="",N($B49)&lt;2,Scores!$E$2=0),"",(SUMPRODUCT(MAX((Scores!$A$3:$A$502=$A49)*Scores!$Q$3:$Q$502*(Scores!$S$3:$S$502+1)))-1)-(5-SUMPRODUCT(MAX((Scores!$A$3:$A$502=$A49)*Scores!$Q$3:$Q$502*(5-Scores!$S$3:$S$502)))))</f>
        <v/>
      </c>
      <c r="E49" s="41">
        <f>IF(OR($A49="",N($B49)&lt;2,Scores!$F$2=0),"",(SUMPRODUCT(MAX((Scores!$A$3:$A$502=$A49)*Scores!$Q$3:$Q$502*(Scores!$T$3:$T$502+1)))-1)-(5-SUMPRODUCT(MAX((Scores!$A$3:$A$502=$A49)*Scores!$Q$3:$Q$502*(5-Scores!$T$3:$T$502)))))</f>
        <v/>
      </c>
      <c r="F49" s="41">
        <f>IF(OR($A49="",N($B49)&lt;2,Scores!$G$2=0),"",(SUMPRODUCT(MAX((Scores!$A$3:$A$502=$A49)*Scores!$Q$3:$Q$502*(Scores!$U$3:$U$502+1)))-1)-(5-SUMPRODUCT(MAX((Scores!$A$3:$A$502=$A49)*Scores!$Q$3:$Q$502*(5-Scores!$U$3:$U$502)))))</f>
        <v/>
      </c>
      <c r="G49" s="41">
        <f>IF(OR($A49="",N($B49)&lt;2,Scores!$H$2=0),"",(SUMPRODUCT(MAX((Scores!$A$3:$A$502=$A49)*Scores!$Q$3:$Q$502*(Scores!$V$3:$V$502+1)))-1)-(5-SUMPRODUCT(MAX((Scores!$A$3:$A$502=$A49)*Scores!$Q$3:$Q$502*(5-Scores!$V$3:$V$502)))))</f>
        <v/>
      </c>
      <c r="H49" s="41">
        <f>IF(OR($A49="",N($B49)&lt;2,Scores!$I$2=0),"",(SUMPRODUCT(MAX((Scores!$A$3:$A$502=$A49)*Scores!$Q$3:$Q$502*(Scores!$W$3:$W$502+1)))-1)-(5-SUMPRODUCT(MAX((Scores!$A$3:$A$502=$A49)*Scores!$Q$3:$Q$502*(5-Scores!$W$3:$W$502)))))</f>
        <v/>
      </c>
      <c r="I49" s="41">
        <f>IF(OR($A49="",N($B49)&lt;2,Scores!$J$2=0),"",(SUMPRODUCT(MAX((Scores!$A$3:$A$502=$A49)*Scores!$Q$3:$Q$502*(Scores!$X$3:$X$502+1)))-1)-(5-SUMPRODUCT(MAX((Scores!$A$3:$A$502=$A49)*Scores!$Q$3:$Q$502*(5-Scores!$X$3:$X$502)))))</f>
        <v/>
      </c>
      <c r="J49" s="41">
        <f>IF(OR($A49="",N($B49)&lt;2,Scores!$K$2=0),"",(SUMPRODUCT(MAX((Scores!$A$3:$A$502=$A49)*Scores!$Q$3:$Q$502*(Scores!$Y$3:$Y$502+1)))-1)-(5-SUMPRODUCT(MAX((Scores!$A$3:$A$502=$A49)*Scores!$Q$3:$Q$502*(5-Scores!$Y$3:$Y$502)))))</f>
        <v/>
      </c>
      <c r="K49" s="27">
        <f>IF(COUNT(C49:J49)=0,"",MAX(C49:J49))</f>
        <v/>
      </c>
    </row>
    <row r="50">
      <c r="A50" s="41">
        <f>IF(Applications!$A50="","",Applications!$A50&amp;"")</f>
        <v/>
      </c>
      <c r="B50" s="41">
        <f>IF($A50="","",COUNTIFS(Scores!$A$3:$A$502,$A50,Scores!$O$3:$O$502,"Counted"))</f>
        <v/>
      </c>
      <c r="C50" s="41">
        <f>IF(OR($A50="",N($B50)&lt;2,Scores!$D$2=0),"",(SUMPRODUCT(MAX((Scores!$A$3:$A$502=$A50)*Scores!$Q$3:$Q$502*(Scores!$R$3:$R$502+1)))-1)-(5-SUMPRODUCT(MAX((Scores!$A$3:$A$502=$A50)*Scores!$Q$3:$Q$502*(5-Scores!$R$3:$R$502)))))</f>
        <v/>
      </c>
      <c r="D50" s="41">
        <f>IF(OR($A50="",N($B50)&lt;2,Scores!$E$2=0),"",(SUMPRODUCT(MAX((Scores!$A$3:$A$502=$A50)*Scores!$Q$3:$Q$502*(Scores!$S$3:$S$502+1)))-1)-(5-SUMPRODUCT(MAX((Scores!$A$3:$A$502=$A50)*Scores!$Q$3:$Q$502*(5-Scores!$S$3:$S$502)))))</f>
        <v/>
      </c>
      <c r="E50" s="41">
        <f>IF(OR($A50="",N($B50)&lt;2,Scores!$F$2=0),"",(SUMPRODUCT(MAX((Scores!$A$3:$A$502=$A50)*Scores!$Q$3:$Q$502*(Scores!$T$3:$T$502+1)))-1)-(5-SUMPRODUCT(MAX((Scores!$A$3:$A$502=$A50)*Scores!$Q$3:$Q$502*(5-Scores!$T$3:$T$502)))))</f>
        <v/>
      </c>
      <c r="F50" s="41">
        <f>IF(OR($A50="",N($B50)&lt;2,Scores!$G$2=0),"",(SUMPRODUCT(MAX((Scores!$A$3:$A$502=$A50)*Scores!$Q$3:$Q$502*(Scores!$U$3:$U$502+1)))-1)-(5-SUMPRODUCT(MAX((Scores!$A$3:$A$502=$A50)*Scores!$Q$3:$Q$502*(5-Scores!$U$3:$U$502)))))</f>
        <v/>
      </c>
      <c r="G50" s="41">
        <f>IF(OR($A50="",N($B50)&lt;2,Scores!$H$2=0),"",(SUMPRODUCT(MAX((Scores!$A$3:$A$502=$A50)*Scores!$Q$3:$Q$502*(Scores!$V$3:$V$502+1)))-1)-(5-SUMPRODUCT(MAX((Scores!$A$3:$A$502=$A50)*Scores!$Q$3:$Q$502*(5-Scores!$V$3:$V$502)))))</f>
        <v/>
      </c>
      <c r="H50" s="41">
        <f>IF(OR($A50="",N($B50)&lt;2,Scores!$I$2=0),"",(SUMPRODUCT(MAX((Scores!$A$3:$A$502=$A50)*Scores!$Q$3:$Q$502*(Scores!$W$3:$W$502+1)))-1)-(5-SUMPRODUCT(MAX((Scores!$A$3:$A$502=$A50)*Scores!$Q$3:$Q$502*(5-Scores!$W$3:$W$502)))))</f>
        <v/>
      </c>
      <c r="I50" s="41">
        <f>IF(OR($A50="",N($B50)&lt;2,Scores!$J$2=0),"",(SUMPRODUCT(MAX((Scores!$A$3:$A$502=$A50)*Scores!$Q$3:$Q$502*(Scores!$X$3:$X$502+1)))-1)-(5-SUMPRODUCT(MAX((Scores!$A$3:$A$502=$A50)*Scores!$Q$3:$Q$502*(5-Scores!$X$3:$X$502)))))</f>
        <v/>
      </c>
      <c r="J50" s="41">
        <f>IF(OR($A50="",N($B50)&lt;2,Scores!$K$2=0),"",(SUMPRODUCT(MAX((Scores!$A$3:$A$502=$A50)*Scores!$Q$3:$Q$502*(Scores!$Y$3:$Y$502+1)))-1)-(5-SUMPRODUCT(MAX((Scores!$A$3:$A$502=$A50)*Scores!$Q$3:$Q$502*(5-Scores!$Y$3:$Y$502)))))</f>
        <v/>
      </c>
      <c r="K50" s="27">
        <f>IF(COUNT(C50:J50)=0,"",MAX(C50:J50))</f>
        <v/>
      </c>
    </row>
    <row r="51">
      <c r="A51" s="41">
        <f>IF(Applications!$A51="","",Applications!$A51&amp;"")</f>
        <v/>
      </c>
      <c r="B51" s="41">
        <f>IF($A51="","",COUNTIFS(Scores!$A$3:$A$502,$A51,Scores!$O$3:$O$502,"Counted"))</f>
        <v/>
      </c>
      <c r="C51" s="41">
        <f>IF(OR($A51="",N($B51)&lt;2,Scores!$D$2=0),"",(SUMPRODUCT(MAX((Scores!$A$3:$A$502=$A51)*Scores!$Q$3:$Q$502*(Scores!$R$3:$R$502+1)))-1)-(5-SUMPRODUCT(MAX((Scores!$A$3:$A$502=$A51)*Scores!$Q$3:$Q$502*(5-Scores!$R$3:$R$502)))))</f>
        <v/>
      </c>
      <c r="D51" s="41">
        <f>IF(OR($A51="",N($B51)&lt;2,Scores!$E$2=0),"",(SUMPRODUCT(MAX((Scores!$A$3:$A$502=$A51)*Scores!$Q$3:$Q$502*(Scores!$S$3:$S$502+1)))-1)-(5-SUMPRODUCT(MAX((Scores!$A$3:$A$502=$A51)*Scores!$Q$3:$Q$502*(5-Scores!$S$3:$S$502)))))</f>
        <v/>
      </c>
      <c r="E51" s="41">
        <f>IF(OR($A51="",N($B51)&lt;2,Scores!$F$2=0),"",(SUMPRODUCT(MAX((Scores!$A$3:$A$502=$A51)*Scores!$Q$3:$Q$502*(Scores!$T$3:$T$502+1)))-1)-(5-SUMPRODUCT(MAX((Scores!$A$3:$A$502=$A51)*Scores!$Q$3:$Q$502*(5-Scores!$T$3:$T$502)))))</f>
        <v/>
      </c>
      <c r="F51" s="41">
        <f>IF(OR($A51="",N($B51)&lt;2,Scores!$G$2=0),"",(SUMPRODUCT(MAX((Scores!$A$3:$A$502=$A51)*Scores!$Q$3:$Q$502*(Scores!$U$3:$U$502+1)))-1)-(5-SUMPRODUCT(MAX((Scores!$A$3:$A$502=$A51)*Scores!$Q$3:$Q$502*(5-Scores!$U$3:$U$502)))))</f>
        <v/>
      </c>
      <c r="G51" s="41">
        <f>IF(OR($A51="",N($B51)&lt;2,Scores!$H$2=0),"",(SUMPRODUCT(MAX((Scores!$A$3:$A$502=$A51)*Scores!$Q$3:$Q$502*(Scores!$V$3:$V$502+1)))-1)-(5-SUMPRODUCT(MAX((Scores!$A$3:$A$502=$A51)*Scores!$Q$3:$Q$502*(5-Scores!$V$3:$V$502)))))</f>
        <v/>
      </c>
      <c r="H51" s="41">
        <f>IF(OR($A51="",N($B51)&lt;2,Scores!$I$2=0),"",(SUMPRODUCT(MAX((Scores!$A$3:$A$502=$A51)*Scores!$Q$3:$Q$502*(Scores!$W$3:$W$502+1)))-1)-(5-SUMPRODUCT(MAX((Scores!$A$3:$A$502=$A51)*Scores!$Q$3:$Q$502*(5-Scores!$W$3:$W$502)))))</f>
        <v/>
      </c>
      <c r="I51" s="41">
        <f>IF(OR($A51="",N($B51)&lt;2,Scores!$J$2=0),"",(SUMPRODUCT(MAX((Scores!$A$3:$A$502=$A51)*Scores!$Q$3:$Q$502*(Scores!$X$3:$X$502+1)))-1)-(5-SUMPRODUCT(MAX((Scores!$A$3:$A$502=$A51)*Scores!$Q$3:$Q$502*(5-Scores!$X$3:$X$502)))))</f>
        <v/>
      </c>
      <c r="J51" s="41">
        <f>IF(OR($A51="",N($B51)&lt;2,Scores!$K$2=0),"",(SUMPRODUCT(MAX((Scores!$A$3:$A$502=$A51)*Scores!$Q$3:$Q$502*(Scores!$Y$3:$Y$502+1)))-1)-(5-SUMPRODUCT(MAX((Scores!$A$3:$A$502=$A51)*Scores!$Q$3:$Q$502*(5-Scores!$Y$3:$Y$502)))))</f>
        <v/>
      </c>
      <c r="K51" s="27">
        <f>IF(COUNT(C51:J51)=0,"",MAX(C51:J51))</f>
        <v/>
      </c>
    </row>
    <row r="52">
      <c r="A52" s="41">
        <f>IF(Applications!$A52="","",Applications!$A52&amp;"")</f>
        <v/>
      </c>
      <c r="B52" s="41">
        <f>IF($A52="","",COUNTIFS(Scores!$A$3:$A$502,$A52,Scores!$O$3:$O$502,"Counted"))</f>
        <v/>
      </c>
      <c r="C52" s="41">
        <f>IF(OR($A52="",N($B52)&lt;2,Scores!$D$2=0),"",(SUMPRODUCT(MAX((Scores!$A$3:$A$502=$A52)*Scores!$Q$3:$Q$502*(Scores!$R$3:$R$502+1)))-1)-(5-SUMPRODUCT(MAX((Scores!$A$3:$A$502=$A52)*Scores!$Q$3:$Q$502*(5-Scores!$R$3:$R$502)))))</f>
        <v/>
      </c>
      <c r="D52" s="41">
        <f>IF(OR($A52="",N($B52)&lt;2,Scores!$E$2=0),"",(SUMPRODUCT(MAX((Scores!$A$3:$A$502=$A52)*Scores!$Q$3:$Q$502*(Scores!$S$3:$S$502+1)))-1)-(5-SUMPRODUCT(MAX((Scores!$A$3:$A$502=$A52)*Scores!$Q$3:$Q$502*(5-Scores!$S$3:$S$502)))))</f>
        <v/>
      </c>
      <c r="E52" s="41">
        <f>IF(OR($A52="",N($B52)&lt;2,Scores!$F$2=0),"",(SUMPRODUCT(MAX((Scores!$A$3:$A$502=$A52)*Scores!$Q$3:$Q$502*(Scores!$T$3:$T$502+1)))-1)-(5-SUMPRODUCT(MAX((Scores!$A$3:$A$502=$A52)*Scores!$Q$3:$Q$502*(5-Scores!$T$3:$T$502)))))</f>
        <v/>
      </c>
      <c r="F52" s="41">
        <f>IF(OR($A52="",N($B52)&lt;2,Scores!$G$2=0),"",(SUMPRODUCT(MAX((Scores!$A$3:$A$502=$A52)*Scores!$Q$3:$Q$502*(Scores!$U$3:$U$502+1)))-1)-(5-SUMPRODUCT(MAX((Scores!$A$3:$A$502=$A52)*Scores!$Q$3:$Q$502*(5-Scores!$U$3:$U$502)))))</f>
        <v/>
      </c>
      <c r="G52" s="41">
        <f>IF(OR($A52="",N($B52)&lt;2,Scores!$H$2=0),"",(SUMPRODUCT(MAX((Scores!$A$3:$A$502=$A52)*Scores!$Q$3:$Q$502*(Scores!$V$3:$V$502+1)))-1)-(5-SUMPRODUCT(MAX((Scores!$A$3:$A$502=$A52)*Scores!$Q$3:$Q$502*(5-Scores!$V$3:$V$502)))))</f>
        <v/>
      </c>
      <c r="H52" s="41">
        <f>IF(OR($A52="",N($B52)&lt;2,Scores!$I$2=0),"",(SUMPRODUCT(MAX((Scores!$A$3:$A$502=$A52)*Scores!$Q$3:$Q$502*(Scores!$W$3:$W$502+1)))-1)-(5-SUMPRODUCT(MAX((Scores!$A$3:$A$502=$A52)*Scores!$Q$3:$Q$502*(5-Scores!$W$3:$W$502)))))</f>
        <v/>
      </c>
      <c r="I52" s="41">
        <f>IF(OR($A52="",N($B52)&lt;2,Scores!$J$2=0),"",(SUMPRODUCT(MAX((Scores!$A$3:$A$502=$A52)*Scores!$Q$3:$Q$502*(Scores!$X$3:$X$502+1)))-1)-(5-SUMPRODUCT(MAX((Scores!$A$3:$A$502=$A52)*Scores!$Q$3:$Q$502*(5-Scores!$X$3:$X$502)))))</f>
        <v/>
      </c>
      <c r="J52" s="41">
        <f>IF(OR($A52="",N($B52)&lt;2,Scores!$K$2=0),"",(SUMPRODUCT(MAX((Scores!$A$3:$A$502=$A52)*Scores!$Q$3:$Q$502*(Scores!$Y$3:$Y$502+1)))-1)-(5-SUMPRODUCT(MAX((Scores!$A$3:$A$502=$A52)*Scores!$Q$3:$Q$502*(5-Scores!$Y$3:$Y$502)))))</f>
        <v/>
      </c>
      <c r="K52" s="27">
        <f>IF(COUNT(C52:J52)=0,"",MAX(C52:J52))</f>
        <v/>
      </c>
    </row>
    <row r="53">
      <c r="A53" s="41">
        <f>IF(Applications!$A53="","",Applications!$A53&amp;"")</f>
        <v/>
      </c>
      <c r="B53" s="41">
        <f>IF($A53="","",COUNTIFS(Scores!$A$3:$A$502,$A53,Scores!$O$3:$O$502,"Counted"))</f>
        <v/>
      </c>
      <c r="C53" s="41">
        <f>IF(OR($A53="",N($B53)&lt;2,Scores!$D$2=0),"",(SUMPRODUCT(MAX((Scores!$A$3:$A$502=$A53)*Scores!$Q$3:$Q$502*(Scores!$R$3:$R$502+1)))-1)-(5-SUMPRODUCT(MAX((Scores!$A$3:$A$502=$A53)*Scores!$Q$3:$Q$502*(5-Scores!$R$3:$R$502)))))</f>
        <v/>
      </c>
      <c r="D53" s="41">
        <f>IF(OR($A53="",N($B53)&lt;2,Scores!$E$2=0),"",(SUMPRODUCT(MAX((Scores!$A$3:$A$502=$A53)*Scores!$Q$3:$Q$502*(Scores!$S$3:$S$502+1)))-1)-(5-SUMPRODUCT(MAX((Scores!$A$3:$A$502=$A53)*Scores!$Q$3:$Q$502*(5-Scores!$S$3:$S$502)))))</f>
        <v/>
      </c>
      <c r="E53" s="41">
        <f>IF(OR($A53="",N($B53)&lt;2,Scores!$F$2=0),"",(SUMPRODUCT(MAX((Scores!$A$3:$A$502=$A53)*Scores!$Q$3:$Q$502*(Scores!$T$3:$T$502+1)))-1)-(5-SUMPRODUCT(MAX((Scores!$A$3:$A$502=$A53)*Scores!$Q$3:$Q$502*(5-Scores!$T$3:$T$502)))))</f>
        <v/>
      </c>
      <c r="F53" s="41">
        <f>IF(OR($A53="",N($B53)&lt;2,Scores!$G$2=0),"",(SUMPRODUCT(MAX((Scores!$A$3:$A$502=$A53)*Scores!$Q$3:$Q$502*(Scores!$U$3:$U$502+1)))-1)-(5-SUMPRODUCT(MAX((Scores!$A$3:$A$502=$A53)*Scores!$Q$3:$Q$502*(5-Scores!$U$3:$U$502)))))</f>
        <v/>
      </c>
      <c r="G53" s="41">
        <f>IF(OR($A53="",N($B53)&lt;2,Scores!$H$2=0),"",(SUMPRODUCT(MAX((Scores!$A$3:$A$502=$A53)*Scores!$Q$3:$Q$502*(Scores!$V$3:$V$502+1)))-1)-(5-SUMPRODUCT(MAX((Scores!$A$3:$A$502=$A53)*Scores!$Q$3:$Q$502*(5-Scores!$V$3:$V$502)))))</f>
        <v/>
      </c>
      <c r="H53" s="41">
        <f>IF(OR($A53="",N($B53)&lt;2,Scores!$I$2=0),"",(SUMPRODUCT(MAX((Scores!$A$3:$A$502=$A53)*Scores!$Q$3:$Q$502*(Scores!$W$3:$W$502+1)))-1)-(5-SUMPRODUCT(MAX((Scores!$A$3:$A$502=$A53)*Scores!$Q$3:$Q$502*(5-Scores!$W$3:$W$502)))))</f>
        <v/>
      </c>
      <c r="I53" s="41">
        <f>IF(OR($A53="",N($B53)&lt;2,Scores!$J$2=0),"",(SUMPRODUCT(MAX((Scores!$A$3:$A$502=$A53)*Scores!$Q$3:$Q$502*(Scores!$X$3:$X$502+1)))-1)-(5-SUMPRODUCT(MAX((Scores!$A$3:$A$502=$A53)*Scores!$Q$3:$Q$502*(5-Scores!$X$3:$X$502)))))</f>
        <v/>
      </c>
      <c r="J53" s="41">
        <f>IF(OR($A53="",N($B53)&lt;2,Scores!$K$2=0),"",(SUMPRODUCT(MAX((Scores!$A$3:$A$502=$A53)*Scores!$Q$3:$Q$502*(Scores!$Y$3:$Y$502+1)))-1)-(5-SUMPRODUCT(MAX((Scores!$A$3:$A$502=$A53)*Scores!$Q$3:$Q$502*(5-Scores!$Y$3:$Y$502)))))</f>
        <v/>
      </c>
      <c r="K53" s="27">
        <f>IF(COUNT(C53:J53)=0,"",MAX(C53:J53))</f>
        <v/>
      </c>
    </row>
    <row r="54">
      <c r="A54" s="41">
        <f>IF(Applications!$A54="","",Applications!$A54&amp;"")</f>
        <v/>
      </c>
      <c r="B54" s="41">
        <f>IF($A54="","",COUNTIFS(Scores!$A$3:$A$502,$A54,Scores!$O$3:$O$502,"Counted"))</f>
        <v/>
      </c>
      <c r="C54" s="41">
        <f>IF(OR($A54="",N($B54)&lt;2,Scores!$D$2=0),"",(SUMPRODUCT(MAX((Scores!$A$3:$A$502=$A54)*Scores!$Q$3:$Q$502*(Scores!$R$3:$R$502+1)))-1)-(5-SUMPRODUCT(MAX((Scores!$A$3:$A$502=$A54)*Scores!$Q$3:$Q$502*(5-Scores!$R$3:$R$502)))))</f>
        <v/>
      </c>
      <c r="D54" s="41">
        <f>IF(OR($A54="",N($B54)&lt;2,Scores!$E$2=0),"",(SUMPRODUCT(MAX((Scores!$A$3:$A$502=$A54)*Scores!$Q$3:$Q$502*(Scores!$S$3:$S$502+1)))-1)-(5-SUMPRODUCT(MAX((Scores!$A$3:$A$502=$A54)*Scores!$Q$3:$Q$502*(5-Scores!$S$3:$S$502)))))</f>
        <v/>
      </c>
      <c r="E54" s="41">
        <f>IF(OR($A54="",N($B54)&lt;2,Scores!$F$2=0),"",(SUMPRODUCT(MAX((Scores!$A$3:$A$502=$A54)*Scores!$Q$3:$Q$502*(Scores!$T$3:$T$502+1)))-1)-(5-SUMPRODUCT(MAX((Scores!$A$3:$A$502=$A54)*Scores!$Q$3:$Q$502*(5-Scores!$T$3:$T$502)))))</f>
        <v/>
      </c>
      <c r="F54" s="41">
        <f>IF(OR($A54="",N($B54)&lt;2,Scores!$G$2=0),"",(SUMPRODUCT(MAX((Scores!$A$3:$A$502=$A54)*Scores!$Q$3:$Q$502*(Scores!$U$3:$U$502+1)))-1)-(5-SUMPRODUCT(MAX((Scores!$A$3:$A$502=$A54)*Scores!$Q$3:$Q$502*(5-Scores!$U$3:$U$502)))))</f>
        <v/>
      </c>
      <c r="G54" s="41">
        <f>IF(OR($A54="",N($B54)&lt;2,Scores!$H$2=0),"",(SUMPRODUCT(MAX((Scores!$A$3:$A$502=$A54)*Scores!$Q$3:$Q$502*(Scores!$V$3:$V$502+1)))-1)-(5-SUMPRODUCT(MAX((Scores!$A$3:$A$502=$A54)*Scores!$Q$3:$Q$502*(5-Scores!$V$3:$V$502)))))</f>
        <v/>
      </c>
      <c r="H54" s="41">
        <f>IF(OR($A54="",N($B54)&lt;2,Scores!$I$2=0),"",(SUMPRODUCT(MAX((Scores!$A$3:$A$502=$A54)*Scores!$Q$3:$Q$502*(Scores!$W$3:$W$502+1)))-1)-(5-SUMPRODUCT(MAX((Scores!$A$3:$A$502=$A54)*Scores!$Q$3:$Q$502*(5-Scores!$W$3:$W$502)))))</f>
        <v/>
      </c>
      <c r="I54" s="41">
        <f>IF(OR($A54="",N($B54)&lt;2,Scores!$J$2=0),"",(SUMPRODUCT(MAX((Scores!$A$3:$A$502=$A54)*Scores!$Q$3:$Q$502*(Scores!$X$3:$X$502+1)))-1)-(5-SUMPRODUCT(MAX((Scores!$A$3:$A$502=$A54)*Scores!$Q$3:$Q$502*(5-Scores!$X$3:$X$502)))))</f>
        <v/>
      </c>
      <c r="J54" s="41">
        <f>IF(OR($A54="",N($B54)&lt;2,Scores!$K$2=0),"",(SUMPRODUCT(MAX((Scores!$A$3:$A$502=$A54)*Scores!$Q$3:$Q$502*(Scores!$Y$3:$Y$502+1)))-1)-(5-SUMPRODUCT(MAX((Scores!$A$3:$A$502=$A54)*Scores!$Q$3:$Q$502*(5-Scores!$Y$3:$Y$502)))))</f>
        <v/>
      </c>
      <c r="K54" s="27">
        <f>IF(COUNT(C54:J54)=0,"",MAX(C54:J54))</f>
        <v/>
      </c>
    </row>
    <row r="55">
      <c r="A55" s="41">
        <f>IF(Applications!$A55="","",Applications!$A55&amp;"")</f>
        <v/>
      </c>
      <c r="B55" s="41">
        <f>IF($A55="","",COUNTIFS(Scores!$A$3:$A$502,$A55,Scores!$O$3:$O$502,"Counted"))</f>
        <v/>
      </c>
      <c r="C55" s="41">
        <f>IF(OR($A55="",N($B55)&lt;2,Scores!$D$2=0),"",(SUMPRODUCT(MAX((Scores!$A$3:$A$502=$A55)*Scores!$Q$3:$Q$502*(Scores!$R$3:$R$502+1)))-1)-(5-SUMPRODUCT(MAX((Scores!$A$3:$A$502=$A55)*Scores!$Q$3:$Q$502*(5-Scores!$R$3:$R$502)))))</f>
        <v/>
      </c>
      <c r="D55" s="41">
        <f>IF(OR($A55="",N($B55)&lt;2,Scores!$E$2=0),"",(SUMPRODUCT(MAX((Scores!$A$3:$A$502=$A55)*Scores!$Q$3:$Q$502*(Scores!$S$3:$S$502+1)))-1)-(5-SUMPRODUCT(MAX((Scores!$A$3:$A$502=$A55)*Scores!$Q$3:$Q$502*(5-Scores!$S$3:$S$502)))))</f>
        <v/>
      </c>
      <c r="E55" s="41">
        <f>IF(OR($A55="",N($B55)&lt;2,Scores!$F$2=0),"",(SUMPRODUCT(MAX((Scores!$A$3:$A$502=$A55)*Scores!$Q$3:$Q$502*(Scores!$T$3:$T$502+1)))-1)-(5-SUMPRODUCT(MAX((Scores!$A$3:$A$502=$A55)*Scores!$Q$3:$Q$502*(5-Scores!$T$3:$T$502)))))</f>
        <v/>
      </c>
      <c r="F55" s="41">
        <f>IF(OR($A55="",N($B55)&lt;2,Scores!$G$2=0),"",(SUMPRODUCT(MAX((Scores!$A$3:$A$502=$A55)*Scores!$Q$3:$Q$502*(Scores!$U$3:$U$502+1)))-1)-(5-SUMPRODUCT(MAX((Scores!$A$3:$A$502=$A55)*Scores!$Q$3:$Q$502*(5-Scores!$U$3:$U$502)))))</f>
        <v/>
      </c>
      <c r="G55" s="41">
        <f>IF(OR($A55="",N($B55)&lt;2,Scores!$H$2=0),"",(SUMPRODUCT(MAX((Scores!$A$3:$A$502=$A55)*Scores!$Q$3:$Q$502*(Scores!$V$3:$V$502+1)))-1)-(5-SUMPRODUCT(MAX((Scores!$A$3:$A$502=$A55)*Scores!$Q$3:$Q$502*(5-Scores!$V$3:$V$502)))))</f>
        <v/>
      </c>
      <c r="H55" s="41">
        <f>IF(OR($A55="",N($B55)&lt;2,Scores!$I$2=0),"",(SUMPRODUCT(MAX((Scores!$A$3:$A$502=$A55)*Scores!$Q$3:$Q$502*(Scores!$W$3:$W$502+1)))-1)-(5-SUMPRODUCT(MAX((Scores!$A$3:$A$502=$A55)*Scores!$Q$3:$Q$502*(5-Scores!$W$3:$W$502)))))</f>
        <v/>
      </c>
      <c r="I55" s="41">
        <f>IF(OR($A55="",N($B55)&lt;2,Scores!$J$2=0),"",(SUMPRODUCT(MAX((Scores!$A$3:$A$502=$A55)*Scores!$Q$3:$Q$502*(Scores!$X$3:$X$502+1)))-1)-(5-SUMPRODUCT(MAX((Scores!$A$3:$A$502=$A55)*Scores!$Q$3:$Q$502*(5-Scores!$X$3:$X$502)))))</f>
        <v/>
      </c>
      <c r="J55" s="41">
        <f>IF(OR($A55="",N($B55)&lt;2,Scores!$K$2=0),"",(SUMPRODUCT(MAX((Scores!$A$3:$A$502=$A55)*Scores!$Q$3:$Q$502*(Scores!$Y$3:$Y$502+1)))-1)-(5-SUMPRODUCT(MAX((Scores!$A$3:$A$502=$A55)*Scores!$Q$3:$Q$502*(5-Scores!$Y$3:$Y$502)))))</f>
        <v/>
      </c>
      <c r="K55" s="27">
        <f>IF(COUNT(C55:J55)=0,"",MAX(C55:J55))</f>
        <v/>
      </c>
    </row>
    <row r="56">
      <c r="A56" s="41">
        <f>IF(Applications!$A56="","",Applications!$A56&amp;"")</f>
        <v/>
      </c>
      <c r="B56" s="41">
        <f>IF($A56="","",COUNTIFS(Scores!$A$3:$A$502,$A56,Scores!$O$3:$O$502,"Counted"))</f>
        <v/>
      </c>
      <c r="C56" s="41">
        <f>IF(OR($A56="",N($B56)&lt;2,Scores!$D$2=0),"",(SUMPRODUCT(MAX((Scores!$A$3:$A$502=$A56)*Scores!$Q$3:$Q$502*(Scores!$R$3:$R$502+1)))-1)-(5-SUMPRODUCT(MAX((Scores!$A$3:$A$502=$A56)*Scores!$Q$3:$Q$502*(5-Scores!$R$3:$R$502)))))</f>
        <v/>
      </c>
      <c r="D56" s="41">
        <f>IF(OR($A56="",N($B56)&lt;2,Scores!$E$2=0),"",(SUMPRODUCT(MAX((Scores!$A$3:$A$502=$A56)*Scores!$Q$3:$Q$502*(Scores!$S$3:$S$502+1)))-1)-(5-SUMPRODUCT(MAX((Scores!$A$3:$A$502=$A56)*Scores!$Q$3:$Q$502*(5-Scores!$S$3:$S$502)))))</f>
        <v/>
      </c>
      <c r="E56" s="41">
        <f>IF(OR($A56="",N($B56)&lt;2,Scores!$F$2=0),"",(SUMPRODUCT(MAX((Scores!$A$3:$A$502=$A56)*Scores!$Q$3:$Q$502*(Scores!$T$3:$T$502+1)))-1)-(5-SUMPRODUCT(MAX((Scores!$A$3:$A$502=$A56)*Scores!$Q$3:$Q$502*(5-Scores!$T$3:$T$502)))))</f>
        <v/>
      </c>
      <c r="F56" s="41">
        <f>IF(OR($A56="",N($B56)&lt;2,Scores!$G$2=0),"",(SUMPRODUCT(MAX((Scores!$A$3:$A$502=$A56)*Scores!$Q$3:$Q$502*(Scores!$U$3:$U$502+1)))-1)-(5-SUMPRODUCT(MAX((Scores!$A$3:$A$502=$A56)*Scores!$Q$3:$Q$502*(5-Scores!$U$3:$U$502)))))</f>
        <v/>
      </c>
      <c r="G56" s="41">
        <f>IF(OR($A56="",N($B56)&lt;2,Scores!$H$2=0),"",(SUMPRODUCT(MAX((Scores!$A$3:$A$502=$A56)*Scores!$Q$3:$Q$502*(Scores!$V$3:$V$502+1)))-1)-(5-SUMPRODUCT(MAX((Scores!$A$3:$A$502=$A56)*Scores!$Q$3:$Q$502*(5-Scores!$V$3:$V$502)))))</f>
        <v/>
      </c>
      <c r="H56" s="41">
        <f>IF(OR($A56="",N($B56)&lt;2,Scores!$I$2=0),"",(SUMPRODUCT(MAX((Scores!$A$3:$A$502=$A56)*Scores!$Q$3:$Q$502*(Scores!$W$3:$W$502+1)))-1)-(5-SUMPRODUCT(MAX((Scores!$A$3:$A$502=$A56)*Scores!$Q$3:$Q$502*(5-Scores!$W$3:$W$502)))))</f>
        <v/>
      </c>
      <c r="I56" s="41">
        <f>IF(OR($A56="",N($B56)&lt;2,Scores!$J$2=0),"",(SUMPRODUCT(MAX((Scores!$A$3:$A$502=$A56)*Scores!$Q$3:$Q$502*(Scores!$X$3:$X$502+1)))-1)-(5-SUMPRODUCT(MAX((Scores!$A$3:$A$502=$A56)*Scores!$Q$3:$Q$502*(5-Scores!$X$3:$X$502)))))</f>
        <v/>
      </c>
      <c r="J56" s="41">
        <f>IF(OR($A56="",N($B56)&lt;2,Scores!$K$2=0),"",(SUMPRODUCT(MAX((Scores!$A$3:$A$502=$A56)*Scores!$Q$3:$Q$502*(Scores!$Y$3:$Y$502+1)))-1)-(5-SUMPRODUCT(MAX((Scores!$A$3:$A$502=$A56)*Scores!$Q$3:$Q$502*(5-Scores!$Y$3:$Y$502)))))</f>
        <v/>
      </c>
      <c r="K56" s="27">
        <f>IF(COUNT(C56:J56)=0,"",MAX(C56:J56))</f>
        <v/>
      </c>
    </row>
    <row r="57">
      <c r="A57" s="41">
        <f>IF(Applications!$A57="","",Applications!$A57&amp;"")</f>
        <v/>
      </c>
      <c r="B57" s="41">
        <f>IF($A57="","",COUNTIFS(Scores!$A$3:$A$502,$A57,Scores!$O$3:$O$502,"Counted"))</f>
        <v/>
      </c>
      <c r="C57" s="41">
        <f>IF(OR($A57="",N($B57)&lt;2,Scores!$D$2=0),"",(SUMPRODUCT(MAX((Scores!$A$3:$A$502=$A57)*Scores!$Q$3:$Q$502*(Scores!$R$3:$R$502+1)))-1)-(5-SUMPRODUCT(MAX((Scores!$A$3:$A$502=$A57)*Scores!$Q$3:$Q$502*(5-Scores!$R$3:$R$502)))))</f>
        <v/>
      </c>
      <c r="D57" s="41">
        <f>IF(OR($A57="",N($B57)&lt;2,Scores!$E$2=0),"",(SUMPRODUCT(MAX((Scores!$A$3:$A$502=$A57)*Scores!$Q$3:$Q$502*(Scores!$S$3:$S$502+1)))-1)-(5-SUMPRODUCT(MAX((Scores!$A$3:$A$502=$A57)*Scores!$Q$3:$Q$502*(5-Scores!$S$3:$S$502)))))</f>
        <v/>
      </c>
      <c r="E57" s="41">
        <f>IF(OR($A57="",N($B57)&lt;2,Scores!$F$2=0),"",(SUMPRODUCT(MAX((Scores!$A$3:$A$502=$A57)*Scores!$Q$3:$Q$502*(Scores!$T$3:$T$502+1)))-1)-(5-SUMPRODUCT(MAX((Scores!$A$3:$A$502=$A57)*Scores!$Q$3:$Q$502*(5-Scores!$T$3:$T$502)))))</f>
        <v/>
      </c>
      <c r="F57" s="41">
        <f>IF(OR($A57="",N($B57)&lt;2,Scores!$G$2=0),"",(SUMPRODUCT(MAX((Scores!$A$3:$A$502=$A57)*Scores!$Q$3:$Q$502*(Scores!$U$3:$U$502+1)))-1)-(5-SUMPRODUCT(MAX((Scores!$A$3:$A$502=$A57)*Scores!$Q$3:$Q$502*(5-Scores!$U$3:$U$502)))))</f>
        <v/>
      </c>
      <c r="G57" s="41">
        <f>IF(OR($A57="",N($B57)&lt;2,Scores!$H$2=0),"",(SUMPRODUCT(MAX((Scores!$A$3:$A$502=$A57)*Scores!$Q$3:$Q$502*(Scores!$V$3:$V$502+1)))-1)-(5-SUMPRODUCT(MAX((Scores!$A$3:$A$502=$A57)*Scores!$Q$3:$Q$502*(5-Scores!$V$3:$V$502)))))</f>
        <v/>
      </c>
      <c r="H57" s="41">
        <f>IF(OR($A57="",N($B57)&lt;2,Scores!$I$2=0),"",(SUMPRODUCT(MAX((Scores!$A$3:$A$502=$A57)*Scores!$Q$3:$Q$502*(Scores!$W$3:$W$502+1)))-1)-(5-SUMPRODUCT(MAX((Scores!$A$3:$A$502=$A57)*Scores!$Q$3:$Q$502*(5-Scores!$W$3:$W$502)))))</f>
        <v/>
      </c>
      <c r="I57" s="41">
        <f>IF(OR($A57="",N($B57)&lt;2,Scores!$J$2=0),"",(SUMPRODUCT(MAX((Scores!$A$3:$A$502=$A57)*Scores!$Q$3:$Q$502*(Scores!$X$3:$X$502+1)))-1)-(5-SUMPRODUCT(MAX((Scores!$A$3:$A$502=$A57)*Scores!$Q$3:$Q$502*(5-Scores!$X$3:$X$502)))))</f>
        <v/>
      </c>
      <c r="J57" s="41">
        <f>IF(OR($A57="",N($B57)&lt;2,Scores!$K$2=0),"",(SUMPRODUCT(MAX((Scores!$A$3:$A$502=$A57)*Scores!$Q$3:$Q$502*(Scores!$Y$3:$Y$502+1)))-1)-(5-SUMPRODUCT(MAX((Scores!$A$3:$A$502=$A57)*Scores!$Q$3:$Q$502*(5-Scores!$Y$3:$Y$502)))))</f>
        <v/>
      </c>
      <c r="K57" s="27">
        <f>IF(COUNT(C57:J57)=0,"",MAX(C57:J57))</f>
        <v/>
      </c>
    </row>
    <row r="58">
      <c r="A58" s="41">
        <f>IF(Applications!$A58="","",Applications!$A58&amp;"")</f>
        <v/>
      </c>
      <c r="B58" s="41">
        <f>IF($A58="","",COUNTIFS(Scores!$A$3:$A$502,$A58,Scores!$O$3:$O$502,"Counted"))</f>
        <v/>
      </c>
      <c r="C58" s="41">
        <f>IF(OR($A58="",N($B58)&lt;2,Scores!$D$2=0),"",(SUMPRODUCT(MAX((Scores!$A$3:$A$502=$A58)*Scores!$Q$3:$Q$502*(Scores!$R$3:$R$502+1)))-1)-(5-SUMPRODUCT(MAX((Scores!$A$3:$A$502=$A58)*Scores!$Q$3:$Q$502*(5-Scores!$R$3:$R$502)))))</f>
        <v/>
      </c>
      <c r="D58" s="41">
        <f>IF(OR($A58="",N($B58)&lt;2,Scores!$E$2=0),"",(SUMPRODUCT(MAX((Scores!$A$3:$A$502=$A58)*Scores!$Q$3:$Q$502*(Scores!$S$3:$S$502+1)))-1)-(5-SUMPRODUCT(MAX((Scores!$A$3:$A$502=$A58)*Scores!$Q$3:$Q$502*(5-Scores!$S$3:$S$502)))))</f>
        <v/>
      </c>
      <c r="E58" s="41">
        <f>IF(OR($A58="",N($B58)&lt;2,Scores!$F$2=0),"",(SUMPRODUCT(MAX((Scores!$A$3:$A$502=$A58)*Scores!$Q$3:$Q$502*(Scores!$T$3:$T$502+1)))-1)-(5-SUMPRODUCT(MAX((Scores!$A$3:$A$502=$A58)*Scores!$Q$3:$Q$502*(5-Scores!$T$3:$T$502)))))</f>
        <v/>
      </c>
      <c r="F58" s="41">
        <f>IF(OR($A58="",N($B58)&lt;2,Scores!$G$2=0),"",(SUMPRODUCT(MAX((Scores!$A$3:$A$502=$A58)*Scores!$Q$3:$Q$502*(Scores!$U$3:$U$502+1)))-1)-(5-SUMPRODUCT(MAX((Scores!$A$3:$A$502=$A58)*Scores!$Q$3:$Q$502*(5-Scores!$U$3:$U$502)))))</f>
        <v/>
      </c>
      <c r="G58" s="41">
        <f>IF(OR($A58="",N($B58)&lt;2,Scores!$H$2=0),"",(SUMPRODUCT(MAX((Scores!$A$3:$A$502=$A58)*Scores!$Q$3:$Q$502*(Scores!$V$3:$V$502+1)))-1)-(5-SUMPRODUCT(MAX((Scores!$A$3:$A$502=$A58)*Scores!$Q$3:$Q$502*(5-Scores!$V$3:$V$502)))))</f>
        <v/>
      </c>
      <c r="H58" s="41">
        <f>IF(OR($A58="",N($B58)&lt;2,Scores!$I$2=0),"",(SUMPRODUCT(MAX((Scores!$A$3:$A$502=$A58)*Scores!$Q$3:$Q$502*(Scores!$W$3:$W$502+1)))-1)-(5-SUMPRODUCT(MAX((Scores!$A$3:$A$502=$A58)*Scores!$Q$3:$Q$502*(5-Scores!$W$3:$W$502)))))</f>
        <v/>
      </c>
      <c r="I58" s="41">
        <f>IF(OR($A58="",N($B58)&lt;2,Scores!$J$2=0),"",(SUMPRODUCT(MAX((Scores!$A$3:$A$502=$A58)*Scores!$Q$3:$Q$502*(Scores!$X$3:$X$502+1)))-1)-(5-SUMPRODUCT(MAX((Scores!$A$3:$A$502=$A58)*Scores!$Q$3:$Q$502*(5-Scores!$X$3:$X$502)))))</f>
        <v/>
      </c>
      <c r="J58" s="41">
        <f>IF(OR($A58="",N($B58)&lt;2,Scores!$K$2=0),"",(SUMPRODUCT(MAX((Scores!$A$3:$A$502=$A58)*Scores!$Q$3:$Q$502*(Scores!$Y$3:$Y$502+1)))-1)-(5-SUMPRODUCT(MAX((Scores!$A$3:$A$502=$A58)*Scores!$Q$3:$Q$502*(5-Scores!$Y$3:$Y$502)))))</f>
        <v/>
      </c>
      <c r="K58" s="27">
        <f>IF(COUNT(C58:J58)=0,"",MAX(C58:J58))</f>
        <v/>
      </c>
    </row>
    <row r="59">
      <c r="A59" s="41">
        <f>IF(Applications!$A59="","",Applications!$A59&amp;"")</f>
        <v/>
      </c>
      <c r="B59" s="41">
        <f>IF($A59="","",COUNTIFS(Scores!$A$3:$A$502,$A59,Scores!$O$3:$O$502,"Counted"))</f>
        <v/>
      </c>
      <c r="C59" s="41">
        <f>IF(OR($A59="",N($B59)&lt;2,Scores!$D$2=0),"",(SUMPRODUCT(MAX((Scores!$A$3:$A$502=$A59)*Scores!$Q$3:$Q$502*(Scores!$R$3:$R$502+1)))-1)-(5-SUMPRODUCT(MAX((Scores!$A$3:$A$502=$A59)*Scores!$Q$3:$Q$502*(5-Scores!$R$3:$R$502)))))</f>
        <v/>
      </c>
      <c r="D59" s="41">
        <f>IF(OR($A59="",N($B59)&lt;2,Scores!$E$2=0),"",(SUMPRODUCT(MAX((Scores!$A$3:$A$502=$A59)*Scores!$Q$3:$Q$502*(Scores!$S$3:$S$502+1)))-1)-(5-SUMPRODUCT(MAX((Scores!$A$3:$A$502=$A59)*Scores!$Q$3:$Q$502*(5-Scores!$S$3:$S$502)))))</f>
        <v/>
      </c>
      <c r="E59" s="41">
        <f>IF(OR($A59="",N($B59)&lt;2,Scores!$F$2=0),"",(SUMPRODUCT(MAX((Scores!$A$3:$A$502=$A59)*Scores!$Q$3:$Q$502*(Scores!$T$3:$T$502+1)))-1)-(5-SUMPRODUCT(MAX((Scores!$A$3:$A$502=$A59)*Scores!$Q$3:$Q$502*(5-Scores!$T$3:$T$502)))))</f>
        <v/>
      </c>
      <c r="F59" s="41">
        <f>IF(OR($A59="",N($B59)&lt;2,Scores!$G$2=0),"",(SUMPRODUCT(MAX((Scores!$A$3:$A$502=$A59)*Scores!$Q$3:$Q$502*(Scores!$U$3:$U$502+1)))-1)-(5-SUMPRODUCT(MAX((Scores!$A$3:$A$502=$A59)*Scores!$Q$3:$Q$502*(5-Scores!$U$3:$U$502)))))</f>
        <v/>
      </c>
      <c r="G59" s="41">
        <f>IF(OR($A59="",N($B59)&lt;2,Scores!$H$2=0),"",(SUMPRODUCT(MAX((Scores!$A$3:$A$502=$A59)*Scores!$Q$3:$Q$502*(Scores!$V$3:$V$502+1)))-1)-(5-SUMPRODUCT(MAX((Scores!$A$3:$A$502=$A59)*Scores!$Q$3:$Q$502*(5-Scores!$V$3:$V$502)))))</f>
        <v/>
      </c>
      <c r="H59" s="41">
        <f>IF(OR($A59="",N($B59)&lt;2,Scores!$I$2=0),"",(SUMPRODUCT(MAX((Scores!$A$3:$A$502=$A59)*Scores!$Q$3:$Q$502*(Scores!$W$3:$W$502+1)))-1)-(5-SUMPRODUCT(MAX((Scores!$A$3:$A$502=$A59)*Scores!$Q$3:$Q$502*(5-Scores!$W$3:$W$502)))))</f>
        <v/>
      </c>
      <c r="I59" s="41">
        <f>IF(OR($A59="",N($B59)&lt;2,Scores!$J$2=0),"",(SUMPRODUCT(MAX((Scores!$A$3:$A$502=$A59)*Scores!$Q$3:$Q$502*(Scores!$X$3:$X$502+1)))-1)-(5-SUMPRODUCT(MAX((Scores!$A$3:$A$502=$A59)*Scores!$Q$3:$Q$502*(5-Scores!$X$3:$X$502)))))</f>
        <v/>
      </c>
      <c r="J59" s="41">
        <f>IF(OR($A59="",N($B59)&lt;2,Scores!$K$2=0),"",(SUMPRODUCT(MAX((Scores!$A$3:$A$502=$A59)*Scores!$Q$3:$Q$502*(Scores!$Y$3:$Y$502+1)))-1)-(5-SUMPRODUCT(MAX((Scores!$A$3:$A$502=$A59)*Scores!$Q$3:$Q$502*(5-Scores!$Y$3:$Y$502)))))</f>
        <v/>
      </c>
      <c r="K59" s="27">
        <f>IF(COUNT(C59:J59)=0,"",MAX(C59:J59))</f>
        <v/>
      </c>
    </row>
    <row r="60">
      <c r="A60" s="41">
        <f>IF(Applications!$A60="","",Applications!$A60&amp;"")</f>
        <v/>
      </c>
      <c r="B60" s="41">
        <f>IF($A60="","",COUNTIFS(Scores!$A$3:$A$502,$A60,Scores!$O$3:$O$502,"Counted"))</f>
        <v/>
      </c>
      <c r="C60" s="41">
        <f>IF(OR($A60="",N($B60)&lt;2,Scores!$D$2=0),"",(SUMPRODUCT(MAX((Scores!$A$3:$A$502=$A60)*Scores!$Q$3:$Q$502*(Scores!$R$3:$R$502+1)))-1)-(5-SUMPRODUCT(MAX((Scores!$A$3:$A$502=$A60)*Scores!$Q$3:$Q$502*(5-Scores!$R$3:$R$502)))))</f>
        <v/>
      </c>
      <c r="D60" s="41">
        <f>IF(OR($A60="",N($B60)&lt;2,Scores!$E$2=0),"",(SUMPRODUCT(MAX((Scores!$A$3:$A$502=$A60)*Scores!$Q$3:$Q$502*(Scores!$S$3:$S$502+1)))-1)-(5-SUMPRODUCT(MAX((Scores!$A$3:$A$502=$A60)*Scores!$Q$3:$Q$502*(5-Scores!$S$3:$S$502)))))</f>
        <v/>
      </c>
      <c r="E60" s="41">
        <f>IF(OR($A60="",N($B60)&lt;2,Scores!$F$2=0),"",(SUMPRODUCT(MAX((Scores!$A$3:$A$502=$A60)*Scores!$Q$3:$Q$502*(Scores!$T$3:$T$502+1)))-1)-(5-SUMPRODUCT(MAX((Scores!$A$3:$A$502=$A60)*Scores!$Q$3:$Q$502*(5-Scores!$T$3:$T$502)))))</f>
        <v/>
      </c>
      <c r="F60" s="41">
        <f>IF(OR($A60="",N($B60)&lt;2,Scores!$G$2=0),"",(SUMPRODUCT(MAX((Scores!$A$3:$A$502=$A60)*Scores!$Q$3:$Q$502*(Scores!$U$3:$U$502+1)))-1)-(5-SUMPRODUCT(MAX((Scores!$A$3:$A$502=$A60)*Scores!$Q$3:$Q$502*(5-Scores!$U$3:$U$502)))))</f>
        <v/>
      </c>
      <c r="G60" s="41">
        <f>IF(OR($A60="",N($B60)&lt;2,Scores!$H$2=0),"",(SUMPRODUCT(MAX((Scores!$A$3:$A$502=$A60)*Scores!$Q$3:$Q$502*(Scores!$V$3:$V$502+1)))-1)-(5-SUMPRODUCT(MAX((Scores!$A$3:$A$502=$A60)*Scores!$Q$3:$Q$502*(5-Scores!$V$3:$V$502)))))</f>
        <v/>
      </c>
      <c r="H60" s="41">
        <f>IF(OR($A60="",N($B60)&lt;2,Scores!$I$2=0),"",(SUMPRODUCT(MAX((Scores!$A$3:$A$502=$A60)*Scores!$Q$3:$Q$502*(Scores!$W$3:$W$502+1)))-1)-(5-SUMPRODUCT(MAX((Scores!$A$3:$A$502=$A60)*Scores!$Q$3:$Q$502*(5-Scores!$W$3:$W$502)))))</f>
        <v/>
      </c>
      <c r="I60" s="41">
        <f>IF(OR($A60="",N($B60)&lt;2,Scores!$J$2=0),"",(SUMPRODUCT(MAX((Scores!$A$3:$A$502=$A60)*Scores!$Q$3:$Q$502*(Scores!$X$3:$X$502+1)))-1)-(5-SUMPRODUCT(MAX((Scores!$A$3:$A$502=$A60)*Scores!$Q$3:$Q$502*(5-Scores!$X$3:$X$502)))))</f>
        <v/>
      </c>
      <c r="J60" s="41">
        <f>IF(OR($A60="",N($B60)&lt;2,Scores!$K$2=0),"",(SUMPRODUCT(MAX((Scores!$A$3:$A$502=$A60)*Scores!$Q$3:$Q$502*(Scores!$Y$3:$Y$502+1)))-1)-(5-SUMPRODUCT(MAX((Scores!$A$3:$A$502=$A60)*Scores!$Q$3:$Q$502*(5-Scores!$Y$3:$Y$502)))))</f>
        <v/>
      </c>
      <c r="K60" s="27">
        <f>IF(COUNT(C60:J60)=0,"",MAX(C60:J60))</f>
        <v/>
      </c>
    </row>
    <row r="61">
      <c r="A61" s="41">
        <f>IF(Applications!$A61="","",Applications!$A61&amp;"")</f>
        <v/>
      </c>
      <c r="B61" s="41">
        <f>IF($A61="","",COUNTIFS(Scores!$A$3:$A$502,$A61,Scores!$O$3:$O$502,"Counted"))</f>
        <v/>
      </c>
      <c r="C61" s="41">
        <f>IF(OR($A61="",N($B61)&lt;2,Scores!$D$2=0),"",(SUMPRODUCT(MAX((Scores!$A$3:$A$502=$A61)*Scores!$Q$3:$Q$502*(Scores!$R$3:$R$502+1)))-1)-(5-SUMPRODUCT(MAX((Scores!$A$3:$A$502=$A61)*Scores!$Q$3:$Q$502*(5-Scores!$R$3:$R$502)))))</f>
        <v/>
      </c>
      <c r="D61" s="41">
        <f>IF(OR($A61="",N($B61)&lt;2,Scores!$E$2=0),"",(SUMPRODUCT(MAX((Scores!$A$3:$A$502=$A61)*Scores!$Q$3:$Q$502*(Scores!$S$3:$S$502+1)))-1)-(5-SUMPRODUCT(MAX((Scores!$A$3:$A$502=$A61)*Scores!$Q$3:$Q$502*(5-Scores!$S$3:$S$502)))))</f>
        <v/>
      </c>
      <c r="E61" s="41">
        <f>IF(OR($A61="",N($B61)&lt;2,Scores!$F$2=0),"",(SUMPRODUCT(MAX((Scores!$A$3:$A$502=$A61)*Scores!$Q$3:$Q$502*(Scores!$T$3:$T$502+1)))-1)-(5-SUMPRODUCT(MAX((Scores!$A$3:$A$502=$A61)*Scores!$Q$3:$Q$502*(5-Scores!$T$3:$T$502)))))</f>
        <v/>
      </c>
      <c r="F61" s="41">
        <f>IF(OR($A61="",N($B61)&lt;2,Scores!$G$2=0),"",(SUMPRODUCT(MAX((Scores!$A$3:$A$502=$A61)*Scores!$Q$3:$Q$502*(Scores!$U$3:$U$502+1)))-1)-(5-SUMPRODUCT(MAX((Scores!$A$3:$A$502=$A61)*Scores!$Q$3:$Q$502*(5-Scores!$U$3:$U$502)))))</f>
        <v/>
      </c>
      <c r="G61" s="41">
        <f>IF(OR($A61="",N($B61)&lt;2,Scores!$H$2=0),"",(SUMPRODUCT(MAX((Scores!$A$3:$A$502=$A61)*Scores!$Q$3:$Q$502*(Scores!$V$3:$V$502+1)))-1)-(5-SUMPRODUCT(MAX((Scores!$A$3:$A$502=$A61)*Scores!$Q$3:$Q$502*(5-Scores!$V$3:$V$502)))))</f>
        <v/>
      </c>
      <c r="H61" s="41">
        <f>IF(OR($A61="",N($B61)&lt;2,Scores!$I$2=0),"",(SUMPRODUCT(MAX((Scores!$A$3:$A$502=$A61)*Scores!$Q$3:$Q$502*(Scores!$W$3:$W$502+1)))-1)-(5-SUMPRODUCT(MAX((Scores!$A$3:$A$502=$A61)*Scores!$Q$3:$Q$502*(5-Scores!$W$3:$W$502)))))</f>
        <v/>
      </c>
      <c r="I61" s="41">
        <f>IF(OR($A61="",N($B61)&lt;2,Scores!$J$2=0),"",(SUMPRODUCT(MAX((Scores!$A$3:$A$502=$A61)*Scores!$Q$3:$Q$502*(Scores!$X$3:$X$502+1)))-1)-(5-SUMPRODUCT(MAX((Scores!$A$3:$A$502=$A61)*Scores!$Q$3:$Q$502*(5-Scores!$X$3:$X$502)))))</f>
        <v/>
      </c>
      <c r="J61" s="41">
        <f>IF(OR($A61="",N($B61)&lt;2,Scores!$K$2=0),"",(SUMPRODUCT(MAX((Scores!$A$3:$A$502=$A61)*Scores!$Q$3:$Q$502*(Scores!$Y$3:$Y$502+1)))-1)-(5-SUMPRODUCT(MAX((Scores!$A$3:$A$502=$A61)*Scores!$Q$3:$Q$502*(5-Scores!$Y$3:$Y$502)))))</f>
        <v/>
      </c>
      <c r="K61" s="27">
        <f>IF(COUNT(C61:J61)=0,"",MAX(C61:J61))</f>
        <v/>
      </c>
    </row>
    <row r="62">
      <c r="A62" s="41">
        <f>IF(Applications!$A62="","",Applications!$A62&amp;"")</f>
        <v/>
      </c>
      <c r="B62" s="41">
        <f>IF($A62="","",COUNTIFS(Scores!$A$3:$A$502,$A62,Scores!$O$3:$O$502,"Counted"))</f>
        <v/>
      </c>
      <c r="C62" s="41">
        <f>IF(OR($A62="",N($B62)&lt;2,Scores!$D$2=0),"",(SUMPRODUCT(MAX((Scores!$A$3:$A$502=$A62)*Scores!$Q$3:$Q$502*(Scores!$R$3:$R$502+1)))-1)-(5-SUMPRODUCT(MAX((Scores!$A$3:$A$502=$A62)*Scores!$Q$3:$Q$502*(5-Scores!$R$3:$R$502)))))</f>
        <v/>
      </c>
      <c r="D62" s="41">
        <f>IF(OR($A62="",N($B62)&lt;2,Scores!$E$2=0),"",(SUMPRODUCT(MAX((Scores!$A$3:$A$502=$A62)*Scores!$Q$3:$Q$502*(Scores!$S$3:$S$502+1)))-1)-(5-SUMPRODUCT(MAX((Scores!$A$3:$A$502=$A62)*Scores!$Q$3:$Q$502*(5-Scores!$S$3:$S$502)))))</f>
        <v/>
      </c>
      <c r="E62" s="41">
        <f>IF(OR($A62="",N($B62)&lt;2,Scores!$F$2=0),"",(SUMPRODUCT(MAX((Scores!$A$3:$A$502=$A62)*Scores!$Q$3:$Q$502*(Scores!$T$3:$T$502+1)))-1)-(5-SUMPRODUCT(MAX((Scores!$A$3:$A$502=$A62)*Scores!$Q$3:$Q$502*(5-Scores!$T$3:$T$502)))))</f>
        <v/>
      </c>
      <c r="F62" s="41">
        <f>IF(OR($A62="",N($B62)&lt;2,Scores!$G$2=0),"",(SUMPRODUCT(MAX((Scores!$A$3:$A$502=$A62)*Scores!$Q$3:$Q$502*(Scores!$U$3:$U$502+1)))-1)-(5-SUMPRODUCT(MAX((Scores!$A$3:$A$502=$A62)*Scores!$Q$3:$Q$502*(5-Scores!$U$3:$U$502)))))</f>
        <v/>
      </c>
      <c r="G62" s="41">
        <f>IF(OR($A62="",N($B62)&lt;2,Scores!$H$2=0),"",(SUMPRODUCT(MAX((Scores!$A$3:$A$502=$A62)*Scores!$Q$3:$Q$502*(Scores!$V$3:$V$502+1)))-1)-(5-SUMPRODUCT(MAX((Scores!$A$3:$A$502=$A62)*Scores!$Q$3:$Q$502*(5-Scores!$V$3:$V$502)))))</f>
        <v/>
      </c>
      <c r="H62" s="41">
        <f>IF(OR($A62="",N($B62)&lt;2,Scores!$I$2=0),"",(SUMPRODUCT(MAX((Scores!$A$3:$A$502=$A62)*Scores!$Q$3:$Q$502*(Scores!$W$3:$W$502+1)))-1)-(5-SUMPRODUCT(MAX((Scores!$A$3:$A$502=$A62)*Scores!$Q$3:$Q$502*(5-Scores!$W$3:$W$502)))))</f>
        <v/>
      </c>
      <c r="I62" s="41">
        <f>IF(OR($A62="",N($B62)&lt;2,Scores!$J$2=0),"",(SUMPRODUCT(MAX((Scores!$A$3:$A$502=$A62)*Scores!$Q$3:$Q$502*(Scores!$X$3:$X$502+1)))-1)-(5-SUMPRODUCT(MAX((Scores!$A$3:$A$502=$A62)*Scores!$Q$3:$Q$502*(5-Scores!$X$3:$X$502)))))</f>
        <v/>
      </c>
      <c r="J62" s="41">
        <f>IF(OR($A62="",N($B62)&lt;2,Scores!$K$2=0),"",(SUMPRODUCT(MAX((Scores!$A$3:$A$502=$A62)*Scores!$Q$3:$Q$502*(Scores!$Y$3:$Y$502+1)))-1)-(5-SUMPRODUCT(MAX((Scores!$A$3:$A$502=$A62)*Scores!$Q$3:$Q$502*(5-Scores!$Y$3:$Y$502)))))</f>
        <v/>
      </c>
      <c r="K62" s="27">
        <f>IF(COUNT(C62:J62)=0,"",MAX(C62:J62))</f>
        <v/>
      </c>
    </row>
    <row r="63">
      <c r="A63" s="41">
        <f>IF(Applications!$A63="","",Applications!$A63&amp;"")</f>
        <v/>
      </c>
      <c r="B63" s="41">
        <f>IF($A63="","",COUNTIFS(Scores!$A$3:$A$502,$A63,Scores!$O$3:$O$502,"Counted"))</f>
        <v/>
      </c>
      <c r="C63" s="41">
        <f>IF(OR($A63="",N($B63)&lt;2,Scores!$D$2=0),"",(SUMPRODUCT(MAX((Scores!$A$3:$A$502=$A63)*Scores!$Q$3:$Q$502*(Scores!$R$3:$R$502+1)))-1)-(5-SUMPRODUCT(MAX((Scores!$A$3:$A$502=$A63)*Scores!$Q$3:$Q$502*(5-Scores!$R$3:$R$502)))))</f>
        <v/>
      </c>
      <c r="D63" s="41">
        <f>IF(OR($A63="",N($B63)&lt;2,Scores!$E$2=0),"",(SUMPRODUCT(MAX((Scores!$A$3:$A$502=$A63)*Scores!$Q$3:$Q$502*(Scores!$S$3:$S$502+1)))-1)-(5-SUMPRODUCT(MAX((Scores!$A$3:$A$502=$A63)*Scores!$Q$3:$Q$502*(5-Scores!$S$3:$S$502)))))</f>
        <v/>
      </c>
      <c r="E63" s="41">
        <f>IF(OR($A63="",N($B63)&lt;2,Scores!$F$2=0),"",(SUMPRODUCT(MAX((Scores!$A$3:$A$502=$A63)*Scores!$Q$3:$Q$502*(Scores!$T$3:$T$502+1)))-1)-(5-SUMPRODUCT(MAX((Scores!$A$3:$A$502=$A63)*Scores!$Q$3:$Q$502*(5-Scores!$T$3:$T$502)))))</f>
        <v/>
      </c>
      <c r="F63" s="41">
        <f>IF(OR($A63="",N($B63)&lt;2,Scores!$G$2=0),"",(SUMPRODUCT(MAX((Scores!$A$3:$A$502=$A63)*Scores!$Q$3:$Q$502*(Scores!$U$3:$U$502+1)))-1)-(5-SUMPRODUCT(MAX((Scores!$A$3:$A$502=$A63)*Scores!$Q$3:$Q$502*(5-Scores!$U$3:$U$502)))))</f>
        <v/>
      </c>
      <c r="G63" s="41">
        <f>IF(OR($A63="",N($B63)&lt;2,Scores!$H$2=0),"",(SUMPRODUCT(MAX((Scores!$A$3:$A$502=$A63)*Scores!$Q$3:$Q$502*(Scores!$V$3:$V$502+1)))-1)-(5-SUMPRODUCT(MAX((Scores!$A$3:$A$502=$A63)*Scores!$Q$3:$Q$502*(5-Scores!$V$3:$V$502)))))</f>
        <v/>
      </c>
      <c r="H63" s="41">
        <f>IF(OR($A63="",N($B63)&lt;2,Scores!$I$2=0),"",(SUMPRODUCT(MAX((Scores!$A$3:$A$502=$A63)*Scores!$Q$3:$Q$502*(Scores!$W$3:$W$502+1)))-1)-(5-SUMPRODUCT(MAX((Scores!$A$3:$A$502=$A63)*Scores!$Q$3:$Q$502*(5-Scores!$W$3:$W$502)))))</f>
        <v/>
      </c>
      <c r="I63" s="41">
        <f>IF(OR($A63="",N($B63)&lt;2,Scores!$J$2=0),"",(SUMPRODUCT(MAX((Scores!$A$3:$A$502=$A63)*Scores!$Q$3:$Q$502*(Scores!$X$3:$X$502+1)))-1)-(5-SUMPRODUCT(MAX((Scores!$A$3:$A$502=$A63)*Scores!$Q$3:$Q$502*(5-Scores!$X$3:$X$502)))))</f>
        <v/>
      </c>
      <c r="J63" s="41">
        <f>IF(OR($A63="",N($B63)&lt;2,Scores!$K$2=0),"",(SUMPRODUCT(MAX((Scores!$A$3:$A$502=$A63)*Scores!$Q$3:$Q$502*(Scores!$Y$3:$Y$502+1)))-1)-(5-SUMPRODUCT(MAX((Scores!$A$3:$A$502=$A63)*Scores!$Q$3:$Q$502*(5-Scores!$Y$3:$Y$502)))))</f>
        <v/>
      </c>
      <c r="K63" s="27">
        <f>IF(COUNT(C63:J63)=0,"",MAX(C63:J63))</f>
        <v/>
      </c>
    </row>
    <row r="64">
      <c r="A64" s="41">
        <f>IF(Applications!$A64="","",Applications!$A64&amp;"")</f>
        <v/>
      </c>
      <c r="B64" s="41">
        <f>IF($A64="","",COUNTIFS(Scores!$A$3:$A$502,$A64,Scores!$O$3:$O$502,"Counted"))</f>
        <v/>
      </c>
      <c r="C64" s="41">
        <f>IF(OR($A64="",N($B64)&lt;2,Scores!$D$2=0),"",(SUMPRODUCT(MAX((Scores!$A$3:$A$502=$A64)*Scores!$Q$3:$Q$502*(Scores!$R$3:$R$502+1)))-1)-(5-SUMPRODUCT(MAX((Scores!$A$3:$A$502=$A64)*Scores!$Q$3:$Q$502*(5-Scores!$R$3:$R$502)))))</f>
        <v/>
      </c>
      <c r="D64" s="41">
        <f>IF(OR($A64="",N($B64)&lt;2,Scores!$E$2=0),"",(SUMPRODUCT(MAX((Scores!$A$3:$A$502=$A64)*Scores!$Q$3:$Q$502*(Scores!$S$3:$S$502+1)))-1)-(5-SUMPRODUCT(MAX((Scores!$A$3:$A$502=$A64)*Scores!$Q$3:$Q$502*(5-Scores!$S$3:$S$502)))))</f>
        <v/>
      </c>
      <c r="E64" s="41">
        <f>IF(OR($A64="",N($B64)&lt;2,Scores!$F$2=0),"",(SUMPRODUCT(MAX((Scores!$A$3:$A$502=$A64)*Scores!$Q$3:$Q$502*(Scores!$T$3:$T$502+1)))-1)-(5-SUMPRODUCT(MAX((Scores!$A$3:$A$502=$A64)*Scores!$Q$3:$Q$502*(5-Scores!$T$3:$T$502)))))</f>
        <v/>
      </c>
      <c r="F64" s="41">
        <f>IF(OR($A64="",N($B64)&lt;2,Scores!$G$2=0),"",(SUMPRODUCT(MAX((Scores!$A$3:$A$502=$A64)*Scores!$Q$3:$Q$502*(Scores!$U$3:$U$502+1)))-1)-(5-SUMPRODUCT(MAX((Scores!$A$3:$A$502=$A64)*Scores!$Q$3:$Q$502*(5-Scores!$U$3:$U$502)))))</f>
        <v/>
      </c>
      <c r="G64" s="41">
        <f>IF(OR($A64="",N($B64)&lt;2,Scores!$H$2=0),"",(SUMPRODUCT(MAX((Scores!$A$3:$A$502=$A64)*Scores!$Q$3:$Q$502*(Scores!$V$3:$V$502+1)))-1)-(5-SUMPRODUCT(MAX((Scores!$A$3:$A$502=$A64)*Scores!$Q$3:$Q$502*(5-Scores!$V$3:$V$502)))))</f>
        <v/>
      </c>
      <c r="H64" s="41">
        <f>IF(OR($A64="",N($B64)&lt;2,Scores!$I$2=0),"",(SUMPRODUCT(MAX((Scores!$A$3:$A$502=$A64)*Scores!$Q$3:$Q$502*(Scores!$W$3:$W$502+1)))-1)-(5-SUMPRODUCT(MAX((Scores!$A$3:$A$502=$A64)*Scores!$Q$3:$Q$502*(5-Scores!$W$3:$W$502)))))</f>
        <v/>
      </c>
      <c r="I64" s="41">
        <f>IF(OR($A64="",N($B64)&lt;2,Scores!$J$2=0),"",(SUMPRODUCT(MAX((Scores!$A$3:$A$502=$A64)*Scores!$Q$3:$Q$502*(Scores!$X$3:$X$502+1)))-1)-(5-SUMPRODUCT(MAX((Scores!$A$3:$A$502=$A64)*Scores!$Q$3:$Q$502*(5-Scores!$X$3:$X$502)))))</f>
        <v/>
      </c>
      <c r="J64" s="41">
        <f>IF(OR($A64="",N($B64)&lt;2,Scores!$K$2=0),"",(SUMPRODUCT(MAX((Scores!$A$3:$A$502=$A64)*Scores!$Q$3:$Q$502*(Scores!$Y$3:$Y$502+1)))-1)-(5-SUMPRODUCT(MAX((Scores!$A$3:$A$502=$A64)*Scores!$Q$3:$Q$502*(5-Scores!$Y$3:$Y$502)))))</f>
        <v/>
      </c>
      <c r="K64" s="27">
        <f>IF(COUNT(C64:J64)=0,"",MAX(C64:J64))</f>
        <v/>
      </c>
    </row>
    <row r="65">
      <c r="A65" s="41">
        <f>IF(Applications!$A65="","",Applications!$A65&amp;"")</f>
        <v/>
      </c>
      <c r="B65" s="41">
        <f>IF($A65="","",COUNTIFS(Scores!$A$3:$A$502,$A65,Scores!$O$3:$O$502,"Counted"))</f>
        <v/>
      </c>
      <c r="C65" s="41">
        <f>IF(OR($A65="",N($B65)&lt;2,Scores!$D$2=0),"",(SUMPRODUCT(MAX((Scores!$A$3:$A$502=$A65)*Scores!$Q$3:$Q$502*(Scores!$R$3:$R$502+1)))-1)-(5-SUMPRODUCT(MAX((Scores!$A$3:$A$502=$A65)*Scores!$Q$3:$Q$502*(5-Scores!$R$3:$R$502)))))</f>
        <v/>
      </c>
      <c r="D65" s="41">
        <f>IF(OR($A65="",N($B65)&lt;2,Scores!$E$2=0),"",(SUMPRODUCT(MAX((Scores!$A$3:$A$502=$A65)*Scores!$Q$3:$Q$502*(Scores!$S$3:$S$502+1)))-1)-(5-SUMPRODUCT(MAX((Scores!$A$3:$A$502=$A65)*Scores!$Q$3:$Q$502*(5-Scores!$S$3:$S$502)))))</f>
        <v/>
      </c>
      <c r="E65" s="41">
        <f>IF(OR($A65="",N($B65)&lt;2,Scores!$F$2=0),"",(SUMPRODUCT(MAX((Scores!$A$3:$A$502=$A65)*Scores!$Q$3:$Q$502*(Scores!$T$3:$T$502+1)))-1)-(5-SUMPRODUCT(MAX((Scores!$A$3:$A$502=$A65)*Scores!$Q$3:$Q$502*(5-Scores!$T$3:$T$502)))))</f>
        <v/>
      </c>
      <c r="F65" s="41">
        <f>IF(OR($A65="",N($B65)&lt;2,Scores!$G$2=0),"",(SUMPRODUCT(MAX((Scores!$A$3:$A$502=$A65)*Scores!$Q$3:$Q$502*(Scores!$U$3:$U$502+1)))-1)-(5-SUMPRODUCT(MAX((Scores!$A$3:$A$502=$A65)*Scores!$Q$3:$Q$502*(5-Scores!$U$3:$U$502)))))</f>
        <v/>
      </c>
      <c r="G65" s="41">
        <f>IF(OR($A65="",N($B65)&lt;2,Scores!$H$2=0),"",(SUMPRODUCT(MAX((Scores!$A$3:$A$502=$A65)*Scores!$Q$3:$Q$502*(Scores!$V$3:$V$502+1)))-1)-(5-SUMPRODUCT(MAX((Scores!$A$3:$A$502=$A65)*Scores!$Q$3:$Q$502*(5-Scores!$V$3:$V$502)))))</f>
        <v/>
      </c>
      <c r="H65" s="41">
        <f>IF(OR($A65="",N($B65)&lt;2,Scores!$I$2=0),"",(SUMPRODUCT(MAX((Scores!$A$3:$A$502=$A65)*Scores!$Q$3:$Q$502*(Scores!$W$3:$W$502+1)))-1)-(5-SUMPRODUCT(MAX((Scores!$A$3:$A$502=$A65)*Scores!$Q$3:$Q$502*(5-Scores!$W$3:$W$502)))))</f>
        <v/>
      </c>
      <c r="I65" s="41">
        <f>IF(OR($A65="",N($B65)&lt;2,Scores!$J$2=0),"",(SUMPRODUCT(MAX((Scores!$A$3:$A$502=$A65)*Scores!$Q$3:$Q$502*(Scores!$X$3:$X$502+1)))-1)-(5-SUMPRODUCT(MAX((Scores!$A$3:$A$502=$A65)*Scores!$Q$3:$Q$502*(5-Scores!$X$3:$X$502)))))</f>
        <v/>
      </c>
      <c r="J65" s="41">
        <f>IF(OR($A65="",N($B65)&lt;2,Scores!$K$2=0),"",(SUMPRODUCT(MAX((Scores!$A$3:$A$502=$A65)*Scores!$Q$3:$Q$502*(Scores!$Y$3:$Y$502+1)))-1)-(5-SUMPRODUCT(MAX((Scores!$A$3:$A$502=$A65)*Scores!$Q$3:$Q$502*(5-Scores!$Y$3:$Y$502)))))</f>
        <v/>
      </c>
      <c r="K65" s="27">
        <f>IF(COUNT(C65:J65)=0,"",MAX(C65:J65))</f>
        <v/>
      </c>
    </row>
    <row r="66">
      <c r="A66" s="41">
        <f>IF(Applications!$A66="","",Applications!$A66&amp;"")</f>
        <v/>
      </c>
      <c r="B66" s="41">
        <f>IF($A66="","",COUNTIFS(Scores!$A$3:$A$502,$A66,Scores!$O$3:$O$502,"Counted"))</f>
        <v/>
      </c>
      <c r="C66" s="41">
        <f>IF(OR($A66="",N($B66)&lt;2,Scores!$D$2=0),"",(SUMPRODUCT(MAX((Scores!$A$3:$A$502=$A66)*Scores!$Q$3:$Q$502*(Scores!$R$3:$R$502+1)))-1)-(5-SUMPRODUCT(MAX((Scores!$A$3:$A$502=$A66)*Scores!$Q$3:$Q$502*(5-Scores!$R$3:$R$502)))))</f>
        <v/>
      </c>
      <c r="D66" s="41">
        <f>IF(OR($A66="",N($B66)&lt;2,Scores!$E$2=0),"",(SUMPRODUCT(MAX((Scores!$A$3:$A$502=$A66)*Scores!$Q$3:$Q$502*(Scores!$S$3:$S$502+1)))-1)-(5-SUMPRODUCT(MAX((Scores!$A$3:$A$502=$A66)*Scores!$Q$3:$Q$502*(5-Scores!$S$3:$S$502)))))</f>
        <v/>
      </c>
      <c r="E66" s="41">
        <f>IF(OR($A66="",N($B66)&lt;2,Scores!$F$2=0),"",(SUMPRODUCT(MAX((Scores!$A$3:$A$502=$A66)*Scores!$Q$3:$Q$502*(Scores!$T$3:$T$502+1)))-1)-(5-SUMPRODUCT(MAX((Scores!$A$3:$A$502=$A66)*Scores!$Q$3:$Q$502*(5-Scores!$T$3:$T$502)))))</f>
        <v/>
      </c>
      <c r="F66" s="41">
        <f>IF(OR($A66="",N($B66)&lt;2,Scores!$G$2=0),"",(SUMPRODUCT(MAX((Scores!$A$3:$A$502=$A66)*Scores!$Q$3:$Q$502*(Scores!$U$3:$U$502+1)))-1)-(5-SUMPRODUCT(MAX((Scores!$A$3:$A$502=$A66)*Scores!$Q$3:$Q$502*(5-Scores!$U$3:$U$502)))))</f>
        <v/>
      </c>
      <c r="G66" s="41">
        <f>IF(OR($A66="",N($B66)&lt;2,Scores!$H$2=0),"",(SUMPRODUCT(MAX((Scores!$A$3:$A$502=$A66)*Scores!$Q$3:$Q$502*(Scores!$V$3:$V$502+1)))-1)-(5-SUMPRODUCT(MAX((Scores!$A$3:$A$502=$A66)*Scores!$Q$3:$Q$502*(5-Scores!$V$3:$V$502)))))</f>
        <v/>
      </c>
      <c r="H66" s="41">
        <f>IF(OR($A66="",N($B66)&lt;2,Scores!$I$2=0),"",(SUMPRODUCT(MAX((Scores!$A$3:$A$502=$A66)*Scores!$Q$3:$Q$502*(Scores!$W$3:$W$502+1)))-1)-(5-SUMPRODUCT(MAX((Scores!$A$3:$A$502=$A66)*Scores!$Q$3:$Q$502*(5-Scores!$W$3:$W$502)))))</f>
        <v/>
      </c>
      <c r="I66" s="41">
        <f>IF(OR($A66="",N($B66)&lt;2,Scores!$J$2=0),"",(SUMPRODUCT(MAX((Scores!$A$3:$A$502=$A66)*Scores!$Q$3:$Q$502*(Scores!$X$3:$X$502+1)))-1)-(5-SUMPRODUCT(MAX((Scores!$A$3:$A$502=$A66)*Scores!$Q$3:$Q$502*(5-Scores!$X$3:$X$502)))))</f>
        <v/>
      </c>
      <c r="J66" s="41">
        <f>IF(OR($A66="",N($B66)&lt;2,Scores!$K$2=0),"",(SUMPRODUCT(MAX((Scores!$A$3:$A$502=$A66)*Scores!$Q$3:$Q$502*(Scores!$Y$3:$Y$502+1)))-1)-(5-SUMPRODUCT(MAX((Scores!$A$3:$A$502=$A66)*Scores!$Q$3:$Q$502*(5-Scores!$Y$3:$Y$502)))))</f>
        <v/>
      </c>
      <c r="K66" s="27">
        <f>IF(COUNT(C66:J66)=0,"",MAX(C66:J66))</f>
        <v/>
      </c>
    </row>
    <row r="67">
      <c r="A67" s="41">
        <f>IF(Applications!$A67="","",Applications!$A67&amp;"")</f>
        <v/>
      </c>
      <c r="B67" s="41">
        <f>IF($A67="","",COUNTIFS(Scores!$A$3:$A$502,$A67,Scores!$O$3:$O$502,"Counted"))</f>
        <v/>
      </c>
      <c r="C67" s="41">
        <f>IF(OR($A67="",N($B67)&lt;2,Scores!$D$2=0),"",(SUMPRODUCT(MAX((Scores!$A$3:$A$502=$A67)*Scores!$Q$3:$Q$502*(Scores!$R$3:$R$502+1)))-1)-(5-SUMPRODUCT(MAX((Scores!$A$3:$A$502=$A67)*Scores!$Q$3:$Q$502*(5-Scores!$R$3:$R$502)))))</f>
        <v/>
      </c>
      <c r="D67" s="41">
        <f>IF(OR($A67="",N($B67)&lt;2,Scores!$E$2=0),"",(SUMPRODUCT(MAX((Scores!$A$3:$A$502=$A67)*Scores!$Q$3:$Q$502*(Scores!$S$3:$S$502+1)))-1)-(5-SUMPRODUCT(MAX((Scores!$A$3:$A$502=$A67)*Scores!$Q$3:$Q$502*(5-Scores!$S$3:$S$502)))))</f>
        <v/>
      </c>
      <c r="E67" s="41">
        <f>IF(OR($A67="",N($B67)&lt;2,Scores!$F$2=0),"",(SUMPRODUCT(MAX((Scores!$A$3:$A$502=$A67)*Scores!$Q$3:$Q$502*(Scores!$T$3:$T$502+1)))-1)-(5-SUMPRODUCT(MAX((Scores!$A$3:$A$502=$A67)*Scores!$Q$3:$Q$502*(5-Scores!$T$3:$T$502)))))</f>
        <v/>
      </c>
      <c r="F67" s="41">
        <f>IF(OR($A67="",N($B67)&lt;2,Scores!$G$2=0),"",(SUMPRODUCT(MAX((Scores!$A$3:$A$502=$A67)*Scores!$Q$3:$Q$502*(Scores!$U$3:$U$502+1)))-1)-(5-SUMPRODUCT(MAX((Scores!$A$3:$A$502=$A67)*Scores!$Q$3:$Q$502*(5-Scores!$U$3:$U$502)))))</f>
        <v/>
      </c>
      <c r="G67" s="41">
        <f>IF(OR($A67="",N($B67)&lt;2,Scores!$H$2=0),"",(SUMPRODUCT(MAX((Scores!$A$3:$A$502=$A67)*Scores!$Q$3:$Q$502*(Scores!$V$3:$V$502+1)))-1)-(5-SUMPRODUCT(MAX((Scores!$A$3:$A$502=$A67)*Scores!$Q$3:$Q$502*(5-Scores!$V$3:$V$502)))))</f>
        <v/>
      </c>
      <c r="H67" s="41">
        <f>IF(OR($A67="",N($B67)&lt;2,Scores!$I$2=0),"",(SUMPRODUCT(MAX((Scores!$A$3:$A$502=$A67)*Scores!$Q$3:$Q$502*(Scores!$W$3:$W$502+1)))-1)-(5-SUMPRODUCT(MAX((Scores!$A$3:$A$502=$A67)*Scores!$Q$3:$Q$502*(5-Scores!$W$3:$W$502)))))</f>
        <v/>
      </c>
      <c r="I67" s="41">
        <f>IF(OR($A67="",N($B67)&lt;2,Scores!$J$2=0),"",(SUMPRODUCT(MAX((Scores!$A$3:$A$502=$A67)*Scores!$Q$3:$Q$502*(Scores!$X$3:$X$502+1)))-1)-(5-SUMPRODUCT(MAX((Scores!$A$3:$A$502=$A67)*Scores!$Q$3:$Q$502*(5-Scores!$X$3:$X$502)))))</f>
        <v/>
      </c>
      <c r="J67" s="41">
        <f>IF(OR($A67="",N($B67)&lt;2,Scores!$K$2=0),"",(SUMPRODUCT(MAX((Scores!$A$3:$A$502=$A67)*Scores!$Q$3:$Q$502*(Scores!$Y$3:$Y$502+1)))-1)-(5-SUMPRODUCT(MAX((Scores!$A$3:$A$502=$A67)*Scores!$Q$3:$Q$502*(5-Scores!$Y$3:$Y$502)))))</f>
        <v/>
      </c>
      <c r="K67" s="27">
        <f>IF(COUNT(C67:J67)=0,"",MAX(C67:J67))</f>
        <v/>
      </c>
    </row>
    <row r="68">
      <c r="A68" s="41">
        <f>IF(Applications!$A68="","",Applications!$A68&amp;"")</f>
        <v/>
      </c>
      <c r="B68" s="41">
        <f>IF($A68="","",COUNTIFS(Scores!$A$3:$A$502,$A68,Scores!$O$3:$O$502,"Counted"))</f>
        <v/>
      </c>
      <c r="C68" s="41">
        <f>IF(OR($A68="",N($B68)&lt;2,Scores!$D$2=0),"",(SUMPRODUCT(MAX((Scores!$A$3:$A$502=$A68)*Scores!$Q$3:$Q$502*(Scores!$R$3:$R$502+1)))-1)-(5-SUMPRODUCT(MAX((Scores!$A$3:$A$502=$A68)*Scores!$Q$3:$Q$502*(5-Scores!$R$3:$R$502)))))</f>
        <v/>
      </c>
      <c r="D68" s="41">
        <f>IF(OR($A68="",N($B68)&lt;2,Scores!$E$2=0),"",(SUMPRODUCT(MAX((Scores!$A$3:$A$502=$A68)*Scores!$Q$3:$Q$502*(Scores!$S$3:$S$502+1)))-1)-(5-SUMPRODUCT(MAX((Scores!$A$3:$A$502=$A68)*Scores!$Q$3:$Q$502*(5-Scores!$S$3:$S$502)))))</f>
        <v/>
      </c>
      <c r="E68" s="41">
        <f>IF(OR($A68="",N($B68)&lt;2,Scores!$F$2=0),"",(SUMPRODUCT(MAX((Scores!$A$3:$A$502=$A68)*Scores!$Q$3:$Q$502*(Scores!$T$3:$T$502+1)))-1)-(5-SUMPRODUCT(MAX((Scores!$A$3:$A$502=$A68)*Scores!$Q$3:$Q$502*(5-Scores!$T$3:$T$502)))))</f>
        <v/>
      </c>
      <c r="F68" s="41">
        <f>IF(OR($A68="",N($B68)&lt;2,Scores!$G$2=0),"",(SUMPRODUCT(MAX((Scores!$A$3:$A$502=$A68)*Scores!$Q$3:$Q$502*(Scores!$U$3:$U$502+1)))-1)-(5-SUMPRODUCT(MAX((Scores!$A$3:$A$502=$A68)*Scores!$Q$3:$Q$502*(5-Scores!$U$3:$U$502)))))</f>
        <v/>
      </c>
      <c r="G68" s="41">
        <f>IF(OR($A68="",N($B68)&lt;2,Scores!$H$2=0),"",(SUMPRODUCT(MAX((Scores!$A$3:$A$502=$A68)*Scores!$Q$3:$Q$502*(Scores!$V$3:$V$502+1)))-1)-(5-SUMPRODUCT(MAX((Scores!$A$3:$A$502=$A68)*Scores!$Q$3:$Q$502*(5-Scores!$V$3:$V$502)))))</f>
        <v/>
      </c>
      <c r="H68" s="41">
        <f>IF(OR($A68="",N($B68)&lt;2,Scores!$I$2=0),"",(SUMPRODUCT(MAX((Scores!$A$3:$A$502=$A68)*Scores!$Q$3:$Q$502*(Scores!$W$3:$W$502+1)))-1)-(5-SUMPRODUCT(MAX((Scores!$A$3:$A$502=$A68)*Scores!$Q$3:$Q$502*(5-Scores!$W$3:$W$502)))))</f>
        <v/>
      </c>
      <c r="I68" s="41">
        <f>IF(OR($A68="",N($B68)&lt;2,Scores!$J$2=0),"",(SUMPRODUCT(MAX((Scores!$A$3:$A$502=$A68)*Scores!$Q$3:$Q$502*(Scores!$X$3:$X$502+1)))-1)-(5-SUMPRODUCT(MAX((Scores!$A$3:$A$502=$A68)*Scores!$Q$3:$Q$502*(5-Scores!$X$3:$X$502)))))</f>
        <v/>
      </c>
      <c r="J68" s="41">
        <f>IF(OR($A68="",N($B68)&lt;2,Scores!$K$2=0),"",(SUMPRODUCT(MAX((Scores!$A$3:$A$502=$A68)*Scores!$Q$3:$Q$502*(Scores!$Y$3:$Y$502+1)))-1)-(5-SUMPRODUCT(MAX((Scores!$A$3:$A$502=$A68)*Scores!$Q$3:$Q$502*(5-Scores!$Y$3:$Y$502)))))</f>
        <v/>
      </c>
      <c r="K68" s="27">
        <f>IF(COUNT(C68:J68)=0,"",MAX(C68:J68))</f>
        <v/>
      </c>
    </row>
    <row r="69">
      <c r="A69" s="41">
        <f>IF(Applications!$A69="","",Applications!$A69&amp;"")</f>
        <v/>
      </c>
      <c r="B69" s="41">
        <f>IF($A69="","",COUNTIFS(Scores!$A$3:$A$502,$A69,Scores!$O$3:$O$502,"Counted"))</f>
        <v/>
      </c>
      <c r="C69" s="41">
        <f>IF(OR($A69="",N($B69)&lt;2,Scores!$D$2=0),"",(SUMPRODUCT(MAX((Scores!$A$3:$A$502=$A69)*Scores!$Q$3:$Q$502*(Scores!$R$3:$R$502+1)))-1)-(5-SUMPRODUCT(MAX((Scores!$A$3:$A$502=$A69)*Scores!$Q$3:$Q$502*(5-Scores!$R$3:$R$502)))))</f>
        <v/>
      </c>
      <c r="D69" s="41">
        <f>IF(OR($A69="",N($B69)&lt;2,Scores!$E$2=0),"",(SUMPRODUCT(MAX((Scores!$A$3:$A$502=$A69)*Scores!$Q$3:$Q$502*(Scores!$S$3:$S$502+1)))-1)-(5-SUMPRODUCT(MAX((Scores!$A$3:$A$502=$A69)*Scores!$Q$3:$Q$502*(5-Scores!$S$3:$S$502)))))</f>
        <v/>
      </c>
      <c r="E69" s="41">
        <f>IF(OR($A69="",N($B69)&lt;2,Scores!$F$2=0),"",(SUMPRODUCT(MAX((Scores!$A$3:$A$502=$A69)*Scores!$Q$3:$Q$502*(Scores!$T$3:$T$502+1)))-1)-(5-SUMPRODUCT(MAX((Scores!$A$3:$A$502=$A69)*Scores!$Q$3:$Q$502*(5-Scores!$T$3:$T$502)))))</f>
        <v/>
      </c>
      <c r="F69" s="41">
        <f>IF(OR($A69="",N($B69)&lt;2,Scores!$G$2=0),"",(SUMPRODUCT(MAX((Scores!$A$3:$A$502=$A69)*Scores!$Q$3:$Q$502*(Scores!$U$3:$U$502+1)))-1)-(5-SUMPRODUCT(MAX((Scores!$A$3:$A$502=$A69)*Scores!$Q$3:$Q$502*(5-Scores!$U$3:$U$502)))))</f>
        <v/>
      </c>
      <c r="G69" s="41">
        <f>IF(OR($A69="",N($B69)&lt;2,Scores!$H$2=0),"",(SUMPRODUCT(MAX((Scores!$A$3:$A$502=$A69)*Scores!$Q$3:$Q$502*(Scores!$V$3:$V$502+1)))-1)-(5-SUMPRODUCT(MAX((Scores!$A$3:$A$502=$A69)*Scores!$Q$3:$Q$502*(5-Scores!$V$3:$V$502)))))</f>
        <v/>
      </c>
      <c r="H69" s="41">
        <f>IF(OR($A69="",N($B69)&lt;2,Scores!$I$2=0),"",(SUMPRODUCT(MAX((Scores!$A$3:$A$502=$A69)*Scores!$Q$3:$Q$502*(Scores!$W$3:$W$502+1)))-1)-(5-SUMPRODUCT(MAX((Scores!$A$3:$A$502=$A69)*Scores!$Q$3:$Q$502*(5-Scores!$W$3:$W$502)))))</f>
        <v/>
      </c>
      <c r="I69" s="41">
        <f>IF(OR($A69="",N($B69)&lt;2,Scores!$J$2=0),"",(SUMPRODUCT(MAX((Scores!$A$3:$A$502=$A69)*Scores!$Q$3:$Q$502*(Scores!$X$3:$X$502+1)))-1)-(5-SUMPRODUCT(MAX((Scores!$A$3:$A$502=$A69)*Scores!$Q$3:$Q$502*(5-Scores!$X$3:$X$502)))))</f>
        <v/>
      </c>
      <c r="J69" s="41">
        <f>IF(OR($A69="",N($B69)&lt;2,Scores!$K$2=0),"",(SUMPRODUCT(MAX((Scores!$A$3:$A$502=$A69)*Scores!$Q$3:$Q$502*(Scores!$Y$3:$Y$502+1)))-1)-(5-SUMPRODUCT(MAX((Scores!$A$3:$A$502=$A69)*Scores!$Q$3:$Q$502*(5-Scores!$Y$3:$Y$502)))))</f>
        <v/>
      </c>
      <c r="K69" s="27">
        <f>IF(COUNT(C69:J69)=0,"",MAX(C69:J69))</f>
        <v/>
      </c>
    </row>
    <row r="70">
      <c r="A70" s="41">
        <f>IF(Applications!$A70="","",Applications!$A70&amp;"")</f>
        <v/>
      </c>
      <c r="B70" s="41">
        <f>IF($A70="","",COUNTIFS(Scores!$A$3:$A$502,$A70,Scores!$O$3:$O$502,"Counted"))</f>
        <v/>
      </c>
      <c r="C70" s="41">
        <f>IF(OR($A70="",N($B70)&lt;2,Scores!$D$2=0),"",(SUMPRODUCT(MAX((Scores!$A$3:$A$502=$A70)*Scores!$Q$3:$Q$502*(Scores!$R$3:$R$502+1)))-1)-(5-SUMPRODUCT(MAX((Scores!$A$3:$A$502=$A70)*Scores!$Q$3:$Q$502*(5-Scores!$R$3:$R$502)))))</f>
        <v/>
      </c>
      <c r="D70" s="41">
        <f>IF(OR($A70="",N($B70)&lt;2,Scores!$E$2=0),"",(SUMPRODUCT(MAX((Scores!$A$3:$A$502=$A70)*Scores!$Q$3:$Q$502*(Scores!$S$3:$S$502+1)))-1)-(5-SUMPRODUCT(MAX((Scores!$A$3:$A$502=$A70)*Scores!$Q$3:$Q$502*(5-Scores!$S$3:$S$502)))))</f>
        <v/>
      </c>
      <c r="E70" s="41">
        <f>IF(OR($A70="",N($B70)&lt;2,Scores!$F$2=0),"",(SUMPRODUCT(MAX((Scores!$A$3:$A$502=$A70)*Scores!$Q$3:$Q$502*(Scores!$T$3:$T$502+1)))-1)-(5-SUMPRODUCT(MAX((Scores!$A$3:$A$502=$A70)*Scores!$Q$3:$Q$502*(5-Scores!$T$3:$T$502)))))</f>
        <v/>
      </c>
      <c r="F70" s="41">
        <f>IF(OR($A70="",N($B70)&lt;2,Scores!$G$2=0),"",(SUMPRODUCT(MAX((Scores!$A$3:$A$502=$A70)*Scores!$Q$3:$Q$502*(Scores!$U$3:$U$502+1)))-1)-(5-SUMPRODUCT(MAX((Scores!$A$3:$A$502=$A70)*Scores!$Q$3:$Q$502*(5-Scores!$U$3:$U$502)))))</f>
        <v/>
      </c>
      <c r="G70" s="41">
        <f>IF(OR($A70="",N($B70)&lt;2,Scores!$H$2=0),"",(SUMPRODUCT(MAX((Scores!$A$3:$A$502=$A70)*Scores!$Q$3:$Q$502*(Scores!$V$3:$V$502+1)))-1)-(5-SUMPRODUCT(MAX((Scores!$A$3:$A$502=$A70)*Scores!$Q$3:$Q$502*(5-Scores!$V$3:$V$502)))))</f>
        <v/>
      </c>
      <c r="H70" s="41">
        <f>IF(OR($A70="",N($B70)&lt;2,Scores!$I$2=0),"",(SUMPRODUCT(MAX((Scores!$A$3:$A$502=$A70)*Scores!$Q$3:$Q$502*(Scores!$W$3:$W$502+1)))-1)-(5-SUMPRODUCT(MAX((Scores!$A$3:$A$502=$A70)*Scores!$Q$3:$Q$502*(5-Scores!$W$3:$W$502)))))</f>
        <v/>
      </c>
      <c r="I70" s="41">
        <f>IF(OR($A70="",N($B70)&lt;2,Scores!$J$2=0),"",(SUMPRODUCT(MAX((Scores!$A$3:$A$502=$A70)*Scores!$Q$3:$Q$502*(Scores!$X$3:$X$502+1)))-1)-(5-SUMPRODUCT(MAX((Scores!$A$3:$A$502=$A70)*Scores!$Q$3:$Q$502*(5-Scores!$X$3:$X$502)))))</f>
        <v/>
      </c>
      <c r="J70" s="41">
        <f>IF(OR($A70="",N($B70)&lt;2,Scores!$K$2=0),"",(SUMPRODUCT(MAX((Scores!$A$3:$A$502=$A70)*Scores!$Q$3:$Q$502*(Scores!$Y$3:$Y$502+1)))-1)-(5-SUMPRODUCT(MAX((Scores!$A$3:$A$502=$A70)*Scores!$Q$3:$Q$502*(5-Scores!$Y$3:$Y$502)))))</f>
        <v/>
      </c>
      <c r="K70" s="27">
        <f>IF(COUNT(C70:J70)=0,"",MAX(C70:J70))</f>
        <v/>
      </c>
    </row>
    <row r="71">
      <c r="A71" s="41">
        <f>IF(Applications!$A71="","",Applications!$A71&amp;"")</f>
        <v/>
      </c>
      <c r="B71" s="41">
        <f>IF($A71="","",COUNTIFS(Scores!$A$3:$A$502,$A71,Scores!$O$3:$O$502,"Counted"))</f>
        <v/>
      </c>
      <c r="C71" s="41">
        <f>IF(OR($A71="",N($B71)&lt;2,Scores!$D$2=0),"",(SUMPRODUCT(MAX((Scores!$A$3:$A$502=$A71)*Scores!$Q$3:$Q$502*(Scores!$R$3:$R$502+1)))-1)-(5-SUMPRODUCT(MAX((Scores!$A$3:$A$502=$A71)*Scores!$Q$3:$Q$502*(5-Scores!$R$3:$R$502)))))</f>
        <v/>
      </c>
      <c r="D71" s="41">
        <f>IF(OR($A71="",N($B71)&lt;2,Scores!$E$2=0),"",(SUMPRODUCT(MAX((Scores!$A$3:$A$502=$A71)*Scores!$Q$3:$Q$502*(Scores!$S$3:$S$502+1)))-1)-(5-SUMPRODUCT(MAX((Scores!$A$3:$A$502=$A71)*Scores!$Q$3:$Q$502*(5-Scores!$S$3:$S$502)))))</f>
        <v/>
      </c>
      <c r="E71" s="41">
        <f>IF(OR($A71="",N($B71)&lt;2,Scores!$F$2=0),"",(SUMPRODUCT(MAX((Scores!$A$3:$A$502=$A71)*Scores!$Q$3:$Q$502*(Scores!$T$3:$T$502+1)))-1)-(5-SUMPRODUCT(MAX((Scores!$A$3:$A$502=$A71)*Scores!$Q$3:$Q$502*(5-Scores!$T$3:$T$502)))))</f>
        <v/>
      </c>
      <c r="F71" s="41">
        <f>IF(OR($A71="",N($B71)&lt;2,Scores!$G$2=0),"",(SUMPRODUCT(MAX((Scores!$A$3:$A$502=$A71)*Scores!$Q$3:$Q$502*(Scores!$U$3:$U$502+1)))-1)-(5-SUMPRODUCT(MAX((Scores!$A$3:$A$502=$A71)*Scores!$Q$3:$Q$502*(5-Scores!$U$3:$U$502)))))</f>
        <v/>
      </c>
      <c r="G71" s="41">
        <f>IF(OR($A71="",N($B71)&lt;2,Scores!$H$2=0),"",(SUMPRODUCT(MAX((Scores!$A$3:$A$502=$A71)*Scores!$Q$3:$Q$502*(Scores!$V$3:$V$502+1)))-1)-(5-SUMPRODUCT(MAX((Scores!$A$3:$A$502=$A71)*Scores!$Q$3:$Q$502*(5-Scores!$V$3:$V$502)))))</f>
        <v/>
      </c>
      <c r="H71" s="41">
        <f>IF(OR($A71="",N($B71)&lt;2,Scores!$I$2=0),"",(SUMPRODUCT(MAX((Scores!$A$3:$A$502=$A71)*Scores!$Q$3:$Q$502*(Scores!$W$3:$W$502+1)))-1)-(5-SUMPRODUCT(MAX((Scores!$A$3:$A$502=$A71)*Scores!$Q$3:$Q$502*(5-Scores!$W$3:$W$502)))))</f>
        <v/>
      </c>
      <c r="I71" s="41">
        <f>IF(OR($A71="",N($B71)&lt;2,Scores!$J$2=0),"",(SUMPRODUCT(MAX((Scores!$A$3:$A$502=$A71)*Scores!$Q$3:$Q$502*(Scores!$X$3:$X$502+1)))-1)-(5-SUMPRODUCT(MAX((Scores!$A$3:$A$502=$A71)*Scores!$Q$3:$Q$502*(5-Scores!$X$3:$X$502)))))</f>
        <v/>
      </c>
      <c r="J71" s="41">
        <f>IF(OR($A71="",N($B71)&lt;2,Scores!$K$2=0),"",(SUMPRODUCT(MAX((Scores!$A$3:$A$502=$A71)*Scores!$Q$3:$Q$502*(Scores!$Y$3:$Y$502+1)))-1)-(5-SUMPRODUCT(MAX((Scores!$A$3:$A$502=$A71)*Scores!$Q$3:$Q$502*(5-Scores!$Y$3:$Y$502)))))</f>
        <v/>
      </c>
      <c r="K71" s="27">
        <f>IF(COUNT(C71:J71)=0,"",MAX(C71:J71))</f>
        <v/>
      </c>
    </row>
    <row r="72">
      <c r="A72" s="41">
        <f>IF(Applications!$A72="","",Applications!$A72&amp;"")</f>
        <v/>
      </c>
      <c r="B72" s="41">
        <f>IF($A72="","",COUNTIFS(Scores!$A$3:$A$502,$A72,Scores!$O$3:$O$502,"Counted"))</f>
        <v/>
      </c>
      <c r="C72" s="41">
        <f>IF(OR($A72="",N($B72)&lt;2,Scores!$D$2=0),"",(SUMPRODUCT(MAX((Scores!$A$3:$A$502=$A72)*Scores!$Q$3:$Q$502*(Scores!$R$3:$R$502+1)))-1)-(5-SUMPRODUCT(MAX((Scores!$A$3:$A$502=$A72)*Scores!$Q$3:$Q$502*(5-Scores!$R$3:$R$502)))))</f>
        <v/>
      </c>
      <c r="D72" s="41">
        <f>IF(OR($A72="",N($B72)&lt;2,Scores!$E$2=0),"",(SUMPRODUCT(MAX((Scores!$A$3:$A$502=$A72)*Scores!$Q$3:$Q$502*(Scores!$S$3:$S$502+1)))-1)-(5-SUMPRODUCT(MAX((Scores!$A$3:$A$502=$A72)*Scores!$Q$3:$Q$502*(5-Scores!$S$3:$S$502)))))</f>
        <v/>
      </c>
      <c r="E72" s="41">
        <f>IF(OR($A72="",N($B72)&lt;2,Scores!$F$2=0),"",(SUMPRODUCT(MAX((Scores!$A$3:$A$502=$A72)*Scores!$Q$3:$Q$502*(Scores!$T$3:$T$502+1)))-1)-(5-SUMPRODUCT(MAX((Scores!$A$3:$A$502=$A72)*Scores!$Q$3:$Q$502*(5-Scores!$T$3:$T$502)))))</f>
        <v/>
      </c>
      <c r="F72" s="41">
        <f>IF(OR($A72="",N($B72)&lt;2,Scores!$G$2=0),"",(SUMPRODUCT(MAX((Scores!$A$3:$A$502=$A72)*Scores!$Q$3:$Q$502*(Scores!$U$3:$U$502+1)))-1)-(5-SUMPRODUCT(MAX((Scores!$A$3:$A$502=$A72)*Scores!$Q$3:$Q$502*(5-Scores!$U$3:$U$502)))))</f>
        <v/>
      </c>
      <c r="G72" s="41">
        <f>IF(OR($A72="",N($B72)&lt;2,Scores!$H$2=0),"",(SUMPRODUCT(MAX((Scores!$A$3:$A$502=$A72)*Scores!$Q$3:$Q$502*(Scores!$V$3:$V$502+1)))-1)-(5-SUMPRODUCT(MAX((Scores!$A$3:$A$502=$A72)*Scores!$Q$3:$Q$502*(5-Scores!$V$3:$V$502)))))</f>
        <v/>
      </c>
      <c r="H72" s="41">
        <f>IF(OR($A72="",N($B72)&lt;2,Scores!$I$2=0),"",(SUMPRODUCT(MAX((Scores!$A$3:$A$502=$A72)*Scores!$Q$3:$Q$502*(Scores!$W$3:$W$502+1)))-1)-(5-SUMPRODUCT(MAX((Scores!$A$3:$A$502=$A72)*Scores!$Q$3:$Q$502*(5-Scores!$W$3:$W$502)))))</f>
        <v/>
      </c>
      <c r="I72" s="41">
        <f>IF(OR($A72="",N($B72)&lt;2,Scores!$J$2=0),"",(SUMPRODUCT(MAX((Scores!$A$3:$A$502=$A72)*Scores!$Q$3:$Q$502*(Scores!$X$3:$X$502+1)))-1)-(5-SUMPRODUCT(MAX((Scores!$A$3:$A$502=$A72)*Scores!$Q$3:$Q$502*(5-Scores!$X$3:$X$502)))))</f>
        <v/>
      </c>
      <c r="J72" s="41">
        <f>IF(OR($A72="",N($B72)&lt;2,Scores!$K$2=0),"",(SUMPRODUCT(MAX((Scores!$A$3:$A$502=$A72)*Scores!$Q$3:$Q$502*(Scores!$Y$3:$Y$502+1)))-1)-(5-SUMPRODUCT(MAX((Scores!$A$3:$A$502=$A72)*Scores!$Q$3:$Q$502*(5-Scores!$Y$3:$Y$502)))))</f>
        <v/>
      </c>
      <c r="K72" s="27">
        <f>IF(COUNT(C72:J72)=0,"",MAX(C72:J72))</f>
        <v/>
      </c>
    </row>
    <row r="73">
      <c r="A73" s="41">
        <f>IF(Applications!$A73="","",Applications!$A73&amp;"")</f>
        <v/>
      </c>
      <c r="B73" s="41">
        <f>IF($A73="","",COUNTIFS(Scores!$A$3:$A$502,$A73,Scores!$O$3:$O$502,"Counted"))</f>
        <v/>
      </c>
      <c r="C73" s="41">
        <f>IF(OR($A73="",N($B73)&lt;2,Scores!$D$2=0),"",(SUMPRODUCT(MAX((Scores!$A$3:$A$502=$A73)*Scores!$Q$3:$Q$502*(Scores!$R$3:$R$502+1)))-1)-(5-SUMPRODUCT(MAX((Scores!$A$3:$A$502=$A73)*Scores!$Q$3:$Q$502*(5-Scores!$R$3:$R$502)))))</f>
        <v/>
      </c>
      <c r="D73" s="41">
        <f>IF(OR($A73="",N($B73)&lt;2,Scores!$E$2=0),"",(SUMPRODUCT(MAX((Scores!$A$3:$A$502=$A73)*Scores!$Q$3:$Q$502*(Scores!$S$3:$S$502+1)))-1)-(5-SUMPRODUCT(MAX((Scores!$A$3:$A$502=$A73)*Scores!$Q$3:$Q$502*(5-Scores!$S$3:$S$502)))))</f>
        <v/>
      </c>
      <c r="E73" s="41">
        <f>IF(OR($A73="",N($B73)&lt;2,Scores!$F$2=0),"",(SUMPRODUCT(MAX((Scores!$A$3:$A$502=$A73)*Scores!$Q$3:$Q$502*(Scores!$T$3:$T$502+1)))-1)-(5-SUMPRODUCT(MAX((Scores!$A$3:$A$502=$A73)*Scores!$Q$3:$Q$502*(5-Scores!$T$3:$T$502)))))</f>
        <v/>
      </c>
      <c r="F73" s="41">
        <f>IF(OR($A73="",N($B73)&lt;2,Scores!$G$2=0),"",(SUMPRODUCT(MAX((Scores!$A$3:$A$502=$A73)*Scores!$Q$3:$Q$502*(Scores!$U$3:$U$502+1)))-1)-(5-SUMPRODUCT(MAX((Scores!$A$3:$A$502=$A73)*Scores!$Q$3:$Q$502*(5-Scores!$U$3:$U$502)))))</f>
        <v/>
      </c>
      <c r="G73" s="41">
        <f>IF(OR($A73="",N($B73)&lt;2,Scores!$H$2=0),"",(SUMPRODUCT(MAX((Scores!$A$3:$A$502=$A73)*Scores!$Q$3:$Q$502*(Scores!$V$3:$V$502+1)))-1)-(5-SUMPRODUCT(MAX((Scores!$A$3:$A$502=$A73)*Scores!$Q$3:$Q$502*(5-Scores!$V$3:$V$502)))))</f>
        <v/>
      </c>
      <c r="H73" s="41">
        <f>IF(OR($A73="",N($B73)&lt;2,Scores!$I$2=0),"",(SUMPRODUCT(MAX((Scores!$A$3:$A$502=$A73)*Scores!$Q$3:$Q$502*(Scores!$W$3:$W$502+1)))-1)-(5-SUMPRODUCT(MAX((Scores!$A$3:$A$502=$A73)*Scores!$Q$3:$Q$502*(5-Scores!$W$3:$W$502)))))</f>
        <v/>
      </c>
      <c r="I73" s="41">
        <f>IF(OR($A73="",N($B73)&lt;2,Scores!$J$2=0),"",(SUMPRODUCT(MAX((Scores!$A$3:$A$502=$A73)*Scores!$Q$3:$Q$502*(Scores!$X$3:$X$502+1)))-1)-(5-SUMPRODUCT(MAX((Scores!$A$3:$A$502=$A73)*Scores!$Q$3:$Q$502*(5-Scores!$X$3:$X$502)))))</f>
        <v/>
      </c>
      <c r="J73" s="41">
        <f>IF(OR($A73="",N($B73)&lt;2,Scores!$K$2=0),"",(SUMPRODUCT(MAX((Scores!$A$3:$A$502=$A73)*Scores!$Q$3:$Q$502*(Scores!$Y$3:$Y$502+1)))-1)-(5-SUMPRODUCT(MAX((Scores!$A$3:$A$502=$A73)*Scores!$Q$3:$Q$502*(5-Scores!$Y$3:$Y$502)))))</f>
        <v/>
      </c>
      <c r="K73" s="27">
        <f>IF(COUNT(C73:J73)=0,"",MAX(C73:J73))</f>
        <v/>
      </c>
    </row>
    <row r="74">
      <c r="A74" s="41">
        <f>IF(Applications!$A74="","",Applications!$A74&amp;"")</f>
        <v/>
      </c>
      <c r="B74" s="41">
        <f>IF($A74="","",COUNTIFS(Scores!$A$3:$A$502,$A74,Scores!$O$3:$O$502,"Counted"))</f>
        <v/>
      </c>
      <c r="C74" s="41">
        <f>IF(OR($A74="",N($B74)&lt;2,Scores!$D$2=0),"",(SUMPRODUCT(MAX((Scores!$A$3:$A$502=$A74)*Scores!$Q$3:$Q$502*(Scores!$R$3:$R$502+1)))-1)-(5-SUMPRODUCT(MAX((Scores!$A$3:$A$502=$A74)*Scores!$Q$3:$Q$502*(5-Scores!$R$3:$R$502)))))</f>
        <v/>
      </c>
      <c r="D74" s="41">
        <f>IF(OR($A74="",N($B74)&lt;2,Scores!$E$2=0),"",(SUMPRODUCT(MAX((Scores!$A$3:$A$502=$A74)*Scores!$Q$3:$Q$502*(Scores!$S$3:$S$502+1)))-1)-(5-SUMPRODUCT(MAX((Scores!$A$3:$A$502=$A74)*Scores!$Q$3:$Q$502*(5-Scores!$S$3:$S$502)))))</f>
        <v/>
      </c>
      <c r="E74" s="41">
        <f>IF(OR($A74="",N($B74)&lt;2,Scores!$F$2=0),"",(SUMPRODUCT(MAX((Scores!$A$3:$A$502=$A74)*Scores!$Q$3:$Q$502*(Scores!$T$3:$T$502+1)))-1)-(5-SUMPRODUCT(MAX((Scores!$A$3:$A$502=$A74)*Scores!$Q$3:$Q$502*(5-Scores!$T$3:$T$502)))))</f>
        <v/>
      </c>
      <c r="F74" s="41">
        <f>IF(OR($A74="",N($B74)&lt;2,Scores!$G$2=0),"",(SUMPRODUCT(MAX((Scores!$A$3:$A$502=$A74)*Scores!$Q$3:$Q$502*(Scores!$U$3:$U$502+1)))-1)-(5-SUMPRODUCT(MAX((Scores!$A$3:$A$502=$A74)*Scores!$Q$3:$Q$502*(5-Scores!$U$3:$U$502)))))</f>
        <v/>
      </c>
      <c r="G74" s="41">
        <f>IF(OR($A74="",N($B74)&lt;2,Scores!$H$2=0),"",(SUMPRODUCT(MAX((Scores!$A$3:$A$502=$A74)*Scores!$Q$3:$Q$502*(Scores!$V$3:$V$502+1)))-1)-(5-SUMPRODUCT(MAX((Scores!$A$3:$A$502=$A74)*Scores!$Q$3:$Q$502*(5-Scores!$V$3:$V$502)))))</f>
        <v/>
      </c>
      <c r="H74" s="41">
        <f>IF(OR($A74="",N($B74)&lt;2,Scores!$I$2=0),"",(SUMPRODUCT(MAX((Scores!$A$3:$A$502=$A74)*Scores!$Q$3:$Q$502*(Scores!$W$3:$W$502+1)))-1)-(5-SUMPRODUCT(MAX((Scores!$A$3:$A$502=$A74)*Scores!$Q$3:$Q$502*(5-Scores!$W$3:$W$502)))))</f>
        <v/>
      </c>
      <c r="I74" s="41">
        <f>IF(OR($A74="",N($B74)&lt;2,Scores!$J$2=0),"",(SUMPRODUCT(MAX((Scores!$A$3:$A$502=$A74)*Scores!$Q$3:$Q$502*(Scores!$X$3:$X$502+1)))-1)-(5-SUMPRODUCT(MAX((Scores!$A$3:$A$502=$A74)*Scores!$Q$3:$Q$502*(5-Scores!$X$3:$X$502)))))</f>
        <v/>
      </c>
      <c r="J74" s="41">
        <f>IF(OR($A74="",N($B74)&lt;2,Scores!$K$2=0),"",(SUMPRODUCT(MAX((Scores!$A$3:$A$502=$A74)*Scores!$Q$3:$Q$502*(Scores!$Y$3:$Y$502+1)))-1)-(5-SUMPRODUCT(MAX((Scores!$A$3:$A$502=$A74)*Scores!$Q$3:$Q$502*(5-Scores!$Y$3:$Y$502)))))</f>
        <v/>
      </c>
      <c r="K74" s="27">
        <f>IF(COUNT(C74:J74)=0,"",MAX(C74:J74))</f>
        <v/>
      </c>
    </row>
    <row r="75">
      <c r="A75" s="41">
        <f>IF(Applications!$A75="","",Applications!$A75&amp;"")</f>
        <v/>
      </c>
      <c r="B75" s="41">
        <f>IF($A75="","",COUNTIFS(Scores!$A$3:$A$502,$A75,Scores!$O$3:$O$502,"Counted"))</f>
        <v/>
      </c>
      <c r="C75" s="41">
        <f>IF(OR($A75="",N($B75)&lt;2,Scores!$D$2=0),"",(SUMPRODUCT(MAX((Scores!$A$3:$A$502=$A75)*Scores!$Q$3:$Q$502*(Scores!$R$3:$R$502+1)))-1)-(5-SUMPRODUCT(MAX((Scores!$A$3:$A$502=$A75)*Scores!$Q$3:$Q$502*(5-Scores!$R$3:$R$502)))))</f>
        <v/>
      </c>
      <c r="D75" s="41">
        <f>IF(OR($A75="",N($B75)&lt;2,Scores!$E$2=0),"",(SUMPRODUCT(MAX((Scores!$A$3:$A$502=$A75)*Scores!$Q$3:$Q$502*(Scores!$S$3:$S$502+1)))-1)-(5-SUMPRODUCT(MAX((Scores!$A$3:$A$502=$A75)*Scores!$Q$3:$Q$502*(5-Scores!$S$3:$S$502)))))</f>
        <v/>
      </c>
      <c r="E75" s="41">
        <f>IF(OR($A75="",N($B75)&lt;2,Scores!$F$2=0),"",(SUMPRODUCT(MAX((Scores!$A$3:$A$502=$A75)*Scores!$Q$3:$Q$502*(Scores!$T$3:$T$502+1)))-1)-(5-SUMPRODUCT(MAX((Scores!$A$3:$A$502=$A75)*Scores!$Q$3:$Q$502*(5-Scores!$T$3:$T$502)))))</f>
        <v/>
      </c>
      <c r="F75" s="41">
        <f>IF(OR($A75="",N($B75)&lt;2,Scores!$G$2=0),"",(SUMPRODUCT(MAX((Scores!$A$3:$A$502=$A75)*Scores!$Q$3:$Q$502*(Scores!$U$3:$U$502+1)))-1)-(5-SUMPRODUCT(MAX((Scores!$A$3:$A$502=$A75)*Scores!$Q$3:$Q$502*(5-Scores!$U$3:$U$502)))))</f>
        <v/>
      </c>
      <c r="G75" s="41">
        <f>IF(OR($A75="",N($B75)&lt;2,Scores!$H$2=0),"",(SUMPRODUCT(MAX((Scores!$A$3:$A$502=$A75)*Scores!$Q$3:$Q$502*(Scores!$V$3:$V$502+1)))-1)-(5-SUMPRODUCT(MAX((Scores!$A$3:$A$502=$A75)*Scores!$Q$3:$Q$502*(5-Scores!$V$3:$V$502)))))</f>
        <v/>
      </c>
      <c r="H75" s="41">
        <f>IF(OR($A75="",N($B75)&lt;2,Scores!$I$2=0),"",(SUMPRODUCT(MAX((Scores!$A$3:$A$502=$A75)*Scores!$Q$3:$Q$502*(Scores!$W$3:$W$502+1)))-1)-(5-SUMPRODUCT(MAX((Scores!$A$3:$A$502=$A75)*Scores!$Q$3:$Q$502*(5-Scores!$W$3:$W$502)))))</f>
        <v/>
      </c>
      <c r="I75" s="41">
        <f>IF(OR($A75="",N($B75)&lt;2,Scores!$J$2=0),"",(SUMPRODUCT(MAX((Scores!$A$3:$A$502=$A75)*Scores!$Q$3:$Q$502*(Scores!$X$3:$X$502+1)))-1)-(5-SUMPRODUCT(MAX((Scores!$A$3:$A$502=$A75)*Scores!$Q$3:$Q$502*(5-Scores!$X$3:$X$502)))))</f>
        <v/>
      </c>
      <c r="J75" s="41">
        <f>IF(OR($A75="",N($B75)&lt;2,Scores!$K$2=0),"",(SUMPRODUCT(MAX((Scores!$A$3:$A$502=$A75)*Scores!$Q$3:$Q$502*(Scores!$Y$3:$Y$502+1)))-1)-(5-SUMPRODUCT(MAX((Scores!$A$3:$A$502=$A75)*Scores!$Q$3:$Q$502*(5-Scores!$Y$3:$Y$502)))))</f>
        <v/>
      </c>
      <c r="K75" s="27">
        <f>IF(COUNT(C75:J75)=0,"",MAX(C75:J75))</f>
        <v/>
      </c>
    </row>
    <row r="76">
      <c r="A76" s="41">
        <f>IF(Applications!$A76="","",Applications!$A76&amp;"")</f>
        <v/>
      </c>
      <c r="B76" s="41">
        <f>IF($A76="","",COUNTIFS(Scores!$A$3:$A$502,$A76,Scores!$O$3:$O$502,"Counted"))</f>
        <v/>
      </c>
      <c r="C76" s="41">
        <f>IF(OR($A76="",N($B76)&lt;2,Scores!$D$2=0),"",(SUMPRODUCT(MAX((Scores!$A$3:$A$502=$A76)*Scores!$Q$3:$Q$502*(Scores!$R$3:$R$502+1)))-1)-(5-SUMPRODUCT(MAX((Scores!$A$3:$A$502=$A76)*Scores!$Q$3:$Q$502*(5-Scores!$R$3:$R$502)))))</f>
        <v/>
      </c>
      <c r="D76" s="41">
        <f>IF(OR($A76="",N($B76)&lt;2,Scores!$E$2=0),"",(SUMPRODUCT(MAX((Scores!$A$3:$A$502=$A76)*Scores!$Q$3:$Q$502*(Scores!$S$3:$S$502+1)))-1)-(5-SUMPRODUCT(MAX((Scores!$A$3:$A$502=$A76)*Scores!$Q$3:$Q$502*(5-Scores!$S$3:$S$502)))))</f>
        <v/>
      </c>
      <c r="E76" s="41">
        <f>IF(OR($A76="",N($B76)&lt;2,Scores!$F$2=0),"",(SUMPRODUCT(MAX((Scores!$A$3:$A$502=$A76)*Scores!$Q$3:$Q$502*(Scores!$T$3:$T$502+1)))-1)-(5-SUMPRODUCT(MAX((Scores!$A$3:$A$502=$A76)*Scores!$Q$3:$Q$502*(5-Scores!$T$3:$T$502)))))</f>
        <v/>
      </c>
      <c r="F76" s="41">
        <f>IF(OR($A76="",N($B76)&lt;2,Scores!$G$2=0),"",(SUMPRODUCT(MAX((Scores!$A$3:$A$502=$A76)*Scores!$Q$3:$Q$502*(Scores!$U$3:$U$502+1)))-1)-(5-SUMPRODUCT(MAX((Scores!$A$3:$A$502=$A76)*Scores!$Q$3:$Q$502*(5-Scores!$U$3:$U$502)))))</f>
        <v/>
      </c>
      <c r="G76" s="41">
        <f>IF(OR($A76="",N($B76)&lt;2,Scores!$H$2=0),"",(SUMPRODUCT(MAX((Scores!$A$3:$A$502=$A76)*Scores!$Q$3:$Q$502*(Scores!$V$3:$V$502+1)))-1)-(5-SUMPRODUCT(MAX((Scores!$A$3:$A$502=$A76)*Scores!$Q$3:$Q$502*(5-Scores!$V$3:$V$502)))))</f>
        <v/>
      </c>
      <c r="H76" s="41">
        <f>IF(OR($A76="",N($B76)&lt;2,Scores!$I$2=0),"",(SUMPRODUCT(MAX((Scores!$A$3:$A$502=$A76)*Scores!$Q$3:$Q$502*(Scores!$W$3:$W$502+1)))-1)-(5-SUMPRODUCT(MAX((Scores!$A$3:$A$502=$A76)*Scores!$Q$3:$Q$502*(5-Scores!$W$3:$W$502)))))</f>
        <v/>
      </c>
      <c r="I76" s="41">
        <f>IF(OR($A76="",N($B76)&lt;2,Scores!$J$2=0),"",(SUMPRODUCT(MAX((Scores!$A$3:$A$502=$A76)*Scores!$Q$3:$Q$502*(Scores!$X$3:$X$502+1)))-1)-(5-SUMPRODUCT(MAX((Scores!$A$3:$A$502=$A76)*Scores!$Q$3:$Q$502*(5-Scores!$X$3:$X$502)))))</f>
        <v/>
      </c>
      <c r="J76" s="41">
        <f>IF(OR($A76="",N($B76)&lt;2,Scores!$K$2=0),"",(SUMPRODUCT(MAX((Scores!$A$3:$A$502=$A76)*Scores!$Q$3:$Q$502*(Scores!$Y$3:$Y$502+1)))-1)-(5-SUMPRODUCT(MAX((Scores!$A$3:$A$502=$A76)*Scores!$Q$3:$Q$502*(5-Scores!$Y$3:$Y$502)))))</f>
        <v/>
      </c>
      <c r="K76" s="27">
        <f>IF(COUNT(C76:J76)=0,"",MAX(C76:J76))</f>
        <v/>
      </c>
    </row>
    <row r="77">
      <c r="A77" s="41">
        <f>IF(Applications!$A77="","",Applications!$A77&amp;"")</f>
        <v/>
      </c>
      <c r="B77" s="41">
        <f>IF($A77="","",COUNTIFS(Scores!$A$3:$A$502,$A77,Scores!$O$3:$O$502,"Counted"))</f>
        <v/>
      </c>
      <c r="C77" s="41">
        <f>IF(OR($A77="",N($B77)&lt;2,Scores!$D$2=0),"",(SUMPRODUCT(MAX((Scores!$A$3:$A$502=$A77)*Scores!$Q$3:$Q$502*(Scores!$R$3:$R$502+1)))-1)-(5-SUMPRODUCT(MAX((Scores!$A$3:$A$502=$A77)*Scores!$Q$3:$Q$502*(5-Scores!$R$3:$R$502)))))</f>
        <v/>
      </c>
      <c r="D77" s="41">
        <f>IF(OR($A77="",N($B77)&lt;2,Scores!$E$2=0),"",(SUMPRODUCT(MAX((Scores!$A$3:$A$502=$A77)*Scores!$Q$3:$Q$502*(Scores!$S$3:$S$502+1)))-1)-(5-SUMPRODUCT(MAX((Scores!$A$3:$A$502=$A77)*Scores!$Q$3:$Q$502*(5-Scores!$S$3:$S$502)))))</f>
        <v/>
      </c>
      <c r="E77" s="41">
        <f>IF(OR($A77="",N($B77)&lt;2,Scores!$F$2=0),"",(SUMPRODUCT(MAX((Scores!$A$3:$A$502=$A77)*Scores!$Q$3:$Q$502*(Scores!$T$3:$T$502+1)))-1)-(5-SUMPRODUCT(MAX((Scores!$A$3:$A$502=$A77)*Scores!$Q$3:$Q$502*(5-Scores!$T$3:$T$502)))))</f>
        <v/>
      </c>
      <c r="F77" s="41">
        <f>IF(OR($A77="",N($B77)&lt;2,Scores!$G$2=0),"",(SUMPRODUCT(MAX((Scores!$A$3:$A$502=$A77)*Scores!$Q$3:$Q$502*(Scores!$U$3:$U$502+1)))-1)-(5-SUMPRODUCT(MAX((Scores!$A$3:$A$502=$A77)*Scores!$Q$3:$Q$502*(5-Scores!$U$3:$U$502)))))</f>
        <v/>
      </c>
      <c r="G77" s="41">
        <f>IF(OR($A77="",N($B77)&lt;2,Scores!$H$2=0),"",(SUMPRODUCT(MAX((Scores!$A$3:$A$502=$A77)*Scores!$Q$3:$Q$502*(Scores!$V$3:$V$502+1)))-1)-(5-SUMPRODUCT(MAX((Scores!$A$3:$A$502=$A77)*Scores!$Q$3:$Q$502*(5-Scores!$V$3:$V$502)))))</f>
        <v/>
      </c>
      <c r="H77" s="41">
        <f>IF(OR($A77="",N($B77)&lt;2,Scores!$I$2=0),"",(SUMPRODUCT(MAX((Scores!$A$3:$A$502=$A77)*Scores!$Q$3:$Q$502*(Scores!$W$3:$W$502+1)))-1)-(5-SUMPRODUCT(MAX((Scores!$A$3:$A$502=$A77)*Scores!$Q$3:$Q$502*(5-Scores!$W$3:$W$502)))))</f>
        <v/>
      </c>
      <c r="I77" s="41">
        <f>IF(OR($A77="",N($B77)&lt;2,Scores!$J$2=0),"",(SUMPRODUCT(MAX((Scores!$A$3:$A$502=$A77)*Scores!$Q$3:$Q$502*(Scores!$X$3:$X$502+1)))-1)-(5-SUMPRODUCT(MAX((Scores!$A$3:$A$502=$A77)*Scores!$Q$3:$Q$502*(5-Scores!$X$3:$X$502)))))</f>
        <v/>
      </c>
      <c r="J77" s="41">
        <f>IF(OR($A77="",N($B77)&lt;2,Scores!$K$2=0),"",(SUMPRODUCT(MAX((Scores!$A$3:$A$502=$A77)*Scores!$Q$3:$Q$502*(Scores!$Y$3:$Y$502+1)))-1)-(5-SUMPRODUCT(MAX((Scores!$A$3:$A$502=$A77)*Scores!$Q$3:$Q$502*(5-Scores!$Y$3:$Y$502)))))</f>
        <v/>
      </c>
      <c r="K77" s="27">
        <f>IF(COUNT(C77:J77)=0,"",MAX(C77:J77))</f>
        <v/>
      </c>
    </row>
    <row r="78">
      <c r="A78" s="41">
        <f>IF(Applications!$A78="","",Applications!$A78&amp;"")</f>
        <v/>
      </c>
      <c r="B78" s="41">
        <f>IF($A78="","",COUNTIFS(Scores!$A$3:$A$502,$A78,Scores!$O$3:$O$502,"Counted"))</f>
        <v/>
      </c>
      <c r="C78" s="41">
        <f>IF(OR($A78="",N($B78)&lt;2,Scores!$D$2=0),"",(SUMPRODUCT(MAX((Scores!$A$3:$A$502=$A78)*Scores!$Q$3:$Q$502*(Scores!$R$3:$R$502+1)))-1)-(5-SUMPRODUCT(MAX((Scores!$A$3:$A$502=$A78)*Scores!$Q$3:$Q$502*(5-Scores!$R$3:$R$502)))))</f>
        <v/>
      </c>
      <c r="D78" s="41">
        <f>IF(OR($A78="",N($B78)&lt;2,Scores!$E$2=0),"",(SUMPRODUCT(MAX((Scores!$A$3:$A$502=$A78)*Scores!$Q$3:$Q$502*(Scores!$S$3:$S$502+1)))-1)-(5-SUMPRODUCT(MAX((Scores!$A$3:$A$502=$A78)*Scores!$Q$3:$Q$502*(5-Scores!$S$3:$S$502)))))</f>
        <v/>
      </c>
      <c r="E78" s="41">
        <f>IF(OR($A78="",N($B78)&lt;2,Scores!$F$2=0),"",(SUMPRODUCT(MAX((Scores!$A$3:$A$502=$A78)*Scores!$Q$3:$Q$502*(Scores!$T$3:$T$502+1)))-1)-(5-SUMPRODUCT(MAX((Scores!$A$3:$A$502=$A78)*Scores!$Q$3:$Q$502*(5-Scores!$T$3:$T$502)))))</f>
        <v/>
      </c>
      <c r="F78" s="41">
        <f>IF(OR($A78="",N($B78)&lt;2,Scores!$G$2=0),"",(SUMPRODUCT(MAX((Scores!$A$3:$A$502=$A78)*Scores!$Q$3:$Q$502*(Scores!$U$3:$U$502+1)))-1)-(5-SUMPRODUCT(MAX((Scores!$A$3:$A$502=$A78)*Scores!$Q$3:$Q$502*(5-Scores!$U$3:$U$502)))))</f>
        <v/>
      </c>
      <c r="G78" s="41">
        <f>IF(OR($A78="",N($B78)&lt;2,Scores!$H$2=0),"",(SUMPRODUCT(MAX((Scores!$A$3:$A$502=$A78)*Scores!$Q$3:$Q$502*(Scores!$V$3:$V$502+1)))-1)-(5-SUMPRODUCT(MAX((Scores!$A$3:$A$502=$A78)*Scores!$Q$3:$Q$502*(5-Scores!$V$3:$V$502)))))</f>
        <v/>
      </c>
      <c r="H78" s="41">
        <f>IF(OR($A78="",N($B78)&lt;2,Scores!$I$2=0),"",(SUMPRODUCT(MAX((Scores!$A$3:$A$502=$A78)*Scores!$Q$3:$Q$502*(Scores!$W$3:$W$502+1)))-1)-(5-SUMPRODUCT(MAX((Scores!$A$3:$A$502=$A78)*Scores!$Q$3:$Q$502*(5-Scores!$W$3:$W$502)))))</f>
        <v/>
      </c>
      <c r="I78" s="41">
        <f>IF(OR($A78="",N($B78)&lt;2,Scores!$J$2=0),"",(SUMPRODUCT(MAX((Scores!$A$3:$A$502=$A78)*Scores!$Q$3:$Q$502*(Scores!$X$3:$X$502+1)))-1)-(5-SUMPRODUCT(MAX((Scores!$A$3:$A$502=$A78)*Scores!$Q$3:$Q$502*(5-Scores!$X$3:$X$502)))))</f>
        <v/>
      </c>
      <c r="J78" s="41">
        <f>IF(OR($A78="",N($B78)&lt;2,Scores!$K$2=0),"",(SUMPRODUCT(MAX((Scores!$A$3:$A$502=$A78)*Scores!$Q$3:$Q$502*(Scores!$Y$3:$Y$502+1)))-1)-(5-SUMPRODUCT(MAX((Scores!$A$3:$A$502=$A78)*Scores!$Q$3:$Q$502*(5-Scores!$Y$3:$Y$502)))))</f>
        <v/>
      </c>
      <c r="K78" s="27">
        <f>IF(COUNT(C78:J78)=0,"",MAX(C78:J78))</f>
        <v/>
      </c>
    </row>
    <row r="79">
      <c r="A79" s="41">
        <f>IF(Applications!$A79="","",Applications!$A79&amp;"")</f>
        <v/>
      </c>
      <c r="B79" s="41">
        <f>IF($A79="","",COUNTIFS(Scores!$A$3:$A$502,$A79,Scores!$O$3:$O$502,"Counted"))</f>
        <v/>
      </c>
      <c r="C79" s="41">
        <f>IF(OR($A79="",N($B79)&lt;2,Scores!$D$2=0),"",(SUMPRODUCT(MAX((Scores!$A$3:$A$502=$A79)*Scores!$Q$3:$Q$502*(Scores!$R$3:$R$502+1)))-1)-(5-SUMPRODUCT(MAX((Scores!$A$3:$A$502=$A79)*Scores!$Q$3:$Q$502*(5-Scores!$R$3:$R$502)))))</f>
        <v/>
      </c>
      <c r="D79" s="41">
        <f>IF(OR($A79="",N($B79)&lt;2,Scores!$E$2=0),"",(SUMPRODUCT(MAX((Scores!$A$3:$A$502=$A79)*Scores!$Q$3:$Q$502*(Scores!$S$3:$S$502+1)))-1)-(5-SUMPRODUCT(MAX((Scores!$A$3:$A$502=$A79)*Scores!$Q$3:$Q$502*(5-Scores!$S$3:$S$502)))))</f>
        <v/>
      </c>
      <c r="E79" s="41">
        <f>IF(OR($A79="",N($B79)&lt;2,Scores!$F$2=0),"",(SUMPRODUCT(MAX((Scores!$A$3:$A$502=$A79)*Scores!$Q$3:$Q$502*(Scores!$T$3:$T$502+1)))-1)-(5-SUMPRODUCT(MAX((Scores!$A$3:$A$502=$A79)*Scores!$Q$3:$Q$502*(5-Scores!$T$3:$T$502)))))</f>
        <v/>
      </c>
      <c r="F79" s="41">
        <f>IF(OR($A79="",N($B79)&lt;2,Scores!$G$2=0),"",(SUMPRODUCT(MAX((Scores!$A$3:$A$502=$A79)*Scores!$Q$3:$Q$502*(Scores!$U$3:$U$502+1)))-1)-(5-SUMPRODUCT(MAX((Scores!$A$3:$A$502=$A79)*Scores!$Q$3:$Q$502*(5-Scores!$U$3:$U$502)))))</f>
        <v/>
      </c>
      <c r="G79" s="41">
        <f>IF(OR($A79="",N($B79)&lt;2,Scores!$H$2=0),"",(SUMPRODUCT(MAX((Scores!$A$3:$A$502=$A79)*Scores!$Q$3:$Q$502*(Scores!$V$3:$V$502+1)))-1)-(5-SUMPRODUCT(MAX((Scores!$A$3:$A$502=$A79)*Scores!$Q$3:$Q$502*(5-Scores!$V$3:$V$502)))))</f>
        <v/>
      </c>
      <c r="H79" s="41">
        <f>IF(OR($A79="",N($B79)&lt;2,Scores!$I$2=0),"",(SUMPRODUCT(MAX((Scores!$A$3:$A$502=$A79)*Scores!$Q$3:$Q$502*(Scores!$W$3:$W$502+1)))-1)-(5-SUMPRODUCT(MAX((Scores!$A$3:$A$502=$A79)*Scores!$Q$3:$Q$502*(5-Scores!$W$3:$W$502)))))</f>
        <v/>
      </c>
      <c r="I79" s="41">
        <f>IF(OR($A79="",N($B79)&lt;2,Scores!$J$2=0),"",(SUMPRODUCT(MAX((Scores!$A$3:$A$502=$A79)*Scores!$Q$3:$Q$502*(Scores!$X$3:$X$502+1)))-1)-(5-SUMPRODUCT(MAX((Scores!$A$3:$A$502=$A79)*Scores!$Q$3:$Q$502*(5-Scores!$X$3:$X$502)))))</f>
        <v/>
      </c>
      <c r="J79" s="41">
        <f>IF(OR($A79="",N($B79)&lt;2,Scores!$K$2=0),"",(SUMPRODUCT(MAX((Scores!$A$3:$A$502=$A79)*Scores!$Q$3:$Q$502*(Scores!$Y$3:$Y$502+1)))-1)-(5-SUMPRODUCT(MAX((Scores!$A$3:$A$502=$A79)*Scores!$Q$3:$Q$502*(5-Scores!$Y$3:$Y$502)))))</f>
        <v/>
      </c>
      <c r="K79" s="27">
        <f>IF(COUNT(C79:J79)=0,"",MAX(C79:J79))</f>
        <v/>
      </c>
    </row>
    <row r="80">
      <c r="A80" s="41">
        <f>IF(Applications!$A80="","",Applications!$A80&amp;"")</f>
        <v/>
      </c>
      <c r="B80" s="41">
        <f>IF($A80="","",COUNTIFS(Scores!$A$3:$A$502,$A80,Scores!$O$3:$O$502,"Counted"))</f>
        <v/>
      </c>
      <c r="C80" s="41">
        <f>IF(OR($A80="",N($B80)&lt;2,Scores!$D$2=0),"",(SUMPRODUCT(MAX((Scores!$A$3:$A$502=$A80)*Scores!$Q$3:$Q$502*(Scores!$R$3:$R$502+1)))-1)-(5-SUMPRODUCT(MAX((Scores!$A$3:$A$502=$A80)*Scores!$Q$3:$Q$502*(5-Scores!$R$3:$R$502)))))</f>
        <v/>
      </c>
      <c r="D80" s="41">
        <f>IF(OR($A80="",N($B80)&lt;2,Scores!$E$2=0),"",(SUMPRODUCT(MAX((Scores!$A$3:$A$502=$A80)*Scores!$Q$3:$Q$502*(Scores!$S$3:$S$502+1)))-1)-(5-SUMPRODUCT(MAX((Scores!$A$3:$A$502=$A80)*Scores!$Q$3:$Q$502*(5-Scores!$S$3:$S$502)))))</f>
        <v/>
      </c>
      <c r="E80" s="41">
        <f>IF(OR($A80="",N($B80)&lt;2,Scores!$F$2=0),"",(SUMPRODUCT(MAX((Scores!$A$3:$A$502=$A80)*Scores!$Q$3:$Q$502*(Scores!$T$3:$T$502+1)))-1)-(5-SUMPRODUCT(MAX((Scores!$A$3:$A$502=$A80)*Scores!$Q$3:$Q$502*(5-Scores!$T$3:$T$502)))))</f>
        <v/>
      </c>
      <c r="F80" s="41">
        <f>IF(OR($A80="",N($B80)&lt;2,Scores!$G$2=0),"",(SUMPRODUCT(MAX((Scores!$A$3:$A$502=$A80)*Scores!$Q$3:$Q$502*(Scores!$U$3:$U$502+1)))-1)-(5-SUMPRODUCT(MAX((Scores!$A$3:$A$502=$A80)*Scores!$Q$3:$Q$502*(5-Scores!$U$3:$U$502)))))</f>
        <v/>
      </c>
      <c r="G80" s="41">
        <f>IF(OR($A80="",N($B80)&lt;2,Scores!$H$2=0),"",(SUMPRODUCT(MAX((Scores!$A$3:$A$502=$A80)*Scores!$Q$3:$Q$502*(Scores!$V$3:$V$502+1)))-1)-(5-SUMPRODUCT(MAX((Scores!$A$3:$A$502=$A80)*Scores!$Q$3:$Q$502*(5-Scores!$V$3:$V$502)))))</f>
        <v/>
      </c>
      <c r="H80" s="41">
        <f>IF(OR($A80="",N($B80)&lt;2,Scores!$I$2=0),"",(SUMPRODUCT(MAX((Scores!$A$3:$A$502=$A80)*Scores!$Q$3:$Q$502*(Scores!$W$3:$W$502+1)))-1)-(5-SUMPRODUCT(MAX((Scores!$A$3:$A$502=$A80)*Scores!$Q$3:$Q$502*(5-Scores!$W$3:$W$502)))))</f>
        <v/>
      </c>
      <c r="I80" s="41">
        <f>IF(OR($A80="",N($B80)&lt;2,Scores!$J$2=0),"",(SUMPRODUCT(MAX((Scores!$A$3:$A$502=$A80)*Scores!$Q$3:$Q$502*(Scores!$X$3:$X$502+1)))-1)-(5-SUMPRODUCT(MAX((Scores!$A$3:$A$502=$A80)*Scores!$Q$3:$Q$502*(5-Scores!$X$3:$X$502)))))</f>
        <v/>
      </c>
      <c r="J80" s="41">
        <f>IF(OR($A80="",N($B80)&lt;2,Scores!$K$2=0),"",(SUMPRODUCT(MAX((Scores!$A$3:$A$502=$A80)*Scores!$Q$3:$Q$502*(Scores!$Y$3:$Y$502+1)))-1)-(5-SUMPRODUCT(MAX((Scores!$A$3:$A$502=$A80)*Scores!$Q$3:$Q$502*(5-Scores!$Y$3:$Y$502)))))</f>
        <v/>
      </c>
      <c r="K80" s="27">
        <f>IF(COUNT(C80:J80)=0,"",MAX(C80:J80))</f>
        <v/>
      </c>
    </row>
    <row r="81">
      <c r="A81" s="41">
        <f>IF(Applications!$A81="","",Applications!$A81&amp;"")</f>
        <v/>
      </c>
      <c r="B81" s="41">
        <f>IF($A81="","",COUNTIFS(Scores!$A$3:$A$502,$A81,Scores!$O$3:$O$502,"Counted"))</f>
        <v/>
      </c>
      <c r="C81" s="41">
        <f>IF(OR($A81="",N($B81)&lt;2,Scores!$D$2=0),"",(SUMPRODUCT(MAX((Scores!$A$3:$A$502=$A81)*Scores!$Q$3:$Q$502*(Scores!$R$3:$R$502+1)))-1)-(5-SUMPRODUCT(MAX((Scores!$A$3:$A$502=$A81)*Scores!$Q$3:$Q$502*(5-Scores!$R$3:$R$502)))))</f>
        <v/>
      </c>
      <c r="D81" s="41">
        <f>IF(OR($A81="",N($B81)&lt;2,Scores!$E$2=0),"",(SUMPRODUCT(MAX((Scores!$A$3:$A$502=$A81)*Scores!$Q$3:$Q$502*(Scores!$S$3:$S$502+1)))-1)-(5-SUMPRODUCT(MAX((Scores!$A$3:$A$502=$A81)*Scores!$Q$3:$Q$502*(5-Scores!$S$3:$S$502)))))</f>
        <v/>
      </c>
      <c r="E81" s="41">
        <f>IF(OR($A81="",N($B81)&lt;2,Scores!$F$2=0),"",(SUMPRODUCT(MAX((Scores!$A$3:$A$502=$A81)*Scores!$Q$3:$Q$502*(Scores!$T$3:$T$502+1)))-1)-(5-SUMPRODUCT(MAX((Scores!$A$3:$A$502=$A81)*Scores!$Q$3:$Q$502*(5-Scores!$T$3:$T$502)))))</f>
        <v/>
      </c>
      <c r="F81" s="41">
        <f>IF(OR($A81="",N($B81)&lt;2,Scores!$G$2=0),"",(SUMPRODUCT(MAX((Scores!$A$3:$A$502=$A81)*Scores!$Q$3:$Q$502*(Scores!$U$3:$U$502+1)))-1)-(5-SUMPRODUCT(MAX((Scores!$A$3:$A$502=$A81)*Scores!$Q$3:$Q$502*(5-Scores!$U$3:$U$502)))))</f>
        <v/>
      </c>
      <c r="G81" s="41">
        <f>IF(OR($A81="",N($B81)&lt;2,Scores!$H$2=0),"",(SUMPRODUCT(MAX((Scores!$A$3:$A$502=$A81)*Scores!$Q$3:$Q$502*(Scores!$V$3:$V$502+1)))-1)-(5-SUMPRODUCT(MAX((Scores!$A$3:$A$502=$A81)*Scores!$Q$3:$Q$502*(5-Scores!$V$3:$V$502)))))</f>
        <v/>
      </c>
      <c r="H81" s="41">
        <f>IF(OR($A81="",N($B81)&lt;2,Scores!$I$2=0),"",(SUMPRODUCT(MAX((Scores!$A$3:$A$502=$A81)*Scores!$Q$3:$Q$502*(Scores!$W$3:$W$502+1)))-1)-(5-SUMPRODUCT(MAX((Scores!$A$3:$A$502=$A81)*Scores!$Q$3:$Q$502*(5-Scores!$W$3:$W$502)))))</f>
        <v/>
      </c>
      <c r="I81" s="41">
        <f>IF(OR($A81="",N($B81)&lt;2,Scores!$J$2=0),"",(SUMPRODUCT(MAX((Scores!$A$3:$A$502=$A81)*Scores!$Q$3:$Q$502*(Scores!$X$3:$X$502+1)))-1)-(5-SUMPRODUCT(MAX((Scores!$A$3:$A$502=$A81)*Scores!$Q$3:$Q$502*(5-Scores!$X$3:$X$502)))))</f>
        <v/>
      </c>
      <c r="J81" s="41">
        <f>IF(OR($A81="",N($B81)&lt;2,Scores!$K$2=0),"",(SUMPRODUCT(MAX((Scores!$A$3:$A$502=$A81)*Scores!$Q$3:$Q$502*(Scores!$Y$3:$Y$502+1)))-1)-(5-SUMPRODUCT(MAX((Scores!$A$3:$A$502=$A81)*Scores!$Q$3:$Q$502*(5-Scores!$Y$3:$Y$502)))))</f>
        <v/>
      </c>
      <c r="K81" s="27">
        <f>IF(COUNT(C81:J81)=0,"",MAX(C81:J81))</f>
        <v/>
      </c>
    </row>
    <row r="82">
      <c r="A82" s="41">
        <f>IF(Applications!$A82="","",Applications!$A82&amp;"")</f>
        <v/>
      </c>
      <c r="B82" s="41">
        <f>IF($A82="","",COUNTIFS(Scores!$A$3:$A$502,$A82,Scores!$O$3:$O$502,"Counted"))</f>
        <v/>
      </c>
      <c r="C82" s="41">
        <f>IF(OR($A82="",N($B82)&lt;2,Scores!$D$2=0),"",(SUMPRODUCT(MAX((Scores!$A$3:$A$502=$A82)*Scores!$Q$3:$Q$502*(Scores!$R$3:$R$502+1)))-1)-(5-SUMPRODUCT(MAX((Scores!$A$3:$A$502=$A82)*Scores!$Q$3:$Q$502*(5-Scores!$R$3:$R$502)))))</f>
        <v/>
      </c>
      <c r="D82" s="41">
        <f>IF(OR($A82="",N($B82)&lt;2,Scores!$E$2=0),"",(SUMPRODUCT(MAX((Scores!$A$3:$A$502=$A82)*Scores!$Q$3:$Q$502*(Scores!$S$3:$S$502+1)))-1)-(5-SUMPRODUCT(MAX((Scores!$A$3:$A$502=$A82)*Scores!$Q$3:$Q$502*(5-Scores!$S$3:$S$502)))))</f>
        <v/>
      </c>
      <c r="E82" s="41">
        <f>IF(OR($A82="",N($B82)&lt;2,Scores!$F$2=0),"",(SUMPRODUCT(MAX((Scores!$A$3:$A$502=$A82)*Scores!$Q$3:$Q$502*(Scores!$T$3:$T$502+1)))-1)-(5-SUMPRODUCT(MAX((Scores!$A$3:$A$502=$A82)*Scores!$Q$3:$Q$502*(5-Scores!$T$3:$T$502)))))</f>
        <v/>
      </c>
      <c r="F82" s="41">
        <f>IF(OR($A82="",N($B82)&lt;2,Scores!$G$2=0),"",(SUMPRODUCT(MAX((Scores!$A$3:$A$502=$A82)*Scores!$Q$3:$Q$502*(Scores!$U$3:$U$502+1)))-1)-(5-SUMPRODUCT(MAX((Scores!$A$3:$A$502=$A82)*Scores!$Q$3:$Q$502*(5-Scores!$U$3:$U$502)))))</f>
        <v/>
      </c>
      <c r="G82" s="41">
        <f>IF(OR($A82="",N($B82)&lt;2,Scores!$H$2=0),"",(SUMPRODUCT(MAX((Scores!$A$3:$A$502=$A82)*Scores!$Q$3:$Q$502*(Scores!$V$3:$V$502+1)))-1)-(5-SUMPRODUCT(MAX((Scores!$A$3:$A$502=$A82)*Scores!$Q$3:$Q$502*(5-Scores!$V$3:$V$502)))))</f>
        <v/>
      </c>
      <c r="H82" s="41">
        <f>IF(OR($A82="",N($B82)&lt;2,Scores!$I$2=0),"",(SUMPRODUCT(MAX((Scores!$A$3:$A$502=$A82)*Scores!$Q$3:$Q$502*(Scores!$W$3:$W$502+1)))-1)-(5-SUMPRODUCT(MAX((Scores!$A$3:$A$502=$A82)*Scores!$Q$3:$Q$502*(5-Scores!$W$3:$W$502)))))</f>
        <v/>
      </c>
      <c r="I82" s="41">
        <f>IF(OR($A82="",N($B82)&lt;2,Scores!$J$2=0),"",(SUMPRODUCT(MAX((Scores!$A$3:$A$502=$A82)*Scores!$Q$3:$Q$502*(Scores!$X$3:$X$502+1)))-1)-(5-SUMPRODUCT(MAX((Scores!$A$3:$A$502=$A82)*Scores!$Q$3:$Q$502*(5-Scores!$X$3:$X$502)))))</f>
        <v/>
      </c>
      <c r="J82" s="41">
        <f>IF(OR($A82="",N($B82)&lt;2,Scores!$K$2=0),"",(SUMPRODUCT(MAX((Scores!$A$3:$A$502=$A82)*Scores!$Q$3:$Q$502*(Scores!$Y$3:$Y$502+1)))-1)-(5-SUMPRODUCT(MAX((Scores!$A$3:$A$502=$A82)*Scores!$Q$3:$Q$502*(5-Scores!$Y$3:$Y$502)))))</f>
        <v/>
      </c>
      <c r="K82" s="27">
        <f>IF(COUNT(C82:J82)=0,"",MAX(C82:J82))</f>
        <v/>
      </c>
    </row>
    <row r="83">
      <c r="A83" s="41">
        <f>IF(Applications!$A83="","",Applications!$A83&amp;"")</f>
        <v/>
      </c>
      <c r="B83" s="41">
        <f>IF($A83="","",COUNTIFS(Scores!$A$3:$A$502,$A83,Scores!$O$3:$O$502,"Counted"))</f>
        <v/>
      </c>
      <c r="C83" s="41">
        <f>IF(OR($A83="",N($B83)&lt;2,Scores!$D$2=0),"",(SUMPRODUCT(MAX((Scores!$A$3:$A$502=$A83)*Scores!$Q$3:$Q$502*(Scores!$R$3:$R$502+1)))-1)-(5-SUMPRODUCT(MAX((Scores!$A$3:$A$502=$A83)*Scores!$Q$3:$Q$502*(5-Scores!$R$3:$R$502)))))</f>
        <v/>
      </c>
      <c r="D83" s="41">
        <f>IF(OR($A83="",N($B83)&lt;2,Scores!$E$2=0),"",(SUMPRODUCT(MAX((Scores!$A$3:$A$502=$A83)*Scores!$Q$3:$Q$502*(Scores!$S$3:$S$502+1)))-1)-(5-SUMPRODUCT(MAX((Scores!$A$3:$A$502=$A83)*Scores!$Q$3:$Q$502*(5-Scores!$S$3:$S$502)))))</f>
        <v/>
      </c>
      <c r="E83" s="41">
        <f>IF(OR($A83="",N($B83)&lt;2,Scores!$F$2=0),"",(SUMPRODUCT(MAX((Scores!$A$3:$A$502=$A83)*Scores!$Q$3:$Q$502*(Scores!$T$3:$T$502+1)))-1)-(5-SUMPRODUCT(MAX((Scores!$A$3:$A$502=$A83)*Scores!$Q$3:$Q$502*(5-Scores!$T$3:$T$502)))))</f>
        <v/>
      </c>
      <c r="F83" s="41">
        <f>IF(OR($A83="",N($B83)&lt;2,Scores!$G$2=0),"",(SUMPRODUCT(MAX((Scores!$A$3:$A$502=$A83)*Scores!$Q$3:$Q$502*(Scores!$U$3:$U$502+1)))-1)-(5-SUMPRODUCT(MAX((Scores!$A$3:$A$502=$A83)*Scores!$Q$3:$Q$502*(5-Scores!$U$3:$U$502)))))</f>
        <v/>
      </c>
      <c r="G83" s="41">
        <f>IF(OR($A83="",N($B83)&lt;2,Scores!$H$2=0),"",(SUMPRODUCT(MAX((Scores!$A$3:$A$502=$A83)*Scores!$Q$3:$Q$502*(Scores!$V$3:$V$502+1)))-1)-(5-SUMPRODUCT(MAX((Scores!$A$3:$A$502=$A83)*Scores!$Q$3:$Q$502*(5-Scores!$V$3:$V$502)))))</f>
        <v/>
      </c>
      <c r="H83" s="41">
        <f>IF(OR($A83="",N($B83)&lt;2,Scores!$I$2=0),"",(SUMPRODUCT(MAX((Scores!$A$3:$A$502=$A83)*Scores!$Q$3:$Q$502*(Scores!$W$3:$W$502+1)))-1)-(5-SUMPRODUCT(MAX((Scores!$A$3:$A$502=$A83)*Scores!$Q$3:$Q$502*(5-Scores!$W$3:$W$502)))))</f>
        <v/>
      </c>
      <c r="I83" s="41">
        <f>IF(OR($A83="",N($B83)&lt;2,Scores!$J$2=0),"",(SUMPRODUCT(MAX((Scores!$A$3:$A$502=$A83)*Scores!$Q$3:$Q$502*(Scores!$X$3:$X$502+1)))-1)-(5-SUMPRODUCT(MAX((Scores!$A$3:$A$502=$A83)*Scores!$Q$3:$Q$502*(5-Scores!$X$3:$X$502)))))</f>
        <v/>
      </c>
      <c r="J83" s="41">
        <f>IF(OR($A83="",N($B83)&lt;2,Scores!$K$2=0),"",(SUMPRODUCT(MAX((Scores!$A$3:$A$502=$A83)*Scores!$Q$3:$Q$502*(Scores!$Y$3:$Y$502+1)))-1)-(5-SUMPRODUCT(MAX((Scores!$A$3:$A$502=$A83)*Scores!$Q$3:$Q$502*(5-Scores!$Y$3:$Y$502)))))</f>
        <v/>
      </c>
      <c r="K83" s="27">
        <f>IF(COUNT(C83:J83)=0,"",MAX(C83:J83))</f>
        <v/>
      </c>
    </row>
    <row r="84">
      <c r="A84" s="41">
        <f>IF(Applications!$A84="","",Applications!$A84&amp;"")</f>
        <v/>
      </c>
      <c r="B84" s="41">
        <f>IF($A84="","",COUNTIFS(Scores!$A$3:$A$502,$A84,Scores!$O$3:$O$502,"Counted"))</f>
        <v/>
      </c>
      <c r="C84" s="41">
        <f>IF(OR($A84="",N($B84)&lt;2,Scores!$D$2=0),"",(SUMPRODUCT(MAX((Scores!$A$3:$A$502=$A84)*Scores!$Q$3:$Q$502*(Scores!$R$3:$R$502+1)))-1)-(5-SUMPRODUCT(MAX((Scores!$A$3:$A$502=$A84)*Scores!$Q$3:$Q$502*(5-Scores!$R$3:$R$502)))))</f>
        <v/>
      </c>
      <c r="D84" s="41">
        <f>IF(OR($A84="",N($B84)&lt;2,Scores!$E$2=0),"",(SUMPRODUCT(MAX((Scores!$A$3:$A$502=$A84)*Scores!$Q$3:$Q$502*(Scores!$S$3:$S$502+1)))-1)-(5-SUMPRODUCT(MAX((Scores!$A$3:$A$502=$A84)*Scores!$Q$3:$Q$502*(5-Scores!$S$3:$S$502)))))</f>
        <v/>
      </c>
      <c r="E84" s="41">
        <f>IF(OR($A84="",N($B84)&lt;2,Scores!$F$2=0),"",(SUMPRODUCT(MAX((Scores!$A$3:$A$502=$A84)*Scores!$Q$3:$Q$502*(Scores!$T$3:$T$502+1)))-1)-(5-SUMPRODUCT(MAX((Scores!$A$3:$A$502=$A84)*Scores!$Q$3:$Q$502*(5-Scores!$T$3:$T$502)))))</f>
        <v/>
      </c>
      <c r="F84" s="41">
        <f>IF(OR($A84="",N($B84)&lt;2,Scores!$G$2=0),"",(SUMPRODUCT(MAX((Scores!$A$3:$A$502=$A84)*Scores!$Q$3:$Q$502*(Scores!$U$3:$U$502+1)))-1)-(5-SUMPRODUCT(MAX((Scores!$A$3:$A$502=$A84)*Scores!$Q$3:$Q$502*(5-Scores!$U$3:$U$502)))))</f>
        <v/>
      </c>
      <c r="G84" s="41">
        <f>IF(OR($A84="",N($B84)&lt;2,Scores!$H$2=0),"",(SUMPRODUCT(MAX((Scores!$A$3:$A$502=$A84)*Scores!$Q$3:$Q$502*(Scores!$V$3:$V$502+1)))-1)-(5-SUMPRODUCT(MAX((Scores!$A$3:$A$502=$A84)*Scores!$Q$3:$Q$502*(5-Scores!$V$3:$V$502)))))</f>
        <v/>
      </c>
      <c r="H84" s="41">
        <f>IF(OR($A84="",N($B84)&lt;2,Scores!$I$2=0),"",(SUMPRODUCT(MAX((Scores!$A$3:$A$502=$A84)*Scores!$Q$3:$Q$502*(Scores!$W$3:$W$502+1)))-1)-(5-SUMPRODUCT(MAX((Scores!$A$3:$A$502=$A84)*Scores!$Q$3:$Q$502*(5-Scores!$W$3:$W$502)))))</f>
        <v/>
      </c>
      <c r="I84" s="41">
        <f>IF(OR($A84="",N($B84)&lt;2,Scores!$J$2=0),"",(SUMPRODUCT(MAX((Scores!$A$3:$A$502=$A84)*Scores!$Q$3:$Q$502*(Scores!$X$3:$X$502+1)))-1)-(5-SUMPRODUCT(MAX((Scores!$A$3:$A$502=$A84)*Scores!$Q$3:$Q$502*(5-Scores!$X$3:$X$502)))))</f>
        <v/>
      </c>
      <c r="J84" s="41">
        <f>IF(OR($A84="",N($B84)&lt;2,Scores!$K$2=0),"",(SUMPRODUCT(MAX((Scores!$A$3:$A$502=$A84)*Scores!$Q$3:$Q$502*(Scores!$Y$3:$Y$502+1)))-1)-(5-SUMPRODUCT(MAX((Scores!$A$3:$A$502=$A84)*Scores!$Q$3:$Q$502*(5-Scores!$Y$3:$Y$502)))))</f>
        <v/>
      </c>
      <c r="K84" s="27">
        <f>IF(COUNT(C84:J84)=0,"",MAX(C84:J84))</f>
        <v/>
      </c>
    </row>
    <row r="85">
      <c r="A85" s="41">
        <f>IF(Applications!$A85="","",Applications!$A85&amp;"")</f>
        <v/>
      </c>
      <c r="B85" s="41">
        <f>IF($A85="","",COUNTIFS(Scores!$A$3:$A$502,$A85,Scores!$O$3:$O$502,"Counted"))</f>
        <v/>
      </c>
      <c r="C85" s="41">
        <f>IF(OR($A85="",N($B85)&lt;2,Scores!$D$2=0),"",(SUMPRODUCT(MAX((Scores!$A$3:$A$502=$A85)*Scores!$Q$3:$Q$502*(Scores!$R$3:$R$502+1)))-1)-(5-SUMPRODUCT(MAX((Scores!$A$3:$A$502=$A85)*Scores!$Q$3:$Q$502*(5-Scores!$R$3:$R$502)))))</f>
        <v/>
      </c>
      <c r="D85" s="41">
        <f>IF(OR($A85="",N($B85)&lt;2,Scores!$E$2=0),"",(SUMPRODUCT(MAX((Scores!$A$3:$A$502=$A85)*Scores!$Q$3:$Q$502*(Scores!$S$3:$S$502+1)))-1)-(5-SUMPRODUCT(MAX((Scores!$A$3:$A$502=$A85)*Scores!$Q$3:$Q$502*(5-Scores!$S$3:$S$502)))))</f>
        <v/>
      </c>
      <c r="E85" s="41">
        <f>IF(OR($A85="",N($B85)&lt;2,Scores!$F$2=0),"",(SUMPRODUCT(MAX((Scores!$A$3:$A$502=$A85)*Scores!$Q$3:$Q$502*(Scores!$T$3:$T$502+1)))-1)-(5-SUMPRODUCT(MAX((Scores!$A$3:$A$502=$A85)*Scores!$Q$3:$Q$502*(5-Scores!$T$3:$T$502)))))</f>
        <v/>
      </c>
      <c r="F85" s="41">
        <f>IF(OR($A85="",N($B85)&lt;2,Scores!$G$2=0),"",(SUMPRODUCT(MAX((Scores!$A$3:$A$502=$A85)*Scores!$Q$3:$Q$502*(Scores!$U$3:$U$502+1)))-1)-(5-SUMPRODUCT(MAX((Scores!$A$3:$A$502=$A85)*Scores!$Q$3:$Q$502*(5-Scores!$U$3:$U$502)))))</f>
        <v/>
      </c>
      <c r="G85" s="41">
        <f>IF(OR($A85="",N($B85)&lt;2,Scores!$H$2=0),"",(SUMPRODUCT(MAX((Scores!$A$3:$A$502=$A85)*Scores!$Q$3:$Q$502*(Scores!$V$3:$V$502+1)))-1)-(5-SUMPRODUCT(MAX((Scores!$A$3:$A$502=$A85)*Scores!$Q$3:$Q$502*(5-Scores!$V$3:$V$502)))))</f>
        <v/>
      </c>
      <c r="H85" s="41">
        <f>IF(OR($A85="",N($B85)&lt;2,Scores!$I$2=0),"",(SUMPRODUCT(MAX((Scores!$A$3:$A$502=$A85)*Scores!$Q$3:$Q$502*(Scores!$W$3:$W$502+1)))-1)-(5-SUMPRODUCT(MAX((Scores!$A$3:$A$502=$A85)*Scores!$Q$3:$Q$502*(5-Scores!$W$3:$W$502)))))</f>
        <v/>
      </c>
      <c r="I85" s="41">
        <f>IF(OR($A85="",N($B85)&lt;2,Scores!$J$2=0),"",(SUMPRODUCT(MAX((Scores!$A$3:$A$502=$A85)*Scores!$Q$3:$Q$502*(Scores!$X$3:$X$502+1)))-1)-(5-SUMPRODUCT(MAX((Scores!$A$3:$A$502=$A85)*Scores!$Q$3:$Q$502*(5-Scores!$X$3:$X$502)))))</f>
        <v/>
      </c>
      <c r="J85" s="41">
        <f>IF(OR($A85="",N($B85)&lt;2,Scores!$K$2=0),"",(SUMPRODUCT(MAX((Scores!$A$3:$A$502=$A85)*Scores!$Q$3:$Q$502*(Scores!$Y$3:$Y$502+1)))-1)-(5-SUMPRODUCT(MAX((Scores!$A$3:$A$502=$A85)*Scores!$Q$3:$Q$502*(5-Scores!$Y$3:$Y$502)))))</f>
        <v/>
      </c>
      <c r="K85" s="27">
        <f>IF(COUNT(C85:J85)=0,"",MAX(C85:J85))</f>
        <v/>
      </c>
    </row>
    <row r="86">
      <c r="A86" s="41">
        <f>IF(Applications!$A86="","",Applications!$A86&amp;"")</f>
        <v/>
      </c>
      <c r="B86" s="41">
        <f>IF($A86="","",COUNTIFS(Scores!$A$3:$A$502,$A86,Scores!$O$3:$O$502,"Counted"))</f>
        <v/>
      </c>
      <c r="C86" s="41">
        <f>IF(OR($A86="",N($B86)&lt;2,Scores!$D$2=0),"",(SUMPRODUCT(MAX((Scores!$A$3:$A$502=$A86)*Scores!$Q$3:$Q$502*(Scores!$R$3:$R$502+1)))-1)-(5-SUMPRODUCT(MAX((Scores!$A$3:$A$502=$A86)*Scores!$Q$3:$Q$502*(5-Scores!$R$3:$R$502)))))</f>
        <v/>
      </c>
      <c r="D86" s="41">
        <f>IF(OR($A86="",N($B86)&lt;2,Scores!$E$2=0),"",(SUMPRODUCT(MAX((Scores!$A$3:$A$502=$A86)*Scores!$Q$3:$Q$502*(Scores!$S$3:$S$502+1)))-1)-(5-SUMPRODUCT(MAX((Scores!$A$3:$A$502=$A86)*Scores!$Q$3:$Q$502*(5-Scores!$S$3:$S$502)))))</f>
        <v/>
      </c>
      <c r="E86" s="41">
        <f>IF(OR($A86="",N($B86)&lt;2,Scores!$F$2=0),"",(SUMPRODUCT(MAX((Scores!$A$3:$A$502=$A86)*Scores!$Q$3:$Q$502*(Scores!$T$3:$T$502+1)))-1)-(5-SUMPRODUCT(MAX((Scores!$A$3:$A$502=$A86)*Scores!$Q$3:$Q$502*(5-Scores!$T$3:$T$502)))))</f>
        <v/>
      </c>
      <c r="F86" s="41">
        <f>IF(OR($A86="",N($B86)&lt;2,Scores!$G$2=0),"",(SUMPRODUCT(MAX((Scores!$A$3:$A$502=$A86)*Scores!$Q$3:$Q$502*(Scores!$U$3:$U$502+1)))-1)-(5-SUMPRODUCT(MAX((Scores!$A$3:$A$502=$A86)*Scores!$Q$3:$Q$502*(5-Scores!$U$3:$U$502)))))</f>
        <v/>
      </c>
      <c r="G86" s="41">
        <f>IF(OR($A86="",N($B86)&lt;2,Scores!$H$2=0),"",(SUMPRODUCT(MAX((Scores!$A$3:$A$502=$A86)*Scores!$Q$3:$Q$502*(Scores!$V$3:$V$502+1)))-1)-(5-SUMPRODUCT(MAX((Scores!$A$3:$A$502=$A86)*Scores!$Q$3:$Q$502*(5-Scores!$V$3:$V$502)))))</f>
        <v/>
      </c>
      <c r="H86" s="41">
        <f>IF(OR($A86="",N($B86)&lt;2,Scores!$I$2=0),"",(SUMPRODUCT(MAX((Scores!$A$3:$A$502=$A86)*Scores!$Q$3:$Q$502*(Scores!$W$3:$W$502+1)))-1)-(5-SUMPRODUCT(MAX((Scores!$A$3:$A$502=$A86)*Scores!$Q$3:$Q$502*(5-Scores!$W$3:$W$502)))))</f>
        <v/>
      </c>
      <c r="I86" s="41">
        <f>IF(OR($A86="",N($B86)&lt;2,Scores!$J$2=0),"",(SUMPRODUCT(MAX((Scores!$A$3:$A$502=$A86)*Scores!$Q$3:$Q$502*(Scores!$X$3:$X$502+1)))-1)-(5-SUMPRODUCT(MAX((Scores!$A$3:$A$502=$A86)*Scores!$Q$3:$Q$502*(5-Scores!$X$3:$X$502)))))</f>
        <v/>
      </c>
      <c r="J86" s="41">
        <f>IF(OR($A86="",N($B86)&lt;2,Scores!$K$2=0),"",(SUMPRODUCT(MAX((Scores!$A$3:$A$502=$A86)*Scores!$Q$3:$Q$502*(Scores!$Y$3:$Y$502+1)))-1)-(5-SUMPRODUCT(MAX((Scores!$A$3:$A$502=$A86)*Scores!$Q$3:$Q$502*(5-Scores!$Y$3:$Y$502)))))</f>
        <v/>
      </c>
      <c r="K86" s="27">
        <f>IF(COUNT(C86:J86)=0,"",MAX(C86:J86))</f>
        <v/>
      </c>
    </row>
    <row r="87">
      <c r="A87" s="41">
        <f>IF(Applications!$A87="","",Applications!$A87&amp;"")</f>
        <v/>
      </c>
      <c r="B87" s="41">
        <f>IF($A87="","",COUNTIFS(Scores!$A$3:$A$502,$A87,Scores!$O$3:$O$502,"Counted"))</f>
        <v/>
      </c>
      <c r="C87" s="41">
        <f>IF(OR($A87="",N($B87)&lt;2,Scores!$D$2=0),"",(SUMPRODUCT(MAX((Scores!$A$3:$A$502=$A87)*Scores!$Q$3:$Q$502*(Scores!$R$3:$R$502+1)))-1)-(5-SUMPRODUCT(MAX((Scores!$A$3:$A$502=$A87)*Scores!$Q$3:$Q$502*(5-Scores!$R$3:$R$502)))))</f>
        <v/>
      </c>
      <c r="D87" s="41">
        <f>IF(OR($A87="",N($B87)&lt;2,Scores!$E$2=0),"",(SUMPRODUCT(MAX((Scores!$A$3:$A$502=$A87)*Scores!$Q$3:$Q$502*(Scores!$S$3:$S$502+1)))-1)-(5-SUMPRODUCT(MAX((Scores!$A$3:$A$502=$A87)*Scores!$Q$3:$Q$502*(5-Scores!$S$3:$S$502)))))</f>
        <v/>
      </c>
      <c r="E87" s="41">
        <f>IF(OR($A87="",N($B87)&lt;2,Scores!$F$2=0),"",(SUMPRODUCT(MAX((Scores!$A$3:$A$502=$A87)*Scores!$Q$3:$Q$502*(Scores!$T$3:$T$502+1)))-1)-(5-SUMPRODUCT(MAX((Scores!$A$3:$A$502=$A87)*Scores!$Q$3:$Q$502*(5-Scores!$T$3:$T$502)))))</f>
        <v/>
      </c>
      <c r="F87" s="41">
        <f>IF(OR($A87="",N($B87)&lt;2,Scores!$G$2=0),"",(SUMPRODUCT(MAX((Scores!$A$3:$A$502=$A87)*Scores!$Q$3:$Q$502*(Scores!$U$3:$U$502+1)))-1)-(5-SUMPRODUCT(MAX((Scores!$A$3:$A$502=$A87)*Scores!$Q$3:$Q$502*(5-Scores!$U$3:$U$502)))))</f>
        <v/>
      </c>
      <c r="G87" s="41">
        <f>IF(OR($A87="",N($B87)&lt;2,Scores!$H$2=0),"",(SUMPRODUCT(MAX((Scores!$A$3:$A$502=$A87)*Scores!$Q$3:$Q$502*(Scores!$V$3:$V$502+1)))-1)-(5-SUMPRODUCT(MAX((Scores!$A$3:$A$502=$A87)*Scores!$Q$3:$Q$502*(5-Scores!$V$3:$V$502)))))</f>
        <v/>
      </c>
      <c r="H87" s="41">
        <f>IF(OR($A87="",N($B87)&lt;2,Scores!$I$2=0),"",(SUMPRODUCT(MAX((Scores!$A$3:$A$502=$A87)*Scores!$Q$3:$Q$502*(Scores!$W$3:$W$502+1)))-1)-(5-SUMPRODUCT(MAX((Scores!$A$3:$A$502=$A87)*Scores!$Q$3:$Q$502*(5-Scores!$W$3:$W$502)))))</f>
        <v/>
      </c>
      <c r="I87" s="41">
        <f>IF(OR($A87="",N($B87)&lt;2,Scores!$J$2=0),"",(SUMPRODUCT(MAX((Scores!$A$3:$A$502=$A87)*Scores!$Q$3:$Q$502*(Scores!$X$3:$X$502+1)))-1)-(5-SUMPRODUCT(MAX((Scores!$A$3:$A$502=$A87)*Scores!$Q$3:$Q$502*(5-Scores!$X$3:$X$502)))))</f>
        <v/>
      </c>
      <c r="J87" s="41">
        <f>IF(OR($A87="",N($B87)&lt;2,Scores!$K$2=0),"",(SUMPRODUCT(MAX((Scores!$A$3:$A$502=$A87)*Scores!$Q$3:$Q$502*(Scores!$Y$3:$Y$502+1)))-1)-(5-SUMPRODUCT(MAX((Scores!$A$3:$A$502=$A87)*Scores!$Q$3:$Q$502*(5-Scores!$Y$3:$Y$502)))))</f>
        <v/>
      </c>
      <c r="K87" s="27">
        <f>IF(COUNT(C87:J87)=0,"",MAX(C87:J87))</f>
        <v/>
      </c>
    </row>
    <row r="88">
      <c r="A88" s="41">
        <f>IF(Applications!$A88="","",Applications!$A88&amp;"")</f>
        <v/>
      </c>
      <c r="B88" s="41">
        <f>IF($A88="","",COUNTIFS(Scores!$A$3:$A$502,$A88,Scores!$O$3:$O$502,"Counted"))</f>
        <v/>
      </c>
      <c r="C88" s="41">
        <f>IF(OR($A88="",N($B88)&lt;2,Scores!$D$2=0),"",(SUMPRODUCT(MAX((Scores!$A$3:$A$502=$A88)*Scores!$Q$3:$Q$502*(Scores!$R$3:$R$502+1)))-1)-(5-SUMPRODUCT(MAX((Scores!$A$3:$A$502=$A88)*Scores!$Q$3:$Q$502*(5-Scores!$R$3:$R$502)))))</f>
        <v/>
      </c>
      <c r="D88" s="41">
        <f>IF(OR($A88="",N($B88)&lt;2,Scores!$E$2=0),"",(SUMPRODUCT(MAX((Scores!$A$3:$A$502=$A88)*Scores!$Q$3:$Q$502*(Scores!$S$3:$S$502+1)))-1)-(5-SUMPRODUCT(MAX((Scores!$A$3:$A$502=$A88)*Scores!$Q$3:$Q$502*(5-Scores!$S$3:$S$502)))))</f>
        <v/>
      </c>
      <c r="E88" s="41">
        <f>IF(OR($A88="",N($B88)&lt;2,Scores!$F$2=0),"",(SUMPRODUCT(MAX((Scores!$A$3:$A$502=$A88)*Scores!$Q$3:$Q$502*(Scores!$T$3:$T$502+1)))-1)-(5-SUMPRODUCT(MAX((Scores!$A$3:$A$502=$A88)*Scores!$Q$3:$Q$502*(5-Scores!$T$3:$T$502)))))</f>
        <v/>
      </c>
      <c r="F88" s="41">
        <f>IF(OR($A88="",N($B88)&lt;2,Scores!$G$2=0),"",(SUMPRODUCT(MAX((Scores!$A$3:$A$502=$A88)*Scores!$Q$3:$Q$502*(Scores!$U$3:$U$502+1)))-1)-(5-SUMPRODUCT(MAX((Scores!$A$3:$A$502=$A88)*Scores!$Q$3:$Q$502*(5-Scores!$U$3:$U$502)))))</f>
        <v/>
      </c>
      <c r="G88" s="41">
        <f>IF(OR($A88="",N($B88)&lt;2,Scores!$H$2=0),"",(SUMPRODUCT(MAX((Scores!$A$3:$A$502=$A88)*Scores!$Q$3:$Q$502*(Scores!$V$3:$V$502+1)))-1)-(5-SUMPRODUCT(MAX((Scores!$A$3:$A$502=$A88)*Scores!$Q$3:$Q$502*(5-Scores!$V$3:$V$502)))))</f>
        <v/>
      </c>
      <c r="H88" s="41">
        <f>IF(OR($A88="",N($B88)&lt;2,Scores!$I$2=0),"",(SUMPRODUCT(MAX((Scores!$A$3:$A$502=$A88)*Scores!$Q$3:$Q$502*(Scores!$W$3:$W$502+1)))-1)-(5-SUMPRODUCT(MAX((Scores!$A$3:$A$502=$A88)*Scores!$Q$3:$Q$502*(5-Scores!$W$3:$W$502)))))</f>
        <v/>
      </c>
      <c r="I88" s="41">
        <f>IF(OR($A88="",N($B88)&lt;2,Scores!$J$2=0),"",(SUMPRODUCT(MAX((Scores!$A$3:$A$502=$A88)*Scores!$Q$3:$Q$502*(Scores!$X$3:$X$502+1)))-1)-(5-SUMPRODUCT(MAX((Scores!$A$3:$A$502=$A88)*Scores!$Q$3:$Q$502*(5-Scores!$X$3:$X$502)))))</f>
        <v/>
      </c>
      <c r="J88" s="41">
        <f>IF(OR($A88="",N($B88)&lt;2,Scores!$K$2=0),"",(SUMPRODUCT(MAX((Scores!$A$3:$A$502=$A88)*Scores!$Q$3:$Q$502*(Scores!$Y$3:$Y$502+1)))-1)-(5-SUMPRODUCT(MAX((Scores!$A$3:$A$502=$A88)*Scores!$Q$3:$Q$502*(5-Scores!$Y$3:$Y$502)))))</f>
        <v/>
      </c>
      <c r="K88" s="27">
        <f>IF(COUNT(C88:J88)=0,"",MAX(C88:J88))</f>
        <v/>
      </c>
    </row>
    <row r="89">
      <c r="A89" s="41">
        <f>IF(Applications!$A89="","",Applications!$A89&amp;"")</f>
        <v/>
      </c>
      <c r="B89" s="41">
        <f>IF($A89="","",COUNTIFS(Scores!$A$3:$A$502,$A89,Scores!$O$3:$O$502,"Counted"))</f>
        <v/>
      </c>
      <c r="C89" s="41">
        <f>IF(OR($A89="",N($B89)&lt;2,Scores!$D$2=0),"",(SUMPRODUCT(MAX((Scores!$A$3:$A$502=$A89)*Scores!$Q$3:$Q$502*(Scores!$R$3:$R$502+1)))-1)-(5-SUMPRODUCT(MAX((Scores!$A$3:$A$502=$A89)*Scores!$Q$3:$Q$502*(5-Scores!$R$3:$R$502)))))</f>
        <v/>
      </c>
      <c r="D89" s="41">
        <f>IF(OR($A89="",N($B89)&lt;2,Scores!$E$2=0),"",(SUMPRODUCT(MAX((Scores!$A$3:$A$502=$A89)*Scores!$Q$3:$Q$502*(Scores!$S$3:$S$502+1)))-1)-(5-SUMPRODUCT(MAX((Scores!$A$3:$A$502=$A89)*Scores!$Q$3:$Q$502*(5-Scores!$S$3:$S$502)))))</f>
        <v/>
      </c>
      <c r="E89" s="41">
        <f>IF(OR($A89="",N($B89)&lt;2,Scores!$F$2=0),"",(SUMPRODUCT(MAX((Scores!$A$3:$A$502=$A89)*Scores!$Q$3:$Q$502*(Scores!$T$3:$T$502+1)))-1)-(5-SUMPRODUCT(MAX((Scores!$A$3:$A$502=$A89)*Scores!$Q$3:$Q$502*(5-Scores!$T$3:$T$502)))))</f>
        <v/>
      </c>
      <c r="F89" s="41">
        <f>IF(OR($A89="",N($B89)&lt;2,Scores!$G$2=0),"",(SUMPRODUCT(MAX((Scores!$A$3:$A$502=$A89)*Scores!$Q$3:$Q$502*(Scores!$U$3:$U$502+1)))-1)-(5-SUMPRODUCT(MAX((Scores!$A$3:$A$502=$A89)*Scores!$Q$3:$Q$502*(5-Scores!$U$3:$U$502)))))</f>
        <v/>
      </c>
      <c r="G89" s="41">
        <f>IF(OR($A89="",N($B89)&lt;2,Scores!$H$2=0),"",(SUMPRODUCT(MAX((Scores!$A$3:$A$502=$A89)*Scores!$Q$3:$Q$502*(Scores!$V$3:$V$502+1)))-1)-(5-SUMPRODUCT(MAX((Scores!$A$3:$A$502=$A89)*Scores!$Q$3:$Q$502*(5-Scores!$V$3:$V$502)))))</f>
        <v/>
      </c>
      <c r="H89" s="41">
        <f>IF(OR($A89="",N($B89)&lt;2,Scores!$I$2=0),"",(SUMPRODUCT(MAX((Scores!$A$3:$A$502=$A89)*Scores!$Q$3:$Q$502*(Scores!$W$3:$W$502+1)))-1)-(5-SUMPRODUCT(MAX((Scores!$A$3:$A$502=$A89)*Scores!$Q$3:$Q$502*(5-Scores!$W$3:$W$502)))))</f>
        <v/>
      </c>
      <c r="I89" s="41">
        <f>IF(OR($A89="",N($B89)&lt;2,Scores!$J$2=0),"",(SUMPRODUCT(MAX((Scores!$A$3:$A$502=$A89)*Scores!$Q$3:$Q$502*(Scores!$X$3:$X$502+1)))-1)-(5-SUMPRODUCT(MAX((Scores!$A$3:$A$502=$A89)*Scores!$Q$3:$Q$502*(5-Scores!$X$3:$X$502)))))</f>
        <v/>
      </c>
      <c r="J89" s="41">
        <f>IF(OR($A89="",N($B89)&lt;2,Scores!$K$2=0),"",(SUMPRODUCT(MAX((Scores!$A$3:$A$502=$A89)*Scores!$Q$3:$Q$502*(Scores!$Y$3:$Y$502+1)))-1)-(5-SUMPRODUCT(MAX((Scores!$A$3:$A$502=$A89)*Scores!$Q$3:$Q$502*(5-Scores!$Y$3:$Y$502)))))</f>
        <v/>
      </c>
      <c r="K89" s="27">
        <f>IF(COUNT(C89:J89)=0,"",MAX(C89:J89))</f>
        <v/>
      </c>
    </row>
    <row r="90">
      <c r="A90" s="41">
        <f>IF(Applications!$A90="","",Applications!$A90&amp;"")</f>
        <v/>
      </c>
      <c r="B90" s="41">
        <f>IF($A90="","",COUNTIFS(Scores!$A$3:$A$502,$A90,Scores!$O$3:$O$502,"Counted"))</f>
        <v/>
      </c>
      <c r="C90" s="41">
        <f>IF(OR($A90="",N($B90)&lt;2,Scores!$D$2=0),"",(SUMPRODUCT(MAX((Scores!$A$3:$A$502=$A90)*Scores!$Q$3:$Q$502*(Scores!$R$3:$R$502+1)))-1)-(5-SUMPRODUCT(MAX((Scores!$A$3:$A$502=$A90)*Scores!$Q$3:$Q$502*(5-Scores!$R$3:$R$502)))))</f>
        <v/>
      </c>
      <c r="D90" s="41">
        <f>IF(OR($A90="",N($B90)&lt;2,Scores!$E$2=0),"",(SUMPRODUCT(MAX((Scores!$A$3:$A$502=$A90)*Scores!$Q$3:$Q$502*(Scores!$S$3:$S$502+1)))-1)-(5-SUMPRODUCT(MAX((Scores!$A$3:$A$502=$A90)*Scores!$Q$3:$Q$502*(5-Scores!$S$3:$S$502)))))</f>
        <v/>
      </c>
      <c r="E90" s="41">
        <f>IF(OR($A90="",N($B90)&lt;2,Scores!$F$2=0),"",(SUMPRODUCT(MAX((Scores!$A$3:$A$502=$A90)*Scores!$Q$3:$Q$502*(Scores!$T$3:$T$502+1)))-1)-(5-SUMPRODUCT(MAX((Scores!$A$3:$A$502=$A90)*Scores!$Q$3:$Q$502*(5-Scores!$T$3:$T$502)))))</f>
        <v/>
      </c>
      <c r="F90" s="41">
        <f>IF(OR($A90="",N($B90)&lt;2,Scores!$G$2=0),"",(SUMPRODUCT(MAX((Scores!$A$3:$A$502=$A90)*Scores!$Q$3:$Q$502*(Scores!$U$3:$U$502+1)))-1)-(5-SUMPRODUCT(MAX((Scores!$A$3:$A$502=$A90)*Scores!$Q$3:$Q$502*(5-Scores!$U$3:$U$502)))))</f>
        <v/>
      </c>
      <c r="G90" s="41">
        <f>IF(OR($A90="",N($B90)&lt;2,Scores!$H$2=0),"",(SUMPRODUCT(MAX((Scores!$A$3:$A$502=$A90)*Scores!$Q$3:$Q$502*(Scores!$V$3:$V$502+1)))-1)-(5-SUMPRODUCT(MAX((Scores!$A$3:$A$502=$A90)*Scores!$Q$3:$Q$502*(5-Scores!$V$3:$V$502)))))</f>
        <v/>
      </c>
      <c r="H90" s="41">
        <f>IF(OR($A90="",N($B90)&lt;2,Scores!$I$2=0),"",(SUMPRODUCT(MAX((Scores!$A$3:$A$502=$A90)*Scores!$Q$3:$Q$502*(Scores!$W$3:$W$502+1)))-1)-(5-SUMPRODUCT(MAX((Scores!$A$3:$A$502=$A90)*Scores!$Q$3:$Q$502*(5-Scores!$W$3:$W$502)))))</f>
        <v/>
      </c>
      <c r="I90" s="41">
        <f>IF(OR($A90="",N($B90)&lt;2,Scores!$J$2=0),"",(SUMPRODUCT(MAX((Scores!$A$3:$A$502=$A90)*Scores!$Q$3:$Q$502*(Scores!$X$3:$X$502+1)))-1)-(5-SUMPRODUCT(MAX((Scores!$A$3:$A$502=$A90)*Scores!$Q$3:$Q$502*(5-Scores!$X$3:$X$502)))))</f>
        <v/>
      </c>
      <c r="J90" s="41">
        <f>IF(OR($A90="",N($B90)&lt;2,Scores!$K$2=0),"",(SUMPRODUCT(MAX((Scores!$A$3:$A$502=$A90)*Scores!$Q$3:$Q$502*(Scores!$Y$3:$Y$502+1)))-1)-(5-SUMPRODUCT(MAX((Scores!$A$3:$A$502=$A90)*Scores!$Q$3:$Q$502*(5-Scores!$Y$3:$Y$502)))))</f>
        <v/>
      </c>
      <c r="K90" s="27">
        <f>IF(COUNT(C90:J90)=0,"",MAX(C90:J90))</f>
        <v/>
      </c>
    </row>
    <row r="91">
      <c r="A91" s="41">
        <f>IF(Applications!$A91="","",Applications!$A91&amp;"")</f>
        <v/>
      </c>
      <c r="B91" s="41">
        <f>IF($A91="","",COUNTIFS(Scores!$A$3:$A$502,$A91,Scores!$O$3:$O$502,"Counted"))</f>
        <v/>
      </c>
      <c r="C91" s="41">
        <f>IF(OR($A91="",N($B91)&lt;2,Scores!$D$2=0),"",(SUMPRODUCT(MAX((Scores!$A$3:$A$502=$A91)*Scores!$Q$3:$Q$502*(Scores!$R$3:$R$502+1)))-1)-(5-SUMPRODUCT(MAX((Scores!$A$3:$A$502=$A91)*Scores!$Q$3:$Q$502*(5-Scores!$R$3:$R$502)))))</f>
        <v/>
      </c>
      <c r="D91" s="41">
        <f>IF(OR($A91="",N($B91)&lt;2,Scores!$E$2=0),"",(SUMPRODUCT(MAX((Scores!$A$3:$A$502=$A91)*Scores!$Q$3:$Q$502*(Scores!$S$3:$S$502+1)))-1)-(5-SUMPRODUCT(MAX((Scores!$A$3:$A$502=$A91)*Scores!$Q$3:$Q$502*(5-Scores!$S$3:$S$502)))))</f>
        <v/>
      </c>
      <c r="E91" s="41">
        <f>IF(OR($A91="",N($B91)&lt;2,Scores!$F$2=0),"",(SUMPRODUCT(MAX((Scores!$A$3:$A$502=$A91)*Scores!$Q$3:$Q$502*(Scores!$T$3:$T$502+1)))-1)-(5-SUMPRODUCT(MAX((Scores!$A$3:$A$502=$A91)*Scores!$Q$3:$Q$502*(5-Scores!$T$3:$T$502)))))</f>
        <v/>
      </c>
      <c r="F91" s="41">
        <f>IF(OR($A91="",N($B91)&lt;2,Scores!$G$2=0),"",(SUMPRODUCT(MAX((Scores!$A$3:$A$502=$A91)*Scores!$Q$3:$Q$502*(Scores!$U$3:$U$502+1)))-1)-(5-SUMPRODUCT(MAX((Scores!$A$3:$A$502=$A91)*Scores!$Q$3:$Q$502*(5-Scores!$U$3:$U$502)))))</f>
        <v/>
      </c>
      <c r="G91" s="41">
        <f>IF(OR($A91="",N($B91)&lt;2,Scores!$H$2=0),"",(SUMPRODUCT(MAX((Scores!$A$3:$A$502=$A91)*Scores!$Q$3:$Q$502*(Scores!$V$3:$V$502+1)))-1)-(5-SUMPRODUCT(MAX((Scores!$A$3:$A$502=$A91)*Scores!$Q$3:$Q$502*(5-Scores!$V$3:$V$502)))))</f>
        <v/>
      </c>
      <c r="H91" s="41">
        <f>IF(OR($A91="",N($B91)&lt;2,Scores!$I$2=0),"",(SUMPRODUCT(MAX((Scores!$A$3:$A$502=$A91)*Scores!$Q$3:$Q$502*(Scores!$W$3:$W$502+1)))-1)-(5-SUMPRODUCT(MAX((Scores!$A$3:$A$502=$A91)*Scores!$Q$3:$Q$502*(5-Scores!$W$3:$W$502)))))</f>
        <v/>
      </c>
      <c r="I91" s="41">
        <f>IF(OR($A91="",N($B91)&lt;2,Scores!$J$2=0),"",(SUMPRODUCT(MAX((Scores!$A$3:$A$502=$A91)*Scores!$Q$3:$Q$502*(Scores!$X$3:$X$502+1)))-1)-(5-SUMPRODUCT(MAX((Scores!$A$3:$A$502=$A91)*Scores!$Q$3:$Q$502*(5-Scores!$X$3:$X$502)))))</f>
        <v/>
      </c>
      <c r="J91" s="41">
        <f>IF(OR($A91="",N($B91)&lt;2,Scores!$K$2=0),"",(SUMPRODUCT(MAX((Scores!$A$3:$A$502=$A91)*Scores!$Q$3:$Q$502*(Scores!$Y$3:$Y$502+1)))-1)-(5-SUMPRODUCT(MAX((Scores!$A$3:$A$502=$A91)*Scores!$Q$3:$Q$502*(5-Scores!$Y$3:$Y$502)))))</f>
        <v/>
      </c>
      <c r="K91" s="27">
        <f>IF(COUNT(C91:J91)=0,"",MAX(C91:J91))</f>
        <v/>
      </c>
    </row>
    <row r="92">
      <c r="A92" s="41">
        <f>IF(Applications!$A92="","",Applications!$A92&amp;"")</f>
        <v/>
      </c>
      <c r="B92" s="41">
        <f>IF($A92="","",COUNTIFS(Scores!$A$3:$A$502,$A92,Scores!$O$3:$O$502,"Counted"))</f>
        <v/>
      </c>
      <c r="C92" s="41">
        <f>IF(OR($A92="",N($B92)&lt;2,Scores!$D$2=0),"",(SUMPRODUCT(MAX((Scores!$A$3:$A$502=$A92)*Scores!$Q$3:$Q$502*(Scores!$R$3:$R$502+1)))-1)-(5-SUMPRODUCT(MAX((Scores!$A$3:$A$502=$A92)*Scores!$Q$3:$Q$502*(5-Scores!$R$3:$R$502)))))</f>
        <v/>
      </c>
      <c r="D92" s="41">
        <f>IF(OR($A92="",N($B92)&lt;2,Scores!$E$2=0),"",(SUMPRODUCT(MAX((Scores!$A$3:$A$502=$A92)*Scores!$Q$3:$Q$502*(Scores!$S$3:$S$502+1)))-1)-(5-SUMPRODUCT(MAX((Scores!$A$3:$A$502=$A92)*Scores!$Q$3:$Q$502*(5-Scores!$S$3:$S$502)))))</f>
        <v/>
      </c>
      <c r="E92" s="41">
        <f>IF(OR($A92="",N($B92)&lt;2,Scores!$F$2=0),"",(SUMPRODUCT(MAX((Scores!$A$3:$A$502=$A92)*Scores!$Q$3:$Q$502*(Scores!$T$3:$T$502+1)))-1)-(5-SUMPRODUCT(MAX((Scores!$A$3:$A$502=$A92)*Scores!$Q$3:$Q$502*(5-Scores!$T$3:$T$502)))))</f>
        <v/>
      </c>
      <c r="F92" s="41">
        <f>IF(OR($A92="",N($B92)&lt;2,Scores!$G$2=0),"",(SUMPRODUCT(MAX((Scores!$A$3:$A$502=$A92)*Scores!$Q$3:$Q$502*(Scores!$U$3:$U$502+1)))-1)-(5-SUMPRODUCT(MAX((Scores!$A$3:$A$502=$A92)*Scores!$Q$3:$Q$502*(5-Scores!$U$3:$U$502)))))</f>
        <v/>
      </c>
      <c r="G92" s="41">
        <f>IF(OR($A92="",N($B92)&lt;2,Scores!$H$2=0),"",(SUMPRODUCT(MAX((Scores!$A$3:$A$502=$A92)*Scores!$Q$3:$Q$502*(Scores!$V$3:$V$502+1)))-1)-(5-SUMPRODUCT(MAX((Scores!$A$3:$A$502=$A92)*Scores!$Q$3:$Q$502*(5-Scores!$V$3:$V$502)))))</f>
        <v/>
      </c>
      <c r="H92" s="41">
        <f>IF(OR($A92="",N($B92)&lt;2,Scores!$I$2=0),"",(SUMPRODUCT(MAX((Scores!$A$3:$A$502=$A92)*Scores!$Q$3:$Q$502*(Scores!$W$3:$W$502+1)))-1)-(5-SUMPRODUCT(MAX((Scores!$A$3:$A$502=$A92)*Scores!$Q$3:$Q$502*(5-Scores!$W$3:$W$502)))))</f>
        <v/>
      </c>
      <c r="I92" s="41">
        <f>IF(OR($A92="",N($B92)&lt;2,Scores!$J$2=0),"",(SUMPRODUCT(MAX((Scores!$A$3:$A$502=$A92)*Scores!$Q$3:$Q$502*(Scores!$X$3:$X$502+1)))-1)-(5-SUMPRODUCT(MAX((Scores!$A$3:$A$502=$A92)*Scores!$Q$3:$Q$502*(5-Scores!$X$3:$X$502)))))</f>
        <v/>
      </c>
      <c r="J92" s="41">
        <f>IF(OR($A92="",N($B92)&lt;2,Scores!$K$2=0),"",(SUMPRODUCT(MAX((Scores!$A$3:$A$502=$A92)*Scores!$Q$3:$Q$502*(Scores!$Y$3:$Y$502+1)))-1)-(5-SUMPRODUCT(MAX((Scores!$A$3:$A$502=$A92)*Scores!$Q$3:$Q$502*(5-Scores!$Y$3:$Y$502)))))</f>
        <v/>
      </c>
      <c r="K92" s="27">
        <f>IF(COUNT(C92:J92)=0,"",MAX(C92:J92))</f>
        <v/>
      </c>
    </row>
    <row r="93">
      <c r="A93" s="41">
        <f>IF(Applications!$A93="","",Applications!$A93&amp;"")</f>
        <v/>
      </c>
      <c r="B93" s="41">
        <f>IF($A93="","",COUNTIFS(Scores!$A$3:$A$502,$A93,Scores!$O$3:$O$502,"Counted"))</f>
        <v/>
      </c>
      <c r="C93" s="41">
        <f>IF(OR($A93="",N($B93)&lt;2,Scores!$D$2=0),"",(SUMPRODUCT(MAX((Scores!$A$3:$A$502=$A93)*Scores!$Q$3:$Q$502*(Scores!$R$3:$R$502+1)))-1)-(5-SUMPRODUCT(MAX((Scores!$A$3:$A$502=$A93)*Scores!$Q$3:$Q$502*(5-Scores!$R$3:$R$502)))))</f>
        <v/>
      </c>
      <c r="D93" s="41">
        <f>IF(OR($A93="",N($B93)&lt;2,Scores!$E$2=0),"",(SUMPRODUCT(MAX((Scores!$A$3:$A$502=$A93)*Scores!$Q$3:$Q$502*(Scores!$S$3:$S$502+1)))-1)-(5-SUMPRODUCT(MAX((Scores!$A$3:$A$502=$A93)*Scores!$Q$3:$Q$502*(5-Scores!$S$3:$S$502)))))</f>
        <v/>
      </c>
      <c r="E93" s="41">
        <f>IF(OR($A93="",N($B93)&lt;2,Scores!$F$2=0),"",(SUMPRODUCT(MAX((Scores!$A$3:$A$502=$A93)*Scores!$Q$3:$Q$502*(Scores!$T$3:$T$502+1)))-1)-(5-SUMPRODUCT(MAX((Scores!$A$3:$A$502=$A93)*Scores!$Q$3:$Q$502*(5-Scores!$T$3:$T$502)))))</f>
        <v/>
      </c>
      <c r="F93" s="41">
        <f>IF(OR($A93="",N($B93)&lt;2,Scores!$G$2=0),"",(SUMPRODUCT(MAX((Scores!$A$3:$A$502=$A93)*Scores!$Q$3:$Q$502*(Scores!$U$3:$U$502+1)))-1)-(5-SUMPRODUCT(MAX((Scores!$A$3:$A$502=$A93)*Scores!$Q$3:$Q$502*(5-Scores!$U$3:$U$502)))))</f>
        <v/>
      </c>
      <c r="G93" s="41">
        <f>IF(OR($A93="",N($B93)&lt;2,Scores!$H$2=0),"",(SUMPRODUCT(MAX((Scores!$A$3:$A$502=$A93)*Scores!$Q$3:$Q$502*(Scores!$V$3:$V$502+1)))-1)-(5-SUMPRODUCT(MAX((Scores!$A$3:$A$502=$A93)*Scores!$Q$3:$Q$502*(5-Scores!$V$3:$V$502)))))</f>
        <v/>
      </c>
      <c r="H93" s="41">
        <f>IF(OR($A93="",N($B93)&lt;2,Scores!$I$2=0),"",(SUMPRODUCT(MAX((Scores!$A$3:$A$502=$A93)*Scores!$Q$3:$Q$502*(Scores!$W$3:$W$502+1)))-1)-(5-SUMPRODUCT(MAX((Scores!$A$3:$A$502=$A93)*Scores!$Q$3:$Q$502*(5-Scores!$W$3:$W$502)))))</f>
        <v/>
      </c>
      <c r="I93" s="41">
        <f>IF(OR($A93="",N($B93)&lt;2,Scores!$J$2=0),"",(SUMPRODUCT(MAX((Scores!$A$3:$A$502=$A93)*Scores!$Q$3:$Q$502*(Scores!$X$3:$X$502+1)))-1)-(5-SUMPRODUCT(MAX((Scores!$A$3:$A$502=$A93)*Scores!$Q$3:$Q$502*(5-Scores!$X$3:$X$502)))))</f>
        <v/>
      </c>
      <c r="J93" s="41">
        <f>IF(OR($A93="",N($B93)&lt;2,Scores!$K$2=0),"",(SUMPRODUCT(MAX((Scores!$A$3:$A$502=$A93)*Scores!$Q$3:$Q$502*(Scores!$Y$3:$Y$502+1)))-1)-(5-SUMPRODUCT(MAX((Scores!$A$3:$A$502=$A93)*Scores!$Q$3:$Q$502*(5-Scores!$Y$3:$Y$502)))))</f>
        <v/>
      </c>
      <c r="K93" s="27">
        <f>IF(COUNT(C93:J93)=0,"",MAX(C93:J93))</f>
        <v/>
      </c>
    </row>
    <row r="94">
      <c r="A94" s="41">
        <f>IF(Applications!$A94="","",Applications!$A94&amp;"")</f>
        <v/>
      </c>
      <c r="B94" s="41">
        <f>IF($A94="","",COUNTIFS(Scores!$A$3:$A$502,$A94,Scores!$O$3:$O$502,"Counted"))</f>
        <v/>
      </c>
      <c r="C94" s="41">
        <f>IF(OR($A94="",N($B94)&lt;2,Scores!$D$2=0),"",(SUMPRODUCT(MAX((Scores!$A$3:$A$502=$A94)*Scores!$Q$3:$Q$502*(Scores!$R$3:$R$502+1)))-1)-(5-SUMPRODUCT(MAX((Scores!$A$3:$A$502=$A94)*Scores!$Q$3:$Q$502*(5-Scores!$R$3:$R$502)))))</f>
        <v/>
      </c>
      <c r="D94" s="41">
        <f>IF(OR($A94="",N($B94)&lt;2,Scores!$E$2=0),"",(SUMPRODUCT(MAX((Scores!$A$3:$A$502=$A94)*Scores!$Q$3:$Q$502*(Scores!$S$3:$S$502+1)))-1)-(5-SUMPRODUCT(MAX((Scores!$A$3:$A$502=$A94)*Scores!$Q$3:$Q$502*(5-Scores!$S$3:$S$502)))))</f>
        <v/>
      </c>
      <c r="E94" s="41">
        <f>IF(OR($A94="",N($B94)&lt;2,Scores!$F$2=0),"",(SUMPRODUCT(MAX((Scores!$A$3:$A$502=$A94)*Scores!$Q$3:$Q$502*(Scores!$T$3:$T$502+1)))-1)-(5-SUMPRODUCT(MAX((Scores!$A$3:$A$502=$A94)*Scores!$Q$3:$Q$502*(5-Scores!$T$3:$T$502)))))</f>
        <v/>
      </c>
      <c r="F94" s="41">
        <f>IF(OR($A94="",N($B94)&lt;2,Scores!$G$2=0),"",(SUMPRODUCT(MAX((Scores!$A$3:$A$502=$A94)*Scores!$Q$3:$Q$502*(Scores!$U$3:$U$502+1)))-1)-(5-SUMPRODUCT(MAX((Scores!$A$3:$A$502=$A94)*Scores!$Q$3:$Q$502*(5-Scores!$U$3:$U$502)))))</f>
        <v/>
      </c>
      <c r="G94" s="41">
        <f>IF(OR($A94="",N($B94)&lt;2,Scores!$H$2=0),"",(SUMPRODUCT(MAX((Scores!$A$3:$A$502=$A94)*Scores!$Q$3:$Q$502*(Scores!$V$3:$V$502+1)))-1)-(5-SUMPRODUCT(MAX((Scores!$A$3:$A$502=$A94)*Scores!$Q$3:$Q$502*(5-Scores!$V$3:$V$502)))))</f>
        <v/>
      </c>
      <c r="H94" s="41">
        <f>IF(OR($A94="",N($B94)&lt;2,Scores!$I$2=0),"",(SUMPRODUCT(MAX((Scores!$A$3:$A$502=$A94)*Scores!$Q$3:$Q$502*(Scores!$W$3:$W$502+1)))-1)-(5-SUMPRODUCT(MAX((Scores!$A$3:$A$502=$A94)*Scores!$Q$3:$Q$502*(5-Scores!$W$3:$W$502)))))</f>
        <v/>
      </c>
      <c r="I94" s="41">
        <f>IF(OR($A94="",N($B94)&lt;2,Scores!$J$2=0),"",(SUMPRODUCT(MAX((Scores!$A$3:$A$502=$A94)*Scores!$Q$3:$Q$502*(Scores!$X$3:$X$502+1)))-1)-(5-SUMPRODUCT(MAX((Scores!$A$3:$A$502=$A94)*Scores!$Q$3:$Q$502*(5-Scores!$X$3:$X$502)))))</f>
        <v/>
      </c>
      <c r="J94" s="41">
        <f>IF(OR($A94="",N($B94)&lt;2,Scores!$K$2=0),"",(SUMPRODUCT(MAX((Scores!$A$3:$A$502=$A94)*Scores!$Q$3:$Q$502*(Scores!$Y$3:$Y$502+1)))-1)-(5-SUMPRODUCT(MAX((Scores!$A$3:$A$502=$A94)*Scores!$Q$3:$Q$502*(5-Scores!$Y$3:$Y$502)))))</f>
        <v/>
      </c>
      <c r="K94" s="27">
        <f>IF(COUNT(C94:J94)=0,"",MAX(C94:J94))</f>
        <v/>
      </c>
    </row>
    <row r="95">
      <c r="A95" s="41">
        <f>IF(Applications!$A95="","",Applications!$A95&amp;"")</f>
        <v/>
      </c>
      <c r="B95" s="41">
        <f>IF($A95="","",COUNTIFS(Scores!$A$3:$A$502,$A95,Scores!$O$3:$O$502,"Counted"))</f>
        <v/>
      </c>
      <c r="C95" s="41">
        <f>IF(OR($A95="",N($B95)&lt;2,Scores!$D$2=0),"",(SUMPRODUCT(MAX((Scores!$A$3:$A$502=$A95)*Scores!$Q$3:$Q$502*(Scores!$R$3:$R$502+1)))-1)-(5-SUMPRODUCT(MAX((Scores!$A$3:$A$502=$A95)*Scores!$Q$3:$Q$502*(5-Scores!$R$3:$R$502)))))</f>
        <v/>
      </c>
      <c r="D95" s="41">
        <f>IF(OR($A95="",N($B95)&lt;2,Scores!$E$2=0),"",(SUMPRODUCT(MAX((Scores!$A$3:$A$502=$A95)*Scores!$Q$3:$Q$502*(Scores!$S$3:$S$502+1)))-1)-(5-SUMPRODUCT(MAX((Scores!$A$3:$A$502=$A95)*Scores!$Q$3:$Q$502*(5-Scores!$S$3:$S$502)))))</f>
        <v/>
      </c>
      <c r="E95" s="41">
        <f>IF(OR($A95="",N($B95)&lt;2,Scores!$F$2=0),"",(SUMPRODUCT(MAX((Scores!$A$3:$A$502=$A95)*Scores!$Q$3:$Q$502*(Scores!$T$3:$T$502+1)))-1)-(5-SUMPRODUCT(MAX((Scores!$A$3:$A$502=$A95)*Scores!$Q$3:$Q$502*(5-Scores!$T$3:$T$502)))))</f>
        <v/>
      </c>
      <c r="F95" s="41">
        <f>IF(OR($A95="",N($B95)&lt;2,Scores!$G$2=0),"",(SUMPRODUCT(MAX((Scores!$A$3:$A$502=$A95)*Scores!$Q$3:$Q$502*(Scores!$U$3:$U$502+1)))-1)-(5-SUMPRODUCT(MAX((Scores!$A$3:$A$502=$A95)*Scores!$Q$3:$Q$502*(5-Scores!$U$3:$U$502)))))</f>
        <v/>
      </c>
      <c r="G95" s="41">
        <f>IF(OR($A95="",N($B95)&lt;2,Scores!$H$2=0),"",(SUMPRODUCT(MAX((Scores!$A$3:$A$502=$A95)*Scores!$Q$3:$Q$502*(Scores!$V$3:$V$502+1)))-1)-(5-SUMPRODUCT(MAX((Scores!$A$3:$A$502=$A95)*Scores!$Q$3:$Q$502*(5-Scores!$V$3:$V$502)))))</f>
        <v/>
      </c>
      <c r="H95" s="41">
        <f>IF(OR($A95="",N($B95)&lt;2,Scores!$I$2=0),"",(SUMPRODUCT(MAX((Scores!$A$3:$A$502=$A95)*Scores!$Q$3:$Q$502*(Scores!$W$3:$W$502+1)))-1)-(5-SUMPRODUCT(MAX((Scores!$A$3:$A$502=$A95)*Scores!$Q$3:$Q$502*(5-Scores!$W$3:$W$502)))))</f>
        <v/>
      </c>
      <c r="I95" s="41">
        <f>IF(OR($A95="",N($B95)&lt;2,Scores!$J$2=0),"",(SUMPRODUCT(MAX((Scores!$A$3:$A$502=$A95)*Scores!$Q$3:$Q$502*(Scores!$X$3:$X$502+1)))-1)-(5-SUMPRODUCT(MAX((Scores!$A$3:$A$502=$A95)*Scores!$Q$3:$Q$502*(5-Scores!$X$3:$X$502)))))</f>
        <v/>
      </c>
      <c r="J95" s="41">
        <f>IF(OR($A95="",N($B95)&lt;2,Scores!$K$2=0),"",(SUMPRODUCT(MAX((Scores!$A$3:$A$502=$A95)*Scores!$Q$3:$Q$502*(Scores!$Y$3:$Y$502+1)))-1)-(5-SUMPRODUCT(MAX((Scores!$A$3:$A$502=$A95)*Scores!$Q$3:$Q$502*(5-Scores!$Y$3:$Y$502)))))</f>
        <v/>
      </c>
      <c r="K95" s="27">
        <f>IF(COUNT(C95:J95)=0,"",MAX(C95:J95))</f>
        <v/>
      </c>
    </row>
    <row r="96">
      <c r="A96" s="41">
        <f>IF(Applications!$A96="","",Applications!$A96&amp;"")</f>
        <v/>
      </c>
      <c r="B96" s="41">
        <f>IF($A96="","",COUNTIFS(Scores!$A$3:$A$502,$A96,Scores!$O$3:$O$502,"Counted"))</f>
        <v/>
      </c>
      <c r="C96" s="41">
        <f>IF(OR($A96="",N($B96)&lt;2,Scores!$D$2=0),"",(SUMPRODUCT(MAX((Scores!$A$3:$A$502=$A96)*Scores!$Q$3:$Q$502*(Scores!$R$3:$R$502+1)))-1)-(5-SUMPRODUCT(MAX((Scores!$A$3:$A$502=$A96)*Scores!$Q$3:$Q$502*(5-Scores!$R$3:$R$502)))))</f>
        <v/>
      </c>
      <c r="D96" s="41">
        <f>IF(OR($A96="",N($B96)&lt;2,Scores!$E$2=0),"",(SUMPRODUCT(MAX((Scores!$A$3:$A$502=$A96)*Scores!$Q$3:$Q$502*(Scores!$S$3:$S$502+1)))-1)-(5-SUMPRODUCT(MAX((Scores!$A$3:$A$502=$A96)*Scores!$Q$3:$Q$502*(5-Scores!$S$3:$S$502)))))</f>
        <v/>
      </c>
      <c r="E96" s="41">
        <f>IF(OR($A96="",N($B96)&lt;2,Scores!$F$2=0),"",(SUMPRODUCT(MAX((Scores!$A$3:$A$502=$A96)*Scores!$Q$3:$Q$502*(Scores!$T$3:$T$502+1)))-1)-(5-SUMPRODUCT(MAX((Scores!$A$3:$A$502=$A96)*Scores!$Q$3:$Q$502*(5-Scores!$T$3:$T$502)))))</f>
        <v/>
      </c>
      <c r="F96" s="41">
        <f>IF(OR($A96="",N($B96)&lt;2,Scores!$G$2=0),"",(SUMPRODUCT(MAX((Scores!$A$3:$A$502=$A96)*Scores!$Q$3:$Q$502*(Scores!$U$3:$U$502+1)))-1)-(5-SUMPRODUCT(MAX((Scores!$A$3:$A$502=$A96)*Scores!$Q$3:$Q$502*(5-Scores!$U$3:$U$502)))))</f>
        <v/>
      </c>
      <c r="G96" s="41">
        <f>IF(OR($A96="",N($B96)&lt;2,Scores!$H$2=0),"",(SUMPRODUCT(MAX((Scores!$A$3:$A$502=$A96)*Scores!$Q$3:$Q$502*(Scores!$V$3:$V$502+1)))-1)-(5-SUMPRODUCT(MAX((Scores!$A$3:$A$502=$A96)*Scores!$Q$3:$Q$502*(5-Scores!$V$3:$V$502)))))</f>
        <v/>
      </c>
      <c r="H96" s="41">
        <f>IF(OR($A96="",N($B96)&lt;2,Scores!$I$2=0),"",(SUMPRODUCT(MAX((Scores!$A$3:$A$502=$A96)*Scores!$Q$3:$Q$502*(Scores!$W$3:$W$502+1)))-1)-(5-SUMPRODUCT(MAX((Scores!$A$3:$A$502=$A96)*Scores!$Q$3:$Q$502*(5-Scores!$W$3:$W$502)))))</f>
        <v/>
      </c>
      <c r="I96" s="41">
        <f>IF(OR($A96="",N($B96)&lt;2,Scores!$J$2=0),"",(SUMPRODUCT(MAX((Scores!$A$3:$A$502=$A96)*Scores!$Q$3:$Q$502*(Scores!$X$3:$X$502+1)))-1)-(5-SUMPRODUCT(MAX((Scores!$A$3:$A$502=$A96)*Scores!$Q$3:$Q$502*(5-Scores!$X$3:$X$502)))))</f>
        <v/>
      </c>
      <c r="J96" s="41">
        <f>IF(OR($A96="",N($B96)&lt;2,Scores!$K$2=0),"",(SUMPRODUCT(MAX((Scores!$A$3:$A$502=$A96)*Scores!$Q$3:$Q$502*(Scores!$Y$3:$Y$502+1)))-1)-(5-SUMPRODUCT(MAX((Scores!$A$3:$A$502=$A96)*Scores!$Q$3:$Q$502*(5-Scores!$Y$3:$Y$502)))))</f>
        <v/>
      </c>
      <c r="K96" s="27">
        <f>IF(COUNT(C96:J96)=0,"",MAX(C96:J96))</f>
        <v/>
      </c>
    </row>
    <row r="97">
      <c r="A97" s="41">
        <f>IF(Applications!$A97="","",Applications!$A97&amp;"")</f>
        <v/>
      </c>
      <c r="B97" s="41">
        <f>IF($A97="","",COUNTIFS(Scores!$A$3:$A$502,$A97,Scores!$O$3:$O$502,"Counted"))</f>
        <v/>
      </c>
      <c r="C97" s="41">
        <f>IF(OR($A97="",N($B97)&lt;2,Scores!$D$2=0),"",(SUMPRODUCT(MAX((Scores!$A$3:$A$502=$A97)*Scores!$Q$3:$Q$502*(Scores!$R$3:$R$502+1)))-1)-(5-SUMPRODUCT(MAX((Scores!$A$3:$A$502=$A97)*Scores!$Q$3:$Q$502*(5-Scores!$R$3:$R$502)))))</f>
        <v/>
      </c>
      <c r="D97" s="41">
        <f>IF(OR($A97="",N($B97)&lt;2,Scores!$E$2=0),"",(SUMPRODUCT(MAX((Scores!$A$3:$A$502=$A97)*Scores!$Q$3:$Q$502*(Scores!$S$3:$S$502+1)))-1)-(5-SUMPRODUCT(MAX((Scores!$A$3:$A$502=$A97)*Scores!$Q$3:$Q$502*(5-Scores!$S$3:$S$502)))))</f>
        <v/>
      </c>
      <c r="E97" s="41">
        <f>IF(OR($A97="",N($B97)&lt;2,Scores!$F$2=0),"",(SUMPRODUCT(MAX((Scores!$A$3:$A$502=$A97)*Scores!$Q$3:$Q$502*(Scores!$T$3:$T$502+1)))-1)-(5-SUMPRODUCT(MAX((Scores!$A$3:$A$502=$A97)*Scores!$Q$3:$Q$502*(5-Scores!$T$3:$T$502)))))</f>
        <v/>
      </c>
      <c r="F97" s="41">
        <f>IF(OR($A97="",N($B97)&lt;2,Scores!$G$2=0),"",(SUMPRODUCT(MAX((Scores!$A$3:$A$502=$A97)*Scores!$Q$3:$Q$502*(Scores!$U$3:$U$502+1)))-1)-(5-SUMPRODUCT(MAX((Scores!$A$3:$A$502=$A97)*Scores!$Q$3:$Q$502*(5-Scores!$U$3:$U$502)))))</f>
        <v/>
      </c>
      <c r="G97" s="41">
        <f>IF(OR($A97="",N($B97)&lt;2,Scores!$H$2=0),"",(SUMPRODUCT(MAX((Scores!$A$3:$A$502=$A97)*Scores!$Q$3:$Q$502*(Scores!$V$3:$V$502+1)))-1)-(5-SUMPRODUCT(MAX((Scores!$A$3:$A$502=$A97)*Scores!$Q$3:$Q$502*(5-Scores!$V$3:$V$502)))))</f>
        <v/>
      </c>
      <c r="H97" s="41">
        <f>IF(OR($A97="",N($B97)&lt;2,Scores!$I$2=0),"",(SUMPRODUCT(MAX((Scores!$A$3:$A$502=$A97)*Scores!$Q$3:$Q$502*(Scores!$W$3:$W$502+1)))-1)-(5-SUMPRODUCT(MAX((Scores!$A$3:$A$502=$A97)*Scores!$Q$3:$Q$502*(5-Scores!$W$3:$W$502)))))</f>
        <v/>
      </c>
      <c r="I97" s="41">
        <f>IF(OR($A97="",N($B97)&lt;2,Scores!$J$2=0),"",(SUMPRODUCT(MAX((Scores!$A$3:$A$502=$A97)*Scores!$Q$3:$Q$502*(Scores!$X$3:$X$502+1)))-1)-(5-SUMPRODUCT(MAX((Scores!$A$3:$A$502=$A97)*Scores!$Q$3:$Q$502*(5-Scores!$X$3:$X$502)))))</f>
        <v/>
      </c>
      <c r="J97" s="41">
        <f>IF(OR($A97="",N($B97)&lt;2,Scores!$K$2=0),"",(SUMPRODUCT(MAX((Scores!$A$3:$A$502=$A97)*Scores!$Q$3:$Q$502*(Scores!$Y$3:$Y$502+1)))-1)-(5-SUMPRODUCT(MAX((Scores!$A$3:$A$502=$A97)*Scores!$Q$3:$Q$502*(5-Scores!$Y$3:$Y$502)))))</f>
        <v/>
      </c>
      <c r="K97" s="27">
        <f>IF(COUNT(C97:J97)=0,"",MAX(C97:J97))</f>
        <v/>
      </c>
    </row>
    <row r="98">
      <c r="A98" s="41">
        <f>IF(Applications!$A98="","",Applications!$A98&amp;"")</f>
        <v/>
      </c>
      <c r="B98" s="41">
        <f>IF($A98="","",COUNTIFS(Scores!$A$3:$A$502,$A98,Scores!$O$3:$O$502,"Counted"))</f>
        <v/>
      </c>
      <c r="C98" s="41">
        <f>IF(OR($A98="",N($B98)&lt;2,Scores!$D$2=0),"",(SUMPRODUCT(MAX((Scores!$A$3:$A$502=$A98)*Scores!$Q$3:$Q$502*(Scores!$R$3:$R$502+1)))-1)-(5-SUMPRODUCT(MAX((Scores!$A$3:$A$502=$A98)*Scores!$Q$3:$Q$502*(5-Scores!$R$3:$R$502)))))</f>
        <v/>
      </c>
      <c r="D98" s="41">
        <f>IF(OR($A98="",N($B98)&lt;2,Scores!$E$2=0),"",(SUMPRODUCT(MAX((Scores!$A$3:$A$502=$A98)*Scores!$Q$3:$Q$502*(Scores!$S$3:$S$502+1)))-1)-(5-SUMPRODUCT(MAX((Scores!$A$3:$A$502=$A98)*Scores!$Q$3:$Q$502*(5-Scores!$S$3:$S$502)))))</f>
        <v/>
      </c>
      <c r="E98" s="41">
        <f>IF(OR($A98="",N($B98)&lt;2,Scores!$F$2=0),"",(SUMPRODUCT(MAX((Scores!$A$3:$A$502=$A98)*Scores!$Q$3:$Q$502*(Scores!$T$3:$T$502+1)))-1)-(5-SUMPRODUCT(MAX((Scores!$A$3:$A$502=$A98)*Scores!$Q$3:$Q$502*(5-Scores!$T$3:$T$502)))))</f>
        <v/>
      </c>
      <c r="F98" s="41">
        <f>IF(OR($A98="",N($B98)&lt;2,Scores!$G$2=0),"",(SUMPRODUCT(MAX((Scores!$A$3:$A$502=$A98)*Scores!$Q$3:$Q$502*(Scores!$U$3:$U$502+1)))-1)-(5-SUMPRODUCT(MAX((Scores!$A$3:$A$502=$A98)*Scores!$Q$3:$Q$502*(5-Scores!$U$3:$U$502)))))</f>
        <v/>
      </c>
      <c r="G98" s="41">
        <f>IF(OR($A98="",N($B98)&lt;2,Scores!$H$2=0),"",(SUMPRODUCT(MAX((Scores!$A$3:$A$502=$A98)*Scores!$Q$3:$Q$502*(Scores!$V$3:$V$502+1)))-1)-(5-SUMPRODUCT(MAX((Scores!$A$3:$A$502=$A98)*Scores!$Q$3:$Q$502*(5-Scores!$V$3:$V$502)))))</f>
        <v/>
      </c>
      <c r="H98" s="41">
        <f>IF(OR($A98="",N($B98)&lt;2,Scores!$I$2=0),"",(SUMPRODUCT(MAX((Scores!$A$3:$A$502=$A98)*Scores!$Q$3:$Q$502*(Scores!$W$3:$W$502+1)))-1)-(5-SUMPRODUCT(MAX((Scores!$A$3:$A$502=$A98)*Scores!$Q$3:$Q$502*(5-Scores!$W$3:$W$502)))))</f>
        <v/>
      </c>
      <c r="I98" s="41">
        <f>IF(OR($A98="",N($B98)&lt;2,Scores!$J$2=0),"",(SUMPRODUCT(MAX((Scores!$A$3:$A$502=$A98)*Scores!$Q$3:$Q$502*(Scores!$X$3:$X$502+1)))-1)-(5-SUMPRODUCT(MAX((Scores!$A$3:$A$502=$A98)*Scores!$Q$3:$Q$502*(5-Scores!$X$3:$X$502)))))</f>
        <v/>
      </c>
      <c r="J98" s="41">
        <f>IF(OR($A98="",N($B98)&lt;2,Scores!$K$2=0),"",(SUMPRODUCT(MAX((Scores!$A$3:$A$502=$A98)*Scores!$Q$3:$Q$502*(Scores!$Y$3:$Y$502+1)))-1)-(5-SUMPRODUCT(MAX((Scores!$A$3:$A$502=$A98)*Scores!$Q$3:$Q$502*(5-Scores!$Y$3:$Y$502)))))</f>
        <v/>
      </c>
      <c r="K98" s="27">
        <f>IF(COUNT(C98:J98)=0,"",MAX(C98:J98))</f>
        <v/>
      </c>
    </row>
    <row r="99">
      <c r="A99" s="41">
        <f>IF(Applications!$A99="","",Applications!$A99&amp;"")</f>
        <v/>
      </c>
      <c r="B99" s="41">
        <f>IF($A99="","",COUNTIFS(Scores!$A$3:$A$502,$A99,Scores!$O$3:$O$502,"Counted"))</f>
        <v/>
      </c>
      <c r="C99" s="41">
        <f>IF(OR($A99="",N($B99)&lt;2,Scores!$D$2=0),"",(SUMPRODUCT(MAX((Scores!$A$3:$A$502=$A99)*Scores!$Q$3:$Q$502*(Scores!$R$3:$R$502+1)))-1)-(5-SUMPRODUCT(MAX((Scores!$A$3:$A$502=$A99)*Scores!$Q$3:$Q$502*(5-Scores!$R$3:$R$502)))))</f>
        <v/>
      </c>
      <c r="D99" s="41">
        <f>IF(OR($A99="",N($B99)&lt;2,Scores!$E$2=0),"",(SUMPRODUCT(MAX((Scores!$A$3:$A$502=$A99)*Scores!$Q$3:$Q$502*(Scores!$S$3:$S$502+1)))-1)-(5-SUMPRODUCT(MAX((Scores!$A$3:$A$502=$A99)*Scores!$Q$3:$Q$502*(5-Scores!$S$3:$S$502)))))</f>
        <v/>
      </c>
      <c r="E99" s="41">
        <f>IF(OR($A99="",N($B99)&lt;2,Scores!$F$2=0),"",(SUMPRODUCT(MAX((Scores!$A$3:$A$502=$A99)*Scores!$Q$3:$Q$502*(Scores!$T$3:$T$502+1)))-1)-(5-SUMPRODUCT(MAX((Scores!$A$3:$A$502=$A99)*Scores!$Q$3:$Q$502*(5-Scores!$T$3:$T$502)))))</f>
        <v/>
      </c>
      <c r="F99" s="41">
        <f>IF(OR($A99="",N($B99)&lt;2,Scores!$G$2=0),"",(SUMPRODUCT(MAX((Scores!$A$3:$A$502=$A99)*Scores!$Q$3:$Q$502*(Scores!$U$3:$U$502+1)))-1)-(5-SUMPRODUCT(MAX((Scores!$A$3:$A$502=$A99)*Scores!$Q$3:$Q$502*(5-Scores!$U$3:$U$502)))))</f>
        <v/>
      </c>
      <c r="G99" s="41">
        <f>IF(OR($A99="",N($B99)&lt;2,Scores!$H$2=0),"",(SUMPRODUCT(MAX((Scores!$A$3:$A$502=$A99)*Scores!$Q$3:$Q$502*(Scores!$V$3:$V$502+1)))-1)-(5-SUMPRODUCT(MAX((Scores!$A$3:$A$502=$A99)*Scores!$Q$3:$Q$502*(5-Scores!$V$3:$V$502)))))</f>
        <v/>
      </c>
      <c r="H99" s="41">
        <f>IF(OR($A99="",N($B99)&lt;2,Scores!$I$2=0),"",(SUMPRODUCT(MAX((Scores!$A$3:$A$502=$A99)*Scores!$Q$3:$Q$502*(Scores!$W$3:$W$502+1)))-1)-(5-SUMPRODUCT(MAX((Scores!$A$3:$A$502=$A99)*Scores!$Q$3:$Q$502*(5-Scores!$W$3:$W$502)))))</f>
        <v/>
      </c>
      <c r="I99" s="41">
        <f>IF(OR($A99="",N($B99)&lt;2,Scores!$J$2=0),"",(SUMPRODUCT(MAX((Scores!$A$3:$A$502=$A99)*Scores!$Q$3:$Q$502*(Scores!$X$3:$X$502+1)))-1)-(5-SUMPRODUCT(MAX((Scores!$A$3:$A$502=$A99)*Scores!$Q$3:$Q$502*(5-Scores!$X$3:$X$502)))))</f>
        <v/>
      </c>
      <c r="J99" s="41">
        <f>IF(OR($A99="",N($B99)&lt;2,Scores!$K$2=0),"",(SUMPRODUCT(MAX((Scores!$A$3:$A$502=$A99)*Scores!$Q$3:$Q$502*(Scores!$Y$3:$Y$502+1)))-1)-(5-SUMPRODUCT(MAX((Scores!$A$3:$A$502=$A99)*Scores!$Q$3:$Q$502*(5-Scores!$Y$3:$Y$502)))))</f>
        <v/>
      </c>
      <c r="K99" s="27">
        <f>IF(COUNT(C99:J99)=0,"",MAX(C99:J99))</f>
        <v/>
      </c>
    </row>
    <row r="100">
      <c r="A100" s="41">
        <f>IF(Applications!$A100="","",Applications!$A100&amp;"")</f>
        <v/>
      </c>
      <c r="B100" s="41">
        <f>IF($A100="","",COUNTIFS(Scores!$A$3:$A$502,$A100,Scores!$O$3:$O$502,"Counted"))</f>
        <v/>
      </c>
      <c r="C100" s="41">
        <f>IF(OR($A100="",N($B100)&lt;2,Scores!$D$2=0),"",(SUMPRODUCT(MAX((Scores!$A$3:$A$502=$A100)*Scores!$Q$3:$Q$502*(Scores!$R$3:$R$502+1)))-1)-(5-SUMPRODUCT(MAX((Scores!$A$3:$A$502=$A100)*Scores!$Q$3:$Q$502*(5-Scores!$R$3:$R$502)))))</f>
        <v/>
      </c>
      <c r="D100" s="41">
        <f>IF(OR($A100="",N($B100)&lt;2,Scores!$E$2=0),"",(SUMPRODUCT(MAX((Scores!$A$3:$A$502=$A100)*Scores!$Q$3:$Q$502*(Scores!$S$3:$S$502+1)))-1)-(5-SUMPRODUCT(MAX((Scores!$A$3:$A$502=$A100)*Scores!$Q$3:$Q$502*(5-Scores!$S$3:$S$502)))))</f>
        <v/>
      </c>
      <c r="E100" s="41">
        <f>IF(OR($A100="",N($B100)&lt;2,Scores!$F$2=0),"",(SUMPRODUCT(MAX((Scores!$A$3:$A$502=$A100)*Scores!$Q$3:$Q$502*(Scores!$T$3:$T$502+1)))-1)-(5-SUMPRODUCT(MAX((Scores!$A$3:$A$502=$A100)*Scores!$Q$3:$Q$502*(5-Scores!$T$3:$T$502)))))</f>
        <v/>
      </c>
      <c r="F100" s="41">
        <f>IF(OR($A100="",N($B100)&lt;2,Scores!$G$2=0),"",(SUMPRODUCT(MAX((Scores!$A$3:$A$502=$A100)*Scores!$Q$3:$Q$502*(Scores!$U$3:$U$502+1)))-1)-(5-SUMPRODUCT(MAX((Scores!$A$3:$A$502=$A100)*Scores!$Q$3:$Q$502*(5-Scores!$U$3:$U$502)))))</f>
        <v/>
      </c>
      <c r="G100" s="41">
        <f>IF(OR($A100="",N($B100)&lt;2,Scores!$H$2=0),"",(SUMPRODUCT(MAX((Scores!$A$3:$A$502=$A100)*Scores!$Q$3:$Q$502*(Scores!$V$3:$V$502+1)))-1)-(5-SUMPRODUCT(MAX((Scores!$A$3:$A$502=$A100)*Scores!$Q$3:$Q$502*(5-Scores!$V$3:$V$502)))))</f>
        <v/>
      </c>
      <c r="H100" s="41">
        <f>IF(OR($A100="",N($B100)&lt;2,Scores!$I$2=0),"",(SUMPRODUCT(MAX((Scores!$A$3:$A$502=$A100)*Scores!$Q$3:$Q$502*(Scores!$W$3:$W$502+1)))-1)-(5-SUMPRODUCT(MAX((Scores!$A$3:$A$502=$A100)*Scores!$Q$3:$Q$502*(5-Scores!$W$3:$W$502)))))</f>
        <v/>
      </c>
      <c r="I100" s="41">
        <f>IF(OR($A100="",N($B100)&lt;2,Scores!$J$2=0),"",(SUMPRODUCT(MAX((Scores!$A$3:$A$502=$A100)*Scores!$Q$3:$Q$502*(Scores!$X$3:$X$502+1)))-1)-(5-SUMPRODUCT(MAX((Scores!$A$3:$A$502=$A100)*Scores!$Q$3:$Q$502*(5-Scores!$X$3:$X$502)))))</f>
        <v/>
      </c>
      <c r="J100" s="41">
        <f>IF(OR($A100="",N($B100)&lt;2,Scores!$K$2=0),"",(SUMPRODUCT(MAX((Scores!$A$3:$A$502=$A100)*Scores!$Q$3:$Q$502*(Scores!$Y$3:$Y$502+1)))-1)-(5-SUMPRODUCT(MAX((Scores!$A$3:$A$502=$A100)*Scores!$Q$3:$Q$502*(5-Scores!$Y$3:$Y$502)))))</f>
        <v/>
      </c>
      <c r="K100" s="27">
        <f>IF(COUNT(C100:J100)=0,"",MAX(C100:J100))</f>
        <v/>
      </c>
    </row>
    <row r="101">
      <c r="A101" s="41">
        <f>IF(Applications!$A101="","",Applications!$A101&amp;"")</f>
        <v/>
      </c>
      <c r="B101" s="41">
        <f>IF($A101="","",COUNTIFS(Scores!$A$3:$A$502,$A101,Scores!$O$3:$O$502,"Counted"))</f>
        <v/>
      </c>
      <c r="C101" s="41">
        <f>IF(OR($A101="",N($B101)&lt;2,Scores!$D$2=0),"",(SUMPRODUCT(MAX((Scores!$A$3:$A$502=$A101)*Scores!$Q$3:$Q$502*(Scores!$R$3:$R$502+1)))-1)-(5-SUMPRODUCT(MAX((Scores!$A$3:$A$502=$A101)*Scores!$Q$3:$Q$502*(5-Scores!$R$3:$R$502)))))</f>
        <v/>
      </c>
      <c r="D101" s="41">
        <f>IF(OR($A101="",N($B101)&lt;2,Scores!$E$2=0),"",(SUMPRODUCT(MAX((Scores!$A$3:$A$502=$A101)*Scores!$Q$3:$Q$502*(Scores!$S$3:$S$502+1)))-1)-(5-SUMPRODUCT(MAX((Scores!$A$3:$A$502=$A101)*Scores!$Q$3:$Q$502*(5-Scores!$S$3:$S$502)))))</f>
        <v/>
      </c>
      <c r="E101" s="41">
        <f>IF(OR($A101="",N($B101)&lt;2,Scores!$F$2=0),"",(SUMPRODUCT(MAX((Scores!$A$3:$A$502=$A101)*Scores!$Q$3:$Q$502*(Scores!$T$3:$T$502+1)))-1)-(5-SUMPRODUCT(MAX((Scores!$A$3:$A$502=$A101)*Scores!$Q$3:$Q$502*(5-Scores!$T$3:$T$502)))))</f>
        <v/>
      </c>
      <c r="F101" s="41">
        <f>IF(OR($A101="",N($B101)&lt;2,Scores!$G$2=0),"",(SUMPRODUCT(MAX((Scores!$A$3:$A$502=$A101)*Scores!$Q$3:$Q$502*(Scores!$U$3:$U$502+1)))-1)-(5-SUMPRODUCT(MAX((Scores!$A$3:$A$502=$A101)*Scores!$Q$3:$Q$502*(5-Scores!$U$3:$U$502)))))</f>
        <v/>
      </c>
      <c r="G101" s="41">
        <f>IF(OR($A101="",N($B101)&lt;2,Scores!$H$2=0),"",(SUMPRODUCT(MAX((Scores!$A$3:$A$502=$A101)*Scores!$Q$3:$Q$502*(Scores!$V$3:$V$502+1)))-1)-(5-SUMPRODUCT(MAX((Scores!$A$3:$A$502=$A101)*Scores!$Q$3:$Q$502*(5-Scores!$V$3:$V$502)))))</f>
        <v/>
      </c>
      <c r="H101" s="41">
        <f>IF(OR($A101="",N($B101)&lt;2,Scores!$I$2=0),"",(SUMPRODUCT(MAX((Scores!$A$3:$A$502=$A101)*Scores!$Q$3:$Q$502*(Scores!$W$3:$W$502+1)))-1)-(5-SUMPRODUCT(MAX((Scores!$A$3:$A$502=$A101)*Scores!$Q$3:$Q$502*(5-Scores!$W$3:$W$502)))))</f>
        <v/>
      </c>
      <c r="I101" s="41">
        <f>IF(OR($A101="",N($B101)&lt;2,Scores!$J$2=0),"",(SUMPRODUCT(MAX((Scores!$A$3:$A$502=$A101)*Scores!$Q$3:$Q$502*(Scores!$X$3:$X$502+1)))-1)-(5-SUMPRODUCT(MAX((Scores!$A$3:$A$502=$A101)*Scores!$Q$3:$Q$502*(5-Scores!$X$3:$X$502)))))</f>
        <v/>
      </c>
      <c r="J101" s="41">
        <f>IF(OR($A101="",N($B101)&lt;2,Scores!$K$2=0),"",(SUMPRODUCT(MAX((Scores!$A$3:$A$502=$A101)*Scores!$Q$3:$Q$502*(Scores!$Y$3:$Y$502+1)))-1)-(5-SUMPRODUCT(MAX((Scores!$A$3:$A$502=$A101)*Scores!$Q$3:$Q$502*(5-Scores!$Y$3:$Y$502)))))</f>
        <v/>
      </c>
      <c r="K101" s="27">
        <f>IF(COUNT(C101:J101)=0,"",MAX(C101:J101))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U1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8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2" customWidth="1" min="12" max="12"/>
    <col width="9" customWidth="1" min="13" max="13"/>
    <col width="9" customWidth="1" min="14" max="14"/>
    <col width="9" customWidth="1" min="15" max="15"/>
    <col width="12" customWidth="1" min="16" max="16"/>
    <col width="20" customWidth="1" min="17" max="17"/>
    <col width="7" customWidth="1" min="18" max="18"/>
    <col width="13" customWidth="1" min="19" max="19"/>
    <col width="13" customWidth="1" min="20" max="20"/>
    <col width="12" customWidth="1" min="21" max="21"/>
  </cols>
  <sheetData>
    <row r="1">
      <c r="A1" s="44">
        <f>IF(COUNTIF(Applications!$A$2:$A$101,"EXAMPLE*")&gt;0,"You are looking at EXAMPLE data. Delete the EXAMPLE rows on Applications and Scores, and the example reviewer names on Settings.","")</f>
        <v/>
      </c>
    </row>
    <row r="2" ht="44" customHeight="1">
      <c r="A2" s="3" t="inlineStr">
        <is>
          <t>Application ID</t>
        </is>
      </c>
      <c r="B2" s="3" t="inlineStr">
        <is>
          <t>Organisation</t>
        </is>
      </c>
      <c r="C2" s="3" t="inlineStr">
        <is>
          <t>Amount requested</t>
        </is>
      </c>
      <c r="D2" s="3" t="inlineStr">
        <is>
          <t>Reviews counted</t>
        </is>
      </c>
      <c r="E2" s="3" t="inlineStr">
        <is>
          <t>Conflicts declared</t>
        </is>
      </c>
      <c r="F2" s="3">
        <f>IF(Settings!$C$13="","Reviewer 1",Settings!$C$13&amp;"")</f>
        <v/>
      </c>
      <c r="G2" s="3">
        <f>IF(Settings!$C$14="","Reviewer 2",Settings!$C$14&amp;"")</f>
        <v/>
      </c>
      <c r="H2" s="3">
        <f>IF(Settings!$C$15="","Reviewer 3",Settings!$C$15&amp;"")</f>
        <v/>
      </c>
      <c r="I2" s="3">
        <f>IF(Settings!$C$16="","Reviewer 4",Settings!$C$16&amp;"")</f>
        <v/>
      </c>
      <c r="J2" s="3">
        <f>IF(Settings!$C$17="","Reviewer 5",Settings!$C$17&amp;"")</f>
        <v/>
      </c>
      <c r="K2" s="3">
        <f>IF(Settings!$C$18="","Reviewer 6",Settings!$C$18&amp;"")</f>
        <v/>
      </c>
      <c r="L2" s="3" t="inlineStr">
        <is>
          <t>Average score (0 to 100)</t>
        </is>
      </c>
      <c r="M2" s="3" t="inlineStr">
        <is>
          <t>Lowest</t>
        </is>
      </c>
      <c r="N2" s="3" t="inlineStr">
        <is>
          <t>Highest</t>
        </is>
      </c>
      <c r="O2" s="3" t="inlineStr">
        <is>
          <t>Spread</t>
        </is>
      </c>
      <c r="P2" s="3" t="inlineStr">
        <is>
          <t>Biggest gap on one criterion</t>
        </is>
      </c>
      <c r="Q2" s="3" t="inlineStr">
        <is>
          <t>Flag</t>
        </is>
      </c>
      <c r="R2" s="3" t="inlineStr">
        <is>
          <t>Rank</t>
        </is>
      </c>
      <c r="S2" s="31" t="inlineStr">
        <is>
          <t>Your decision</t>
        </is>
      </c>
      <c r="T2" s="31" t="inlineStr">
        <is>
          <t>Amount awarded</t>
        </is>
      </c>
      <c r="U2" s="23" t="inlineStr">
        <is>
          <t>Helper: sort key</t>
        </is>
      </c>
    </row>
    <row r="3">
      <c r="A3" s="41">
        <f>IF(Applications!$A2="","",Applications!$A2&amp;"")</f>
        <v/>
      </c>
      <c r="B3" s="45">
        <f>IF($A3="","",Applications!$B2&amp;"")</f>
        <v/>
      </c>
      <c r="C3" s="46">
        <f>IF(AND($A3&lt;&gt;"",ISNUMBER(Applications!$D2)),Applications!$D2,"")</f>
        <v/>
      </c>
      <c r="D3" s="41">
        <f>IF($A3="","",COUNTIFS(Scores!$A$3:$A$502,$A3,Scores!$O$3:$O$502,"Counted"))</f>
        <v/>
      </c>
      <c r="E3" s="41">
        <f>IF($A3="","",COUNTIFS(Scores!$A$3:$A$502,$A3,Scores!$O$3:$O$502,"Conflict, not counted"))</f>
        <v/>
      </c>
      <c r="F3" s="47">
        <f>IF($A3="","",IF(COUNTIFS(Scores!$A$3:$A$502,$A3,Scores!$B$3:$B$502,F$2,Scores!$O$3:$O$502,"Counted")=0,"",SUMIFS(Scores!$P$3:$P$502,Scores!$A$3:$A$502,$A3,Scores!$B$3:$B$502,F$2,Scores!$O$3:$O$502,"Counted")))</f>
        <v/>
      </c>
      <c r="G3" s="47">
        <f>IF($A3="","",IF(COUNTIFS(Scores!$A$3:$A$502,$A3,Scores!$B$3:$B$502,G$2,Scores!$O$3:$O$502,"Counted")=0,"",SUMIFS(Scores!$P$3:$P$502,Scores!$A$3:$A$502,$A3,Scores!$B$3:$B$502,G$2,Scores!$O$3:$O$502,"Counted")))</f>
        <v/>
      </c>
      <c r="H3" s="47">
        <f>IF($A3="","",IF(COUNTIFS(Scores!$A$3:$A$502,$A3,Scores!$B$3:$B$502,H$2,Scores!$O$3:$O$502,"Counted")=0,"",SUMIFS(Scores!$P$3:$P$502,Scores!$A$3:$A$502,$A3,Scores!$B$3:$B$502,H$2,Scores!$O$3:$O$502,"Counted")))</f>
        <v/>
      </c>
      <c r="I3" s="47">
        <f>IF($A3="","",IF(COUNTIFS(Scores!$A$3:$A$502,$A3,Scores!$B$3:$B$502,I$2,Scores!$O$3:$O$502,"Counted")=0,"",SUMIFS(Scores!$P$3:$P$502,Scores!$A$3:$A$502,$A3,Scores!$B$3:$B$502,I$2,Scores!$O$3:$O$502,"Counted")))</f>
        <v/>
      </c>
      <c r="J3" s="47">
        <f>IF($A3="","",IF(COUNTIFS(Scores!$A$3:$A$502,$A3,Scores!$B$3:$B$502,J$2,Scores!$O$3:$O$502,"Counted")=0,"",SUMIFS(Scores!$P$3:$P$502,Scores!$A$3:$A$502,$A3,Scores!$B$3:$B$502,J$2,Scores!$O$3:$O$502,"Counted")))</f>
        <v/>
      </c>
      <c r="K3" s="47">
        <f>IF($A3="","",IF(COUNTIFS(Scores!$A$3:$A$502,$A3,Scores!$B$3:$B$502,K$2,Scores!$O$3:$O$502,"Counted")=0,"",SUMIFS(Scores!$P$3:$P$502,Scores!$A$3:$A$502,$A3,Scores!$B$3:$B$502,K$2,Scores!$O$3:$O$502,"Counted")))</f>
        <v/>
      </c>
      <c r="L3" s="42">
        <f>IF(N($D3)=0,"",ROUND(SUMIFS(Scores!$P$3:$P$502,Scores!$A$3:$A$502,$A3,Scores!$O$3:$O$502,"Counted")/$D3,1))</f>
        <v/>
      </c>
      <c r="M3" s="47">
        <f>IF(COUNT(F3:K3)=0,"",MIN(F3:K3))</f>
        <v/>
      </c>
      <c r="N3" s="47">
        <f>IF(COUNT(F3:K3)=0,"",MAX(F3:K3))</f>
        <v/>
      </c>
      <c r="O3" s="47">
        <f>IF(COUNT(F3:K3)&lt;2,"",ROUND(N3-M3,1))</f>
        <v/>
      </c>
      <c r="P3" s="41">
        <f>IF($A3="","",Gaps!$K2)</f>
        <v/>
      </c>
      <c r="Q3" s="27">
        <f>IF($A3="","",IF(N($D3)=0,"No scores yet",IF($D3&lt;Settings!$E$5,"Needs more reviews",IF(OR(AND(ISNUMBER(O3),N(O3)&gt;=Settings!$E$6),AND(ISNUMBER(P3),N(P3)&gt;=Settings!$E$7)),"Talk it through","Ready"))))</f>
        <v/>
      </c>
      <c r="R3" s="27">
        <f>IF(ISNUMBER(L3),COUNTIF($L$3:$L$102,"&gt;"&amp;L3)+1,"")</f>
        <v/>
      </c>
      <c r="S3" s="25" t="n"/>
      <c r="T3" s="28" t="n"/>
      <c r="U3" s="48">
        <f>IF(ISNUMBER(L3),L3+(103-ROW())/100000,"")</f>
        <v/>
      </c>
    </row>
    <row r="4">
      <c r="A4" s="41">
        <f>IF(Applications!$A3="","",Applications!$A3&amp;"")</f>
        <v/>
      </c>
      <c r="B4" s="45">
        <f>IF($A4="","",Applications!$B3&amp;"")</f>
        <v/>
      </c>
      <c r="C4" s="46">
        <f>IF(AND($A4&lt;&gt;"",ISNUMBER(Applications!$D3)),Applications!$D3,"")</f>
        <v/>
      </c>
      <c r="D4" s="41">
        <f>IF($A4="","",COUNTIFS(Scores!$A$3:$A$502,$A4,Scores!$O$3:$O$502,"Counted"))</f>
        <v/>
      </c>
      <c r="E4" s="41">
        <f>IF($A4="","",COUNTIFS(Scores!$A$3:$A$502,$A4,Scores!$O$3:$O$502,"Conflict, not counted"))</f>
        <v/>
      </c>
      <c r="F4" s="47">
        <f>IF($A4="","",IF(COUNTIFS(Scores!$A$3:$A$502,$A4,Scores!$B$3:$B$502,F$2,Scores!$O$3:$O$502,"Counted")=0,"",SUMIFS(Scores!$P$3:$P$502,Scores!$A$3:$A$502,$A4,Scores!$B$3:$B$502,F$2,Scores!$O$3:$O$502,"Counted")))</f>
        <v/>
      </c>
      <c r="G4" s="47">
        <f>IF($A4="","",IF(COUNTIFS(Scores!$A$3:$A$502,$A4,Scores!$B$3:$B$502,G$2,Scores!$O$3:$O$502,"Counted")=0,"",SUMIFS(Scores!$P$3:$P$502,Scores!$A$3:$A$502,$A4,Scores!$B$3:$B$502,G$2,Scores!$O$3:$O$502,"Counted")))</f>
        <v/>
      </c>
      <c r="H4" s="47">
        <f>IF($A4="","",IF(COUNTIFS(Scores!$A$3:$A$502,$A4,Scores!$B$3:$B$502,H$2,Scores!$O$3:$O$502,"Counted")=0,"",SUMIFS(Scores!$P$3:$P$502,Scores!$A$3:$A$502,$A4,Scores!$B$3:$B$502,H$2,Scores!$O$3:$O$502,"Counted")))</f>
        <v/>
      </c>
      <c r="I4" s="47">
        <f>IF($A4="","",IF(COUNTIFS(Scores!$A$3:$A$502,$A4,Scores!$B$3:$B$502,I$2,Scores!$O$3:$O$502,"Counted")=0,"",SUMIFS(Scores!$P$3:$P$502,Scores!$A$3:$A$502,$A4,Scores!$B$3:$B$502,I$2,Scores!$O$3:$O$502,"Counted")))</f>
        <v/>
      </c>
      <c r="J4" s="47">
        <f>IF($A4="","",IF(COUNTIFS(Scores!$A$3:$A$502,$A4,Scores!$B$3:$B$502,J$2,Scores!$O$3:$O$502,"Counted")=0,"",SUMIFS(Scores!$P$3:$P$502,Scores!$A$3:$A$502,$A4,Scores!$B$3:$B$502,J$2,Scores!$O$3:$O$502,"Counted")))</f>
        <v/>
      </c>
      <c r="K4" s="47">
        <f>IF($A4="","",IF(COUNTIFS(Scores!$A$3:$A$502,$A4,Scores!$B$3:$B$502,K$2,Scores!$O$3:$O$502,"Counted")=0,"",SUMIFS(Scores!$P$3:$P$502,Scores!$A$3:$A$502,$A4,Scores!$B$3:$B$502,K$2,Scores!$O$3:$O$502,"Counted")))</f>
        <v/>
      </c>
      <c r="L4" s="42">
        <f>IF(N($D4)=0,"",ROUND(SUMIFS(Scores!$P$3:$P$502,Scores!$A$3:$A$502,$A4,Scores!$O$3:$O$502,"Counted")/$D4,1))</f>
        <v/>
      </c>
      <c r="M4" s="47">
        <f>IF(COUNT(F4:K4)=0,"",MIN(F4:K4))</f>
        <v/>
      </c>
      <c r="N4" s="47">
        <f>IF(COUNT(F4:K4)=0,"",MAX(F4:K4))</f>
        <v/>
      </c>
      <c r="O4" s="47">
        <f>IF(COUNT(F4:K4)&lt;2,"",ROUND(N4-M4,1))</f>
        <v/>
      </c>
      <c r="P4" s="41">
        <f>IF($A4="","",Gaps!$K3)</f>
        <v/>
      </c>
      <c r="Q4" s="27">
        <f>IF($A4="","",IF(N($D4)=0,"No scores yet",IF($D4&lt;Settings!$E$5,"Needs more reviews",IF(OR(AND(ISNUMBER(O4),N(O4)&gt;=Settings!$E$6),AND(ISNUMBER(P4),N(P4)&gt;=Settings!$E$7)),"Talk it through","Ready"))))</f>
        <v/>
      </c>
      <c r="R4" s="27">
        <f>IF(ISNUMBER(L4),COUNTIF($L$3:$L$102,"&gt;"&amp;L4)+1,"")</f>
        <v/>
      </c>
      <c r="S4" s="25" t="n"/>
      <c r="T4" s="28" t="n"/>
      <c r="U4" s="48">
        <f>IF(ISNUMBER(L4),L4+(103-ROW())/100000,"")</f>
        <v/>
      </c>
    </row>
    <row r="5">
      <c r="A5" s="41">
        <f>IF(Applications!$A4="","",Applications!$A4&amp;"")</f>
        <v/>
      </c>
      <c r="B5" s="45">
        <f>IF($A5="","",Applications!$B4&amp;"")</f>
        <v/>
      </c>
      <c r="C5" s="46">
        <f>IF(AND($A5&lt;&gt;"",ISNUMBER(Applications!$D4)),Applications!$D4,"")</f>
        <v/>
      </c>
      <c r="D5" s="41">
        <f>IF($A5="","",COUNTIFS(Scores!$A$3:$A$502,$A5,Scores!$O$3:$O$502,"Counted"))</f>
        <v/>
      </c>
      <c r="E5" s="41">
        <f>IF($A5="","",COUNTIFS(Scores!$A$3:$A$502,$A5,Scores!$O$3:$O$502,"Conflict, not counted"))</f>
        <v/>
      </c>
      <c r="F5" s="47">
        <f>IF($A5="","",IF(COUNTIFS(Scores!$A$3:$A$502,$A5,Scores!$B$3:$B$502,F$2,Scores!$O$3:$O$502,"Counted")=0,"",SUMIFS(Scores!$P$3:$P$502,Scores!$A$3:$A$502,$A5,Scores!$B$3:$B$502,F$2,Scores!$O$3:$O$502,"Counted")))</f>
        <v/>
      </c>
      <c r="G5" s="47">
        <f>IF($A5="","",IF(COUNTIFS(Scores!$A$3:$A$502,$A5,Scores!$B$3:$B$502,G$2,Scores!$O$3:$O$502,"Counted")=0,"",SUMIFS(Scores!$P$3:$P$502,Scores!$A$3:$A$502,$A5,Scores!$B$3:$B$502,G$2,Scores!$O$3:$O$502,"Counted")))</f>
        <v/>
      </c>
      <c r="H5" s="47">
        <f>IF($A5="","",IF(COUNTIFS(Scores!$A$3:$A$502,$A5,Scores!$B$3:$B$502,H$2,Scores!$O$3:$O$502,"Counted")=0,"",SUMIFS(Scores!$P$3:$P$502,Scores!$A$3:$A$502,$A5,Scores!$B$3:$B$502,H$2,Scores!$O$3:$O$502,"Counted")))</f>
        <v/>
      </c>
      <c r="I5" s="47">
        <f>IF($A5="","",IF(COUNTIFS(Scores!$A$3:$A$502,$A5,Scores!$B$3:$B$502,I$2,Scores!$O$3:$O$502,"Counted")=0,"",SUMIFS(Scores!$P$3:$P$502,Scores!$A$3:$A$502,$A5,Scores!$B$3:$B$502,I$2,Scores!$O$3:$O$502,"Counted")))</f>
        <v/>
      </c>
      <c r="J5" s="47">
        <f>IF($A5="","",IF(COUNTIFS(Scores!$A$3:$A$502,$A5,Scores!$B$3:$B$502,J$2,Scores!$O$3:$O$502,"Counted")=0,"",SUMIFS(Scores!$P$3:$P$502,Scores!$A$3:$A$502,$A5,Scores!$B$3:$B$502,J$2,Scores!$O$3:$O$502,"Counted")))</f>
        <v/>
      </c>
      <c r="K5" s="47">
        <f>IF($A5="","",IF(COUNTIFS(Scores!$A$3:$A$502,$A5,Scores!$B$3:$B$502,K$2,Scores!$O$3:$O$502,"Counted")=0,"",SUMIFS(Scores!$P$3:$P$502,Scores!$A$3:$A$502,$A5,Scores!$B$3:$B$502,K$2,Scores!$O$3:$O$502,"Counted")))</f>
        <v/>
      </c>
      <c r="L5" s="42">
        <f>IF(N($D5)=0,"",ROUND(SUMIFS(Scores!$P$3:$P$502,Scores!$A$3:$A$502,$A5,Scores!$O$3:$O$502,"Counted")/$D5,1))</f>
        <v/>
      </c>
      <c r="M5" s="47">
        <f>IF(COUNT(F5:K5)=0,"",MIN(F5:K5))</f>
        <v/>
      </c>
      <c r="N5" s="47">
        <f>IF(COUNT(F5:K5)=0,"",MAX(F5:K5))</f>
        <v/>
      </c>
      <c r="O5" s="47">
        <f>IF(COUNT(F5:K5)&lt;2,"",ROUND(N5-M5,1))</f>
        <v/>
      </c>
      <c r="P5" s="41">
        <f>IF($A5="","",Gaps!$K4)</f>
        <v/>
      </c>
      <c r="Q5" s="27">
        <f>IF($A5="","",IF(N($D5)=0,"No scores yet",IF($D5&lt;Settings!$E$5,"Needs more reviews",IF(OR(AND(ISNUMBER(O5),N(O5)&gt;=Settings!$E$6),AND(ISNUMBER(P5),N(P5)&gt;=Settings!$E$7)),"Talk it through","Ready"))))</f>
        <v/>
      </c>
      <c r="R5" s="27">
        <f>IF(ISNUMBER(L5),COUNTIF($L$3:$L$102,"&gt;"&amp;L5)+1,"")</f>
        <v/>
      </c>
      <c r="S5" s="25" t="n"/>
      <c r="T5" s="28" t="n"/>
      <c r="U5" s="48">
        <f>IF(ISNUMBER(L5),L5+(103-ROW())/100000,"")</f>
        <v/>
      </c>
    </row>
    <row r="6">
      <c r="A6" s="41">
        <f>IF(Applications!$A5="","",Applications!$A5&amp;"")</f>
        <v/>
      </c>
      <c r="B6" s="45">
        <f>IF($A6="","",Applications!$B5&amp;"")</f>
        <v/>
      </c>
      <c r="C6" s="46">
        <f>IF(AND($A6&lt;&gt;"",ISNUMBER(Applications!$D5)),Applications!$D5,"")</f>
        <v/>
      </c>
      <c r="D6" s="41">
        <f>IF($A6="","",COUNTIFS(Scores!$A$3:$A$502,$A6,Scores!$O$3:$O$502,"Counted"))</f>
        <v/>
      </c>
      <c r="E6" s="41">
        <f>IF($A6="","",COUNTIFS(Scores!$A$3:$A$502,$A6,Scores!$O$3:$O$502,"Conflict, not counted"))</f>
        <v/>
      </c>
      <c r="F6" s="47">
        <f>IF($A6="","",IF(COUNTIFS(Scores!$A$3:$A$502,$A6,Scores!$B$3:$B$502,F$2,Scores!$O$3:$O$502,"Counted")=0,"",SUMIFS(Scores!$P$3:$P$502,Scores!$A$3:$A$502,$A6,Scores!$B$3:$B$502,F$2,Scores!$O$3:$O$502,"Counted")))</f>
        <v/>
      </c>
      <c r="G6" s="47">
        <f>IF($A6="","",IF(COUNTIFS(Scores!$A$3:$A$502,$A6,Scores!$B$3:$B$502,G$2,Scores!$O$3:$O$502,"Counted")=0,"",SUMIFS(Scores!$P$3:$P$502,Scores!$A$3:$A$502,$A6,Scores!$B$3:$B$502,G$2,Scores!$O$3:$O$502,"Counted")))</f>
        <v/>
      </c>
      <c r="H6" s="47">
        <f>IF($A6="","",IF(COUNTIFS(Scores!$A$3:$A$502,$A6,Scores!$B$3:$B$502,H$2,Scores!$O$3:$O$502,"Counted")=0,"",SUMIFS(Scores!$P$3:$P$502,Scores!$A$3:$A$502,$A6,Scores!$B$3:$B$502,H$2,Scores!$O$3:$O$502,"Counted")))</f>
        <v/>
      </c>
      <c r="I6" s="47">
        <f>IF($A6="","",IF(COUNTIFS(Scores!$A$3:$A$502,$A6,Scores!$B$3:$B$502,I$2,Scores!$O$3:$O$502,"Counted")=0,"",SUMIFS(Scores!$P$3:$P$502,Scores!$A$3:$A$502,$A6,Scores!$B$3:$B$502,I$2,Scores!$O$3:$O$502,"Counted")))</f>
        <v/>
      </c>
      <c r="J6" s="47">
        <f>IF($A6="","",IF(COUNTIFS(Scores!$A$3:$A$502,$A6,Scores!$B$3:$B$502,J$2,Scores!$O$3:$O$502,"Counted")=0,"",SUMIFS(Scores!$P$3:$P$502,Scores!$A$3:$A$502,$A6,Scores!$B$3:$B$502,J$2,Scores!$O$3:$O$502,"Counted")))</f>
        <v/>
      </c>
      <c r="K6" s="47">
        <f>IF($A6="","",IF(COUNTIFS(Scores!$A$3:$A$502,$A6,Scores!$B$3:$B$502,K$2,Scores!$O$3:$O$502,"Counted")=0,"",SUMIFS(Scores!$P$3:$P$502,Scores!$A$3:$A$502,$A6,Scores!$B$3:$B$502,K$2,Scores!$O$3:$O$502,"Counted")))</f>
        <v/>
      </c>
      <c r="L6" s="42">
        <f>IF(N($D6)=0,"",ROUND(SUMIFS(Scores!$P$3:$P$502,Scores!$A$3:$A$502,$A6,Scores!$O$3:$O$502,"Counted")/$D6,1))</f>
        <v/>
      </c>
      <c r="M6" s="47">
        <f>IF(COUNT(F6:K6)=0,"",MIN(F6:K6))</f>
        <v/>
      </c>
      <c r="N6" s="47">
        <f>IF(COUNT(F6:K6)=0,"",MAX(F6:K6))</f>
        <v/>
      </c>
      <c r="O6" s="47">
        <f>IF(COUNT(F6:K6)&lt;2,"",ROUND(N6-M6,1))</f>
        <v/>
      </c>
      <c r="P6" s="41">
        <f>IF($A6="","",Gaps!$K5)</f>
        <v/>
      </c>
      <c r="Q6" s="27">
        <f>IF($A6="","",IF(N($D6)=0,"No scores yet",IF($D6&lt;Settings!$E$5,"Needs more reviews",IF(OR(AND(ISNUMBER(O6),N(O6)&gt;=Settings!$E$6),AND(ISNUMBER(P6),N(P6)&gt;=Settings!$E$7)),"Talk it through","Ready"))))</f>
        <v/>
      </c>
      <c r="R6" s="27">
        <f>IF(ISNUMBER(L6),COUNTIF($L$3:$L$102,"&gt;"&amp;L6)+1,"")</f>
        <v/>
      </c>
      <c r="S6" s="25" t="n"/>
      <c r="T6" s="28" t="n"/>
      <c r="U6" s="48">
        <f>IF(ISNUMBER(L6),L6+(103-ROW())/100000,"")</f>
        <v/>
      </c>
    </row>
    <row r="7">
      <c r="A7" s="41">
        <f>IF(Applications!$A6="","",Applications!$A6&amp;"")</f>
        <v/>
      </c>
      <c r="B7" s="45">
        <f>IF($A7="","",Applications!$B6&amp;"")</f>
        <v/>
      </c>
      <c r="C7" s="46">
        <f>IF(AND($A7&lt;&gt;"",ISNUMBER(Applications!$D6)),Applications!$D6,"")</f>
        <v/>
      </c>
      <c r="D7" s="41">
        <f>IF($A7="","",COUNTIFS(Scores!$A$3:$A$502,$A7,Scores!$O$3:$O$502,"Counted"))</f>
        <v/>
      </c>
      <c r="E7" s="41">
        <f>IF($A7="","",COUNTIFS(Scores!$A$3:$A$502,$A7,Scores!$O$3:$O$502,"Conflict, not counted"))</f>
        <v/>
      </c>
      <c r="F7" s="47">
        <f>IF($A7="","",IF(COUNTIFS(Scores!$A$3:$A$502,$A7,Scores!$B$3:$B$502,F$2,Scores!$O$3:$O$502,"Counted")=0,"",SUMIFS(Scores!$P$3:$P$502,Scores!$A$3:$A$502,$A7,Scores!$B$3:$B$502,F$2,Scores!$O$3:$O$502,"Counted")))</f>
        <v/>
      </c>
      <c r="G7" s="47">
        <f>IF($A7="","",IF(COUNTIFS(Scores!$A$3:$A$502,$A7,Scores!$B$3:$B$502,G$2,Scores!$O$3:$O$502,"Counted")=0,"",SUMIFS(Scores!$P$3:$P$502,Scores!$A$3:$A$502,$A7,Scores!$B$3:$B$502,G$2,Scores!$O$3:$O$502,"Counted")))</f>
        <v/>
      </c>
      <c r="H7" s="47">
        <f>IF($A7="","",IF(COUNTIFS(Scores!$A$3:$A$502,$A7,Scores!$B$3:$B$502,H$2,Scores!$O$3:$O$502,"Counted")=0,"",SUMIFS(Scores!$P$3:$P$502,Scores!$A$3:$A$502,$A7,Scores!$B$3:$B$502,H$2,Scores!$O$3:$O$502,"Counted")))</f>
        <v/>
      </c>
      <c r="I7" s="47">
        <f>IF($A7="","",IF(COUNTIFS(Scores!$A$3:$A$502,$A7,Scores!$B$3:$B$502,I$2,Scores!$O$3:$O$502,"Counted")=0,"",SUMIFS(Scores!$P$3:$P$502,Scores!$A$3:$A$502,$A7,Scores!$B$3:$B$502,I$2,Scores!$O$3:$O$502,"Counted")))</f>
        <v/>
      </c>
      <c r="J7" s="47">
        <f>IF($A7="","",IF(COUNTIFS(Scores!$A$3:$A$502,$A7,Scores!$B$3:$B$502,J$2,Scores!$O$3:$O$502,"Counted")=0,"",SUMIFS(Scores!$P$3:$P$502,Scores!$A$3:$A$502,$A7,Scores!$B$3:$B$502,J$2,Scores!$O$3:$O$502,"Counted")))</f>
        <v/>
      </c>
      <c r="K7" s="47">
        <f>IF($A7="","",IF(COUNTIFS(Scores!$A$3:$A$502,$A7,Scores!$B$3:$B$502,K$2,Scores!$O$3:$O$502,"Counted")=0,"",SUMIFS(Scores!$P$3:$P$502,Scores!$A$3:$A$502,$A7,Scores!$B$3:$B$502,K$2,Scores!$O$3:$O$502,"Counted")))</f>
        <v/>
      </c>
      <c r="L7" s="42">
        <f>IF(N($D7)=0,"",ROUND(SUMIFS(Scores!$P$3:$P$502,Scores!$A$3:$A$502,$A7,Scores!$O$3:$O$502,"Counted")/$D7,1))</f>
        <v/>
      </c>
      <c r="M7" s="47">
        <f>IF(COUNT(F7:K7)=0,"",MIN(F7:K7))</f>
        <v/>
      </c>
      <c r="N7" s="47">
        <f>IF(COUNT(F7:K7)=0,"",MAX(F7:K7))</f>
        <v/>
      </c>
      <c r="O7" s="47">
        <f>IF(COUNT(F7:K7)&lt;2,"",ROUND(N7-M7,1))</f>
        <v/>
      </c>
      <c r="P7" s="41">
        <f>IF($A7="","",Gaps!$K6)</f>
        <v/>
      </c>
      <c r="Q7" s="27">
        <f>IF($A7="","",IF(N($D7)=0,"No scores yet",IF($D7&lt;Settings!$E$5,"Needs more reviews",IF(OR(AND(ISNUMBER(O7),N(O7)&gt;=Settings!$E$6),AND(ISNUMBER(P7),N(P7)&gt;=Settings!$E$7)),"Talk it through","Ready"))))</f>
        <v/>
      </c>
      <c r="R7" s="27">
        <f>IF(ISNUMBER(L7),COUNTIF($L$3:$L$102,"&gt;"&amp;L7)+1,"")</f>
        <v/>
      </c>
      <c r="S7" s="25" t="n"/>
      <c r="T7" s="28" t="n"/>
      <c r="U7" s="48">
        <f>IF(ISNUMBER(L7),L7+(103-ROW())/100000,"")</f>
        <v/>
      </c>
    </row>
    <row r="8">
      <c r="A8" s="41">
        <f>IF(Applications!$A7="","",Applications!$A7&amp;"")</f>
        <v/>
      </c>
      <c r="B8" s="45">
        <f>IF($A8="","",Applications!$B7&amp;"")</f>
        <v/>
      </c>
      <c r="C8" s="46">
        <f>IF(AND($A8&lt;&gt;"",ISNUMBER(Applications!$D7)),Applications!$D7,"")</f>
        <v/>
      </c>
      <c r="D8" s="41">
        <f>IF($A8="","",COUNTIFS(Scores!$A$3:$A$502,$A8,Scores!$O$3:$O$502,"Counted"))</f>
        <v/>
      </c>
      <c r="E8" s="41">
        <f>IF($A8="","",COUNTIFS(Scores!$A$3:$A$502,$A8,Scores!$O$3:$O$502,"Conflict, not counted"))</f>
        <v/>
      </c>
      <c r="F8" s="47">
        <f>IF($A8="","",IF(COUNTIFS(Scores!$A$3:$A$502,$A8,Scores!$B$3:$B$502,F$2,Scores!$O$3:$O$502,"Counted")=0,"",SUMIFS(Scores!$P$3:$P$502,Scores!$A$3:$A$502,$A8,Scores!$B$3:$B$502,F$2,Scores!$O$3:$O$502,"Counted")))</f>
        <v/>
      </c>
      <c r="G8" s="47">
        <f>IF($A8="","",IF(COUNTIFS(Scores!$A$3:$A$502,$A8,Scores!$B$3:$B$502,G$2,Scores!$O$3:$O$502,"Counted")=0,"",SUMIFS(Scores!$P$3:$P$502,Scores!$A$3:$A$502,$A8,Scores!$B$3:$B$502,G$2,Scores!$O$3:$O$502,"Counted")))</f>
        <v/>
      </c>
      <c r="H8" s="47">
        <f>IF($A8="","",IF(COUNTIFS(Scores!$A$3:$A$502,$A8,Scores!$B$3:$B$502,H$2,Scores!$O$3:$O$502,"Counted")=0,"",SUMIFS(Scores!$P$3:$P$502,Scores!$A$3:$A$502,$A8,Scores!$B$3:$B$502,H$2,Scores!$O$3:$O$502,"Counted")))</f>
        <v/>
      </c>
      <c r="I8" s="47">
        <f>IF($A8="","",IF(COUNTIFS(Scores!$A$3:$A$502,$A8,Scores!$B$3:$B$502,I$2,Scores!$O$3:$O$502,"Counted")=0,"",SUMIFS(Scores!$P$3:$P$502,Scores!$A$3:$A$502,$A8,Scores!$B$3:$B$502,I$2,Scores!$O$3:$O$502,"Counted")))</f>
        <v/>
      </c>
      <c r="J8" s="47">
        <f>IF($A8="","",IF(COUNTIFS(Scores!$A$3:$A$502,$A8,Scores!$B$3:$B$502,J$2,Scores!$O$3:$O$502,"Counted")=0,"",SUMIFS(Scores!$P$3:$P$502,Scores!$A$3:$A$502,$A8,Scores!$B$3:$B$502,J$2,Scores!$O$3:$O$502,"Counted")))</f>
        <v/>
      </c>
      <c r="K8" s="47">
        <f>IF($A8="","",IF(COUNTIFS(Scores!$A$3:$A$502,$A8,Scores!$B$3:$B$502,K$2,Scores!$O$3:$O$502,"Counted")=0,"",SUMIFS(Scores!$P$3:$P$502,Scores!$A$3:$A$502,$A8,Scores!$B$3:$B$502,K$2,Scores!$O$3:$O$502,"Counted")))</f>
        <v/>
      </c>
      <c r="L8" s="42">
        <f>IF(N($D8)=0,"",ROUND(SUMIFS(Scores!$P$3:$P$502,Scores!$A$3:$A$502,$A8,Scores!$O$3:$O$502,"Counted")/$D8,1))</f>
        <v/>
      </c>
      <c r="M8" s="47">
        <f>IF(COUNT(F8:K8)=0,"",MIN(F8:K8))</f>
        <v/>
      </c>
      <c r="N8" s="47">
        <f>IF(COUNT(F8:K8)=0,"",MAX(F8:K8))</f>
        <v/>
      </c>
      <c r="O8" s="47">
        <f>IF(COUNT(F8:K8)&lt;2,"",ROUND(N8-M8,1))</f>
        <v/>
      </c>
      <c r="P8" s="41">
        <f>IF($A8="","",Gaps!$K7)</f>
        <v/>
      </c>
      <c r="Q8" s="27">
        <f>IF($A8="","",IF(N($D8)=0,"No scores yet",IF($D8&lt;Settings!$E$5,"Needs more reviews",IF(OR(AND(ISNUMBER(O8),N(O8)&gt;=Settings!$E$6),AND(ISNUMBER(P8),N(P8)&gt;=Settings!$E$7)),"Talk it through","Ready"))))</f>
        <v/>
      </c>
      <c r="R8" s="27">
        <f>IF(ISNUMBER(L8),COUNTIF($L$3:$L$102,"&gt;"&amp;L8)+1,"")</f>
        <v/>
      </c>
      <c r="S8" s="25" t="n"/>
      <c r="T8" s="28" t="n"/>
      <c r="U8" s="48">
        <f>IF(ISNUMBER(L8),L8+(103-ROW())/100000,"")</f>
        <v/>
      </c>
    </row>
    <row r="9">
      <c r="A9" s="41">
        <f>IF(Applications!$A8="","",Applications!$A8&amp;"")</f>
        <v/>
      </c>
      <c r="B9" s="45">
        <f>IF($A9="","",Applications!$B8&amp;"")</f>
        <v/>
      </c>
      <c r="C9" s="46">
        <f>IF(AND($A9&lt;&gt;"",ISNUMBER(Applications!$D8)),Applications!$D8,"")</f>
        <v/>
      </c>
      <c r="D9" s="41">
        <f>IF($A9="","",COUNTIFS(Scores!$A$3:$A$502,$A9,Scores!$O$3:$O$502,"Counted"))</f>
        <v/>
      </c>
      <c r="E9" s="41">
        <f>IF($A9="","",COUNTIFS(Scores!$A$3:$A$502,$A9,Scores!$O$3:$O$502,"Conflict, not counted"))</f>
        <v/>
      </c>
      <c r="F9" s="47">
        <f>IF($A9="","",IF(COUNTIFS(Scores!$A$3:$A$502,$A9,Scores!$B$3:$B$502,F$2,Scores!$O$3:$O$502,"Counted")=0,"",SUMIFS(Scores!$P$3:$P$502,Scores!$A$3:$A$502,$A9,Scores!$B$3:$B$502,F$2,Scores!$O$3:$O$502,"Counted")))</f>
        <v/>
      </c>
      <c r="G9" s="47">
        <f>IF($A9="","",IF(COUNTIFS(Scores!$A$3:$A$502,$A9,Scores!$B$3:$B$502,G$2,Scores!$O$3:$O$502,"Counted")=0,"",SUMIFS(Scores!$P$3:$P$502,Scores!$A$3:$A$502,$A9,Scores!$B$3:$B$502,G$2,Scores!$O$3:$O$502,"Counted")))</f>
        <v/>
      </c>
      <c r="H9" s="47">
        <f>IF($A9="","",IF(COUNTIFS(Scores!$A$3:$A$502,$A9,Scores!$B$3:$B$502,H$2,Scores!$O$3:$O$502,"Counted")=0,"",SUMIFS(Scores!$P$3:$P$502,Scores!$A$3:$A$502,$A9,Scores!$B$3:$B$502,H$2,Scores!$O$3:$O$502,"Counted")))</f>
        <v/>
      </c>
      <c r="I9" s="47">
        <f>IF($A9="","",IF(COUNTIFS(Scores!$A$3:$A$502,$A9,Scores!$B$3:$B$502,I$2,Scores!$O$3:$O$502,"Counted")=0,"",SUMIFS(Scores!$P$3:$P$502,Scores!$A$3:$A$502,$A9,Scores!$B$3:$B$502,I$2,Scores!$O$3:$O$502,"Counted")))</f>
        <v/>
      </c>
      <c r="J9" s="47">
        <f>IF($A9="","",IF(COUNTIFS(Scores!$A$3:$A$502,$A9,Scores!$B$3:$B$502,J$2,Scores!$O$3:$O$502,"Counted")=0,"",SUMIFS(Scores!$P$3:$P$502,Scores!$A$3:$A$502,$A9,Scores!$B$3:$B$502,J$2,Scores!$O$3:$O$502,"Counted")))</f>
        <v/>
      </c>
      <c r="K9" s="47">
        <f>IF($A9="","",IF(COUNTIFS(Scores!$A$3:$A$502,$A9,Scores!$B$3:$B$502,K$2,Scores!$O$3:$O$502,"Counted")=0,"",SUMIFS(Scores!$P$3:$P$502,Scores!$A$3:$A$502,$A9,Scores!$B$3:$B$502,K$2,Scores!$O$3:$O$502,"Counted")))</f>
        <v/>
      </c>
      <c r="L9" s="42">
        <f>IF(N($D9)=0,"",ROUND(SUMIFS(Scores!$P$3:$P$502,Scores!$A$3:$A$502,$A9,Scores!$O$3:$O$502,"Counted")/$D9,1))</f>
        <v/>
      </c>
      <c r="M9" s="47">
        <f>IF(COUNT(F9:K9)=0,"",MIN(F9:K9))</f>
        <v/>
      </c>
      <c r="N9" s="47">
        <f>IF(COUNT(F9:K9)=0,"",MAX(F9:K9))</f>
        <v/>
      </c>
      <c r="O9" s="47">
        <f>IF(COUNT(F9:K9)&lt;2,"",ROUND(N9-M9,1))</f>
        <v/>
      </c>
      <c r="P9" s="41">
        <f>IF($A9="","",Gaps!$K8)</f>
        <v/>
      </c>
      <c r="Q9" s="27">
        <f>IF($A9="","",IF(N($D9)=0,"No scores yet",IF($D9&lt;Settings!$E$5,"Needs more reviews",IF(OR(AND(ISNUMBER(O9),N(O9)&gt;=Settings!$E$6),AND(ISNUMBER(P9),N(P9)&gt;=Settings!$E$7)),"Talk it through","Ready"))))</f>
        <v/>
      </c>
      <c r="R9" s="27">
        <f>IF(ISNUMBER(L9),COUNTIF($L$3:$L$102,"&gt;"&amp;L9)+1,"")</f>
        <v/>
      </c>
      <c r="S9" s="25" t="n"/>
      <c r="T9" s="28" t="n"/>
      <c r="U9" s="48">
        <f>IF(ISNUMBER(L9),L9+(103-ROW())/100000,"")</f>
        <v/>
      </c>
    </row>
    <row r="10">
      <c r="A10" s="41">
        <f>IF(Applications!$A9="","",Applications!$A9&amp;"")</f>
        <v/>
      </c>
      <c r="B10" s="45">
        <f>IF($A10="","",Applications!$B9&amp;"")</f>
        <v/>
      </c>
      <c r="C10" s="46">
        <f>IF(AND($A10&lt;&gt;"",ISNUMBER(Applications!$D9)),Applications!$D9,"")</f>
        <v/>
      </c>
      <c r="D10" s="41">
        <f>IF($A10="","",COUNTIFS(Scores!$A$3:$A$502,$A10,Scores!$O$3:$O$502,"Counted"))</f>
        <v/>
      </c>
      <c r="E10" s="41">
        <f>IF($A10="","",COUNTIFS(Scores!$A$3:$A$502,$A10,Scores!$O$3:$O$502,"Conflict, not counted"))</f>
        <v/>
      </c>
      <c r="F10" s="47">
        <f>IF($A10="","",IF(COUNTIFS(Scores!$A$3:$A$502,$A10,Scores!$B$3:$B$502,F$2,Scores!$O$3:$O$502,"Counted")=0,"",SUMIFS(Scores!$P$3:$P$502,Scores!$A$3:$A$502,$A10,Scores!$B$3:$B$502,F$2,Scores!$O$3:$O$502,"Counted")))</f>
        <v/>
      </c>
      <c r="G10" s="47">
        <f>IF($A10="","",IF(COUNTIFS(Scores!$A$3:$A$502,$A10,Scores!$B$3:$B$502,G$2,Scores!$O$3:$O$502,"Counted")=0,"",SUMIFS(Scores!$P$3:$P$502,Scores!$A$3:$A$502,$A10,Scores!$B$3:$B$502,G$2,Scores!$O$3:$O$502,"Counted")))</f>
        <v/>
      </c>
      <c r="H10" s="47">
        <f>IF($A10="","",IF(COUNTIFS(Scores!$A$3:$A$502,$A10,Scores!$B$3:$B$502,H$2,Scores!$O$3:$O$502,"Counted")=0,"",SUMIFS(Scores!$P$3:$P$502,Scores!$A$3:$A$502,$A10,Scores!$B$3:$B$502,H$2,Scores!$O$3:$O$502,"Counted")))</f>
        <v/>
      </c>
      <c r="I10" s="47">
        <f>IF($A10="","",IF(COUNTIFS(Scores!$A$3:$A$502,$A10,Scores!$B$3:$B$502,I$2,Scores!$O$3:$O$502,"Counted")=0,"",SUMIFS(Scores!$P$3:$P$502,Scores!$A$3:$A$502,$A10,Scores!$B$3:$B$502,I$2,Scores!$O$3:$O$502,"Counted")))</f>
        <v/>
      </c>
      <c r="J10" s="47">
        <f>IF($A10="","",IF(COUNTIFS(Scores!$A$3:$A$502,$A10,Scores!$B$3:$B$502,J$2,Scores!$O$3:$O$502,"Counted")=0,"",SUMIFS(Scores!$P$3:$P$502,Scores!$A$3:$A$502,$A10,Scores!$B$3:$B$502,J$2,Scores!$O$3:$O$502,"Counted")))</f>
        <v/>
      </c>
      <c r="K10" s="47">
        <f>IF($A10="","",IF(COUNTIFS(Scores!$A$3:$A$502,$A10,Scores!$B$3:$B$502,K$2,Scores!$O$3:$O$502,"Counted")=0,"",SUMIFS(Scores!$P$3:$P$502,Scores!$A$3:$A$502,$A10,Scores!$B$3:$B$502,K$2,Scores!$O$3:$O$502,"Counted")))</f>
        <v/>
      </c>
      <c r="L10" s="42">
        <f>IF(N($D10)=0,"",ROUND(SUMIFS(Scores!$P$3:$P$502,Scores!$A$3:$A$502,$A10,Scores!$O$3:$O$502,"Counted")/$D10,1))</f>
        <v/>
      </c>
      <c r="M10" s="47">
        <f>IF(COUNT(F10:K10)=0,"",MIN(F10:K10))</f>
        <v/>
      </c>
      <c r="N10" s="47">
        <f>IF(COUNT(F10:K10)=0,"",MAX(F10:K10))</f>
        <v/>
      </c>
      <c r="O10" s="47">
        <f>IF(COUNT(F10:K10)&lt;2,"",ROUND(N10-M10,1))</f>
        <v/>
      </c>
      <c r="P10" s="41">
        <f>IF($A10="","",Gaps!$K9)</f>
        <v/>
      </c>
      <c r="Q10" s="27">
        <f>IF($A10="","",IF(N($D10)=0,"No scores yet",IF($D10&lt;Settings!$E$5,"Needs more reviews",IF(OR(AND(ISNUMBER(O10),N(O10)&gt;=Settings!$E$6),AND(ISNUMBER(P10),N(P10)&gt;=Settings!$E$7)),"Talk it through","Ready"))))</f>
        <v/>
      </c>
      <c r="R10" s="27">
        <f>IF(ISNUMBER(L10),COUNTIF($L$3:$L$102,"&gt;"&amp;L10)+1,"")</f>
        <v/>
      </c>
      <c r="S10" s="25" t="n"/>
      <c r="T10" s="28" t="n"/>
      <c r="U10" s="48">
        <f>IF(ISNUMBER(L10),L10+(103-ROW())/100000,"")</f>
        <v/>
      </c>
    </row>
    <row r="11">
      <c r="A11" s="41">
        <f>IF(Applications!$A10="","",Applications!$A10&amp;"")</f>
        <v/>
      </c>
      <c r="B11" s="45">
        <f>IF($A11="","",Applications!$B10&amp;"")</f>
        <v/>
      </c>
      <c r="C11" s="46">
        <f>IF(AND($A11&lt;&gt;"",ISNUMBER(Applications!$D10)),Applications!$D10,"")</f>
        <v/>
      </c>
      <c r="D11" s="41">
        <f>IF($A11="","",COUNTIFS(Scores!$A$3:$A$502,$A11,Scores!$O$3:$O$502,"Counted"))</f>
        <v/>
      </c>
      <c r="E11" s="41">
        <f>IF($A11="","",COUNTIFS(Scores!$A$3:$A$502,$A11,Scores!$O$3:$O$502,"Conflict, not counted"))</f>
        <v/>
      </c>
      <c r="F11" s="47">
        <f>IF($A11="","",IF(COUNTIFS(Scores!$A$3:$A$502,$A11,Scores!$B$3:$B$502,F$2,Scores!$O$3:$O$502,"Counted")=0,"",SUMIFS(Scores!$P$3:$P$502,Scores!$A$3:$A$502,$A11,Scores!$B$3:$B$502,F$2,Scores!$O$3:$O$502,"Counted")))</f>
        <v/>
      </c>
      <c r="G11" s="47">
        <f>IF($A11="","",IF(COUNTIFS(Scores!$A$3:$A$502,$A11,Scores!$B$3:$B$502,G$2,Scores!$O$3:$O$502,"Counted")=0,"",SUMIFS(Scores!$P$3:$P$502,Scores!$A$3:$A$502,$A11,Scores!$B$3:$B$502,G$2,Scores!$O$3:$O$502,"Counted")))</f>
        <v/>
      </c>
      <c r="H11" s="47">
        <f>IF($A11="","",IF(COUNTIFS(Scores!$A$3:$A$502,$A11,Scores!$B$3:$B$502,H$2,Scores!$O$3:$O$502,"Counted")=0,"",SUMIFS(Scores!$P$3:$P$502,Scores!$A$3:$A$502,$A11,Scores!$B$3:$B$502,H$2,Scores!$O$3:$O$502,"Counted")))</f>
        <v/>
      </c>
      <c r="I11" s="47">
        <f>IF($A11="","",IF(COUNTIFS(Scores!$A$3:$A$502,$A11,Scores!$B$3:$B$502,I$2,Scores!$O$3:$O$502,"Counted")=0,"",SUMIFS(Scores!$P$3:$P$502,Scores!$A$3:$A$502,$A11,Scores!$B$3:$B$502,I$2,Scores!$O$3:$O$502,"Counted")))</f>
        <v/>
      </c>
      <c r="J11" s="47">
        <f>IF($A11="","",IF(COUNTIFS(Scores!$A$3:$A$502,$A11,Scores!$B$3:$B$502,J$2,Scores!$O$3:$O$502,"Counted")=0,"",SUMIFS(Scores!$P$3:$P$502,Scores!$A$3:$A$502,$A11,Scores!$B$3:$B$502,J$2,Scores!$O$3:$O$502,"Counted")))</f>
        <v/>
      </c>
      <c r="K11" s="47">
        <f>IF($A11="","",IF(COUNTIFS(Scores!$A$3:$A$502,$A11,Scores!$B$3:$B$502,K$2,Scores!$O$3:$O$502,"Counted")=0,"",SUMIFS(Scores!$P$3:$P$502,Scores!$A$3:$A$502,$A11,Scores!$B$3:$B$502,K$2,Scores!$O$3:$O$502,"Counted")))</f>
        <v/>
      </c>
      <c r="L11" s="42">
        <f>IF(N($D11)=0,"",ROUND(SUMIFS(Scores!$P$3:$P$502,Scores!$A$3:$A$502,$A11,Scores!$O$3:$O$502,"Counted")/$D11,1))</f>
        <v/>
      </c>
      <c r="M11" s="47">
        <f>IF(COUNT(F11:K11)=0,"",MIN(F11:K11))</f>
        <v/>
      </c>
      <c r="N11" s="47">
        <f>IF(COUNT(F11:K11)=0,"",MAX(F11:K11))</f>
        <v/>
      </c>
      <c r="O11" s="47">
        <f>IF(COUNT(F11:K11)&lt;2,"",ROUND(N11-M11,1))</f>
        <v/>
      </c>
      <c r="P11" s="41">
        <f>IF($A11="","",Gaps!$K10)</f>
        <v/>
      </c>
      <c r="Q11" s="27">
        <f>IF($A11="","",IF(N($D11)=0,"No scores yet",IF($D11&lt;Settings!$E$5,"Needs more reviews",IF(OR(AND(ISNUMBER(O11),N(O11)&gt;=Settings!$E$6),AND(ISNUMBER(P11),N(P11)&gt;=Settings!$E$7)),"Talk it through","Ready"))))</f>
        <v/>
      </c>
      <c r="R11" s="27">
        <f>IF(ISNUMBER(L11),COUNTIF($L$3:$L$102,"&gt;"&amp;L11)+1,"")</f>
        <v/>
      </c>
      <c r="S11" s="25" t="n"/>
      <c r="T11" s="28" t="n"/>
      <c r="U11" s="48">
        <f>IF(ISNUMBER(L11),L11+(103-ROW())/100000,"")</f>
        <v/>
      </c>
    </row>
    <row r="12">
      <c r="A12" s="41">
        <f>IF(Applications!$A11="","",Applications!$A11&amp;"")</f>
        <v/>
      </c>
      <c r="B12" s="45">
        <f>IF($A12="","",Applications!$B11&amp;"")</f>
        <v/>
      </c>
      <c r="C12" s="46">
        <f>IF(AND($A12&lt;&gt;"",ISNUMBER(Applications!$D11)),Applications!$D11,"")</f>
        <v/>
      </c>
      <c r="D12" s="41">
        <f>IF($A12="","",COUNTIFS(Scores!$A$3:$A$502,$A12,Scores!$O$3:$O$502,"Counted"))</f>
        <v/>
      </c>
      <c r="E12" s="41">
        <f>IF($A12="","",COUNTIFS(Scores!$A$3:$A$502,$A12,Scores!$O$3:$O$502,"Conflict, not counted"))</f>
        <v/>
      </c>
      <c r="F12" s="47">
        <f>IF($A12="","",IF(COUNTIFS(Scores!$A$3:$A$502,$A12,Scores!$B$3:$B$502,F$2,Scores!$O$3:$O$502,"Counted")=0,"",SUMIFS(Scores!$P$3:$P$502,Scores!$A$3:$A$502,$A12,Scores!$B$3:$B$502,F$2,Scores!$O$3:$O$502,"Counted")))</f>
        <v/>
      </c>
      <c r="G12" s="47">
        <f>IF($A12="","",IF(COUNTIFS(Scores!$A$3:$A$502,$A12,Scores!$B$3:$B$502,G$2,Scores!$O$3:$O$502,"Counted")=0,"",SUMIFS(Scores!$P$3:$P$502,Scores!$A$3:$A$502,$A12,Scores!$B$3:$B$502,G$2,Scores!$O$3:$O$502,"Counted")))</f>
        <v/>
      </c>
      <c r="H12" s="47">
        <f>IF($A12="","",IF(COUNTIFS(Scores!$A$3:$A$502,$A12,Scores!$B$3:$B$502,H$2,Scores!$O$3:$O$502,"Counted")=0,"",SUMIFS(Scores!$P$3:$P$502,Scores!$A$3:$A$502,$A12,Scores!$B$3:$B$502,H$2,Scores!$O$3:$O$502,"Counted")))</f>
        <v/>
      </c>
      <c r="I12" s="47">
        <f>IF($A12="","",IF(COUNTIFS(Scores!$A$3:$A$502,$A12,Scores!$B$3:$B$502,I$2,Scores!$O$3:$O$502,"Counted")=0,"",SUMIFS(Scores!$P$3:$P$502,Scores!$A$3:$A$502,$A12,Scores!$B$3:$B$502,I$2,Scores!$O$3:$O$502,"Counted")))</f>
        <v/>
      </c>
      <c r="J12" s="47">
        <f>IF($A12="","",IF(COUNTIFS(Scores!$A$3:$A$502,$A12,Scores!$B$3:$B$502,J$2,Scores!$O$3:$O$502,"Counted")=0,"",SUMIFS(Scores!$P$3:$P$502,Scores!$A$3:$A$502,$A12,Scores!$B$3:$B$502,J$2,Scores!$O$3:$O$502,"Counted")))</f>
        <v/>
      </c>
      <c r="K12" s="47">
        <f>IF($A12="","",IF(COUNTIFS(Scores!$A$3:$A$502,$A12,Scores!$B$3:$B$502,K$2,Scores!$O$3:$O$502,"Counted")=0,"",SUMIFS(Scores!$P$3:$P$502,Scores!$A$3:$A$502,$A12,Scores!$B$3:$B$502,K$2,Scores!$O$3:$O$502,"Counted")))</f>
        <v/>
      </c>
      <c r="L12" s="42">
        <f>IF(N($D12)=0,"",ROUND(SUMIFS(Scores!$P$3:$P$502,Scores!$A$3:$A$502,$A12,Scores!$O$3:$O$502,"Counted")/$D12,1))</f>
        <v/>
      </c>
      <c r="M12" s="47">
        <f>IF(COUNT(F12:K12)=0,"",MIN(F12:K12))</f>
        <v/>
      </c>
      <c r="N12" s="47">
        <f>IF(COUNT(F12:K12)=0,"",MAX(F12:K12))</f>
        <v/>
      </c>
      <c r="O12" s="47">
        <f>IF(COUNT(F12:K12)&lt;2,"",ROUND(N12-M12,1))</f>
        <v/>
      </c>
      <c r="P12" s="41">
        <f>IF($A12="","",Gaps!$K11)</f>
        <v/>
      </c>
      <c r="Q12" s="27">
        <f>IF($A12="","",IF(N($D12)=0,"No scores yet",IF($D12&lt;Settings!$E$5,"Needs more reviews",IF(OR(AND(ISNUMBER(O12),N(O12)&gt;=Settings!$E$6),AND(ISNUMBER(P12),N(P12)&gt;=Settings!$E$7)),"Talk it through","Ready"))))</f>
        <v/>
      </c>
      <c r="R12" s="27">
        <f>IF(ISNUMBER(L12),COUNTIF($L$3:$L$102,"&gt;"&amp;L12)+1,"")</f>
        <v/>
      </c>
      <c r="S12" s="25" t="n"/>
      <c r="T12" s="28" t="n"/>
      <c r="U12" s="48">
        <f>IF(ISNUMBER(L12),L12+(103-ROW())/100000,"")</f>
        <v/>
      </c>
    </row>
    <row r="13">
      <c r="A13" s="41">
        <f>IF(Applications!$A12="","",Applications!$A12&amp;"")</f>
        <v/>
      </c>
      <c r="B13" s="45">
        <f>IF($A13="","",Applications!$B12&amp;"")</f>
        <v/>
      </c>
      <c r="C13" s="46">
        <f>IF(AND($A13&lt;&gt;"",ISNUMBER(Applications!$D12)),Applications!$D12,"")</f>
        <v/>
      </c>
      <c r="D13" s="41">
        <f>IF($A13="","",COUNTIFS(Scores!$A$3:$A$502,$A13,Scores!$O$3:$O$502,"Counted"))</f>
        <v/>
      </c>
      <c r="E13" s="41">
        <f>IF($A13="","",COUNTIFS(Scores!$A$3:$A$502,$A13,Scores!$O$3:$O$502,"Conflict, not counted"))</f>
        <v/>
      </c>
      <c r="F13" s="47">
        <f>IF($A13="","",IF(COUNTIFS(Scores!$A$3:$A$502,$A13,Scores!$B$3:$B$502,F$2,Scores!$O$3:$O$502,"Counted")=0,"",SUMIFS(Scores!$P$3:$P$502,Scores!$A$3:$A$502,$A13,Scores!$B$3:$B$502,F$2,Scores!$O$3:$O$502,"Counted")))</f>
        <v/>
      </c>
      <c r="G13" s="47">
        <f>IF($A13="","",IF(COUNTIFS(Scores!$A$3:$A$502,$A13,Scores!$B$3:$B$502,G$2,Scores!$O$3:$O$502,"Counted")=0,"",SUMIFS(Scores!$P$3:$P$502,Scores!$A$3:$A$502,$A13,Scores!$B$3:$B$502,G$2,Scores!$O$3:$O$502,"Counted")))</f>
        <v/>
      </c>
      <c r="H13" s="47">
        <f>IF($A13="","",IF(COUNTIFS(Scores!$A$3:$A$502,$A13,Scores!$B$3:$B$502,H$2,Scores!$O$3:$O$502,"Counted")=0,"",SUMIFS(Scores!$P$3:$P$502,Scores!$A$3:$A$502,$A13,Scores!$B$3:$B$502,H$2,Scores!$O$3:$O$502,"Counted")))</f>
        <v/>
      </c>
      <c r="I13" s="47">
        <f>IF($A13="","",IF(COUNTIFS(Scores!$A$3:$A$502,$A13,Scores!$B$3:$B$502,I$2,Scores!$O$3:$O$502,"Counted")=0,"",SUMIFS(Scores!$P$3:$P$502,Scores!$A$3:$A$502,$A13,Scores!$B$3:$B$502,I$2,Scores!$O$3:$O$502,"Counted")))</f>
        <v/>
      </c>
      <c r="J13" s="47">
        <f>IF($A13="","",IF(COUNTIFS(Scores!$A$3:$A$502,$A13,Scores!$B$3:$B$502,J$2,Scores!$O$3:$O$502,"Counted")=0,"",SUMIFS(Scores!$P$3:$P$502,Scores!$A$3:$A$502,$A13,Scores!$B$3:$B$502,J$2,Scores!$O$3:$O$502,"Counted")))</f>
        <v/>
      </c>
      <c r="K13" s="47">
        <f>IF($A13="","",IF(COUNTIFS(Scores!$A$3:$A$502,$A13,Scores!$B$3:$B$502,K$2,Scores!$O$3:$O$502,"Counted")=0,"",SUMIFS(Scores!$P$3:$P$502,Scores!$A$3:$A$502,$A13,Scores!$B$3:$B$502,K$2,Scores!$O$3:$O$502,"Counted")))</f>
        <v/>
      </c>
      <c r="L13" s="42">
        <f>IF(N($D13)=0,"",ROUND(SUMIFS(Scores!$P$3:$P$502,Scores!$A$3:$A$502,$A13,Scores!$O$3:$O$502,"Counted")/$D13,1))</f>
        <v/>
      </c>
      <c r="M13" s="47">
        <f>IF(COUNT(F13:K13)=0,"",MIN(F13:K13))</f>
        <v/>
      </c>
      <c r="N13" s="47">
        <f>IF(COUNT(F13:K13)=0,"",MAX(F13:K13))</f>
        <v/>
      </c>
      <c r="O13" s="47">
        <f>IF(COUNT(F13:K13)&lt;2,"",ROUND(N13-M13,1))</f>
        <v/>
      </c>
      <c r="P13" s="41">
        <f>IF($A13="","",Gaps!$K12)</f>
        <v/>
      </c>
      <c r="Q13" s="27">
        <f>IF($A13="","",IF(N($D13)=0,"No scores yet",IF($D13&lt;Settings!$E$5,"Needs more reviews",IF(OR(AND(ISNUMBER(O13),N(O13)&gt;=Settings!$E$6),AND(ISNUMBER(P13),N(P13)&gt;=Settings!$E$7)),"Talk it through","Ready"))))</f>
        <v/>
      </c>
      <c r="R13" s="27">
        <f>IF(ISNUMBER(L13),COUNTIF($L$3:$L$102,"&gt;"&amp;L13)+1,"")</f>
        <v/>
      </c>
      <c r="S13" s="25" t="n"/>
      <c r="T13" s="28" t="n"/>
      <c r="U13" s="48">
        <f>IF(ISNUMBER(L13),L13+(103-ROW())/100000,"")</f>
        <v/>
      </c>
    </row>
    <row r="14">
      <c r="A14" s="41">
        <f>IF(Applications!$A13="","",Applications!$A13&amp;"")</f>
        <v/>
      </c>
      <c r="B14" s="45">
        <f>IF($A14="","",Applications!$B13&amp;"")</f>
        <v/>
      </c>
      <c r="C14" s="46">
        <f>IF(AND($A14&lt;&gt;"",ISNUMBER(Applications!$D13)),Applications!$D13,"")</f>
        <v/>
      </c>
      <c r="D14" s="41">
        <f>IF($A14="","",COUNTIFS(Scores!$A$3:$A$502,$A14,Scores!$O$3:$O$502,"Counted"))</f>
        <v/>
      </c>
      <c r="E14" s="41">
        <f>IF($A14="","",COUNTIFS(Scores!$A$3:$A$502,$A14,Scores!$O$3:$O$502,"Conflict, not counted"))</f>
        <v/>
      </c>
      <c r="F14" s="47">
        <f>IF($A14="","",IF(COUNTIFS(Scores!$A$3:$A$502,$A14,Scores!$B$3:$B$502,F$2,Scores!$O$3:$O$502,"Counted")=0,"",SUMIFS(Scores!$P$3:$P$502,Scores!$A$3:$A$502,$A14,Scores!$B$3:$B$502,F$2,Scores!$O$3:$O$502,"Counted")))</f>
        <v/>
      </c>
      <c r="G14" s="47">
        <f>IF($A14="","",IF(COUNTIFS(Scores!$A$3:$A$502,$A14,Scores!$B$3:$B$502,G$2,Scores!$O$3:$O$502,"Counted")=0,"",SUMIFS(Scores!$P$3:$P$502,Scores!$A$3:$A$502,$A14,Scores!$B$3:$B$502,G$2,Scores!$O$3:$O$502,"Counted")))</f>
        <v/>
      </c>
      <c r="H14" s="47">
        <f>IF($A14="","",IF(COUNTIFS(Scores!$A$3:$A$502,$A14,Scores!$B$3:$B$502,H$2,Scores!$O$3:$O$502,"Counted")=0,"",SUMIFS(Scores!$P$3:$P$502,Scores!$A$3:$A$502,$A14,Scores!$B$3:$B$502,H$2,Scores!$O$3:$O$502,"Counted")))</f>
        <v/>
      </c>
      <c r="I14" s="47">
        <f>IF($A14="","",IF(COUNTIFS(Scores!$A$3:$A$502,$A14,Scores!$B$3:$B$502,I$2,Scores!$O$3:$O$502,"Counted")=0,"",SUMIFS(Scores!$P$3:$P$502,Scores!$A$3:$A$502,$A14,Scores!$B$3:$B$502,I$2,Scores!$O$3:$O$502,"Counted")))</f>
        <v/>
      </c>
      <c r="J14" s="47">
        <f>IF($A14="","",IF(COUNTIFS(Scores!$A$3:$A$502,$A14,Scores!$B$3:$B$502,J$2,Scores!$O$3:$O$502,"Counted")=0,"",SUMIFS(Scores!$P$3:$P$502,Scores!$A$3:$A$502,$A14,Scores!$B$3:$B$502,J$2,Scores!$O$3:$O$502,"Counted")))</f>
        <v/>
      </c>
      <c r="K14" s="47">
        <f>IF($A14="","",IF(COUNTIFS(Scores!$A$3:$A$502,$A14,Scores!$B$3:$B$502,K$2,Scores!$O$3:$O$502,"Counted")=0,"",SUMIFS(Scores!$P$3:$P$502,Scores!$A$3:$A$502,$A14,Scores!$B$3:$B$502,K$2,Scores!$O$3:$O$502,"Counted")))</f>
        <v/>
      </c>
      <c r="L14" s="42">
        <f>IF(N($D14)=0,"",ROUND(SUMIFS(Scores!$P$3:$P$502,Scores!$A$3:$A$502,$A14,Scores!$O$3:$O$502,"Counted")/$D14,1))</f>
        <v/>
      </c>
      <c r="M14" s="47">
        <f>IF(COUNT(F14:K14)=0,"",MIN(F14:K14))</f>
        <v/>
      </c>
      <c r="N14" s="47">
        <f>IF(COUNT(F14:K14)=0,"",MAX(F14:K14))</f>
        <v/>
      </c>
      <c r="O14" s="47">
        <f>IF(COUNT(F14:K14)&lt;2,"",ROUND(N14-M14,1))</f>
        <v/>
      </c>
      <c r="P14" s="41">
        <f>IF($A14="","",Gaps!$K13)</f>
        <v/>
      </c>
      <c r="Q14" s="27">
        <f>IF($A14="","",IF(N($D14)=0,"No scores yet",IF($D14&lt;Settings!$E$5,"Needs more reviews",IF(OR(AND(ISNUMBER(O14),N(O14)&gt;=Settings!$E$6),AND(ISNUMBER(P14),N(P14)&gt;=Settings!$E$7)),"Talk it through","Ready"))))</f>
        <v/>
      </c>
      <c r="R14" s="27">
        <f>IF(ISNUMBER(L14),COUNTIF($L$3:$L$102,"&gt;"&amp;L14)+1,"")</f>
        <v/>
      </c>
      <c r="S14" s="25" t="n"/>
      <c r="T14" s="28" t="n"/>
      <c r="U14" s="48">
        <f>IF(ISNUMBER(L14),L14+(103-ROW())/100000,"")</f>
        <v/>
      </c>
    </row>
    <row r="15">
      <c r="A15" s="41">
        <f>IF(Applications!$A14="","",Applications!$A14&amp;"")</f>
        <v/>
      </c>
      <c r="B15" s="45">
        <f>IF($A15="","",Applications!$B14&amp;"")</f>
        <v/>
      </c>
      <c r="C15" s="46">
        <f>IF(AND($A15&lt;&gt;"",ISNUMBER(Applications!$D14)),Applications!$D14,"")</f>
        <v/>
      </c>
      <c r="D15" s="41">
        <f>IF($A15="","",COUNTIFS(Scores!$A$3:$A$502,$A15,Scores!$O$3:$O$502,"Counted"))</f>
        <v/>
      </c>
      <c r="E15" s="41">
        <f>IF($A15="","",COUNTIFS(Scores!$A$3:$A$502,$A15,Scores!$O$3:$O$502,"Conflict, not counted"))</f>
        <v/>
      </c>
      <c r="F15" s="47">
        <f>IF($A15="","",IF(COUNTIFS(Scores!$A$3:$A$502,$A15,Scores!$B$3:$B$502,F$2,Scores!$O$3:$O$502,"Counted")=0,"",SUMIFS(Scores!$P$3:$P$502,Scores!$A$3:$A$502,$A15,Scores!$B$3:$B$502,F$2,Scores!$O$3:$O$502,"Counted")))</f>
        <v/>
      </c>
      <c r="G15" s="47">
        <f>IF($A15="","",IF(COUNTIFS(Scores!$A$3:$A$502,$A15,Scores!$B$3:$B$502,G$2,Scores!$O$3:$O$502,"Counted")=0,"",SUMIFS(Scores!$P$3:$P$502,Scores!$A$3:$A$502,$A15,Scores!$B$3:$B$502,G$2,Scores!$O$3:$O$502,"Counted")))</f>
        <v/>
      </c>
      <c r="H15" s="47">
        <f>IF($A15="","",IF(COUNTIFS(Scores!$A$3:$A$502,$A15,Scores!$B$3:$B$502,H$2,Scores!$O$3:$O$502,"Counted")=0,"",SUMIFS(Scores!$P$3:$P$502,Scores!$A$3:$A$502,$A15,Scores!$B$3:$B$502,H$2,Scores!$O$3:$O$502,"Counted")))</f>
        <v/>
      </c>
      <c r="I15" s="47">
        <f>IF($A15="","",IF(COUNTIFS(Scores!$A$3:$A$502,$A15,Scores!$B$3:$B$502,I$2,Scores!$O$3:$O$502,"Counted")=0,"",SUMIFS(Scores!$P$3:$P$502,Scores!$A$3:$A$502,$A15,Scores!$B$3:$B$502,I$2,Scores!$O$3:$O$502,"Counted")))</f>
        <v/>
      </c>
      <c r="J15" s="47">
        <f>IF($A15="","",IF(COUNTIFS(Scores!$A$3:$A$502,$A15,Scores!$B$3:$B$502,J$2,Scores!$O$3:$O$502,"Counted")=0,"",SUMIFS(Scores!$P$3:$P$502,Scores!$A$3:$A$502,$A15,Scores!$B$3:$B$502,J$2,Scores!$O$3:$O$502,"Counted")))</f>
        <v/>
      </c>
      <c r="K15" s="47">
        <f>IF($A15="","",IF(COUNTIFS(Scores!$A$3:$A$502,$A15,Scores!$B$3:$B$502,K$2,Scores!$O$3:$O$502,"Counted")=0,"",SUMIFS(Scores!$P$3:$P$502,Scores!$A$3:$A$502,$A15,Scores!$B$3:$B$502,K$2,Scores!$O$3:$O$502,"Counted")))</f>
        <v/>
      </c>
      <c r="L15" s="42">
        <f>IF(N($D15)=0,"",ROUND(SUMIFS(Scores!$P$3:$P$502,Scores!$A$3:$A$502,$A15,Scores!$O$3:$O$502,"Counted")/$D15,1))</f>
        <v/>
      </c>
      <c r="M15" s="47">
        <f>IF(COUNT(F15:K15)=0,"",MIN(F15:K15))</f>
        <v/>
      </c>
      <c r="N15" s="47">
        <f>IF(COUNT(F15:K15)=0,"",MAX(F15:K15))</f>
        <v/>
      </c>
      <c r="O15" s="47">
        <f>IF(COUNT(F15:K15)&lt;2,"",ROUND(N15-M15,1))</f>
        <v/>
      </c>
      <c r="P15" s="41">
        <f>IF($A15="","",Gaps!$K14)</f>
        <v/>
      </c>
      <c r="Q15" s="27">
        <f>IF($A15="","",IF(N($D15)=0,"No scores yet",IF($D15&lt;Settings!$E$5,"Needs more reviews",IF(OR(AND(ISNUMBER(O15),N(O15)&gt;=Settings!$E$6),AND(ISNUMBER(P15),N(P15)&gt;=Settings!$E$7)),"Talk it through","Ready"))))</f>
        <v/>
      </c>
      <c r="R15" s="27">
        <f>IF(ISNUMBER(L15),COUNTIF($L$3:$L$102,"&gt;"&amp;L15)+1,"")</f>
        <v/>
      </c>
      <c r="S15" s="25" t="n"/>
      <c r="T15" s="28" t="n"/>
      <c r="U15" s="48">
        <f>IF(ISNUMBER(L15),L15+(103-ROW())/100000,"")</f>
        <v/>
      </c>
    </row>
    <row r="16">
      <c r="A16" s="41">
        <f>IF(Applications!$A15="","",Applications!$A15&amp;"")</f>
        <v/>
      </c>
      <c r="B16" s="45">
        <f>IF($A16="","",Applications!$B15&amp;"")</f>
        <v/>
      </c>
      <c r="C16" s="46">
        <f>IF(AND($A16&lt;&gt;"",ISNUMBER(Applications!$D15)),Applications!$D15,"")</f>
        <v/>
      </c>
      <c r="D16" s="41">
        <f>IF($A16="","",COUNTIFS(Scores!$A$3:$A$502,$A16,Scores!$O$3:$O$502,"Counted"))</f>
        <v/>
      </c>
      <c r="E16" s="41">
        <f>IF($A16="","",COUNTIFS(Scores!$A$3:$A$502,$A16,Scores!$O$3:$O$502,"Conflict, not counted"))</f>
        <v/>
      </c>
      <c r="F16" s="47">
        <f>IF($A16="","",IF(COUNTIFS(Scores!$A$3:$A$502,$A16,Scores!$B$3:$B$502,F$2,Scores!$O$3:$O$502,"Counted")=0,"",SUMIFS(Scores!$P$3:$P$502,Scores!$A$3:$A$502,$A16,Scores!$B$3:$B$502,F$2,Scores!$O$3:$O$502,"Counted")))</f>
        <v/>
      </c>
      <c r="G16" s="47">
        <f>IF($A16="","",IF(COUNTIFS(Scores!$A$3:$A$502,$A16,Scores!$B$3:$B$502,G$2,Scores!$O$3:$O$502,"Counted")=0,"",SUMIFS(Scores!$P$3:$P$502,Scores!$A$3:$A$502,$A16,Scores!$B$3:$B$502,G$2,Scores!$O$3:$O$502,"Counted")))</f>
        <v/>
      </c>
      <c r="H16" s="47">
        <f>IF($A16="","",IF(COUNTIFS(Scores!$A$3:$A$502,$A16,Scores!$B$3:$B$502,H$2,Scores!$O$3:$O$502,"Counted")=0,"",SUMIFS(Scores!$P$3:$P$502,Scores!$A$3:$A$502,$A16,Scores!$B$3:$B$502,H$2,Scores!$O$3:$O$502,"Counted")))</f>
        <v/>
      </c>
      <c r="I16" s="47">
        <f>IF($A16="","",IF(COUNTIFS(Scores!$A$3:$A$502,$A16,Scores!$B$3:$B$502,I$2,Scores!$O$3:$O$502,"Counted")=0,"",SUMIFS(Scores!$P$3:$P$502,Scores!$A$3:$A$502,$A16,Scores!$B$3:$B$502,I$2,Scores!$O$3:$O$502,"Counted")))</f>
        <v/>
      </c>
      <c r="J16" s="47">
        <f>IF($A16="","",IF(COUNTIFS(Scores!$A$3:$A$502,$A16,Scores!$B$3:$B$502,J$2,Scores!$O$3:$O$502,"Counted")=0,"",SUMIFS(Scores!$P$3:$P$502,Scores!$A$3:$A$502,$A16,Scores!$B$3:$B$502,J$2,Scores!$O$3:$O$502,"Counted")))</f>
        <v/>
      </c>
      <c r="K16" s="47">
        <f>IF($A16="","",IF(COUNTIFS(Scores!$A$3:$A$502,$A16,Scores!$B$3:$B$502,K$2,Scores!$O$3:$O$502,"Counted")=0,"",SUMIFS(Scores!$P$3:$P$502,Scores!$A$3:$A$502,$A16,Scores!$B$3:$B$502,K$2,Scores!$O$3:$O$502,"Counted")))</f>
        <v/>
      </c>
      <c r="L16" s="42">
        <f>IF(N($D16)=0,"",ROUND(SUMIFS(Scores!$P$3:$P$502,Scores!$A$3:$A$502,$A16,Scores!$O$3:$O$502,"Counted")/$D16,1))</f>
        <v/>
      </c>
      <c r="M16" s="47">
        <f>IF(COUNT(F16:K16)=0,"",MIN(F16:K16))</f>
        <v/>
      </c>
      <c r="N16" s="47">
        <f>IF(COUNT(F16:K16)=0,"",MAX(F16:K16))</f>
        <v/>
      </c>
      <c r="O16" s="47">
        <f>IF(COUNT(F16:K16)&lt;2,"",ROUND(N16-M16,1))</f>
        <v/>
      </c>
      <c r="P16" s="41">
        <f>IF($A16="","",Gaps!$K15)</f>
        <v/>
      </c>
      <c r="Q16" s="27">
        <f>IF($A16="","",IF(N($D16)=0,"No scores yet",IF($D16&lt;Settings!$E$5,"Needs more reviews",IF(OR(AND(ISNUMBER(O16),N(O16)&gt;=Settings!$E$6),AND(ISNUMBER(P16),N(P16)&gt;=Settings!$E$7)),"Talk it through","Ready"))))</f>
        <v/>
      </c>
      <c r="R16" s="27">
        <f>IF(ISNUMBER(L16),COUNTIF($L$3:$L$102,"&gt;"&amp;L16)+1,"")</f>
        <v/>
      </c>
      <c r="S16" s="25" t="n"/>
      <c r="T16" s="28" t="n"/>
      <c r="U16" s="48">
        <f>IF(ISNUMBER(L16),L16+(103-ROW())/100000,"")</f>
        <v/>
      </c>
    </row>
    <row r="17">
      <c r="A17" s="41">
        <f>IF(Applications!$A16="","",Applications!$A16&amp;"")</f>
        <v/>
      </c>
      <c r="B17" s="45">
        <f>IF($A17="","",Applications!$B16&amp;"")</f>
        <v/>
      </c>
      <c r="C17" s="46">
        <f>IF(AND($A17&lt;&gt;"",ISNUMBER(Applications!$D16)),Applications!$D16,"")</f>
        <v/>
      </c>
      <c r="D17" s="41">
        <f>IF($A17="","",COUNTIFS(Scores!$A$3:$A$502,$A17,Scores!$O$3:$O$502,"Counted"))</f>
        <v/>
      </c>
      <c r="E17" s="41">
        <f>IF($A17="","",COUNTIFS(Scores!$A$3:$A$502,$A17,Scores!$O$3:$O$502,"Conflict, not counted"))</f>
        <v/>
      </c>
      <c r="F17" s="47">
        <f>IF($A17="","",IF(COUNTIFS(Scores!$A$3:$A$502,$A17,Scores!$B$3:$B$502,F$2,Scores!$O$3:$O$502,"Counted")=0,"",SUMIFS(Scores!$P$3:$P$502,Scores!$A$3:$A$502,$A17,Scores!$B$3:$B$502,F$2,Scores!$O$3:$O$502,"Counted")))</f>
        <v/>
      </c>
      <c r="G17" s="47">
        <f>IF($A17="","",IF(COUNTIFS(Scores!$A$3:$A$502,$A17,Scores!$B$3:$B$502,G$2,Scores!$O$3:$O$502,"Counted")=0,"",SUMIFS(Scores!$P$3:$P$502,Scores!$A$3:$A$502,$A17,Scores!$B$3:$B$502,G$2,Scores!$O$3:$O$502,"Counted")))</f>
        <v/>
      </c>
      <c r="H17" s="47">
        <f>IF($A17="","",IF(COUNTIFS(Scores!$A$3:$A$502,$A17,Scores!$B$3:$B$502,H$2,Scores!$O$3:$O$502,"Counted")=0,"",SUMIFS(Scores!$P$3:$P$502,Scores!$A$3:$A$502,$A17,Scores!$B$3:$B$502,H$2,Scores!$O$3:$O$502,"Counted")))</f>
        <v/>
      </c>
      <c r="I17" s="47">
        <f>IF($A17="","",IF(COUNTIFS(Scores!$A$3:$A$502,$A17,Scores!$B$3:$B$502,I$2,Scores!$O$3:$O$502,"Counted")=0,"",SUMIFS(Scores!$P$3:$P$502,Scores!$A$3:$A$502,$A17,Scores!$B$3:$B$502,I$2,Scores!$O$3:$O$502,"Counted")))</f>
        <v/>
      </c>
      <c r="J17" s="47">
        <f>IF($A17="","",IF(COUNTIFS(Scores!$A$3:$A$502,$A17,Scores!$B$3:$B$502,J$2,Scores!$O$3:$O$502,"Counted")=0,"",SUMIFS(Scores!$P$3:$P$502,Scores!$A$3:$A$502,$A17,Scores!$B$3:$B$502,J$2,Scores!$O$3:$O$502,"Counted")))</f>
        <v/>
      </c>
      <c r="K17" s="47">
        <f>IF($A17="","",IF(COUNTIFS(Scores!$A$3:$A$502,$A17,Scores!$B$3:$B$502,K$2,Scores!$O$3:$O$502,"Counted")=0,"",SUMIFS(Scores!$P$3:$P$502,Scores!$A$3:$A$502,$A17,Scores!$B$3:$B$502,K$2,Scores!$O$3:$O$502,"Counted")))</f>
        <v/>
      </c>
      <c r="L17" s="42">
        <f>IF(N($D17)=0,"",ROUND(SUMIFS(Scores!$P$3:$P$502,Scores!$A$3:$A$502,$A17,Scores!$O$3:$O$502,"Counted")/$D17,1))</f>
        <v/>
      </c>
      <c r="M17" s="47">
        <f>IF(COUNT(F17:K17)=0,"",MIN(F17:K17))</f>
        <v/>
      </c>
      <c r="N17" s="47">
        <f>IF(COUNT(F17:K17)=0,"",MAX(F17:K17))</f>
        <v/>
      </c>
      <c r="O17" s="47">
        <f>IF(COUNT(F17:K17)&lt;2,"",ROUND(N17-M17,1))</f>
        <v/>
      </c>
      <c r="P17" s="41">
        <f>IF($A17="","",Gaps!$K16)</f>
        <v/>
      </c>
      <c r="Q17" s="27">
        <f>IF($A17="","",IF(N($D17)=0,"No scores yet",IF($D17&lt;Settings!$E$5,"Needs more reviews",IF(OR(AND(ISNUMBER(O17),N(O17)&gt;=Settings!$E$6),AND(ISNUMBER(P17),N(P17)&gt;=Settings!$E$7)),"Talk it through","Ready"))))</f>
        <v/>
      </c>
      <c r="R17" s="27">
        <f>IF(ISNUMBER(L17),COUNTIF($L$3:$L$102,"&gt;"&amp;L17)+1,"")</f>
        <v/>
      </c>
      <c r="S17" s="25" t="n"/>
      <c r="T17" s="28" t="n"/>
      <c r="U17" s="48">
        <f>IF(ISNUMBER(L17),L17+(103-ROW())/100000,"")</f>
        <v/>
      </c>
    </row>
    <row r="18">
      <c r="A18" s="41">
        <f>IF(Applications!$A17="","",Applications!$A17&amp;"")</f>
        <v/>
      </c>
      <c r="B18" s="45">
        <f>IF($A18="","",Applications!$B17&amp;"")</f>
        <v/>
      </c>
      <c r="C18" s="46">
        <f>IF(AND($A18&lt;&gt;"",ISNUMBER(Applications!$D17)),Applications!$D17,"")</f>
        <v/>
      </c>
      <c r="D18" s="41">
        <f>IF($A18="","",COUNTIFS(Scores!$A$3:$A$502,$A18,Scores!$O$3:$O$502,"Counted"))</f>
        <v/>
      </c>
      <c r="E18" s="41">
        <f>IF($A18="","",COUNTIFS(Scores!$A$3:$A$502,$A18,Scores!$O$3:$O$502,"Conflict, not counted"))</f>
        <v/>
      </c>
      <c r="F18" s="47">
        <f>IF($A18="","",IF(COUNTIFS(Scores!$A$3:$A$502,$A18,Scores!$B$3:$B$502,F$2,Scores!$O$3:$O$502,"Counted")=0,"",SUMIFS(Scores!$P$3:$P$502,Scores!$A$3:$A$502,$A18,Scores!$B$3:$B$502,F$2,Scores!$O$3:$O$502,"Counted")))</f>
        <v/>
      </c>
      <c r="G18" s="47">
        <f>IF($A18="","",IF(COUNTIFS(Scores!$A$3:$A$502,$A18,Scores!$B$3:$B$502,G$2,Scores!$O$3:$O$502,"Counted")=0,"",SUMIFS(Scores!$P$3:$P$502,Scores!$A$3:$A$502,$A18,Scores!$B$3:$B$502,G$2,Scores!$O$3:$O$502,"Counted")))</f>
        <v/>
      </c>
      <c r="H18" s="47">
        <f>IF($A18="","",IF(COUNTIFS(Scores!$A$3:$A$502,$A18,Scores!$B$3:$B$502,H$2,Scores!$O$3:$O$502,"Counted")=0,"",SUMIFS(Scores!$P$3:$P$502,Scores!$A$3:$A$502,$A18,Scores!$B$3:$B$502,H$2,Scores!$O$3:$O$502,"Counted")))</f>
        <v/>
      </c>
      <c r="I18" s="47">
        <f>IF($A18="","",IF(COUNTIFS(Scores!$A$3:$A$502,$A18,Scores!$B$3:$B$502,I$2,Scores!$O$3:$O$502,"Counted")=0,"",SUMIFS(Scores!$P$3:$P$502,Scores!$A$3:$A$502,$A18,Scores!$B$3:$B$502,I$2,Scores!$O$3:$O$502,"Counted")))</f>
        <v/>
      </c>
      <c r="J18" s="47">
        <f>IF($A18="","",IF(COUNTIFS(Scores!$A$3:$A$502,$A18,Scores!$B$3:$B$502,J$2,Scores!$O$3:$O$502,"Counted")=0,"",SUMIFS(Scores!$P$3:$P$502,Scores!$A$3:$A$502,$A18,Scores!$B$3:$B$502,J$2,Scores!$O$3:$O$502,"Counted")))</f>
        <v/>
      </c>
      <c r="K18" s="47">
        <f>IF($A18="","",IF(COUNTIFS(Scores!$A$3:$A$502,$A18,Scores!$B$3:$B$502,K$2,Scores!$O$3:$O$502,"Counted")=0,"",SUMIFS(Scores!$P$3:$P$502,Scores!$A$3:$A$502,$A18,Scores!$B$3:$B$502,K$2,Scores!$O$3:$O$502,"Counted")))</f>
        <v/>
      </c>
      <c r="L18" s="42">
        <f>IF(N($D18)=0,"",ROUND(SUMIFS(Scores!$P$3:$P$502,Scores!$A$3:$A$502,$A18,Scores!$O$3:$O$502,"Counted")/$D18,1))</f>
        <v/>
      </c>
      <c r="M18" s="47">
        <f>IF(COUNT(F18:K18)=0,"",MIN(F18:K18))</f>
        <v/>
      </c>
      <c r="N18" s="47">
        <f>IF(COUNT(F18:K18)=0,"",MAX(F18:K18))</f>
        <v/>
      </c>
      <c r="O18" s="47">
        <f>IF(COUNT(F18:K18)&lt;2,"",ROUND(N18-M18,1))</f>
        <v/>
      </c>
      <c r="P18" s="41">
        <f>IF($A18="","",Gaps!$K17)</f>
        <v/>
      </c>
      <c r="Q18" s="27">
        <f>IF($A18="","",IF(N($D18)=0,"No scores yet",IF($D18&lt;Settings!$E$5,"Needs more reviews",IF(OR(AND(ISNUMBER(O18),N(O18)&gt;=Settings!$E$6),AND(ISNUMBER(P18),N(P18)&gt;=Settings!$E$7)),"Talk it through","Ready"))))</f>
        <v/>
      </c>
      <c r="R18" s="27">
        <f>IF(ISNUMBER(L18),COUNTIF($L$3:$L$102,"&gt;"&amp;L18)+1,"")</f>
        <v/>
      </c>
      <c r="S18" s="25" t="n"/>
      <c r="T18" s="28" t="n"/>
      <c r="U18" s="48">
        <f>IF(ISNUMBER(L18),L18+(103-ROW())/100000,"")</f>
        <v/>
      </c>
    </row>
    <row r="19">
      <c r="A19" s="41">
        <f>IF(Applications!$A18="","",Applications!$A18&amp;"")</f>
        <v/>
      </c>
      <c r="B19" s="45">
        <f>IF($A19="","",Applications!$B18&amp;"")</f>
        <v/>
      </c>
      <c r="C19" s="46">
        <f>IF(AND($A19&lt;&gt;"",ISNUMBER(Applications!$D18)),Applications!$D18,"")</f>
        <v/>
      </c>
      <c r="D19" s="41">
        <f>IF($A19="","",COUNTIFS(Scores!$A$3:$A$502,$A19,Scores!$O$3:$O$502,"Counted"))</f>
        <v/>
      </c>
      <c r="E19" s="41">
        <f>IF($A19="","",COUNTIFS(Scores!$A$3:$A$502,$A19,Scores!$O$3:$O$502,"Conflict, not counted"))</f>
        <v/>
      </c>
      <c r="F19" s="47">
        <f>IF($A19="","",IF(COUNTIFS(Scores!$A$3:$A$502,$A19,Scores!$B$3:$B$502,F$2,Scores!$O$3:$O$502,"Counted")=0,"",SUMIFS(Scores!$P$3:$P$502,Scores!$A$3:$A$502,$A19,Scores!$B$3:$B$502,F$2,Scores!$O$3:$O$502,"Counted")))</f>
        <v/>
      </c>
      <c r="G19" s="47">
        <f>IF($A19="","",IF(COUNTIFS(Scores!$A$3:$A$502,$A19,Scores!$B$3:$B$502,G$2,Scores!$O$3:$O$502,"Counted")=0,"",SUMIFS(Scores!$P$3:$P$502,Scores!$A$3:$A$502,$A19,Scores!$B$3:$B$502,G$2,Scores!$O$3:$O$502,"Counted")))</f>
        <v/>
      </c>
      <c r="H19" s="47">
        <f>IF($A19="","",IF(COUNTIFS(Scores!$A$3:$A$502,$A19,Scores!$B$3:$B$502,H$2,Scores!$O$3:$O$502,"Counted")=0,"",SUMIFS(Scores!$P$3:$P$502,Scores!$A$3:$A$502,$A19,Scores!$B$3:$B$502,H$2,Scores!$O$3:$O$502,"Counted")))</f>
        <v/>
      </c>
      <c r="I19" s="47">
        <f>IF($A19="","",IF(COUNTIFS(Scores!$A$3:$A$502,$A19,Scores!$B$3:$B$502,I$2,Scores!$O$3:$O$502,"Counted")=0,"",SUMIFS(Scores!$P$3:$P$502,Scores!$A$3:$A$502,$A19,Scores!$B$3:$B$502,I$2,Scores!$O$3:$O$502,"Counted")))</f>
        <v/>
      </c>
      <c r="J19" s="47">
        <f>IF($A19="","",IF(COUNTIFS(Scores!$A$3:$A$502,$A19,Scores!$B$3:$B$502,J$2,Scores!$O$3:$O$502,"Counted")=0,"",SUMIFS(Scores!$P$3:$P$502,Scores!$A$3:$A$502,$A19,Scores!$B$3:$B$502,J$2,Scores!$O$3:$O$502,"Counted")))</f>
        <v/>
      </c>
      <c r="K19" s="47">
        <f>IF($A19="","",IF(COUNTIFS(Scores!$A$3:$A$502,$A19,Scores!$B$3:$B$502,K$2,Scores!$O$3:$O$502,"Counted")=0,"",SUMIFS(Scores!$P$3:$P$502,Scores!$A$3:$A$502,$A19,Scores!$B$3:$B$502,K$2,Scores!$O$3:$O$502,"Counted")))</f>
        <v/>
      </c>
      <c r="L19" s="42">
        <f>IF(N($D19)=0,"",ROUND(SUMIFS(Scores!$P$3:$P$502,Scores!$A$3:$A$502,$A19,Scores!$O$3:$O$502,"Counted")/$D19,1))</f>
        <v/>
      </c>
      <c r="M19" s="47">
        <f>IF(COUNT(F19:K19)=0,"",MIN(F19:K19))</f>
        <v/>
      </c>
      <c r="N19" s="47">
        <f>IF(COUNT(F19:K19)=0,"",MAX(F19:K19))</f>
        <v/>
      </c>
      <c r="O19" s="47">
        <f>IF(COUNT(F19:K19)&lt;2,"",ROUND(N19-M19,1))</f>
        <v/>
      </c>
      <c r="P19" s="41">
        <f>IF($A19="","",Gaps!$K18)</f>
        <v/>
      </c>
      <c r="Q19" s="27">
        <f>IF($A19="","",IF(N($D19)=0,"No scores yet",IF($D19&lt;Settings!$E$5,"Needs more reviews",IF(OR(AND(ISNUMBER(O19),N(O19)&gt;=Settings!$E$6),AND(ISNUMBER(P19),N(P19)&gt;=Settings!$E$7)),"Talk it through","Ready"))))</f>
        <v/>
      </c>
      <c r="R19" s="27">
        <f>IF(ISNUMBER(L19),COUNTIF($L$3:$L$102,"&gt;"&amp;L19)+1,"")</f>
        <v/>
      </c>
      <c r="S19" s="25" t="n"/>
      <c r="T19" s="28" t="n"/>
      <c r="U19" s="48">
        <f>IF(ISNUMBER(L19),L19+(103-ROW())/100000,"")</f>
        <v/>
      </c>
    </row>
    <row r="20">
      <c r="A20" s="41">
        <f>IF(Applications!$A19="","",Applications!$A19&amp;"")</f>
        <v/>
      </c>
      <c r="B20" s="45">
        <f>IF($A20="","",Applications!$B19&amp;"")</f>
        <v/>
      </c>
      <c r="C20" s="46">
        <f>IF(AND($A20&lt;&gt;"",ISNUMBER(Applications!$D19)),Applications!$D19,"")</f>
        <v/>
      </c>
      <c r="D20" s="41">
        <f>IF($A20="","",COUNTIFS(Scores!$A$3:$A$502,$A20,Scores!$O$3:$O$502,"Counted"))</f>
        <v/>
      </c>
      <c r="E20" s="41">
        <f>IF($A20="","",COUNTIFS(Scores!$A$3:$A$502,$A20,Scores!$O$3:$O$502,"Conflict, not counted"))</f>
        <v/>
      </c>
      <c r="F20" s="47">
        <f>IF($A20="","",IF(COUNTIFS(Scores!$A$3:$A$502,$A20,Scores!$B$3:$B$502,F$2,Scores!$O$3:$O$502,"Counted")=0,"",SUMIFS(Scores!$P$3:$P$502,Scores!$A$3:$A$502,$A20,Scores!$B$3:$B$502,F$2,Scores!$O$3:$O$502,"Counted")))</f>
        <v/>
      </c>
      <c r="G20" s="47">
        <f>IF($A20="","",IF(COUNTIFS(Scores!$A$3:$A$502,$A20,Scores!$B$3:$B$502,G$2,Scores!$O$3:$O$502,"Counted")=0,"",SUMIFS(Scores!$P$3:$P$502,Scores!$A$3:$A$502,$A20,Scores!$B$3:$B$502,G$2,Scores!$O$3:$O$502,"Counted")))</f>
        <v/>
      </c>
      <c r="H20" s="47">
        <f>IF($A20="","",IF(COUNTIFS(Scores!$A$3:$A$502,$A20,Scores!$B$3:$B$502,H$2,Scores!$O$3:$O$502,"Counted")=0,"",SUMIFS(Scores!$P$3:$P$502,Scores!$A$3:$A$502,$A20,Scores!$B$3:$B$502,H$2,Scores!$O$3:$O$502,"Counted")))</f>
        <v/>
      </c>
      <c r="I20" s="47">
        <f>IF($A20="","",IF(COUNTIFS(Scores!$A$3:$A$502,$A20,Scores!$B$3:$B$502,I$2,Scores!$O$3:$O$502,"Counted")=0,"",SUMIFS(Scores!$P$3:$P$502,Scores!$A$3:$A$502,$A20,Scores!$B$3:$B$502,I$2,Scores!$O$3:$O$502,"Counted")))</f>
        <v/>
      </c>
      <c r="J20" s="47">
        <f>IF($A20="","",IF(COUNTIFS(Scores!$A$3:$A$502,$A20,Scores!$B$3:$B$502,J$2,Scores!$O$3:$O$502,"Counted")=0,"",SUMIFS(Scores!$P$3:$P$502,Scores!$A$3:$A$502,$A20,Scores!$B$3:$B$502,J$2,Scores!$O$3:$O$502,"Counted")))</f>
        <v/>
      </c>
      <c r="K20" s="47">
        <f>IF($A20="","",IF(COUNTIFS(Scores!$A$3:$A$502,$A20,Scores!$B$3:$B$502,K$2,Scores!$O$3:$O$502,"Counted")=0,"",SUMIFS(Scores!$P$3:$P$502,Scores!$A$3:$A$502,$A20,Scores!$B$3:$B$502,K$2,Scores!$O$3:$O$502,"Counted")))</f>
        <v/>
      </c>
      <c r="L20" s="42">
        <f>IF(N($D20)=0,"",ROUND(SUMIFS(Scores!$P$3:$P$502,Scores!$A$3:$A$502,$A20,Scores!$O$3:$O$502,"Counted")/$D20,1))</f>
        <v/>
      </c>
      <c r="M20" s="47">
        <f>IF(COUNT(F20:K20)=0,"",MIN(F20:K20))</f>
        <v/>
      </c>
      <c r="N20" s="47">
        <f>IF(COUNT(F20:K20)=0,"",MAX(F20:K20))</f>
        <v/>
      </c>
      <c r="O20" s="47">
        <f>IF(COUNT(F20:K20)&lt;2,"",ROUND(N20-M20,1))</f>
        <v/>
      </c>
      <c r="P20" s="41">
        <f>IF($A20="","",Gaps!$K19)</f>
        <v/>
      </c>
      <c r="Q20" s="27">
        <f>IF($A20="","",IF(N($D20)=0,"No scores yet",IF($D20&lt;Settings!$E$5,"Needs more reviews",IF(OR(AND(ISNUMBER(O20),N(O20)&gt;=Settings!$E$6),AND(ISNUMBER(P20),N(P20)&gt;=Settings!$E$7)),"Talk it through","Ready"))))</f>
        <v/>
      </c>
      <c r="R20" s="27">
        <f>IF(ISNUMBER(L20),COUNTIF($L$3:$L$102,"&gt;"&amp;L20)+1,"")</f>
        <v/>
      </c>
      <c r="S20" s="25" t="n"/>
      <c r="T20" s="28" t="n"/>
      <c r="U20" s="48">
        <f>IF(ISNUMBER(L20),L20+(103-ROW())/100000,"")</f>
        <v/>
      </c>
    </row>
    <row r="21">
      <c r="A21" s="41">
        <f>IF(Applications!$A20="","",Applications!$A20&amp;"")</f>
        <v/>
      </c>
      <c r="B21" s="45">
        <f>IF($A21="","",Applications!$B20&amp;"")</f>
        <v/>
      </c>
      <c r="C21" s="46">
        <f>IF(AND($A21&lt;&gt;"",ISNUMBER(Applications!$D20)),Applications!$D20,"")</f>
        <v/>
      </c>
      <c r="D21" s="41">
        <f>IF($A21="","",COUNTIFS(Scores!$A$3:$A$502,$A21,Scores!$O$3:$O$502,"Counted"))</f>
        <v/>
      </c>
      <c r="E21" s="41">
        <f>IF($A21="","",COUNTIFS(Scores!$A$3:$A$502,$A21,Scores!$O$3:$O$502,"Conflict, not counted"))</f>
        <v/>
      </c>
      <c r="F21" s="47">
        <f>IF($A21="","",IF(COUNTIFS(Scores!$A$3:$A$502,$A21,Scores!$B$3:$B$502,F$2,Scores!$O$3:$O$502,"Counted")=0,"",SUMIFS(Scores!$P$3:$P$502,Scores!$A$3:$A$502,$A21,Scores!$B$3:$B$502,F$2,Scores!$O$3:$O$502,"Counted")))</f>
        <v/>
      </c>
      <c r="G21" s="47">
        <f>IF($A21="","",IF(COUNTIFS(Scores!$A$3:$A$502,$A21,Scores!$B$3:$B$502,G$2,Scores!$O$3:$O$502,"Counted")=0,"",SUMIFS(Scores!$P$3:$P$502,Scores!$A$3:$A$502,$A21,Scores!$B$3:$B$502,G$2,Scores!$O$3:$O$502,"Counted")))</f>
        <v/>
      </c>
      <c r="H21" s="47">
        <f>IF($A21="","",IF(COUNTIFS(Scores!$A$3:$A$502,$A21,Scores!$B$3:$B$502,H$2,Scores!$O$3:$O$502,"Counted")=0,"",SUMIFS(Scores!$P$3:$P$502,Scores!$A$3:$A$502,$A21,Scores!$B$3:$B$502,H$2,Scores!$O$3:$O$502,"Counted")))</f>
        <v/>
      </c>
      <c r="I21" s="47">
        <f>IF($A21="","",IF(COUNTIFS(Scores!$A$3:$A$502,$A21,Scores!$B$3:$B$502,I$2,Scores!$O$3:$O$502,"Counted")=0,"",SUMIFS(Scores!$P$3:$P$502,Scores!$A$3:$A$502,$A21,Scores!$B$3:$B$502,I$2,Scores!$O$3:$O$502,"Counted")))</f>
        <v/>
      </c>
      <c r="J21" s="47">
        <f>IF($A21="","",IF(COUNTIFS(Scores!$A$3:$A$502,$A21,Scores!$B$3:$B$502,J$2,Scores!$O$3:$O$502,"Counted")=0,"",SUMIFS(Scores!$P$3:$P$502,Scores!$A$3:$A$502,$A21,Scores!$B$3:$B$502,J$2,Scores!$O$3:$O$502,"Counted")))</f>
        <v/>
      </c>
      <c r="K21" s="47">
        <f>IF($A21="","",IF(COUNTIFS(Scores!$A$3:$A$502,$A21,Scores!$B$3:$B$502,K$2,Scores!$O$3:$O$502,"Counted")=0,"",SUMIFS(Scores!$P$3:$P$502,Scores!$A$3:$A$502,$A21,Scores!$B$3:$B$502,K$2,Scores!$O$3:$O$502,"Counted")))</f>
        <v/>
      </c>
      <c r="L21" s="42">
        <f>IF(N($D21)=0,"",ROUND(SUMIFS(Scores!$P$3:$P$502,Scores!$A$3:$A$502,$A21,Scores!$O$3:$O$502,"Counted")/$D21,1))</f>
        <v/>
      </c>
      <c r="M21" s="47">
        <f>IF(COUNT(F21:K21)=0,"",MIN(F21:K21))</f>
        <v/>
      </c>
      <c r="N21" s="47">
        <f>IF(COUNT(F21:K21)=0,"",MAX(F21:K21))</f>
        <v/>
      </c>
      <c r="O21" s="47">
        <f>IF(COUNT(F21:K21)&lt;2,"",ROUND(N21-M21,1))</f>
        <v/>
      </c>
      <c r="P21" s="41">
        <f>IF($A21="","",Gaps!$K20)</f>
        <v/>
      </c>
      <c r="Q21" s="27">
        <f>IF($A21="","",IF(N($D21)=0,"No scores yet",IF($D21&lt;Settings!$E$5,"Needs more reviews",IF(OR(AND(ISNUMBER(O21),N(O21)&gt;=Settings!$E$6),AND(ISNUMBER(P21),N(P21)&gt;=Settings!$E$7)),"Talk it through","Ready"))))</f>
        <v/>
      </c>
      <c r="R21" s="27">
        <f>IF(ISNUMBER(L21),COUNTIF($L$3:$L$102,"&gt;"&amp;L21)+1,"")</f>
        <v/>
      </c>
      <c r="S21" s="25" t="n"/>
      <c r="T21" s="28" t="n"/>
      <c r="U21" s="48">
        <f>IF(ISNUMBER(L21),L21+(103-ROW())/100000,"")</f>
        <v/>
      </c>
    </row>
    <row r="22">
      <c r="A22" s="41">
        <f>IF(Applications!$A21="","",Applications!$A21&amp;"")</f>
        <v/>
      </c>
      <c r="B22" s="45">
        <f>IF($A22="","",Applications!$B21&amp;"")</f>
        <v/>
      </c>
      <c r="C22" s="46">
        <f>IF(AND($A22&lt;&gt;"",ISNUMBER(Applications!$D21)),Applications!$D21,"")</f>
        <v/>
      </c>
      <c r="D22" s="41">
        <f>IF($A22="","",COUNTIFS(Scores!$A$3:$A$502,$A22,Scores!$O$3:$O$502,"Counted"))</f>
        <v/>
      </c>
      <c r="E22" s="41">
        <f>IF($A22="","",COUNTIFS(Scores!$A$3:$A$502,$A22,Scores!$O$3:$O$502,"Conflict, not counted"))</f>
        <v/>
      </c>
      <c r="F22" s="47">
        <f>IF($A22="","",IF(COUNTIFS(Scores!$A$3:$A$502,$A22,Scores!$B$3:$B$502,F$2,Scores!$O$3:$O$502,"Counted")=0,"",SUMIFS(Scores!$P$3:$P$502,Scores!$A$3:$A$502,$A22,Scores!$B$3:$B$502,F$2,Scores!$O$3:$O$502,"Counted")))</f>
        <v/>
      </c>
      <c r="G22" s="47">
        <f>IF($A22="","",IF(COUNTIFS(Scores!$A$3:$A$502,$A22,Scores!$B$3:$B$502,G$2,Scores!$O$3:$O$502,"Counted")=0,"",SUMIFS(Scores!$P$3:$P$502,Scores!$A$3:$A$502,$A22,Scores!$B$3:$B$502,G$2,Scores!$O$3:$O$502,"Counted")))</f>
        <v/>
      </c>
      <c r="H22" s="47">
        <f>IF($A22="","",IF(COUNTIFS(Scores!$A$3:$A$502,$A22,Scores!$B$3:$B$502,H$2,Scores!$O$3:$O$502,"Counted")=0,"",SUMIFS(Scores!$P$3:$P$502,Scores!$A$3:$A$502,$A22,Scores!$B$3:$B$502,H$2,Scores!$O$3:$O$502,"Counted")))</f>
        <v/>
      </c>
      <c r="I22" s="47">
        <f>IF($A22="","",IF(COUNTIFS(Scores!$A$3:$A$502,$A22,Scores!$B$3:$B$502,I$2,Scores!$O$3:$O$502,"Counted")=0,"",SUMIFS(Scores!$P$3:$P$502,Scores!$A$3:$A$502,$A22,Scores!$B$3:$B$502,I$2,Scores!$O$3:$O$502,"Counted")))</f>
        <v/>
      </c>
      <c r="J22" s="47">
        <f>IF($A22="","",IF(COUNTIFS(Scores!$A$3:$A$502,$A22,Scores!$B$3:$B$502,J$2,Scores!$O$3:$O$502,"Counted")=0,"",SUMIFS(Scores!$P$3:$P$502,Scores!$A$3:$A$502,$A22,Scores!$B$3:$B$502,J$2,Scores!$O$3:$O$502,"Counted")))</f>
        <v/>
      </c>
      <c r="K22" s="47">
        <f>IF($A22="","",IF(COUNTIFS(Scores!$A$3:$A$502,$A22,Scores!$B$3:$B$502,K$2,Scores!$O$3:$O$502,"Counted")=0,"",SUMIFS(Scores!$P$3:$P$502,Scores!$A$3:$A$502,$A22,Scores!$B$3:$B$502,K$2,Scores!$O$3:$O$502,"Counted")))</f>
        <v/>
      </c>
      <c r="L22" s="42">
        <f>IF(N($D22)=0,"",ROUND(SUMIFS(Scores!$P$3:$P$502,Scores!$A$3:$A$502,$A22,Scores!$O$3:$O$502,"Counted")/$D22,1))</f>
        <v/>
      </c>
      <c r="M22" s="47">
        <f>IF(COUNT(F22:K22)=0,"",MIN(F22:K22))</f>
        <v/>
      </c>
      <c r="N22" s="47">
        <f>IF(COUNT(F22:K22)=0,"",MAX(F22:K22))</f>
        <v/>
      </c>
      <c r="O22" s="47">
        <f>IF(COUNT(F22:K22)&lt;2,"",ROUND(N22-M22,1))</f>
        <v/>
      </c>
      <c r="P22" s="41">
        <f>IF($A22="","",Gaps!$K21)</f>
        <v/>
      </c>
      <c r="Q22" s="27">
        <f>IF($A22="","",IF(N($D22)=0,"No scores yet",IF($D22&lt;Settings!$E$5,"Needs more reviews",IF(OR(AND(ISNUMBER(O22),N(O22)&gt;=Settings!$E$6),AND(ISNUMBER(P22),N(P22)&gt;=Settings!$E$7)),"Talk it through","Ready"))))</f>
        <v/>
      </c>
      <c r="R22" s="27">
        <f>IF(ISNUMBER(L22),COUNTIF($L$3:$L$102,"&gt;"&amp;L22)+1,"")</f>
        <v/>
      </c>
      <c r="S22" s="25" t="n"/>
      <c r="T22" s="28" t="n"/>
      <c r="U22" s="48">
        <f>IF(ISNUMBER(L22),L22+(103-ROW())/100000,"")</f>
        <v/>
      </c>
    </row>
    <row r="23">
      <c r="A23" s="41">
        <f>IF(Applications!$A22="","",Applications!$A22&amp;"")</f>
        <v/>
      </c>
      <c r="B23" s="45">
        <f>IF($A23="","",Applications!$B22&amp;"")</f>
        <v/>
      </c>
      <c r="C23" s="46">
        <f>IF(AND($A23&lt;&gt;"",ISNUMBER(Applications!$D22)),Applications!$D22,"")</f>
        <v/>
      </c>
      <c r="D23" s="41">
        <f>IF($A23="","",COUNTIFS(Scores!$A$3:$A$502,$A23,Scores!$O$3:$O$502,"Counted"))</f>
        <v/>
      </c>
      <c r="E23" s="41">
        <f>IF($A23="","",COUNTIFS(Scores!$A$3:$A$502,$A23,Scores!$O$3:$O$502,"Conflict, not counted"))</f>
        <v/>
      </c>
      <c r="F23" s="47">
        <f>IF($A23="","",IF(COUNTIFS(Scores!$A$3:$A$502,$A23,Scores!$B$3:$B$502,F$2,Scores!$O$3:$O$502,"Counted")=0,"",SUMIFS(Scores!$P$3:$P$502,Scores!$A$3:$A$502,$A23,Scores!$B$3:$B$502,F$2,Scores!$O$3:$O$502,"Counted")))</f>
        <v/>
      </c>
      <c r="G23" s="47">
        <f>IF($A23="","",IF(COUNTIFS(Scores!$A$3:$A$502,$A23,Scores!$B$3:$B$502,G$2,Scores!$O$3:$O$502,"Counted")=0,"",SUMIFS(Scores!$P$3:$P$502,Scores!$A$3:$A$502,$A23,Scores!$B$3:$B$502,G$2,Scores!$O$3:$O$502,"Counted")))</f>
        <v/>
      </c>
      <c r="H23" s="47">
        <f>IF($A23="","",IF(COUNTIFS(Scores!$A$3:$A$502,$A23,Scores!$B$3:$B$502,H$2,Scores!$O$3:$O$502,"Counted")=0,"",SUMIFS(Scores!$P$3:$P$502,Scores!$A$3:$A$502,$A23,Scores!$B$3:$B$502,H$2,Scores!$O$3:$O$502,"Counted")))</f>
        <v/>
      </c>
      <c r="I23" s="47">
        <f>IF($A23="","",IF(COUNTIFS(Scores!$A$3:$A$502,$A23,Scores!$B$3:$B$502,I$2,Scores!$O$3:$O$502,"Counted")=0,"",SUMIFS(Scores!$P$3:$P$502,Scores!$A$3:$A$502,$A23,Scores!$B$3:$B$502,I$2,Scores!$O$3:$O$502,"Counted")))</f>
        <v/>
      </c>
      <c r="J23" s="47">
        <f>IF($A23="","",IF(COUNTIFS(Scores!$A$3:$A$502,$A23,Scores!$B$3:$B$502,J$2,Scores!$O$3:$O$502,"Counted")=0,"",SUMIFS(Scores!$P$3:$P$502,Scores!$A$3:$A$502,$A23,Scores!$B$3:$B$502,J$2,Scores!$O$3:$O$502,"Counted")))</f>
        <v/>
      </c>
      <c r="K23" s="47">
        <f>IF($A23="","",IF(COUNTIFS(Scores!$A$3:$A$502,$A23,Scores!$B$3:$B$502,K$2,Scores!$O$3:$O$502,"Counted")=0,"",SUMIFS(Scores!$P$3:$P$502,Scores!$A$3:$A$502,$A23,Scores!$B$3:$B$502,K$2,Scores!$O$3:$O$502,"Counted")))</f>
        <v/>
      </c>
      <c r="L23" s="42">
        <f>IF(N($D23)=0,"",ROUND(SUMIFS(Scores!$P$3:$P$502,Scores!$A$3:$A$502,$A23,Scores!$O$3:$O$502,"Counted")/$D23,1))</f>
        <v/>
      </c>
      <c r="M23" s="47">
        <f>IF(COUNT(F23:K23)=0,"",MIN(F23:K23))</f>
        <v/>
      </c>
      <c r="N23" s="47">
        <f>IF(COUNT(F23:K23)=0,"",MAX(F23:K23))</f>
        <v/>
      </c>
      <c r="O23" s="47">
        <f>IF(COUNT(F23:K23)&lt;2,"",ROUND(N23-M23,1))</f>
        <v/>
      </c>
      <c r="P23" s="41">
        <f>IF($A23="","",Gaps!$K22)</f>
        <v/>
      </c>
      <c r="Q23" s="27">
        <f>IF($A23="","",IF(N($D23)=0,"No scores yet",IF($D23&lt;Settings!$E$5,"Needs more reviews",IF(OR(AND(ISNUMBER(O23),N(O23)&gt;=Settings!$E$6),AND(ISNUMBER(P23),N(P23)&gt;=Settings!$E$7)),"Talk it through","Ready"))))</f>
        <v/>
      </c>
      <c r="R23" s="27">
        <f>IF(ISNUMBER(L23),COUNTIF($L$3:$L$102,"&gt;"&amp;L23)+1,"")</f>
        <v/>
      </c>
      <c r="S23" s="25" t="n"/>
      <c r="T23" s="28" t="n"/>
      <c r="U23" s="48">
        <f>IF(ISNUMBER(L23),L23+(103-ROW())/100000,"")</f>
        <v/>
      </c>
    </row>
    <row r="24">
      <c r="A24" s="41">
        <f>IF(Applications!$A23="","",Applications!$A23&amp;"")</f>
        <v/>
      </c>
      <c r="B24" s="45">
        <f>IF($A24="","",Applications!$B23&amp;"")</f>
        <v/>
      </c>
      <c r="C24" s="46">
        <f>IF(AND($A24&lt;&gt;"",ISNUMBER(Applications!$D23)),Applications!$D23,"")</f>
        <v/>
      </c>
      <c r="D24" s="41">
        <f>IF($A24="","",COUNTIFS(Scores!$A$3:$A$502,$A24,Scores!$O$3:$O$502,"Counted"))</f>
        <v/>
      </c>
      <c r="E24" s="41">
        <f>IF($A24="","",COUNTIFS(Scores!$A$3:$A$502,$A24,Scores!$O$3:$O$502,"Conflict, not counted"))</f>
        <v/>
      </c>
      <c r="F24" s="47">
        <f>IF($A24="","",IF(COUNTIFS(Scores!$A$3:$A$502,$A24,Scores!$B$3:$B$502,F$2,Scores!$O$3:$O$502,"Counted")=0,"",SUMIFS(Scores!$P$3:$P$502,Scores!$A$3:$A$502,$A24,Scores!$B$3:$B$502,F$2,Scores!$O$3:$O$502,"Counted")))</f>
        <v/>
      </c>
      <c r="G24" s="47">
        <f>IF($A24="","",IF(COUNTIFS(Scores!$A$3:$A$502,$A24,Scores!$B$3:$B$502,G$2,Scores!$O$3:$O$502,"Counted")=0,"",SUMIFS(Scores!$P$3:$P$502,Scores!$A$3:$A$502,$A24,Scores!$B$3:$B$502,G$2,Scores!$O$3:$O$502,"Counted")))</f>
        <v/>
      </c>
      <c r="H24" s="47">
        <f>IF($A24="","",IF(COUNTIFS(Scores!$A$3:$A$502,$A24,Scores!$B$3:$B$502,H$2,Scores!$O$3:$O$502,"Counted")=0,"",SUMIFS(Scores!$P$3:$P$502,Scores!$A$3:$A$502,$A24,Scores!$B$3:$B$502,H$2,Scores!$O$3:$O$502,"Counted")))</f>
        <v/>
      </c>
      <c r="I24" s="47">
        <f>IF($A24="","",IF(COUNTIFS(Scores!$A$3:$A$502,$A24,Scores!$B$3:$B$502,I$2,Scores!$O$3:$O$502,"Counted")=0,"",SUMIFS(Scores!$P$3:$P$502,Scores!$A$3:$A$502,$A24,Scores!$B$3:$B$502,I$2,Scores!$O$3:$O$502,"Counted")))</f>
        <v/>
      </c>
      <c r="J24" s="47">
        <f>IF($A24="","",IF(COUNTIFS(Scores!$A$3:$A$502,$A24,Scores!$B$3:$B$502,J$2,Scores!$O$3:$O$502,"Counted")=0,"",SUMIFS(Scores!$P$3:$P$502,Scores!$A$3:$A$502,$A24,Scores!$B$3:$B$502,J$2,Scores!$O$3:$O$502,"Counted")))</f>
        <v/>
      </c>
      <c r="K24" s="47">
        <f>IF($A24="","",IF(COUNTIFS(Scores!$A$3:$A$502,$A24,Scores!$B$3:$B$502,K$2,Scores!$O$3:$O$502,"Counted")=0,"",SUMIFS(Scores!$P$3:$P$502,Scores!$A$3:$A$502,$A24,Scores!$B$3:$B$502,K$2,Scores!$O$3:$O$502,"Counted")))</f>
        <v/>
      </c>
      <c r="L24" s="42">
        <f>IF(N($D24)=0,"",ROUND(SUMIFS(Scores!$P$3:$P$502,Scores!$A$3:$A$502,$A24,Scores!$O$3:$O$502,"Counted")/$D24,1))</f>
        <v/>
      </c>
      <c r="M24" s="47">
        <f>IF(COUNT(F24:K24)=0,"",MIN(F24:K24))</f>
        <v/>
      </c>
      <c r="N24" s="47">
        <f>IF(COUNT(F24:K24)=0,"",MAX(F24:K24))</f>
        <v/>
      </c>
      <c r="O24" s="47">
        <f>IF(COUNT(F24:K24)&lt;2,"",ROUND(N24-M24,1))</f>
        <v/>
      </c>
      <c r="P24" s="41">
        <f>IF($A24="","",Gaps!$K23)</f>
        <v/>
      </c>
      <c r="Q24" s="27">
        <f>IF($A24="","",IF(N($D24)=0,"No scores yet",IF($D24&lt;Settings!$E$5,"Needs more reviews",IF(OR(AND(ISNUMBER(O24),N(O24)&gt;=Settings!$E$6),AND(ISNUMBER(P24),N(P24)&gt;=Settings!$E$7)),"Talk it through","Ready"))))</f>
        <v/>
      </c>
      <c r="R24" s="27">
        <f>IF(ISNUMBER(L24),COUNTIF($L$3:$L$102,"&gt;"&amp;L24)+1,"")</f>
        <v/>
      </c>
      <c r="S24" s="25" t="n"/>
      <c r="T24" s="28" t="n"/>
      <c r="U24" s="48">
        <f>IF(ISNUMBER(L24),L24+(103-ROW())/100000,"")</f>
        <v/>
      </c>
    </row>
    <row r="25">
      <c r="A25" s="41">
        <f>IF(Applications!$A24="","",Applications!$A24&amp;"")</f>
        <v/>
      </c>
      <c r="B25" s="45">
        <f>IF($A25="","",Applications!$B24&amp;"")</f>
        <v/>
      </c>
      <c r="C25" s="46">
        <f>IF(AND($A25&lt;&gt;"",ISNUMBER(Applications!$D24)),Applications!$D24,"")</f>
        <v/>
      </c>
      <c r="D25" s="41">
        <f>IF($A25="","",COUNTIFS(Scores!$A$3:$A$502,$A25,Scores!$O$3:$O$502,"Counted"))</f>
        <v/>
      </c>
      <c r="E25" s="41">
        <f>IF($A25="","",COUNTIFS(Scores!$A$3:$A$502,$A25,Scores!$O$3:$O$502,"Conflict, not counted"))</f>
        <v/>
      </c>
      <c r="F25" s="47">
        <f>IF($A25="","",IF(COUNTIFS(Scores!$A$3:$A$502,$A25,Scores!$B$3:$B$502,F$2,Scores!$O$3:$O$502,"Counted")=0,"",SUMIFS(Scores!$P$3:$P$502,Scores!$A$3:$A$502,$A25,Scores!$B$3:$B$502,F$2,Scores!$O$3:$O$502,"Counted")))</f>
        <v/>
      </c>
      <c r="G25" s="47">
        <f>IF($A25="","",IF(COUNTIFS(Scores!$A$3:$A$502,$A25,Scores!$B$3:$B$502,G$2,Scores!$O$3:$O$502,"Counted")=0,"",SUMIFS(Scores!$P$3:$P$502,Scores!$A$3:$A$502,$A25,Scores!$B$3:$B$502,G$2,Scores!$O$3:$O$502,"Counted")))</f>
        <v/>
      </c>
      <c r="H25" s="47">
        <f>IF($A25="","",IF(COUNTIFS(Scores!$A$3:$A$502,$A25,Scores!$B$3:$B$502,H$2,Scores!$O$3:$O$502,"Counted")=0,"",SUMIFS(Scores!$P$3:$P$502,Scores!$A$3:$A$502,$A25,Scores!$B$3:$B$502,H$2,Scores!$O$3:$O$502,"Counted")))</f>
        <v/>
      </c>
      <c r="I25" s="47">
        <f>IF($A25="","",IF(COUNTIFS(Scores!$A$3:$A$502,$A25,Scores!$B$3:$B$502,I$2,Scores!$O$3:$O$502,"Counted")=0,"",SUMIFS(Scores!$P$3:$P$502,Scores!$A$3:$A$502,$A25,Scores!$B$3:$B$502,I$2,Scores!$O$3:$O$502,"Counted")))</f>
        <v/>
      </c>
      <c r="J25" s="47">
        <f>IF($A25="","",IF(COUNTIFS(Scores!$A$3:$A$502,$A25,Scores!$B$3:$B$502,J$2,Scores!$O$3:$O$502,"Counted")=0,"",SUMIFS(Scores!$P$3:$P$502,Scores!$A$3:$A$502,$A25,Scores!$B$3:$B$502,J$2,Scores!$O$3:$O$502,"Counted")))</f>
        <v/>
      </c>
      <c r="K25" s="47">
        <f>IF($A25="","",IF(COUNTIFS(Scores!$A$3:$A$502,$A25,Scores!$B$3:$B$502,K$2,Scores!$O$3:$O$502,"Counted")=0,"",SUMIFS(Scores!$P$3:$P$502,Scores!$A$3:$A$502,$A25,Scores!$B$3:$B$502,K$2,Scores!$O$3:$O$502,"Counted")))</f>
        <v/>
      </c>
      <c r="L25" s="42">
        <f>IF(N($D25)=0,"",ROUND(SUMIFS(Scores!$P$3:$P$502,Scores!$A$3:$A$502,$A25,Scores!$O$3:$O$502,"Counted")/$D25,1))</f>
        <v/>
      </c>
      <c r="M25" s="47">
        <f>IF(COUNT(F25:K25)=0,"",MIN(F25:K25))</f>
        <v/>
      </c>
      <c r="N25" s="47">
        <f>IF(COUNT(F25:K25)=0,"",MAX(F25:K25))</f>
        <v/>
      </c>
      <c r="O25" s="47">
        <f>IF(COUNT(F25:K25)&lt;2,"",ROUND(N25-M25,1))</f>
        <v/>
      </c>
      <c r="P25" s="41">
        <f>IF($A25="","",Gaps!$K24)</f>
        <v/>
      </c>
      <c r="Q25" s="27">
        <f>IF($A25="","",IF(N($D25)=0,"No scores yet",IF($D25&lt;Settings!$E$5,"Needs more reviews",IF(OR(AND(ISNUMBER(O25),N(O25)&gt;=Settings!$E$6),AND(ISNUMBER(P25),N(P25)&gt;=Settings!$E$7)),"Talk it through","Ready"))))</f>
        <v/>
      </c>
      <c r="R25" s="27">
        <f>IF(ISNUMBER(L25),COUNTIF($L$3:$L$102,"&gt;"&amp;L25)+1,"")</f>
        <v/>
      </c>
      <c r="S25" s="25" t="n"/>
      <c r="T25" s="28" t="n"/>
      <c r="U25" s="48">
        <f>IF(ISNUMBER(L25),L25+(103-ROW())/100000,"")</f>
        <v/>
      </c>
    </row>
    <row r="26">
      <c r="A26" s="41">
        <f>IF(Applications!$A25="","",Applications!$A25&amp;"")</f>
        <v/>
      </c>
      <c r="B26" s="45">
        <f>IF($A26="","",Applications!$B25&amp;"")</f>
        <v/>
      </c>
      <c r="C26" s="46">
        <f>IF(AND($A26&lt;&gt;"",ISNUMBER(Applications!$D25)),Applications!$D25,"")</f>
        <v/>
      </c>
      <c r="D26" s="41">
        <f>IF($A26="","",COUNTIFS(Scores!$A$3:$A$502,$A26,Scores!$O$3:$O$502,"Counted"))</f>
        <v/>
      </c>
      <c r="E26" s="41">
        <f>IF($A26="","",COUNTIFS(Scores!$A$3:$A$502,$A26,Scores!$O$3:$O$502,"Conflict, not counted"))</f>
        <v/>
      </c>
      <c r="F26" s="47">
        <f>IF($A26="","",IF(COUNTIFS(Scores!$A$3:$A$502,$A26,Scores!$B$3:$B$502,F$2,Scores!$O$3:$O$502,"Counted")=0,"",SUMIFS(Scores!$P$3:$P$502,Scores!$A$3:$A$502,$A26,Scores!$B$3:$B$502,F$2,Scores!$O$3:$O$502,"Counted")))</f>
        <v/>
      </c>
      <c r="G26" s="47">
        <f>IF($A26="","",IF(COUNTIFS(Scores!$A$3:$A$502,$A26,Scores!$B$3:$B$502,G$2,Scores!$O$3:$O$502,"Counted")=0,"",SUMIFS(Scores!$P$3:$P$502,Scores!$A$3:$A$502,$A26,Scores!$B$3:$B$502,G$2,Scores!$O$3:$O$502,"Counted")))</f>
        <v/>
      </c>
      <c r="H26" s="47">
        <f>IF($A26="","",IF(COUNTIFS(Scores!$A$3:$A$502,$A26,Scores!$B$3:$B$502,H$2,Scores!$O$3:$O$502,"Counted")=0,"",SUMIFS(Scores!$P$3:$P$502,Scores!$A$3:$A$502,$A26,Scores!$B$3:$B$502,H$2,Scores!$O$3:$O$502,"Counted")))</f>
        <v/>
      </c>
      <c r="I26" s="47">
        <f>IF($A26="","",IF(COUNTIFS(Scores!$A$3:$A$502,$A26,Scores!$B$3:$B$502,I$2,Scores!$O$3:$O$502,"Counted")=0,"",SUMIFS(Scores!$P$3:$P$502,Scores!$A$3:$A$502,$A26,Scores!$B$3:$B$502,I$2,Scores!$O$3:$O$502,"Counted")))</f>
        <v/>
      </c>
      <c r="J26" s="47">
        <f>IF($A26="","",IF(COUNTIFS(Scores!$A$3:$A$502,$A26,Scores!$B$3:$B$502,J$2,Scores!$O$3:$O$502,"Counted")=0,"",SUMIFS(Scores!$P$3:$P$502,Scores!$A$3:$A$502,$A26,Scores!$B$3:$B$502,J$2,Scores!$O$3:$O$502,"Counted")))</f>
        <v/>
      </c>
      <c r="K26" s="47">
        <f>IF($A26="","",IF(COUNTIFS(Scores!$A$3:$A$502,$A26,Scores!$B$3:$B$502,K$2,Scores!$O$3:$O$502,"Counted")=0,"",SUMIFS(Scores!$P$3:$P$502,Scores!$A$3:$A$502,$A26,Scores!$B$3:$B$502,K$2,Scores!$O$3:$O$502,"Counted")))</f>
        <v/>
      </c>
      <c r="L26" s="42">
        <f>IF(N($D26)=0,"",ROUND(SUMIFS(Scores!$P$3:$P$502,Scores!$A$3:$A$502,$A26,Scores!$O$3:$O$502,"Counted")/$D26,1))</f>
        <v/>
      </c>
      <c r="M26" s="47">
        <f>IF(COUNT(F26:K26)=0,"",MIN(F26:K26))</f>
        <v/>
      </c>
      <c r="N26" s="47">
        <f>IF(COUNT(F26:K26)=0,"",MAX(F26:K26))</f>
        <v/>
      </c>
      <c r="O26" s="47">
        <f>IF(COUNT(F26:K26)&lt;2,"",ROUND(N26-M26,1))</f>
        <v/>
      </c>
      <c r="P26" s="41">
        <f>IF($A26="","",Gaps!$K25)</f>
        <v/>
      </c>
      <c r="Q26" s="27">
        <f>IF($A26="","",IF(N($D26)=0,"No scores yet",IF($D26&lt;Settings!$E$5,"Needs more reviews",IF(OR(AND(ISNUMBER(O26),N(O26)&gt;=Settings!$E$6),AND(ISNUMBER(P26),N(P26)&gt;=Settings!$E$7)),"Talk it through","Ready"))))</f>
        <v/>
      </c>
      <c r="R26" s="27">
        <f>IF(ISNUMBER(L26),COUNTIF($L$3:$L$102,"&gt;"&amp;L26)+1,"")</f>
        <v/>
      </c>
      <c r="S26" s="25" t="n"/>
      <c r="T26" s="28" t="n"/>
      <c r="U26" s="48">
        <f>IF(ISNUMBER(L26),L26+(103-ROW())/100000,"")</f>
        <v/>
      </c>
    </row>
    <row r="27">
      <c r="A27" s="41">
        <f>IF(Applications!$A26="","",Applications!$A26&amp;"")</f>
        <v/>
      </c>
      <c r="B27" s="45">
        <f>IF($A27="","",Applications!$B26&amp;"")</f>
        <v/>
      </c>
      <c r="C27" s="46">
        <f>IF(AND($A27&lt;&gt;"",ISNUMBER(Applications!$D26)),Applications!$D26,"")</f>
        <v/>
      </c>
      <c r="D27" s="41">
        <f>IF($A27="","",COUNTIFS(Scores!$A$3:$A$502,$A27,Scores!$O$3:$O$502,"Counted"))</f>
        <v/>
      </c>
      <c r="E27" s="41">
        <f>IF($A27="","",COUNTIFS(Scores!$A$3:$A$502,$A27,Scores!$O$3:$O$502,"Conflict, not counted"))</f>
        <v/>
      </c>
      <c r="F27" s="47">
        <f>IF($A27="","",IF(COUNTIFS(Scores!$A$3:$A$502,$A27,Scores!$B$3:$B$502,F$2,Scores!$O$3:$O$502,"Counted")=0,"",SUMIFS(Scores!$P$3:$P$502,Scores!$A$3:$A$502,$A27,Scores!$B$3:$B$502,F$2,Scores!$O$3:$O$502,"Counted")))</f>
        <v/>
      </c>
      <c r="G27" s="47">
        <f>IF($A27="","",IF(COUNTIFS(Scores!$A$3:$A$502,$A27,Scores!$B$3:$B$502,G$2,Scores!$O$3:$O$502,"Counted")=0,"",SUMIFS(Scores!$P$3:$P$502,Scores!$A$3:$A$502,$A27,Scores!$B$3:$B$502,G$2,Scores!$O$3:$O$502,"Counted")))</f>
        <v/>
      </c>
      <c r="H27" s="47">
        <f>IF($A27="","",IF(COUNTIFS(Scores!$A$3:$A$502,$A27,Scores!$B$3:$B$502,H$2,Scores!$O$3:$O$502,"Counted")=0,"",SUMIFS(Scores!$P$3:$P$502,Scores!$A$3:$A$502,$A27,Scores!$B$3:$B$502,H$2,Scores!$O$3:$O$502,"Counted")))</f>
        <v/>
      </c>
      <c r="I27" s="47">
        <f>IF($A27="","",IF(COUNTIFS(Scores!$A$3:$A$502,$A27,Scores!$B$3:$B$502,I$2,Scores!$O$3:$O$502,"Counted")=0,"",SUMIFS(Scores!$P$3:$P$502,Scores!$A$3:$A$502,$A27,Scores!$B$3:$B$502,I$2,Scores!$O$3:$O$502,"Counted")))</f>
        <v/>
      </c>
      <c r="J27" s="47">
        <f>IF($A27="","",IF(COUNTIFS(Scores!$A$3:$A$502,$A27,Scores!$B$3:$B$502,J$2,Scores!$O$3:$O$502,"Counted")=0,"",SUMIFS(Scores!$P$3:$P$502,Scores!$A$3:$A$502,$A27,Scores!$B$3:$B$502,J$2,Scores!$O$3:$O$502,"Counted")))</f>
        <v/>
      </c>
      <c r="K27" s="47">
        <f>IF($A27="","",IF(COUNTIFS(Scores!$A$3:$A$502,$A27,Scores!$B$3:$B$502,K$2,Scores!$O$3:$O$502,"Counted")=0,"",SUMIFS(Scores!$P$3:$P$502,Scores!$A$3:$A$502,$A27,Scores!$B$3:$B$502,K$2,Scores!$O$3:$O$502,"Counted")))</f>
        <v/>
      </c>
      <c r="L27" s="42">
        <f>IF(N($D27)=0,"",ROUND(SUMIFS(Scores!$P$3:$P$502,Scores!$A$3:$A$502,$A27,Scores!$O$3:$O$502,"Counted")/$D27,1))</f>
        <v/>
      </c>
      <c r="M27" s="47">
        <f>IF(COUNT(F27:K27)=0,"",MIN(F27:K27))</f>
        <v/>
      </c>
      <c r="N27" s="47">
        <f>IF(COUNT(F27:K27)=0,"",MAX(F27:K27))</f>
        <v/>
      </c>
      <c r="O27" s="47">
        <f>IF(COUNT(F27:K27)&lt;2,"",ROUND(N27-M27,1))</f>
        <v/>
      </c>
      <c r="P27" s="41">
        <f>IF($A27="","",Gaps!$K26)</f>
        <v/>
      </c>
      <c r="Q27" s="27">
        <f>IF($A27="","",IF(N($D27)=0,"No scores yet",IF($D27&lt;Settings!$E$5,"Needs more reviews",IF(OR(AND(ISNUMBER(O27),N(O27)&gt;=Settings!$E$6),AND(ISNUMBER(P27),N(P27)&gt;=Settings!$E$7)),"Talk it through","Ready"))))</f>
        <v/>
      </c>
      <c r="R27" s="27">
        <f>IF(ISNUMBER(L27),COUNTIF($L$3:$L$102,"&gt;"&amp;L27)+1,"")</f>
        <v/>
      </c>
      <c r="S27" s="25" t="n"/>
      <c r="T27" s="28" t="n"/>
      <c r="U27" s="48">
        <f>IF(ISNUMBER(L27),L27+(103-ROW())/100000,"")</f>
        <v/>
      </c>
    </row>
    <row r="28">
      <c r="A28" s="41">
        <f>IF(Applications!$A27="","",Applications!$A27&amp;"")</f>
        <v/>
      </c>
      <c r="B28" s="45">
        <f>IF($A28="","",Applications!$B27&amp;"")</f>
        <v/>
      </c>
      <c r="C28" s="46">
        <f>IF(AND($A28&lt;&gt;"",ISNUMBER(Applications!$D27)),Applications!$D27,"")</f>
        <v/>
      </c>
      <c r="D28" s="41">
        <f>IF($A28="","",COUNTIFS(Scores!$A$3:$A$502,$A28,Scores!$O$3:$O$502,"Counted"))</f>
        <v/>
      </c>
      <c r="E28" s="41">
        <f>IF($A28="","",COUNTIFS(Scores!$A$3:$A$502,$A28,Scores!$O$3:$O$502,"Conflict, not counted"))</f>
        <v/>
      </c>
      <c r="F28" s="47">
        <f>IF($A28="","",IF(COUNTIFS(Scores!$A$3:$A$502,$A28,Scores!$B$3:$B$502,F$2,Scores!$O$3:$O$502,"Counted")=0,"",SUMIFS(Scores!$P$3:$P$502,Scores!$A$3:$A$502,$A28,Scores!$B$3:$B$502,F$2,Scores!$O$3:$O$502,"Counted")))</f>
        <v/>
      </c>
      <c r="G28" s="47">
        <f>IF($A28="","",IF(COUNTIFS(Scores!$A$3:$A$502,$A28,Scores!$B$3:$B$502,G$2,Scores!$O$3:$O$502,"Counted")=0,"",SUMIFS(Scores!$P$3:$P$502,Scores!$A$3:$A$502,$A28,Scores!$B$3:$B$502,G$2,Scores!$O$3:$O$502,"Counted")))</f>
        <v/>
      </c>
      <c r="H28" s="47">
        <f>IF($A28="","",IF(COUNTIFS(Scores!$A$3:$A$502,$A28,Scores!$B$3:$B$502,H$2,Scores!$O$3:$O$502,"Counted")=0,"",SUMIFS(Scores!$P$3:$P$502,Scores!$A$3:$A$502,$A28,Scores!$B$3:$B$502,H$2,Scores!$O$3:$O$502,"Counted")))</f>
        <v/>
      </c>
      <c r="I28" s="47">
        <f>IF($A28="","",IF(COUNTIFS(Scores!$A$3:$A$502,$A28,Scores!$B$3:$B$502,I$2,Scores!$O$3:$O$502,"Counted")=0,"",SUMIFS(Scores!$P$3:$P$502,Scores!$A$3:$A$502,$A28,Scores!$B$3:$B$502,I$2,Scores!$O$3:$O$502,"Counted")))</f>
        <v/>
      </c>
      <c r="J28" s="47">
        <f>IF($A28="","",IF(COUNTIFS(Scores!$A$3:$A$502,$A28,Scores!$B$3:$B$502,J$2,Scores!$O$3:$O$502,"Counted")=0,"",SUMIFS(Scores!$P$3:$P$502,Scores!$A$3:$A$502,$A28,Scores!$B$3:$B$502,J$2,Scores!$O$3:$O$502,"Counted")))</f>
        <v/>
      </c>
      <c r="K28" s="47">
        <f>IF($A28="","",IF(COUNTIFS(Scores!$A$3:$A$502,$A28,Scores!$B$3:$B$502,K$2,Scores!$O$3:$O$502,"Counted")=0,"",SUMIFS(Scores!$P$3:$P$502,Scores!$A$3:$A$502,$A28,Scores!$B$3:$B$502,K$2,Scores!$O$3:$O$502,"Counted")))</f>
        <v/>
      </c>
      <c r="L28" s="42">
        <f>IF(N($D28)=0,"",ROUND(SUMIFS(Scores!$P$3:$P$502,Scores!$A$3:$A$502,$A28,Scores!$O$3:$O$502,"Counted")/$D28,1))</f>
        <v/>
      </c>
      <c r="M28" s="47">
        <f>IF(COUNT(F28:K28)=0,"",MIN(F28:K28))</f>
        <v/>
      </c>
      <c r="N28" s="47">
        <f>IF(COUNT(F28:K28)=0,"",MAX(F28:K28))</f>
        <v/>
      </c>
      <c r="O28" s="47">
        <f>IF(COUNT(F28:K28)&lt;2,"",ROUND(N28-M28,1))</f>
        <v/>
      </c>
      <c r="P28" s="41">
        <f>IF($A28="","",Gaps!$K27)</f>
        <v/>
      </c>
      <c r="Q28" s="27">
        <f>IF($A28="","",IF(N($D28)=0,"No scores yet",IF($D28&lt;Settings!$E$5,"Needs more reviews",IF(OR(AND(ISNUMBER(O28),N(O28)&gt;=Settings!$E$6),AND(ISNUMBER(P28),N(P28)&gt;=Settings!$E$7)),"Talk it through","Ready"))))</f>
        <v/>
      </c>
      <c r="R28" s="27">
        <f>IF(ISNUMBER(L28),COUNTIF($L$3:$L$102,"&gt;"&amp;L28)+1,"")</f>
        <v/>
      </c>
      <c r="S28" s="25" t="n"/>
      <c r="T28" s="28" t="n"/>
      <c r="U28" s="48">
        <f>IF(ISNUMBER(L28),L28+(103-ROW())/100000,"")</f>
        <v/>
      </c>
    </row>
    <row r="29">
      <c r="A29" s="41">
        <f>IF(Applications!$A28="","",Applications!$A28&amp;"")</f>
        <v/>
      </c>
      <c r="B29" s="45">
        <f>IF($A29="","",Applications!$B28&amp;"")</f>
        <v/>
      </c>
      <c r="C29" s="46">
        <f>IF(AND($A29&lt;&gt;"",ISNUMBER(Applications!$D28)),Applications!$D28,"")</f>
        <v/>
      </c>
      <c r="D29" s="41">
        <f>IF($A29="","",COUNTIFS(Scores!$A$3:$A$502,$A29,Scores!$O$3:$O$502,"Counted"))</f>
        <v/>
      </c>
      <c r="E29" s="41">
        <f>IF($A29="","",COUNTIFS(Scores!$A$3:$A$502,$A29,Scores!$O$3:$O$502,"Conflict, not counted"))</f>
        <v/>
      </c>
      <c r="F29" s="47">
        <f>IF($A29="","",IF(COUNTIFS(Scores!$A$3:$A$502,$A29,Scores!$B$3:$B$502,F$2,Scores!$O$3:$O$502,"Counted")=0,"",SUMIFS(Scores!$P$3:$P$502,Scores!$A$3:$A$502,$A29,Scores!$B$3:$B$502,F$2,Scores!$O$3:$O$502,"Counted")))</f>
        <v/>
      </c>
      <c r="G29" s="47">
        <f>IF($A29="","",IF(COUNTIFS(Scores!$A$3:$A$502,$A29,Scores!$B$3:$B$502,G$2,Scores!$O$3:$O$502,"Counted")=0,"",SUMIFS(Scores!$P$3:$P$502,Scores!$A$3:$A$502,$A29,Scores!$B$3:$B$502,G$2,Scores!$O$3:$O$502,"Counted")))</f>
        <v/>
      </c>
      <c r="H29" s="47">
        <f>IF($A29="","",IF(COUNTIFS(Scores!$A$3:$A$502,$A29,Scores!$B$3:$B$502,H$2,Scores!$O$3:$O$502,"Counted")=0,"",SUMIFS(Scores!$P$3:$P$502,Scores!$A$3:$A$502,$A29,Scores!$B$3:$B$502,H$2,Scores!$O$3:$O$502,"Counted")))</f>
        <v/>
      </c>
      <c r="I29" s="47">
        <f>IF($A29="","",IF(COUNTIFS(Scores!$A$3:$A$502,$A29,Scores!$B$3:$B$502,I$2,Scores!$O$3:$O$502,"Counted")=0,"",SUMIFS(Scores!$P$3:$P$502,Scores!$A$3:$A$502,$A29,Scores!$B$3:$B$502,I$2,Scores!$O$3:$O$502,"Counted")))</f>
        <v/>
      </c>
      <c r="J29" s="47">
        <f>IF($A29="","",IF(COUNTIFS(Scores!$A$3:$A$502,$A29,Scores!$B$3:$B$502,J$2,Scores!$O$3:$O$502,"Counted")=0,"",SUMIFS(Scores!$P$3:$P$502,Scores!$A$3:$A$502,$A29,Scores!$B$3:$B$502,J$2,Scores!$O$3:$O$502,"Counted")))</f>
        <v/>
      </c>
      <c r="K29" s="47">
        <f>IF($A29="","",IF(COUNTIFS(Scores!$A$3:$A$502,$A29,Scores!$B$3:$B$502,K$2,Scores!$O$3:$O$502,"Counted")=0,"",SUMIFS(Scores!$P$3:$P$502,Scores!$A$3:$A$502,$A29,Scores!$B$3:$B$502,K$2,Scores!$O$3:$O$502,"Counted")))</f>
        <v/>
      </c>
      <c r="L29" s="42">
        <f>IF(N($D29)=0,"",ROUND(SUMIFS(Scores!$P$3:$P$502,Scores!$A$3:$A$502,$A29,Scores!$O$3:$O$502,"Counted")/$D29,1))</f>
        <v/>
      </c>
      <c r="M29" s="47">
        <f>IF(COUNT(F29:K29)=0,"",MIN(F29:K29))</f>
        <v/>
      </c>
      <c r="N29" s="47">
        <f>IF(COUNT(F29:K29)=0,"",MAX(F29:K29))</f>
        <v/>
      </c>
      <c r="O29" s="47">
        <f>IF(COUNT(F29:K29)&lt;2,"",ROUND(N29-M29,1))</f>
        <v/>
      </c>
      <c r="P29" s="41">
        <f>IF($A29="","",Gaps!$K28)</f>
        <v/>
      </c>
      <c r="Q29" s="27">
        <f>IF($A29="","",IF(N($D29)=0,"No scores yet",IF($D29&lt;Settings!$E$5,"Needs more reviews",IF(OR(AND(ISNUMBER(O29),N(O29)&gt;=Settings!$E$6),AND(ISNUMBER(P29),N(P29)&gt;=Settings!$E$7)),"Talk it through","Ready"))))</f>
        <v/>
      </c>
      <c r="R29" s="27">
        <f>IF(ISNUMBER(L29),COUNTIF($L$3:$L$102,"&gt;"&amp;L29)+1,"")</f>
        <v/>
      </c>
      <c r="S29" s="25" t="n"/>
      <c r="T29" s="28" t="n"/>
      <c r="U29" s="48">
        <f>IF(ISNUMBER(L29),L29+(103-ROW())/100000,"")</f>
        <v/>
      </c>
    </row>
    <row r="30">
      <c r="A30" s="41">
        <f>IF(Applications!$A29="","",Applications!$A29&amp;"")</f>
        <v/>
      </c>
      <c r="B30" s="45">
        <f>IF($A30="","",Applications!$B29&amp;"")</f>
        <v/>
      </c>
      <c r="C30" s="46">
        <f>IF(AND($A30&lt;&gt;"",ISNUMBER(Applications!$D29)),Applications!$D29,"")</f>
        <v/>
      </c>
      <c r="D30" s="41">
        <f>IF($A30="","",COUNTIFS(Scores!$A$3:$A$502,$A30,Scores!$O$3:$O$502,"Counted"))</f>
        <v/>
      </c>
      <c r="E30" s="41">
        <f>IF($A30="","",COUNTIFS(Scores!$A$3:$A$502,$A30,Scores!$O$3:$O$502,"Conflict, not counted"))</f>
        <v/>
      </c>
      <c r="F30" s="47">
        <f>IF($A30="","",IF(COUNTIFS(Scores!$A$3:$A$502,$A30,Scores!$B$3:$B$502,F$2,Scores!$O$3:$O$502,"Counted")=0,"",SUMIFS(Scores!$P$3:$P$502,Scores!$A$3:$A$502,$A30,Scores!$B$3:$B$502,F$2,Scores!$O$3:$O$502,"Counted")))</f>
        <v/>
      </c>
      <c r="G30" s="47">
        <f>IF($A30="","",IF(COUNTIFS(Scores!$A$3:$A$502,$A30,Scores!$B$3:$B$502,G$2,Scores!$O$3:$O$502,"Counted")=0,"",SUMIFS(Scores!$P$3:$P$502,Scores!$A$3:$A$502,$A30,Scores!$B$3:$B$502,G$2,Scores!$O$3:$O$502,"Counted")))</f>
        <v/>
      </c>
      <c r="H30" s="47">
        <f>IF($A30="","",IF(COUNTIFS(Scores!$A$3:$A$502,$A30,Scores!$B$3:$B$502,H$2,Scores!$O$3:$O$502,"Counted")=0,"",SUMIFS(Scores!$P$3:$P$502,Scores!$A$3:$A$502,$A30,Scores!$B$3:$B$502,H$2,Scores!$O$3:$O$502,"Counted")))</f>
        <v/>
      </c>
      <c r="I30" s="47">
        <f>IF($A30="","",IF(COUNTIFS(Scores!$A$3:$A$502,$A30,Scores!$B$3:$B$502,I$2,Scores!$O$3:$O$502,"Counted")=0,"",SUMIFS(Scores!$P$3:$P$502,Scores!$A$3:$A$502,$A30,Scores!$B$3:$B$502,I$2,Scores!$O$3:$O$502,"Counted")))</f>
        <v/>
      </c>
      <c r="J30" s="47">
        <f>IF($A30="","",IF(COUNTIFS(Scores!$A$3:$A$502,$A30,Scores!$B$3:$B$502,J$2,Scores!$O$3:$O$502,"Counted")=0,"",SUMIFS(Scores!$P$3:$P$502,Scores!$A$3:$A$502,$A30,Scores!$B$3:$B$502,J$2,Scores!$O$3:$O$502,"Counted")))</f>
        <v/>
      </c>
      <c r="K30" s="47">
        <f>IF($A30="","",IF(COUNTIFS(Scores!$A$3:$A$502,$A30,Scores!$B$3:$B$502,K$2,Scores!$O$3:$O$502,"Counted")=0,"",SUMIFS(Scores!$P$3:$P$502,Scores!$A$3:$A$502,$A30,Scores!$B$3:$B$502,K$2,Scores!$O$3:$O$502,"Counted")))</f>
        <v/>
      </c>
      <c r="L30" s="42">
        <f>IF(N($D30)=0,"",ROUND(SUMIFS(Scores!$P$3:$P$502,Scores!$A$3:$A$502,$A30,Scores!$O$3:$O$502,"Counted")/$D30,1))</f>
        <v/>
      </c>
      <c r="M30" s="47">
        <f>IF(COUNT(F30:K30)=0,"",MIN(F30:K30))</f>
        <v/>
      </c>
      <c r="N30" s="47">
        <f>IF(COUNT(F30:K30)=0,"",MAX(F30:K30))</f>
        <v/>
      </c>
      <c r="O30" s="47">
        <f>IF(COUNT(F30:K30)&lt;2,"",ROUND(N30-M30,1))</f>
        <v/>
      </c>
      <c r="P30" s="41">
        <f>IF($A30="","",Gaps!$K29)</f>
        <v/>
      </c>
      <c r="Q30" s="27">
        <f>IF($A30="","",IF(N($D30)=0,"No scores yet",IF($D30&lt;Settings!$E$5,"Needs more reviews",IF(OR(AND(ISNUMBER(O30),N(O30)&gt;=Settings!$E$6),AND(ISNUMBER(P30),N(P30)&gt;=Settings!$E$7)),"Talk it through","Ready"))))</f>
        <v/>
      </c>
      <c r="R30" s="27">
        <f>IF(ISNUMBER(L30),COUNTIF($L$3:$L$102,"&gt;"&amp;L30)+1,"")</f>
        <v/>
      </c>
      <c r="S30" s="25" t="n"/>
      <c r="T30" s="28" t="n"/>
      <c r="U30" s="48">
        <f>IF(ISNUMBER(L30),L30+(103-ROW())/100000,"")</f>
        <v/>
      </c>
    </row>
    <row r="31">
      <c r="A31" s="41">
        <f>IF(Applications!$A30="","",Applications!$A30&amp;"")</f>
        <v/>
      </c>
      <c r="B31" s="45">
        <f>IF($A31="","",Applications!$B30&amp;"")</f>
        <v/>
      </c>
      <c r="C31" s="46">
        <f>IF(AND($A31&lt;&gt;"",ISNUMBER(Applications!$D30)),Applications!$D30,"")</f>
        <v/>
      </c>
      <c r="D31" s="41">
        <f>IF($A31="","",COUNTIFS(Scores!$A$3:$A$502,$A31,Scores!$O$3:$O$502,"Counted"))</f>
        <v/>
      </c>
      <c r="E31" s="41">
        <f>IF($A31="","",COUNTIFS(Scores!$A$3:$A$502,$A31,Scores!$O$3:$O$502,"Conflict, not counted"))</f>
        <v/>
      </c>
      <c r="F31" s="47">
        <f>IF($A31="","",IF(COUNTIFS(Scores!$A$3:$A$502,$A31,Scores!$B$3:$B$502,F$2,Scores!$O$3:$O$502,"Counted")=0,"",SUMIFS(Scores!$P$3:$P$502,Scores!$A$3:$A$502,$A31,Scores!$B$3:$B$502,F$2,Scores!$O$3:$O$502,"Counted")))</f>
        <v/>
      </c>
      <c r="G31" s="47">
        <f>IF($A31="","",IF(COUNTIFS(Scores!$A$3:$A$502,$A31,Scores!$B$3:$B$502,G$2,Scores!$O$3:$O$502,"Counted")=0,"",SUMIFS(Scores!$P$3:$P$502,Scores!$A$3:$A$502,$A31,Scores!$B$3:$B$502,G$2,Scores!$O$3:$O$502,"Counted")))</f>
        <v/>
      </c>
      <c r="H31" s="47">
        <f>IF($A31="","",IF(COUNTIFS(Scores!$A$3:$A$502,$A31,Scores!$B$3:$B$502,H$2,Scores!$O$3:$O$502,"Counted")=0,"",SUMIFS(Scores!$P$3:$P$502,Scores!$A$3:$A$502,$A31,Scores!$B$3:$B$502,H$2,Scores!$O$3:$O$502,"Counted")))</f>
        <v/>
      </c>
      <c r="I31" s="47">
        <f>IF($A31="","",IF(COUNTIFS(Scores!$A$3:$A$502,$A31,Scores!$B$3:$B$502,I$2,Scores!$O$3:$O$502,"Counted")=0,"",SUMIFS(Scores!$P$3:$P$502,Scores!$A$3:$A$502,$A31,Scores!$B$3:$B$502,I$2,Scores!$O$3:$O$502,"Counted")))</f>
        <v/>
      </c>
      <c r="J31" s="47">
        <f>IF($A31="","",IF(COUNTIFS(Scores!$A$3:$A$502,$A31,Scores!$B$3:$B$502,J$2,Scores!$O$3:$O$502,"Counted")=0,"",SUMIFS(Scores!$P$3:$P$502,Scores!$A$3:$A$502,$A31,Scores!$B$3:$B$502,J$2,Scores!$O$3:$O$502,"Counted")))</f>
        <v/>
      </c>
      <c r="K31" s="47">
        <f>IF($A31="","",IF(COUNTIFS(Scores!$A$3:$A$502,$A31,Scores!$B$3:$B$502,K$2,Scores!$O$3:$O$502,"Counted")=0,"",SUMIFS(Scores!$P$3:$P$502,Scores!$A$3:$A$502,$A31,Scores!$B$3:$B$502,K$2,Scores!$O$3:$O$502,"Counted")))</f>
        <v/>
      </c>
      <c r="L31" s="42">
        <f>IF(N($D31)=0,"",ROUND(SUMIFS(Scores!$P$3:$P$502,Scores!$A$3:$A$502,$A31,Scores!$O$3:$O$502,"Counted")/$D31,1))</f>
        <v/>
      </c>
      <c r="M31" s="47">
        <f>IF(COUNT(F31:K31)=0,"",MIN(F31:K31))</f>
        <v/>
      </c>
      <c r="N31" s="47">
        <f>IF(COUNT(F31:K31)=0,"",MAX(F31:K31))</f>
        <v/>
      </c>
      <c r="O31" s="47">
        <f>IF(COUNT(F31:K31)&lt;2,"",ROUND(N31-M31,1))</f>
        <v/>
      </c>
      <c r="P31" s="41">
        <f>IF($A31="","",Gaps!$K30)</f>
        <v/>
      </c>
      <c r="Q31" s="27">
        <f>IF($A31="","",IF(N($D31)=0,"No scores yet",IF($D31&lt;Settings!$E$5,"Needs more reviews",IF(OR(AND(ISNUMBER(O31),N(O31)&gt;=Settings!$E$6),AND(ISNUMBER(P31),N(P31)&gt;=Settings!$E$7)),"Talk it through","Ready"))))</f>
        <v/>
      </c>
      <c r="R31" s="27">
        <f>IF(ISNUMBER(L31),COUNTIF($L$3:$L$102,"&gt;"&amp;L31)+1,"")</f>
        <v/>
      </c>
      <c r="S31" s="25" t="n"/>
      <c r="T31" s="28" t="n"/>
      <c r="U31" s="48">
        <f>IF(ISNUMBER(L31),L31+(103-ROW())/100000,"")</f>
        <v/>
      </c>
    </row>
    <row r="32">
      <c r="A32" s="41">
        <f>IF(Applications!$A31="","",Applications!$A31&amp;"")</f>
        <v/>
      </c>
      <c r="B32" s="45">
        <f>IF($A32="","",Applications!$B31&amp;"")</f>
        <v/>
      </c>
      <c r="C32" s="46">
        <f>IF(AND($A32&lt;&gt;"",ISNUMBER(Applications!$D31)),Applications!$D31,"")</f>
        <v/>
      </c>
      <c r="D32" s="41">
        <f>IF($A32="","",COUNTIFS(Scores!$A$3:$A$502,$A32,Scores!$O$3:$O$502,"Counted"))</f>
        <v/>
      </c>
      <c r="E32" s="41">
        <f>IF($A32="","",COUNTIFS(Scores!$A$3:$A$502,$A32,Scores!$O$3:$O$502,"Conflict, not counted"))</f>
        <v/>
      </c>
      <c r="F32" s="47">
        <f>IF($A32="","",IF(COUNTIFS(Scores!$A$3:$A$502,$A32,Scores!$B$3:$B$502,F$2,Scores!$O$3:$O$502,"Counted")=0,"",SUMIFS(Scores!$P$3:$P$502,Scores!$A$3:$A$502,$A32,Scores!$B$3:$B$502,F$2,Scores!$O$3:$O$502,"Counted")))</f>
        <v/>
      </c>
      <c r="G32" s="47">
        <f>IF($A32="","",IF(COUNTIFS(Scores!$A$3:$A$502,$A32,Scores!$B$3:$B$502,G$2,Scores!$O$3:$O$502,"Counted")=0,"",SUMIFS(Scores!$P$3:$P$502,Scores!$A$3:$A$502,$A32,Scores!$B$3:$B$502,G$2,Scores!$O$3:$O$502,"Counted")))</f>
        <v/>
      </c>
      <c r="H32" s="47">
        <f>IF($A32="","",IF(COUNTIFS(Scores!$A$3:$A$502,$A32,Scores!$B$3:$B$502,H$2,Scores!$O$3:$O$502,"Counted")=0,"",SUMIFS(Scores!$P$3:$P$502,Scores!$A$3:$A$502,$A32,Scores!$B$3:$B$502,H$2,Scores!$O$3:$O$502,"Counted")))</f>
        <v/>
      </c>
      <c r="I32" s="47">
        <f>IF($A32="","",IF(COUNTIFS(Scores!$A$3:$A$502,$A32,Scores!$B$3:$B$502,I$2,Scores!$O$3:$O$502,"Counted")=0,"",SUMIFS(Scores!$P$3:$P$502,Scores!$A$3:$A$502,$A32,Scores!$B$3:$B$502,I$2,Scores!$O$3:$O$502,"Counted")))</f>
        <v/>
      </c>
      <c r="J32" s="47">
        <f>IF($A32="","",IF(COUNTIFS(Scores!$A$3:$A$502,$A32,Scores!$B$3:$B$502,J$2,Scores!$O$3:$O$502,"Counted")=0,"",SUMIFS(Scores!$P$3:$P$502,Scores!$A$3:$A$502,$A32,Scores!$B$3:$B$502,J$2,Scores!$O$3:$O$502,"Counted")))</f>
        <v/>
      </c>
      <c r="K32" s="47">
        <f>IF($A32="","",IF(COUNTIFS(Scores!$A$3:$A$502,$A32,Scores!$B$3:$B$502,K$2,Scores!$O$3:$O$502,"Counted")=0,"",SUMIFS(Scores!$P$3:$P$502,Scores!$A$3:$A$502,$A32,Scores!$B$3:$B$502,K$2,Scores!$O$3:$O$502,"Counted")))</f>
        <v/>
      </c>
      <c r="L32" s="42">
        <f>IF(N($D32)=0,"",ROUND(SUMIFS(Scores!$P$3:$P$502,Scores!$A$3:$A$502,$A32,Scores!$O$3:$O$502,"Counted")/$D32,1))</f>
        <v/>
      </c>
      <c r="M32" s="47">
        <f>IF(COUNT(F32:K32)=0,"",MIN(F32:K32))</f>
        <v/>
      </c>
      <c r="N32" s="47">
        <f>IF(COUNT(F32:K32)=0,"",MAX(F32:K32))</f>
        <v/>
      </c>
      <c r="O32" s="47">
        <f>IF(COUNT(F32:K32)&lt;2,"",ROUND(N32-M32,1))</f>
        <v/>
      </c>
      <c r="P32" s="41">
        <f>IF($A32="","",Gaps!$K31)</f>
        <v/>
      </c>
      <c r="Q32" s="27">
        <f>IF($A32="","",IF(N($D32)=0,"No scores yet",IF($D32&lt;Settings!$E$5,"Needs more reviews",IF(OR(AND(ISNUMBER(O32),N(O32)&gt;=Settings!$E$6),AND(ISNUMBER(P32),N(P32)&gt;=Settings!$E$7)),"Talk it through","Ready"))))</f>
        <v/>
      </c>
      <c r="R32" s="27">
        <f>IF(ISNUMBER(L32),COUNTIF($L$3:$L$102,"&gt;"&amp;L32)+1,"")</f>
        <v/>
      </c>
      <c r="S32" s="25" t="n"/>
      <c r="T32" s="28" t="n"/>
      <c r="U32" s="48">
        <f>IF(ISNUMBER(L32),L32+(103-ROW())/100000,"")</f>
        <v/>
      </c>
    </row>
    <row r="33">
      <c r="A33" s="41">
        <f>IF(Applications!$A32="","",Applications!$A32&amp;"")</f>
        <v/>
      </c>
      <c r="B33" s="45">
        <f>IF($A33="","",Applications!$B32&amp;"")</f>
        <v/>
      </c>
      <c r="C33" s="46">
        <f>IF(AND($A33&lt;&gt;"",ISNUMBER(Applications!$D32)),Applications!$D32,"")</f>
        <v/>
      </c>
      <c r="D33" s="41">
        <f>IF($A33="","",COUNTIFS(Scores!$A$3:$A$502,$A33,Scores!$O$3:$O$502,"Counted"))</f>
        <v/>
      </c>
      <c r="E33" s="41">
        <f>IF($A33="","",COUNTIFS(Scores!$A$3:$A$502,$A33,Scores!$O$3:$O$502,"Conflict, not counted"))</f>
        <v/>
      </c>
      <c r="F33" s="47">
        <f>IF($A33="","",IF(COUNTIFS(Scores!$A$3:$A$502,$A33,Scores!$B$3:$B$502,F$2,Scores!$O$3:$O$502,"Counted")=0,"",SUMIFS(Scores!$P$3:$P$502,Scores!$A$3:$A$502,$A33,Scores!$B$3:$B$502,F$2,Scores!$O$3:$O$502,"Counted")))</f>
        <v/>
      </c>
      <c r="G33" s="47">
        <f>IF($A33="","",IF(COUNTIFS(Scores!$A$3:$A$502,$A33,Scores!$B$3:$B$502,G$2,Scores!$O$3:$O$502,"Counted")=0,"",SUMIFS(Scores!$P$3:$P$502,Scores!$A$3:$A$502,$A33,Scores!$B$3:$B$502,G$2,Scores!$O$3:$O$502,"Counted")))</f>
        <v/>
      </c>
      <c r="H33" s="47">
        <f>IF($A33="","",IF(COUNTIFS(Scores!$A$3:$A$502,$A33,Scores!$B$3:$B$502,H$2,Scores!$O$3:$O$502,"Counted")=0,"",SUMIFS(Scores!$P$3:$P$502,Scores!$A$3:$A$502,$A33,Scores!$B$3:$B$502,H$2,Scores!$O$3:$O$502,"Counted")))</f>
        <v/>
      </c>
      <c r="I33" s="47">
        <f>IF($A33="","",IF(COUNTIFS(Scores!$A$3:$A$502,$A33,Scores!$B$3:$B$502,I$2,Scores!$O$3:$O$502,"Counted")=0,"",SUMIFS(Scores!$P$3:$P$502,Scores!$A$3:$A$502,$A33,Scores!$B$3:$B$502,I$2,Scores!$O$3:$O$502,"Counted")))</f>
        <v/>
      </c>
      <c r="J33" s="47">
        <f>IF($A33="","",IF(COUNTIFS(Scores!$A$3:$A$502,$A33,Scores!$B$3:$B$502,J$2,Scores!$O$3:$O$502,"Counted")=0,"",SUMIFS(Scores!$P$3:$P$502,Scores!$A$3:$A$502,$A33,Scores!$B$3:$B$502,J$2,Scores!$O$3:$O$502,"Counted")))</f>
        <v/>
      </c>
      <c r="K33" s="47">
        <f>IF($A33="","",IF(COUNTIFS(Scores!$A$3:$A$502,$A33,Scores!$B$3:$B$502,K$2,Scores!$O$3:$O$502,"Counted")=0,"",SUMIFS(Scores!$P$3:$P$502,Scores!$A$3:$A$502,$A33,Scores!$B$3:$B$502,K$2,Scores!$O$3:$O$502,"Counted")))</f>
        <v/>
      </c>
      <c r="L33" s="42">
        <f>IF(N($D33)=0,"",ROUND(SUMIFS(Scores!$P$3:$P$502,Scores!$A$3:$A$502,$A33,Scores!$O$3:$O$502,"Counted")/$D33,1))</f>
        <v/>
      </c>
      <c r="M33" s="47">
        <f>IF(COUNT(F33:K33)=0,"",MIN(F33:K33))</f>
        <v/>
      </c>
      <c r="N33" s="47">
        <f>IF(COUNT(F33:K33)=0,"",MAX(F33:K33))</f>
        <v/>
      </c>
      <c r="O33" s="47">
        <f>IF(COUNT(F33:K33)&lt;2,"",ROUND(N33-M33,1))</f>
        <v/>
      </c>
      <c r="P33" s="41">
        <f>IF($A33="","",Gaps!$K32)</f>
        <v/>
      </c>
      <c r="Q33" s="27">
        <f>IF($A33="","",IF(N($D33)=0,"No scores yet",IF($D33&lt;Settings!$E$5,"Needs more reviews",IF(OR(AND(ISNUMBER(O33),N(O33)&gt;=Settings!$E$6),AND(ISNUMBER(P33),N(P33)&gt;=Settings!$E$7)),"Talk it through","Ready"))))</f>
        <v/>
      </c>
      <c r="R33" s="27">
        <f>IF(ISNUMBER(L33),COUNTIF($L$3:$L$102,"&gt;"&amp;L33)+1,"")</f>
        <v/>
      </c>
      <c r="S33" s="25" t="n"/>
      <c r="T33" s="28" t="n"/>
      <c r="U33" s="48">
        <f>IF(ISNUMBER(L33),L33+(103-ROW())/100000,"")</f>
        <v/>
      </c>
    </row>
    <row r="34">
      <c r="A34" s="41">
        <f>IF(Applications!$A33="","",Applications!$A33&amp;"")</f>
        <v/>
      </c>
      <c r="B34" s="45">
        <f>IF($A34="","",Applications!$B33&amp;"")</f>
        <v/>
      </c>
      <c r="C34" s="46">
        <f>IF(AND($A34&lt;&gt;"",ISNUMBER(Applications!$D33)),Applications!$D33,"")</f>
        <v/>
      </c>
      <c r="D34" s="41">
        <f>IF($A34="","",COUNTIFS(Scores!$A$3:$A$502,$A34,Scores!$O$3:$O$502,"Counted"))</f>
        <v/>
      </c>
      <c r="E34" s="41">
        <f>IF($A34="","",COUNTIFS(Scores!$A$3:$A$502,$A34,Scores!$O$3:$O$502,"Conflict, not counted"))</f>
        <v/>
      </c>
      <c r="F34" s="47">
        <f>IF($A34="","",IF(COUNTIFS(Scores!$A$3:$A$502,$A34,Scores!$B$3:$B$502,F$2,Scores!$O$3:$O$502,"Counted")=0,"",SUMIFS(Scores!$P$3:$P$502,Scores!$A$3:$A$502,$A34,Scores!$B$3:$B$502,F$2,Scores!$O$3:$O$502,"Counted")))</f>
        <v/>
      </c>
      <c r="G34" s="47">
        <f>IF($A34="","",IF(COUNTIFS(Scores!$A$3:$A$502,$A34,Scores!$B$3:$B$502,G$2,Scores!$O$3:$O$502,"Counted")=0,"",SUMIFS(Scores!$P$3:$P$502,Scores!$A$3:$A$502,$A34,Scores!$B$3:$B$502,G$2,Scores!$O$3:$O$502,"Counted")))</f>
        <v/>
      </c>
      <c r="H34" s="47">
        <f>IF($A34="","",IF(COUNTIFS(Scores!$A$3:$A$502,$A34,Scores!$B$3:$B$502,H$2,Scores!$O$3:$O$502,"Counted")=0,"",SUMIFS(Scores!$P$3:$P$502,Scores!$A$3:$A$502,$A34,Scores!$B$3:$B$502,H$2,Scores!$O$3:$O$502,"Counted")))</f>
        <v/>
      </c>
      <c r="I34" s="47">
        <f>IF($A34="","",IF(COUNTIFS(Scores!$A$3:$A$502,$A34,Scores!$B$3:$B$502,I$2,Scores!$O$3:$O$502,"Counted")=0,"",SUMIFS(Scores!$P$3:$P$502,Scores!$A$3:$A$502,$A34,Scores!$B$3:$B$502,I$2,Scores!$O$3:$O$502,"Counted")))</f>
        <v/>
      </c>
      <c r="J34" s="47">
        <f>IF($A34="","",IF(COUNTIFS(Scores!$A$3:$A$502,$A34,Scores!$B$3:$B$502,J$2,Scores!$O$3:$O$502,"Counted")=0,"",SUMIFS(Scores!$P$3:$P$502,Scores!$A$3:$A$502,$A34,Scores!$B$3:$B$502,J$2,Scores!$O$3:$O$502,"Counted")))</f>
        <v/>
      </c>
      <c r="K34" s="47">
        <f>IF($A34="","",IF(COUNTIFS(Scores!$A$3:$A$502,$A34,Scores!$B$3:$B$502,K$2,Scores!$O$3:$O$502,"Counted")=0,"",SUMIFS(Scores!$P$3:$P$502,Scores!$A$3:$A$502,$A34,Scores!$B$3:$B$502,K$2,Scores!$O$3:$O$502,"Counted")))</f>
        <v/>
      </c>
      <c r="L34" s="42">
        <f>IF(N($D34)=0,"",ROUND(SUMIFS(Scores!$P$3:$P$502,Scores!$A$3:$A$502,$A34,Scores!$O$3:$O$502,"Counted")/$D34,1))</f>
        <v/>
      </c>
      <c r="M34" s="47">
        <f>IF(COUNT(F34:K34)=0,"",MIN(F34:K34))</f>
        <v/>
      </c>
      <c r="N34" s="47">
        <f>IF(COUNT(F34:K34)=0,"",MAX(F34:K34))</f>
        <v/>
      </c>
      <c r="O34" s="47">
        <f>IF(COUNT(F34:K34)&lt;2,"",ROUND(N34-M34,1))</f>
        <v/>
      </c>
      <c r="P34" s="41">
        <f>IF($A34="","",Gaps!$K33)</f>
        <v/>
      </c>
      <c r="Q34" s="27">
        <f>IF($A34="","",IF(N($D34)=0,"No scores yet",IF($D34&lt;Settings!$E$5,"Needs more reviews",IF(OR(AND(ISNUMBER(O34),N(O34)&gt;=Settings!$E$6),AND(ISNUMBER(P34),N(P34)&gt;=Settings!$E$7)),"Talk it through","Ready"))))</f>
        <v/>
      </c>
      <c r="R34" s="27">
        <f>IF(ISNUMBER(L34),COUNTIF($L$3:$L$102,"&gt;"&amp;L34)+1,"")</f>
        <v/>
      </c>
      <c r="S34" s="25" t="n"/>
      <c r="T34" s="28" t="n"/>
      <c r="U34" s="48">
        <f>IF(ISNUMBER(L34),L34+(103-ROW())/100000,"")</f>
        <v/>
      </c>
    </row>
    <row r="35">
      <c r="A35" s="41">
        <f>IF(Applications!$A34="","",Applications!$A34&amp;"")</f>
        <v/>
      </c>
      <c r="B35" s="45">
        <f>IF($A35="","",Applications!$B34&amp;"")</f>
        <v/>
      </c>
      <c r="C35" s="46">
        <f>IF(AND($A35&lt;&gt;"",ISNUMBER(Applications!$D34)),Applications!$D34,"")</f>
        <v/>
      </c>
      <c r="D35" s="41">
        <f>IF($A35="","",COUNTIFS(Scores!$A$3:$A$502,$A35,Scores!$O$3:$O$502,"Counted"))</f>
        <v/>
      </c>
      <c r="E35" s="41">
        <f>IF($A35="","",COUNTIFS(Scores!$A$3:$A$502,$A35,Scores!$O$3:$O$502,"Conflict, not counted"))</f>
        <v/>
      </c>
      <c r="F35" s="47">
        <f>IF($A35="","",IF(COUNTIFS(Scores!$A$3:$A$502,$A35,Scores!$B$3:$B$502,F$2,Scores!$O$3:$O$502,"Counted")=0,"",SUMIFS(Scores!$P$3:$P$502,Scores!$A$3:$A$502,$A35,Scores!$B$3:$B$502,F$2,Scores!$O$3:$O$502,"Counted")))</f>
        <v/>
      </c>
      <c r="G35" s="47">
        <f>IF($A35="","",IF(COUNTIFS(Scores!$A$3:$A$502,$A35,Scores!$B$3:$B$502,G$2,Scores!$O$3:$O$502,"Counted")=0,"",SUMIFS(Scores!$P$3:$P$502,Scores!$A$3:$A$502,$A35,Scores!$B$3:$B$502,G$2,Scores!$O$3:$O$502,"Counted")))</f>
        <v/>
      </c>
      <c r="H35" s="47">
        <f>IF($A35="","",IF(COUNTIFS(Scores!$A$3:$A$502,$A35,Scores!$B$3:$B$502,H$2,Scores!$O$3:$O$502,"Counted")=0,"",SUMIFS(Scores!$P$3:$P$502,Scores!$A$3:$A$502,$A35,Scores!$B$3:$B$502,H$2,Scores!$O$3:$O$502,"Counted")))</f>
        <v/>
      </c>
      <c r="I35" s="47">
        <f>IF($A35="","",IF(COUNTIFS(Scores!$A$3:$A$502,$A35,Scores!$B$3:$B$502,I$2,Scores!$O$3:$O$502,"Counted")=0,"",SUMIFS(Scores!$P$3:$P$502,Scores!$A$3:$A$502,$A35,Scores!$B$3:$B$502,I$2,Scores!$O$3:$O$502,"Counted")))</f>
        <v/>
      </c>
      <c r="J35" s="47">
        <f>IF($A35="","",IF(COUNTIFS(Scores!$A$3:$A$502,$A35,Scores!$B$3:$B$502,J$2,Scores!$O$3:$O$502,"Counted")=0,"",SUMIFS(Scores!$P$3:$P$502,Scores!$A$3:$A$502,$A35,Scores!$B$3:$B$502,J$2,Scores!$O$3:$O$502,"Counted")))</f>
        <v/>
      </c>
      <c r="K35" s="47">
        <f>IF($A35="","",IF(COUNTIFS(Scores!$A$3:$A$502,$A35,Scores!$B$3:$B$502,K$2,Scores!$O$3:$O$502,"Counted")=0,"",SUMIFS(Scores!$P$3:$P$502,Scores!$A$3:$A$502,$A35,Scores!$B$3:$B$502,K$2,Scores!$O$3:$O$502,"Counted")))</f>
        <v/>
      </c>
      <c r="L35" s="42">
        <f>IF(N($D35)=0,"",ROUND(SUMIFS(Scores!$P$3:$P$502,Scores!$A$3:$A$502,$A35,Scores!$O$3:$O$502,"Counted")/$D35,1))</f>
        <v/>
      </c>
      <c r="M35" s="47">
        <f>IF(COUNT(F35:K35)=0,"",MIN(F35:K35))</f>
        <v/>
      </c>
      <c r="N35" s="47">
        <f>IF(COUNT(F35:K35)=0,"",MAX(F35:K35))</f>
        <v/>
      </c>
      <c r="O35" s="47">
        <f>IF(COUNT(F35:K35)&lt;2,"",ROUND(N35-M35,1))</f>
        <v/>
      </c>
      <c r="P35" s="41">
        <f>IF($A35="","",Gaps!$K34)</f>
        <v/>
      </c>
      <c r="Q35" s="27">
        <f>IF($A35="","",IF(N($D35)=0,"No scores yet",IF($D35&lt;Settings!$E$5,"Needs more reviews",IF(OR(AND(ISNUMBER(O35),N(O35)&gt;=Settings!$E$6),AND(ISNUMBER(P35),N(P35)&gt;=Settings!$E$7)),"Talk it through","Ready"))))</f>
        <v/>
      </c>
      <c r="R35" s="27">
        <f>IF(ISNUMBER(L35),COUNTIF($L$3:$L$102,"&gt;"&amp;L35)+1,"")</f>
        <v/>
      </c>
      <c r="S35" s="25" t="n"/>
      <c r="T35" s="28" t="n"/>
      <c r="U35" s="48">
        <f>IF(ISNUMBER(L35),L35+(103-ROW())/100000,"")</f>
        <v/>
      </c>
    </row>
    <row r="36">
      <c r="A36" s="41">
        <f>IF(Applications!$A35="","",Applications!$A35&amp;"")</f>
        <v/>
      </c>
      <c r="B36" s="45">
        <f>IF($A36="","",Applications!$B35&amp;"")</f>
        <v/>
      </c>
      <c r="C36" s="46">
        <f>IF(AND($A36&lt;&gt;"",ISNUMBER(Applications!$D35)),Applications!$D35,"")</f>
        <v/>
      </c>
      <c r="D36" s="41">
        <f>IF($A36="","",COUNTIFS(Scores!$A$3:$A$502,$A36,Scores!$O$3:$O$502,"Counted"))</f>
        <v/>
      </c>
      <c r="E36" s="41">
        <f>IF($A36="","",COUNTIFS(Scores!$A$3:$A$502,$A36,Scores!$O$3:$O$502,"Conflict, not counted"))</f>
        <v/>
      </c>
      <c r="F36" s="47">
        <f>IF($A36="","",IF(COUNTIFS(Scores!$A$3:$A$502,$A36,Scores!$B$3:$B$502,F$2,Scores!$O$3:$O$502,"Counted")=0,"",SUMIFS(Scores!$P$3:$P$502,Scores!$A$3:$A$502,$A36,Scores!$B$3:$B$502,F$2,Scores!$O$3:$O$502,"Counted")))</f>
        <v/>
      </c>
      <c r="G36" s="47">
        <f>IF($A36="","",IF(COUNTIFS(Scores!$A$3:$A$502,$A36,Scores!$B$3:$B$502,G$2,Scores!$O$3:$O$502,"Counted")=0,"",SUMIFS(Scores!$P$3:$P$502,Scores!$A$3:$A$502,$A36,Scores!$B$3:$B$502,G$2,Scores!$O$3:$O$502,"Counted")))</f>
        <v/>
      </c>
      <c r="H36" s="47">
        <f>IF($A36="","",IF(COUNTIFS(Scores!$A$3:$A$502,$A36,Scores!$B$3:$B$502,H$2,Scores!$O$3:$O$502,"Counted")=0,"",SUMIFS(Scores!$P$3:$P$502,Scores!$A$3:$A$502,$A36,Scores!$B$3:$B$502,H$2,Scores!$O$3:$O$502,"Counted")))</f>
        <v/>
      </c>
      <c r="I36" s="47">
        <f>IF($A36="","",IF(COUNTIFS(Scores!$A$3:$A$502,$A36,Scores!$B$3:$B$502,I$2,Scores!$O$3:$O$502,"Counted")=0,"",SUMIFS(Scores!$P$3:$P$502,Scores!$A$3:$A$502,$A36,Scores!$B$3:$B$502,I$2,Scores!$O$3:$O$502,"Counted")))</f>
        <v/>
      </c>
      <c r="J36" s="47">
        <f>IF($A36="","",IF(COUNTIFS(Scores!$A$3:$A$502,$A36,Scores!$B$3:$B$502,J$2,Scores!$O$3:$O$502,"Counted")=0,"",SUMIFS(Scores!$P$3:$P$502,Scores!$A$3:$A$502,$A36,Scores!$B$3:$B$502,J$2,Scores!$O$3:$O$502,"Counted")))</f>
        <v/>
      </c>
      <c r="K36" s="47">
        <f>IF($A36="","",IF(COUNTIFS(Scores!$A$3:$A$502,$A36,Scores!$B$3:$B$502,K$2,Scores!$O$3:$O$502,"Counted")=0,"",SUMIFS(Scores!$P$3:$P$502,Scores!$A$3:$A$502,$A36,Scores!$B$3:$B$502,K$2,Scores!$O$3:$O$502,"Counted")))</f>
        <v/>
      </c>
      <c r="L36" s="42">
        <f>IF(N($D36)=0,"",ROUND(SUMIFS(Scores!$P$3:$P$502,Scores!$A$3:$A$502,$A36,Scores!$O$3:$O$502,"Counted")/$D36,1))</f>
        <v/>
      </c>
      <c r="M36" s="47">
        <f>IF(COUNT(F36:K36)=0,"",MIN(F36:K36))</f>
        <v/>
      </c>
      <c r="N36" s="47">
        <f>IF(COUNT(F36:K36)=0,"",MAX(F36:K36))</f>
        <v/>
      </c>
      <c r="O36" s="47">
        <f>IF(COUNT(F36:K36)&lt;2,"",ROUND(N36-M36,1))</f>
        <v/>
      </c>
      <c r="P36" s="41">
        <f>IF($A36="","",Gaps!$K35)</f>
        <v/>
      </c>
      <c r="Q36" s="27">
        <f>IF($A36="","",IF(N($D36)=0,"No scores yet",IF($D36&lt;Settings!$E$5,"Needs more reviews",IF(OR(AND(ISNUMBER(O36),N(O36)&gt;=Settings!$E$6),AND(ISNUMBER(P36),N(P36)&gt;=Settings!$E$7)),"Talk it through","Ready"))))</f>
        <v/>
      </c>
      <c r="R36" s="27">
        <f>IF(ISNUMBER(L36),COUNTIF($L$3:$L$102,"&gt;"&amp;L36)+1,"")</f>
        <v/>
      </c>
      <c r="S36" s="25" t="n"/>
      <c r="T36" s="28" t="n"/>
      <c r="U36" s="48">
        <f>IF(ISNUMBER(L36),L36+(103-ROW())/100000,"")</f>
        <v/>
      </c>
    </row>
    <row r="37">
      <c r="A37" s="41">
        <f>IF(Applications!$A36="","",Applications!$A36&amp;"")</f>
        <v/>
      </c>
      <c r="B37" s="45">
        <f>IF($A37="","",Applications!$B36&amp;"")</f>
        <v/>
      </c>
      <c r="C37" s="46">
        <f>IF(AND($A37&lt;&gt;"",ISNUMBER(Applications!$D36)),Applications!$D36,"")</f>
        <v/>
      </c>
      <c r="D37" s="41">
        <f>IF($A37="","",COUNTIFS(Scores!$A$3:$A$502,$A37,Scores!$O$3:$O$502,"Counted"))</f>
        <v/>
      </c>
      <c r="E37" s="41">
        <f>IF($A37="","",COUNTIFS(Scores!$A$3:$A$502,$A37,Scores!$O$3:$O$502,"Conflict, not counted"))</f>
        <v/>
      </c>
      <c r="F37" s="47">
        <f>IF($A37="","",IF(COUNTIFS(Scores!$A$3:$A$502,$A37,Scores!$B$3:$B$502,F$2,Scores!$O$3:$O$502,"Counted")=0,"",SUMIFS(Scores!$P$3:$P$502,Scores!$A$3:$A$502,$A37,Scores!$B$3:$B$502,F$2,Scores!$O$3:$O$502,"Counted")))</f>
        <v/>
      </c>
      <c r="G37" s="47">
        <f>IF($A37="","",IF(COUNTIFS(Scores!$A$3:$A$502,$A37,Scores!$B$3:$B$502,G$2,Scores!$O$3:$O$502,"Counted")=0,"",SUMIFS(Scores!$P$3:$P$502,Scores!$A$3:$A$502,$A37,Scores!$B$3:$B$502,G$2,Scores!$O$3:$O$502,"Counted")))</f>
        <v/>
      </c>
      <c r="H37" s="47">
        <f>IF($A37="","",IF(COUNTIFS(Scores!$A$3:$A$502,$A37,Scores!$B$3:$B$502,H$2,Scores!$O$3:$O$502,"Counted")=0,"",SUMIFS(Scores!$P$3:$P$502,Scores!$A$3:$A$502,$A37,Scores!$B$3:$B$502,H$2,Scores!$O$3:$O$502,"Counted")))</f>
        <v/>
      </c>
      <c r="I37" s="47">
        <f>IF($A37="","",IF(COUNTIFS(Scores!$A$3:$A$502,$A37,Scores!$B$3:$B$502,I$2,Scores!$O$3:$O$502,"Counted")=0,"",SUMIFS(Scores!$P$3:$P$502,Scores!$A$3:$A$502,$A37,Scores!$B$3:$B$502,I$2,Scores!$O$3:$O$502,"Counted")))</f>
        <v/>
      </c>
      <c r="J37" s="47">
        <f>IF($A37="","",IF(COUNTIFS(Scores!$A$3:$A$502,$A37,Scores!$B$3:$B$502,J$2,Scores!$O$3:$O$502,"Counted")=0,"",SUMIFS(Scores!$P$3:$P$502,Scores!$A$3:$A$502,$A37,Scores!$B$3:$B$502,J$2,Scores!$O$3:$O$502,"Counted")))</f>
        <v/>
      </c>
      <c r="K37" s="47">
        <f>IF($A37="","",IF(COUNTIFS(Scores!$A$3:$A$502,$A37,Scores!$B$3:$B$502,K$2,Scores!$O$3:$O$502,"Counted")=0,"",SUMIFS(Scores!$P$3:$P$502,Scores!$A$3:$A$502,$A37,Scores!$B$3:$B$502,K$2,Scores!$O$3:$O$502,"Counted")))</f>
        <v/>
      </c>
      <c r="L37" s="42">
        <f>IF(N($D37)=0,"",ROUND(SUMIFS(Scores!$P$3:$P$502,Scores!$A$3:$A$502,$A37,Scores!$O$3:$O$502,"Counted")/$D37,1))</f>
        <v/>
      </c>
      <c r="M37" s="47">
        <f>IF(COUNT(F37:K37)=0,"",MIN(F37:K37))</f>
        <v/>
      </c>
      <c r="N37" s="47">
        <f>IF(COUNT(F37:K37)=0,"",MAX(F37:K37))</f>
        <v/>
      </c>
      <c r="O37" s="47">
        <f>IF(COUNT(F37:K37)&lt;2,"",ROUND(N37-M37,1))</f>
        <v/>
      </c>
      <c r="P37" s="41">
        <f>IF($A37="","",Gaps!$K36)</f>
        <v/>
      </c>
      <c r="Q37" s="27">
        <f>IF($A37="","",IF(N($D37)=0,"No scores yet",IF($D37&lt;Settings!$E$5,"Needs more reviews",IF(OR(AND(ISNUMBER(O37),N(O37)&gt;=Settings!$E$6),AND(ISNUMBER(P37),N(P37)&gt;=Settings!$E$7)),"Talk it through","Ready"))))</f>
        <v/>
      </c>
      <c r="R37" s="27">
        <f>IF(ISNUMBER(L37),COUNTIF($L$3:$L$102,"&gt;"&amp;L37)+1,"")</f>
        <v/>
      </c>
      <c r="S37" s="25" t="n"/>
      <c r="T37" s="28" t="n"/>
      <c r="U37" s="48">
        <f>IF(ISNUMBER(L37),L37+(103-ROW())/100000,"")</f>
        <v/>
      </c>
    </row>
    <row r="38">
      <c r="A38" s="41">
        <f>IF(Applications!$A37="","",Applications!$A37&amp;"")</f>
        <v/>
      </c>
      <c r="B38" s="45">
        <f>IF($A38="","",Applications!$B37&amp;"")</f>
        <v/>
      </c>
      <c r="C38" s="46">
        <f>IF(AND($A38&lt;&gt;"",ISNUMBER(Applications!$D37)),Applications!$D37,"")</f>
        <v/>
      </c>
      <c r="D38" s="41">
        <f>IF($A38="","",COUNTIFS(Scores!$A$3:$A$502,$A38,Scores!$O$3:$O$502,"Counted"))</f>
        <v/>
      </c>
      <c r="E38" s="41">
        <f>IF($A38="","",COUNTIFS(Scores!$A$3:$A$502,$A38,Scores!$O$3:$O$502,"Conflict, not counted"))</f>
        <v/>
      </c>
      <c r="F38" s="47">
        <f>IF($A38="","",IF(COUNTIFS(Scores!$A$3:$A$502,$A38,Scores!$B$3:$B$502,F$2,Scores!$O$3:$O$502,"Counted")=0,"",SUMIFS(Scores!$P$3:$P$502,Scores!$A$3:$A$502,$A38,Scores!$B$3:$B$502,F$2,Scores!$O$3:$O$502,"Counted")))</f>
        <v/>
      </c>
      <c r="G38" s="47">
        <f>IF($A38="","",IF(COUNTIFS(Scores!$A$3:$A$502,$A38,Scores!$B$3:$B$502,G$2,Scores!$O$3:$O$502,"Counted")=0,"",SUMIFS(Scores!$P$3:$P$502,Scores!$A$3:$A$502,$A38,Scores!$B$3:$B$502,G$2,Scores!$O$3:$O$502,"Counted")))</f>
        <v/>
      </c>
      <c r="H38" s="47">
        <f>IF($A38="","",IF(COUNTIFS(Scores!$A$3:$A$502,$A38,Scores!$B$3:$B$502,H$2,Scores!$O$3:$O$502,"Counted")=0,"",SUMIFS(Scores!$P$3:$P$502,Scores!$A$3:$A$502,$A38,Scores!$B$3:$B$502,H$2,Scores!$O$3:$O$502,"Counted")))</f>
        <v/>
      </c>
      <c r="I38" s="47">
        <f>IF($A38="","",IF(COUNTIFS(Scores!$A$3:$A$502,$A38,Scores!$B$3:$B$502,I$2,Scores!$O$3:$O$502,"Counted")=0,"",SUMIFS(Scores!$P$3:$P$502,Scores!$A$3:$A$502,$A38,Scores!$B$3:$B$502,I$2,Scores!$O$3:$O$502,"Counted")))</f>
        <v/>
      </c>
      <c r="J38" s="47">
        <f>IF($A38="","",IF(COUNTIFS(Scores!$A$3:$A$502,$A38,Scores!$B$3:$B$502,J$2,Scores!$O$3:$O$502,"Counted")=0,"",SUMIFS(Scores!$P$3:$P$502,Scores!$A$3:$A$502,$A38,Scores!$B$3:$B$502,J$2,Scores!$O$3:$O$502,"Counted")))</f>
        <v/>
      </c>
      <c r="K38" s="47">
        <f>IF($A38="","",IF(COUNTIFS(Scores!$A$3:$A$502,$A38,Scores!$B$3:$B$502,K$2,Scores!$O$3:$O$502,"Counted")=0,"",SUMIFS(Scores!$P$3:$P$502,Scores!$A$3:$A$502,$A38,Scores!$B$3:$B$502,K$2,Scores!$O$3:$O$502,"Counted")))</f>
        <v/>
      </c>
      <c r="L38" s="42">
        <f>IF(N($D38)=0,"",ROUND(SUMIFS(Scores!$P$3:$P$502,Scores!$A$3:$A$502,$A38,Scores!$O$3:$O$502,"Counted")/$D38,1))</f>
        <v/>
      </c>
      <c r="M38" s="47">
        <f>IF(COUNT(F38:K38)=0,"",MIN(F38:K38))</f>
        <v/>
      </c>
      <c r="N38" s="47">
        <f>IF(COUNT(F38:K38)=0,"",MAX(F38:K38))</f>
        <v/>
      </c>
      <c r="O38" s="47">
        <f>IF(COUNT(F38:K38)&lt;2,"",ROUND(N38-M38,1))</f>
        <v/>
      </c>
      <c r="P38" s="41">
        <f>IF($A38="","",Gaps!$K37)</f>
        <v/>
      </c>
      <c r="Q38" s="27">
        <f>IF($A38="","",IF(N($D38)=0,"No scores yet",IF($D38&lt;Settings!$E$5,"Needs more reviews",IF(OR(AND(ISNUMBER(O38),N(O38)&gt;=Settings!$E$6),AND(ISNUMBER(P38),N(P38)&gt;=Settings!$E$7)),"Talk it through","Ready"))))</f>
        <v/>
      </c>
      <c r="R38" s="27">
        <f>IF(ISNUMBER(L38),COUNTIF($L$3:$L$102,"&gt;"&amp;L38)+1,"")</f>
        <v/>
      </c>
      <c r="S38" s="25" t="n"/>
      <c r="T38" s="28" t="n"/>
      <c r="U38" s="48">
        <f>IF(ISNUMBER(L38),L38+(103-ROW())/100000,"")</f>
        <v/>
      </c>
    </row>
    <row r="39">
      <c r="A39" s="41">
        <f>IF(Applications!$A38="","",Applications!$A38&amp;"")</f>
        <v/>
      </c>
      <c r="B39" s="45">
        <f>IF($A39="","",Applications!$B38&amp;"")</f>
        <v/>
      </c>
      <c r="C39" s="46">
        <f>IF(AND($A39&lt;&gt;"",ISNUMBER(Applications!$D38)),Applications!$D38,"")</f>
        <v/>
      </c>
      <c r="D39" s="41">
        <f>IF($A39="","",COUNTIFS(Scores!$A$3:$A$502,$A39,Scores!$O$3:$O$502,"Counted"))</f>
        <v/>
      </c>
      <c r="E39" s="41">
        <f>IF($A39="","",COUNTIFS(Scores!$A$3:$A$502,$A39,Scores!$O$3:$O$502,"Conflict, not counted"))</f>
        <v/>
      </c>
      <c r="F39" s="47">
        <f>IF($A39="","",IF(COUNTIFS(Scores!$A$3:$A$502,$A39,Scores!$B$3:$B$502,F$2,Scores!$O$3:$O$502,"Counted")=0,"",SUMIFS(Scores!$P$3:$P$502,Scores!$A$3:$A$502,$A39,Scores!$B$3:$B$502,F$2,Scores!$O$3:$O$502,"Counted")))</f>
        <v/>
      </c>
      <c r="G39" s="47">
        <f>IF($A39="","",IF(COUNTIFS(Scores!$A$3:$A$502,$A39,Scores!$B$3:$B$502,G$2,Scores!$O$3:$O$502,"Counted")=0,"",SUMIFS(Scores!$P$3:$P$502,Scores!$A$3:$A$502,$A39,Scores!$B$3:$B$502,G$2,Scores!$O$3:$O$502,"Counted")))</f>
        <v/>
      </c>
      <c r="H39" s="47">
        <f>IF($A39="","",IF(COUNTIFS(Scores!$A$3:$A$502,$A39,Scores!$B$3:$B$502,H$2,Scores!$O$3:$O$502,"Counted")=0,"",SUMIFS(Scores!$P$3:$P$502,Scores!$A$3:$A$502,$A39,Scores!$B$3:$B$502,H$2,Scores!$O$3:$O$502,"Counted")))</f>
        <v/>
      </c>
      <c r="I39" s="47">
        <f>IF($A39="","",IF(COUNTIFS(Scores!$A$3:$A$502,$A39,Scores!$B$3:$B$502,I$2,Scores!$O$3:$O$502,"Counted")=0,"",SUMIFS(Scores!$P$3:$P$502,Scores!$A$3:$A$502,$A39,Scores!$B$3:$B$502,I$2,Scores!$O$3:$O$502,"Counted")))</f>
        <v/>
      </c>
      <c r="J39" s="47">
        <f>IF($A39="","",IF(COUNTIFS(Scores!$A$3:$A$502,$A39,Scores!$B$3:$B$502,J$2,Scores!$O$3:$O$502,"Counted")=0,"",SUMIFS(Scores!$P$3:$P$502,Scores!$A$3:$A$502,$A39,Scores!$B$3:$B$502,J$2,Scores!$O$3:$O$502,"Counted")))</f>
        <v/>
      </c>
      <c r="K39" s="47">
        <f>IF($A39="","",IF(COUNTIFS(Scores!$A$3:$A$502,$A39,Scores!$B$3:$B$502,K$2,Scores!$O$3:$O$502,"Counted")=0,"",SUMIFS(Scores!$P$3:$P$502,Scores!$A$3:$A$502,$A39,Scores!$B$3:$B$502,K$2,Scores!$O$3:$O$502,"Counted")))</f>
        <v/>
      </c>
      <c r="L39" s="42">
        <f>IF(N($D39)=0,"",ROUND(SUMIFS(Scores!$P$3:$P$502,Scores!$A$3:$A$502,$A39,Scores!$O$3:$O$502,"Counted")/$D39,1))</f>
        <v/>
      </c>
      <c r="M39" s="47">
        <f>IF(COUNT(F39:K39)=0,"",MIN(F39:K39))</f>
        <v/>
      </c>
      <c r="N39" s="47">
        <f>IF(COUNT(F39:K39)=0,"",MAX(F39:K39))</f>
        <v/>
      </c>
      <c r="O39" s="47">
        <f>IF(COUNT(F39:K39)&lt;2,"",ROUND(N39-M39,1))</f>
        <v/>
      </c>
      <c r="P39" s="41">
        <f>IF($A39="","",Gaps!$K38)</f>
        <v/>
      </c>
      <c r="Q39" s="27">
        <f>IF($A39="","",IF(N($D39)=0,"No scores yet",IF($D39&lt;Settings!$E$5,"Needs more reviews",IF(OR(AND(ISNUMBER(O39),N(O39)&gt;=Settings!$E$6),AND(ISNUMBER(P39),N(P39)&gt;=Settings!$E$7)),"Talk it through","Ready"))))</f>
        <v/>
      </c>
      <c r="R39" s="27">
        <f>IF(ISNUMBER(L39),COUNTIF($L$3:$L$102,"&gt;"&amp;L39)+1,"")</f>
        <v/>
      </c>
      <c r="S39" s="25" t="n"/>
      <c r="T39" s="28" t="n"/>
      <c r="U39" s="48">
        <f>IF(ISNUMBER(L39),L39+(103-ROW())/100000,"")</f>
        <v/>
      </c>
    </row>
    <row r="40">
      <c r="A40" s="41">
        <f>IF(Applications!$A39="","",Applications!$A39&amp;"")</f>
        <v/>
      </c>
      <c r="B40" s="45">
        <f>IF($A40="","",Applications!$B39&amp;"")</f>
        <v/>
      </c>
      <c r="C40" s="46">
        <f>IF(AND($A40&lt;&gt;"",ISNUMBER(Applications!$D39)),Applications!$D39,"")</f>
        <v/>
      </c>
      <c r="D40" s="41">
        <f>IF($A40="","",COUNTIFS(Scores!$A$3:$A$502,$A40,Scores!$O$3:$O$502,"Counted"))</f>
        <v/>
      </c>
      <c r="E40" s="41">
        <f>IF($A40="","",COUNTIFS(Scores!$A$3:$A$502,$A40,Scores!$O$3:$O$502,"Conflict, not counted"))</f>
        <v/>
      </c>
      <c r="F40" s="47">
        <f>IF($A40="","",IF(COUNTIFS(Scores!$A$3:$A$502,$A40,Scores!$B$3:$B$502,F$2,Scores!$O$3:$O$502,"Counted")=0,"",SUMIFS(Scores!$P$3:$P$502,Scores!$A$3:$A$502,$A40,Scores!$B$3:$B$502,F$2,Scores!$O$3:$O$502,"Counted")))</f>
        <v/>
      </c>
      <c r="G40" s="47">
        <f>IF($A40="","",IF(COUNTIFS(Scores!$A$3:$A$502,$A40,Scores!$B$3:$B$502,G$2,Scores!$O$3:$O$502,"Counted")=0,"",SUMIFS(Scores!$P$3:$P$502,Scores!$A$3:$A$502,$A40,Scores!$B$3:$B$502,G$2,Scores!$O$3:$O$502,"Counted")))</f>
        <v/>
      </c>
      <c r="H40" s="47">
        <f>IF($A40="","",IF(COUNTIFS(Scores!$A$3:$A$502,$A40,Scores!$B$3:$B$502,H$2,Scores!$O$3:$O$502,"Counted")=0,"",SUMIFS(Scores!$P$3:$P$502,Scores!$A$3:$A$502,$A40,Scores!$B$3:$B$502,H$2,Scores!$O$3:$O$502,"Counted")))</f>
        <v/>
      </c>
      <c r="I40" s="47">
        <f>IF($A40="","",IF(COUNTIFS(Scores!$A$3:$A$502,$A40,Scores!$B$3:$B$502,I$2,Scores!$O$3:$O$502,"Counted")=0,"",SUMIFS(Scores!$P$3:$P$502,Scores!$A$3:$A$502,$A40,Scores!$B$3:$B$502,I$2,Scores!$O$3:$O$502,"Counted")))</f>
        <v/>
      </c>
      <c r="J40" s="47">
        <f>IF($A40="","",IF(COUNTIFS(Scores!$A$3:$A$502,$A40,Scores!$B$3:$B$502,J$2,Scores!$O$3:$O$502,"Counted")=0,"",SUMIFS(Scores!$P$3:$P$502,Scores!$A$3:$A$502,$A40,Scores!$B$3:$B$502,J$2,Scores!$O$3:$O$502,"Counted")))</f>
        <v/>
      </c>
      <c r="K40" s="47">
        <f>IF($A40="","",IF(COUNTIFS(Scores!$A$3:$A$502,$A40,Scores!$B$3:$B$502,K$2,Scores!$O$3:$O$502,"Counted")=0,"",SUMIFS(Scores!$P$3:$P$502,Scores!$A$3:$A$502,$A40,Scores!$B$3:$B$502,K$2,Scores!$O$3:$O$502,"Counted")))</f>
        <v/>
      </c>
      <c r="L40" s="42">
        <f>IF(N($D40)=0,"",ROUND(SUMIFS(Scores!$P$3:$P$502,Scores!$A$3:$A$502,$A40,Scores!$O$3:$O$502,"Counted")/$D40,1))</f>
        <v/>
      </c>
      <c r="M40" s="47">
        <f>IF(COUNT(F40:K40)=0,"",MIN(F40:K40))</f>
        <v/>
      </c>
      <c r="N40" s="47">
        <f>IF(COUNT(F40:K40)=0,"",MAX(F40:K40))</f>
        <v/>
      </c>
      <c r="O40" s="47">
        <f>IF(COUNT(F40:K40)&lt;2,"",ROUND(N40-M40,1))</f>
        <v/>
      </c>
      <c r="P40" s="41">
        <f>IF($A40="","",Gaps!$K39)</f>
        <v/>
      </c>
      <c r="Q40" s="27">
        <f>IF($A40="","",IF(N($D40)=0,"No scores yet",IF($D40&lt;Settings!$E$5,"Needs more reviews",IF(OR(AND(ISNUMBER(O40),N(O40)&gt;=Settings!$E$6),AND(ISNUMBER(P40),N(P40)&gt;=Settings!$E$7)),"Talk it through","Ready"))))</f>
        <v/>
      </c>
      <c r="R40" s="27">
        <f>IF(ISNUMBER(L40),COUNTIF($L$3:$L$102,"&gt;"&amp;L40)+1,"")</f>
        <v/>
      </c>
      <c r="S40" s="25" t="n"/>
      <c r="T40" s="28" t="n"/>
      <c r="U40" s="48">
        <f>IF(ISNUMBER(L40),L40+(103-ROW())/100000,"")</f>
        <v/>
      </c>
    </row>
    <row r="41">
      <c r="A41" s="41">
        <f>IF(Applications!$A40="","",Applications!$A40&amp;"")</f>
        <v/>
      </c>
      <c r="B41" s="45">
        <f>IF($A41="","",Applications!$B40&amp;"")</f>
        <v/>
      </c>
      <c r="C41" s="46">
        <f>IF(AND($A41&lt;&gt;"",ISNUMBER(Applications!$D40)),Applications!$D40,"")</f>
        <v/>
      </c>
      <c r="D41" s="41">
        <f>IF($A41="","",COUNTIFS(Scores!$A$3:$A$502,$A41,Scores!$O$3:$O$502,"Counted"))</f>
        <v/>
      </c>
      <c r="E41" s="41">
        <f>IF($A41="","",COUNTIFS(Scores!$A$3:$A$502,$A41,Scores!$O$3:$O$502,"Conflict, not counted"))</f>
        <v/>
      </c>
      <c r="F41" s="47">
        <f>IF($A41="","",IF(COUNTIFS(Scores!$A$3:$A$502,$A41,Scores!$B$3:$B$502,F$2,Scores!$O$3:$O$502,"Counted")=0,"",SUMIFS(Scores!$P$3:$P$502,Scores!$A$3:$A$502,$A41,Scores!$B$3:$B$502,F$2,Scores!$O$3:$O$502,"Counted")))</f>
        <v/>
      </c>
      <c r="G41" s="47">
        <f>IF($A41="","",IF(COUNTIFS(Scores!$A$3:$A$502,$A41,Scores!$B$3:$B$502,G$2,Scores!$O$3:$O$502,"Counted")=0,"",SUMIFS(Scores!$P$3:$P$502,Scores!$A$3:$A$502,$A41,Scores!$B$3:$B$502,G$2,Scores!$O$3:$O$502,"Counted")))</f>
        <v/>
      </c>
      <c r="H41" s="47">
        <f>IF($A41="","",IF(COUNTIFS(Scores!$A$3:$A$502,$A41,Scores!$B$3:$B$502,H$2,Scores!$O$3:$O$502,"Counted")=0,"",SUMIFS(Scores!$P$3:$P$502,Scores!$A$3:$A$502,$A41,Scores!$B$3:$B$502,H$2,Scores!$O$3:$O$502,"Counted")))</f>
        <v/>
      </c>
      <c r="I41" s="47">
        <f>IF($A41="","",IF(COUNTIFS(Scores!$A$3:$A$502,$A41,Scores!$B$3:$B$502,I$2,Scores!$O$3:$O$502,"Counted")=0,"",SUMIFS(Scores!$P$3:$P$502,Scores!$A$3:$A$502,$A41,Scores!$B$3:$B$502,I$2,Scores!$O$3:$O$502,"Counted")))</f>
        <v/>
      </c>
      <c r="J41" s="47">
        <f>IF($A41="","",IF(COUNTIFS(Scores!$A$3:$A$502,$A41,Scores!$B$3:$B$502,J$2,Scores!$O$3:$O$502,"Counted")=0,"",SUMIFS(Scores!$P$3:$P$502,Scores!$A$3:$A$502,$A41,Scores!$B$3:$B$502,J$2,Scores!$O$3:$O$502,"Counted")))</f>
        <v/>
      </c>
      <c r="K41" s="47">
        <f>IF($A41="","",IF(COUNTIFS(Scores!$A$3:$A$502,$A41,Scores!$B$3:$B$502,K$2,Scores!$O$3:$O$502,"Counted")=0,"",SUMIFS(Scores!$P$3:$P$502,Scores!$A$3:$A$502,$A41,Scores!$B$3:$B$502,K$2,Scores!$O$3:$O$502,"Counted")))</f>
        <v/>
      </c>
      <c r="L41" s="42">
        <f>IF(N($D41)=0,"",ROUND(SUMIFS(Scores!$P$3:$P$502,Scores!$A$3:$A$502,$A41,Scores!$O$3:$O$502,"Counted")/$D41,1))</f>
        <v/>
      </c>
      <c r="M41" s="47">
        <f>IF(COUNT(F41:K41)=0,"",MIN(F41:K41))</f>
        <v/>
      </c>
      <c r="N41" s="47">
        <f>IF(COUNT(F41:K41)=0,"",MAX(F41:K41))</f>
        <v/>
      </c>
      <c r="O41" s="47">
        <f>IF(COUNT(F41:K41)&lt;2,"",ROUND(N41-M41,1))</f>
        <v/>
      </c>
      <c r="P41" s="41">
        <f>IF($A41="","",Gaps!$K40)</f>
        <v/>
      </c>
      <c r="Q41" s="27">
        <f>IF($A41="","",IF(N($D41)=0,"No scores yet",IF($D41&lt;Settings!$E$5,"Needs more reviews",IF(OR(AND(ISNUMBER(O41),N(O41)&gt;=Settings!$E$6),AND(ISNUMBER(P41),N(P41)&gt;=Settings!$E$7)),"Talk it through","Ready"))))</f>
        <v/>
      </c>
      <c r="R41" s="27">
        <f>IF(ISNUMBER(L41),COUNTIF($L$3:$L$102,"&gt;"&amp;L41)+1,"")</f>
        <v/>
      </c>
      <c r="S41" s="25" t="n"/>
      <c r="T41" s="28" t="n"/>
      <c r="U41" s="48">
        <f>IF(ISNUMBER(L41),L41+(103-ROW())/100000,"")</f>
        <v/>
      </c>
    </row>
    <row r="42">
      <c r="A42" s="41">
        <f>IF(Applications!$A41="","",Applications!$A41&amp;"")</f>
        <v/>
      </c>
      <c r="B42" s="45">
        <f>IF($A42="","",Applications!$B41&amp;"")</f>
        <v/>
      </c>
      <c r="C42" s="46">
        <f>IF(AND($A42&lt;&gt;"",ISNUMBER(Applications!$D41)),Applications!$D41,"")</f>
        <v/>
      </c>
      <c r="D42" s="41">
        <f>IF($A42="","",COUNTIFS(Scores!$A$3:$A$502,$A42,Scores!$O$3:$O$502,"Counted"))</f>
        <v/>
      </c>
      <c r="E42" s="41">
        <f>IF($A42="","",COUNTIFS(Scores!$A$3:$A$502,$A42,Scores!$O$3:$O$502,"Conflict, not counted"))</f>
        <v/>
      </c>
      <c r="F42" s="47">
        <f>IF($A42="","",IF(COUNTIFS(Scores!$A$3:$A$502,$A42,Scores!$B$3:$B$502,F$2,Scores!$O$3:$O$502,"Counted")=0,"",SUMIFS(Scores!$P$3:$P$502,Scores!$A$3:$A$502,$A42,Scores!$B$3:$B$502,F$2,Scores!$O$3:$O$502,"Counted")))</f>
        <v/>
      </c>
      <c r="G42" s="47">
        <f>IF($A42="","",IF(COUNTIFS(Scores!$A$3:$A$502,$A42,Scores!$B$3:$B$502,G$2,Scores!$O$3:$O$502,"Counted")=0,"",SUMIFS(Scores!$P$3:$P$502,Scores!$A$3:$A$502,$A42,Scores!$B$3:$B$502,G$2,Scores!$O$3:$O$502,"Counted")))</f>
        <v/>
      </c>
      <c r="H42" s="47">
        <f>IF($A42="","",IF(COUNTIFS(Scores!$A$3:$A$502,$A42,Scores!$B$3:$B$502,H$2,Scores!$O$3:$O$502,"Counted")=0,"",SUMIFS(Scores!$P$3:$P$502,Scores!$A$3:$A$502,$A42,Scores!$B$3:$B$502,H$2,Scores!$O$3:$O$502,"Counted")))</f>
        <v/>
      </c>
      <c r="I42" s="47">
        <f>IF($A42="","",IF(COUNTIFS(Scores!$A$3:$A$502,$A42,Scores!$B$3:$B$502,I$2,Scores!$O$3:$O$502,"Counted")=0,"",SUMIFS(Scores!$P$3:$P$502,Scores!$A$3:$A$502,$A42,Scores!$B$3:$B$502,I$2,Scores!$O$3:$O$502,"Counted")))</f>
        <v/>
      </c>
      <c r="J42" s="47">
        <f>IF($A42="","",IF(COUNTIFS(Scores!$A$3:$A$502,$A42,Scores!$B$3:$B$502,J$2,Scores!$O$3:$O$502,"Counted")=0,"",SUMIFS(Scores!$P$3:$P$502,Scores!$A$3:$A$502,$A42,Scores!$B$3:$B$502,J$2,Scores!$O$3:$O$502,"Counted")))</f>
        <v/>
      </c>
      <c r="K42" s="47">
        <f>IF($A42="","",IF(COUNTIFS(Scores!$A$3:$A$502,$A42,Scores!$B$3:$B$502,K$2,Scores!$O$3:$O$502,"Counted")=0,"",SUMIFS(Scores!$P$3:$P$502,Scores!$A$3:$A$502,$A42,Scores!$B$3:$B$502,K$2,Scores!$O$3:$O$502,"Counted")))</f>
        <v/>
      </c>
      <c r="L42" s="42">
        <f>IF(N($D42)=0,"",ROUND(SUMIFS(Scores!$P$3:$P$502,Scores!$A$3:$A$502,$A42,Scores!$O$3:$O$502,"Counted")/$D42,1))</f>
        <v/>
      </c>
      <c r="M42" s="47">
        <f>IF(COUNT(F42:K42)=0,"",MIN(F42:K42))</f>
        <v/>
      </c>
      <c r="N42" s="47">
        <f>IF(COUNT(F42:K42)=0,"",MAX(F42:K42))</f>
        <v/>
      </c>
      <c r="O42" s="47">
        <f>IF(COUNT(F42:K42)&lt;2,"",ROUND(N42-M42,1))</f>
        <v/>
      </c>
      <c r="P42" s="41">
        <f>IF($A42="","",Gaps!$K41)</f>
        <v/>
      </c>
      <c r="Q42" s="27">
        <f>IF($A42="","",IF(N($D42)=0,"No scores yet",IF($D42&lt;Settings!$E$5,"Needs more reviews",IF(OR(AND(ISNUMBER(O42),N(O42)&gt;=Settings!$E$6),AND(ISNUMBER(P42),N(P42)&gt;=Settings!$E$7)),"Talk it through","Ready"))))</f>
        <v/>
      </c>
      <c r="R42" s="27">
        <f>IF(ISNUMBER(L42),COUNTIF($L$3:$L$102,"&gt;"&amp;L42)+1,"")</f>
        <v/>
      </c>
      <c r="S42" s="25" t="n"/>
      <c r="T42" s="28" t="n"/>
      <c r="U42" s="48">
        <f>IF(ISNUMBER(L42),L42+(103-ROW())/100000,"")</f>
        <v/>
      </c>
    </row>
    <row r="43">
      <c r="A43" s="41">
        <f>IF(Applications!$A42="","",Applications!$A42&amp;"")</f>
        <v/>
      </c>
      <c r="B43" s="45">
        <f>IF($A43="","",Applications!$B42&amp;"")</f>
        <v/>
      </c>
      <c r="C43" s="46">
        <f>IF(AND($A43&lt;&gt;"",ISNUMBER(Applications!$D42)),Applications!$D42,"")</f>
        <v/>
      </c>
      <c r="D43" s="41">
        <f>IF($A43="","",COUNTIFS(Scores!$A$3:$A$502,$A43,Scores!$O$3:$O$502,"Counted"))</f>
        <v/>
      </c>
      <c r="E43" s="41">
        <f>IF($A43="","",COUNTIFS(Scores!$A$3:$A$502,$A43,Scores!$O$3:$O$502,"Conflict, not counted"))</f>
        <v/>
      </c>
      <c r="F43" s="47">
        <f>IF($A43="","",IF(COUNTIFS(Scores!$A$3:$A$502,$A43,Scores!$B$3:$B$502,F$2,Scores!$O$3:$O$502,"Counted")=0,"",SUMIFS(Scores!$P$3:$P$502,Scores!$A$3:$A$502,$A43,Scores!$B$3:$B$502,F$2,Scores!$O$3:$O$502,"Counted")))</f>
        <v/>
      </c>
      <c r="G43" s="47">
        <f>IF($A43="","",IF(COUNTIFS(Scores!$A$3:$A$502,$A43,Scores!$B$3:$B$502,G$2,Scores!$O$3:$O$502,"Counted")=0,"",SUMIFS(Scores!$P$3:$P$502,Scores!$A$3:$A$502,$A43,Scores!$B$3:$B$502,G$2,Scores!$O$3:$O$502,"Counted")))</f>
        <v/>
      </c>
      <c r="H43" s="47">
        <f>IF($A43="","",IF(COUNTIFS(Scores!$A$3:$A$502,$A43,Scores!$B$3:$B$502,H$2,Scores!$O$3:$O$502,"Counted")=0,"",SUMIFS(Scores!$P$3:$P$502,Scores!$A$3:$A$502,$A43,Scores!$B$3:$B$502,H$2,Scores!$O$3:$O$502,"Counted")))</f>
        <v/>
      </c>
      <c r="I43" s="47">
        <f>IF($A43="","",IF(COUNTIFS(Scores!$A$3:$A$502,$A43,Scores!$B$3:$B$502,I$2,Scores!$O$3:$O$502,"Counted")=0,"",SUMIFS(Scores!$P$3:$P$502,Scores!$A$3:$A$502,$A43,Scores!$B$3:$B$502,I$2,Scores!$O$3:$O$502,"Counted")))</f>
        <v/>
      </c>
      <c r="J43" s="47">
        <f>IF($A43="","",IF(COUNTIFS(Scores!$A$3:$A$502,$A43,Scores!$B$3:$B$502,J$2,Scores!$O$3:$O$502,"Counted")=0,"",SUMIFS(Scores!$P$3:$P$502,Scores!$A$3:$A$502,$A43,Scores!$B$3:$B$502,J$2,Scores!$O$3:$O$502,"Counted")))</f>
        <v/>
      </c>
      <c r="K43" s="47">
        <f>IF($A43="","",IF(COUNTIFS(Scores!$A$3:$A$502,$A43,Scores!$B$3:$B$502,K$2,Scores!$O$3:$O$502,"Counted")=0,"",SUMIFS(Scores!$P$3:$P$502,Scores!$A$3:$A$502,$A43,Scores!$B$3:$B$502,K$2,Scores!$O$3:$O$502,"Counted")))</f>
        <v/>
      </c>
      <c r="L43" s="42">
        <f>IF(N($D43)=0,"",ROUND(SUMIFS(Scores!$P$3:$P$502,Scores!$A$3:$A$502,$A43,Scores!$O$3:$O$502,"Counted")/$D43,1))</f>
        <v/>
      </c>
      <c r="M43" s="47">
        <f>IF(COUNT(F43:K43)=0,"",MIN(F43:K43))</f>
        <v/>
      </c>
      <c r="N43" s="47">
        <f>IF(COUNT(F43:K43)=0,"",MAX(F43:K43))</f>
        <v/>
      </c>
      <c r="O43" s="47">
        <f>IF(COUNT(F43:K43)&lt;2,"",ROUND(N43-M43,1))</f>
        <v/>
      </c>
      <c r="P43" s="41">
        <f>IF($A43="","",Gaps!$K42)</f>
        <v/>
      </c>
      <c r="Q43" s="27">
        <f>IF($A43="","",IF(N($D43)=0,"No scores yet",IF($D43&lt;Settings!$E$5,"Needs more reviews",IF(OR(AND(ISNUMBER(O43),N(O43)&gt;=Settings!$E$6),AND(ISNUMBER(P43),N(P43)&gt;=Settings!$E$7)),"Talk it through","Ready"))))</f>
        <v/>
      </c>
      <c r="R43" s="27">
        <f>IF(ISNUMBER(L43),COUNTIF($L$3:$L$102,"&gt;"&amp;L43)+1,"")</f>
        <v/>
      </c>
      <c r="S43" s="25" t="n"/>
      <c r="T43" s="28" t="n"/>
      <c r="U43" s="48">
        <f>IF(ISNUMBER(L43),L43+(103-ROW())/100000,"")</f>
        <v/>
      </c>
    </row>
    <row r="44">
      <c r="A44" s="41">
        <f>IF(Applications!$A43="","",Applications!$A43&amp;"")</f>
        <v/>
      </c>
      <c r="B44" s="45">
        <f>IF($A44="","",Applications!$B43&amp;"")</f>
        <v/>
      </c>
      <c r="C44" s="46">
        <f>IF(AND($A44&lt;&gt;"",ISNUMBER(Applications!$D43)),Applications!$D43,"")</f>
        <v/>
      </c>
      <c r="D44" s="41">
        <f>IF($A44="","",COUNTIFS(Scores!$A$3:$A$502,$A44,Scores!$O$3:$O$502,"Counted"))</f>
        <v/>
      </c>
      <c r="E44" s="41">
        <f>IF($A44="","",COUNTIFS(Scores!$A$3:$A$502,$A44,Scores!$O$3:$O$502,"Conflict, not counted"))</f>
        <v/>
      </c>
      <c r="F44" s="47">
        <f>IF($A44="","",IF(COUNTIFS(Scores!$A$3:$A$502,$A44,Scores!$B$3:$B$502,F$2,Scores!$O$3:$O$502,"Counted")=0,"",SUMIFS(Scores!$P$3:$P$502,Scores!$A$3:$A$502,$A44,Scores!$B$3:$B$502,F$2,Scores!$O$3:$O$502,"Counted")))</f>
        <v/>
      </c>
      <c r="G44" s="47">
        <f>IF($A44="","",IF(COUNTIFS(Scores!$A$3:$A$502,$A44,Scores!$B$3:$B$502,G$2,Scores!$O$3:$O$502,"Counted")=0,"",SUMIFS(Scores!$P$3:$P$502,Scores!$A$3:$A$502,$A44,Scores!$B$3:$B$502,G$2,Scores!$O$3:$O$502,"Counted")))</f>
        <v/>
      </c>
      <c r="H44" s="47">
        <f>IF($A44="","",IF(COUNTIFS(Scores!$A$3:$A$502,$A44,Scores!$B$3:$B$502,H$2,Scores!$O$3:$O$502,"Counted")=0,"",SUMIFS(Scores!$P$3:$P$502,Scores!$A$3:$A$502,$A44,Scores!$B$3:$B$502,H$2,Scores!$O$3:$O$502,"Counted")))</f>
        <v/>
      </c>
      <c r="I44" s="47">
        <f>IF($A44="","",IF(COUNTIFS(Scores!$A$3:$A$502,$A44,Scores!$B$3:$B$502,I$2,Scores!$O$3:$O$502,"Counted")=0,"",SUMIFS(Scores!$P$3:$P$502,Scores!$A$3:$A$502,$A44,Scores!$B$3:$B$502,I$2,Scores!$O$3:$O$502,"Counted")))</f>
        <v/>
      </c>
      <c r="J44" s="47">
        <f>IF($A44="","",IF(COUNTIFS(Scores!$A$3:$A$502,$A44,Scores!$B$3:$B$502,J$2,Scores!$O$3:$O$502,"Counted")=0,"",SUMIFS(Scores!$P$3:$P$502,Scores!$A$3:$A$502,$A44,Scores!$B$3:$B$502,J$2,Scores!$O$3:$O$502,"Counted")))</f>
        <v/>
      </c>
      <c r="K44" s="47">
        <f>IF($A44="","",IF(COUNTIFS(Scores!$A$3:$A$502,$A44,Scores!$B$3:$B$502,K$2,Scores!$O$3:$O$502,"Counted")=0,"",SUMIFS(Scores!$P$3:$P$502,Scores!$A$3:$A$502,$A44,Scores!$B$3:$B$502,K$2,Scores!$O$3:$O$502,"Counted")))</f>
        <v/>
      </c>
      <c r="L44" s="42">
        <f>IF(N($D44)=0,"",ROUND(SUMIFS(Scores!$P$3:$P$502,Scores!$A$3:$A$502,$A44,Scores!$O$3:$O$502,"Counted")/$D44,1))</f>
        <v/>
      </c>
      <c r="M44" s="47">
        <f>IF(COUNT(F44:K44)=0,"",MIN(F44:K44))</f>
        <v/>
      </c>
      <c r="N44" s="47">
        <f>IF(COUNT(F44:K44)=0,"",MAX(F44:K44))</f>
        <v/>
      </c>
      <c r="O44" s="47">
        <f>IF(COUNT(F44:K44)&lt;2,"",ROUND(N44-M44,1))</f>
        <v/>
      </c>
      <c r="P44" s="41">
        <f>IF($A44="","",Gaps!$K43)</f>
        <v/>
      </c>
      <c r="Q44" s="27">
        <f>IF($A44="","",IF(N($D44)=0,"No scores yet",IF($D44&lt;Settings!$E$5,"Needs more reviews",IF(OR(AND(ISNUMBER(O44),N(O44)&gt;=Settings!$E$6),AND(ISNUMBER(P44),N(P44)&gt;=Settings!$E$7)),"Talk it through","Ready"))))</f>
        <v/>
      </c>
      <c r="R44" s="27">
        <f>IF(ISNUMBER(L44),COUNTIF($L$3:$L$102,"&gt;"&amp;L44)+1,"")</f>
        <v/>
      </c>
      <c r="S44" s="25" t="n"/>
      <c r="T44" s="28" t="n"/>
      <c r="U44" s="48">
        <f>IF(ISNUMBER(L44),L44+(103-ROW())/100000,"")</f>
        <v/>
      </c>
    </row>
    <row r="45">
      <c r="A45" s="41">
        <f>IF(Applications!$A44="","",Applications!$A44&amp;"")</f>
        <v/>
      </c>
      <c r="B45" s="45">
        <f>IF($A45="","",Applications!$B44&amp;"")</f>
        <v/>
      </c>
      <c r="C45" s="46">
        <f>IF(AND($A45&lt;&gt;"",ISNUMBER(Applications!$D44)),Applications!$D44,"")</f>
        <v/>
      </c>
      <c r="D45" s="41">
        <f>IF($A45="","",COUNTIFS(Scores!$A$3:$A$502,$A45,Scores!$O$3:$O$502,"Counted"))</f>
        <v/>
      </c>
      <c r="E45" s="41">
        <f>IF($A45="","",COUNTIFS(Scores!$A$3:$A$502,$A45,Scores!$O$3:$O$502,"Conflict, not counted"))</f>
        <v/>
      </c>
      <c r="F45" s="47">
        <f>IF($A45="","",IF(COUNTIFS(Scores!$A$3:$A$502,$A45,Scores!$B$3:$B$502,F$2,Scores!$O$3:$O$502,"Counted")=0,"",SUMIFS(Scores!$P$3:$P$502,Scores!$A$3:$A$502,$A45,Scores!$B$3:$B$502,F$2,Scores!$O$3:$O$502,"Counted")))</f>
        <v/>
      </c>
      <c r="G45" s="47">
        <f>IF($A45="","",IF(COUNTIFS(Scores!$A$3:$A$502,$A45,Scores!$B$3:$B$502,G$2,Scores!$O$3:$O$502,"Counted")=0,"",SUMIFS(Scores!$P$3:$P$502,Scores!$A$3:$A$502,$A45,Scores!$B$3:$B$502,G$2,Scores!$O$3:$O$502,"Counted")))</f>
        <v/>
      </c>
      <c r="H45" s="47">
        <f>IF($A45="","",IF(COUNTIFS(Scores!$A$3:$A$502,$A45,Scores!$B$3:$B$502,H$2,Scores!$O$3:$O$502,"Counted")=0,"",SUMIFS(Scores!$P$3:$P$502,Scores!$A$3:$A$502,$A45,Scores!$B$3:$B$502,H$2,Scores!$O$3:$O$502,"Counted")))</f>
        <v/>
      </c>
      <c r="I45" s="47">
        <f>IF($A45="","",IF(COUNTIFS(Scores!$A$3:$A$502,$A45,Scores!$B$3:$B$502,I$2,Scores!$O$3:$O$502,"Counted")=0,"",SUMIFS(Scores!$P$3:$P$502,Scores!$A$3:$A$502,$A45,Scores!$B$3:$B$502,I$2,Scores!$O$3:$O$502,"Counted")))</f>
        <v/>
      </c>
      <c r="J45" s="47">
        <f>IF($A45="","",IF(COUNTIFS(Scores!$A$3:$A$502,$A45,Scores!$B$3:$B$502,J$2,Scores!$O$3:$O$502,"Counted")=0,"",SUMIFS(Scores!$P$3:$P$502,Scores!$A$3:$A$502,$A45,Scores!$B$3:$B$502,J$2,Scores!$O$3:$O$502,"Counted")))</f>
        <v/>
      </c>
      <c r="K45" s="47">
        <f>IF($A45="","",IF(COUNTIFS(Scores!$A$3:$A$502,$A45,Scores!$B$3:$B$502,K$2,Scores!$O$3:$O$502,"Counted")=0,"",SUMIFS(Scores!$P$3:$P$502,Scores!$A$3:$A$502,$A45,Scores!$B$3:$B$502,K$2,Scores!$O$3:$O$502,"Counted")))</f>
        <v/>
      </c>
      <c r="L45" s="42">
        <f>IF(N($D45)=0,"",ROUND(SUMIFS(Scores!$P$3:$P$502,Scores!$A$3:$A$502,$A45,Scores!$O$3:$O$502,"Counted")/$D45,1))</f>
        <v/>
      </c>
      <c r="M45" s="47">
        <f>IF(COUNT(F45:K45)=0,"",MIN(F45:K45))</f>
        <v/>
      </c>
      <c r="N45" s="47">
        <f>IF(COUNT(F45:K45)=0,"",MAX(F45:K45))</f>
        <v/>
      </c>
      <c r="O45" s="47">
        <f>IF(COUNT(F45:K45)&lt;2,"",ROUND(N45-M45,1))</f>
        <v/>
      </c>
      <c r="P45" s="41">
        <f>IF($A45="","",Gaps!$K44)</f>
        <v/>
      </c>
      <c r="Q45" s="27">
        <f>IF($A45="","",IF(N($D45)=0,"No scores yet",IF($D45&lt;Settings!$E$5,"Needs more reviews",IF(OR(AND(ISNUMBER(O45),N(O45)&gt;=Settings!$E$6),AND(ISNUMBER(P45),N(P45)&gt;=Settings!$E$7)),"Talk it through","Ready"))))</f>
        <v/>
      </c>
      <c r="R45" s="27">
        <f>IF(ISNUMBER(L45),COUNTIF($L$3:$L$102,"&gt;"&amp;L45)+1,"")</f>
        <v/>
      </c>
      <c r="S45" s="25" t="n"/>
      <c r="T45" s="28" t="n"/>
      <c r="U45" s="48">
        <f>IF(ISNUMBER(L45),L45+(103-ROW())/100000,"")</f>
        <v/>
      </c>
    </row>
    <row r="46">
      <c r="A46" s="41">
        <f>IF(Applications!$A45="","",Applications!$A45&amp;"")</f>
        <v/>
      </c>
      <c r="B46" s="45">
        <f>IF($A46="","",Applications!$B45&amp;"")</f>
        <v/>
      </c>
      <c r="C46" s="46">
        <f>IF(AND($A46&lt;&gt;"",ISNUMBER(Applications!$D45)),Applications!$D45,"")</f>
        <v/>
      </c>
      <c r="D46" s="41">
        <f>IF($A46="","",COUNTIFS(Scores!$A$3:$A$502,$A46,Scores!$O$3:$O$502,"Counted"))</f>
        <v/>
      </c>
      <c r="E46" s="41">
        <f>IF($A46="","",COUNTIFS(Scores!$A$3:$A$502,$A46,Scores!$O$3:$O$502,"Conflict, not counted"))</f>
        <v/>
      </c>
      <c r="F46" s="47">
        <f>IF($A46="","",IF(COUNTIFS(Scores!$A$3:$A$502,$A46,Scores!$B$3:$B$502,F$2,Scores!$O$3:$O$502,"Counted")=0,"",SUMIFS(Scores!$P$3:$P$502,Scores!$A$3:$A$502,$A46,Scores!$B$3:$B$502,F$2,Scores!$O$3:$O$502,"Counted")))</f>
        <v/>
      </c>
      <c r="G46" s="47">
        <f>IF($A46="","",IF(COUNTIFS(Scores!$A$3:$A$502,$A46,Scores!$B$3:$B$502,G$2,Scores!$O$3:$O$502,"Counted")=0,"",SUMIFS(Scores!$P$3:$P$502,Scores!$A$3:$A$502,$A46,Scores!$B$3:$B$502,G$2,Scores!$O$3:$O$502,"Counted")))</f>
        <v/>
      </c>
      <c r="H46" s="47">
        <f>IF($A46="","",IF(COUNTIFS(Scores!$A$3:$A$502,$A46,Scores!$B$3:$B$502,H$2,Scores!$O$3:$O$502,"Counted")=0,"",SUMIFS(Scores!$P$3:$P$502,Scores!$A$3:$A$502,$A46,Scores!$B$3:$B$502,H$2,Scores!$O$3:$O$502,"Counted")))</f>
        <v/>
      </c>
      <c r="I46" s="47">
        <f>IF($A46="","",IF(COUNTIFS(Scores!$A$3:$A$502,$A46,Scores!$B$3:$B$502,I$2,Scores!$O$3:$O$502,"Counted")=0,"",SUMIFS(Scores!$P$3:$P$502,Scores!$A$3:$A$502,$A46,Scores!$B$3:$B$502,I$2,Scores!$O$3:$O$502,"Counted")))</f>
        <v/>
      </c>
      <c r="J46" s="47">
        <f>IF($A46="","",IF(COUNTIFS(Scores!$A$3:$A$502,$A46,Scores!$B$3:$B$502,J$2,Scores!$O$3:$O$502,"Counted")=0,"",SUMIFS(Scores!$P$3:$P$502,Scores!$A$3:$A$502,$A46,Scores!$B$3:$B$502,J$2,Scores!$O$3:$O$502,"Counted")))</f>
        <v/>
      </c>
      <c r="K46" s="47">
        <f>IF($A46="","",IF(COUNTIFS(Scores!$A$3:$A$502,$A46,Scores!$B$3:$B$502,K$2,Scores!$O$3:$O$502,"Counted")=0,"",SUMIFS(Scores!$P$3:$P$502,Scores!$A$3:$A$502,$A46,Scores!$B$3:$B$502,K$2,Scores!$O$3:$O$502,"Counted")))</f>
        <v/>
      </c>
      <c r="L46" s="42">
        <f>IF(N($D46)=0,"",ROUND(SUMIFS(Scores!$P$3:$P$502,Scores!$A$3:$A$502,$A46,Scores!$O$3:$O$502,"Counted")/$D46,1))</f>
        <v/>
      </c>
      <c r="M46" s="47">
        <f>IF(COUNT(F46:K46)=0,"",MIN(F46:K46))</f>
        <v/>
      </c>
      <c r="N46" s="47">
        <f>IF(COUNT(F46:K46)=0,"",MAX(F46:K46))</f>
        <v/>
      </c>
      <c r="O46" s="47">
        <f>IF(COUNT(F46:K46)&lt;2,"",ROUND(N46-M46,1))</f>
        <v/>
      </c>
      <c r="P46" s="41">
        <f>IF($A46="","",Gaps!$K45)</f>
        <v/>
      </c>
      <c r="Q46" s="27">
        <f>IF($A46="","",IF(N($D46)=0,"No scores yet",IF($D46&lt;Settings!$E$5,"Needs more reviews",IF(OR(AND(ISNUMBER(O46),N(O46)&gt;=Settings!$E$6),AND(ISNUMBER(P46),N(P46)&gt;=Settings!$E$7)),"Talk it through","Ready"))))</f>
        <v/>
      </c>
      <c r="R46" s="27">
        <f>IF(ISNUMBER(L46),COUNTIF($L$3:$L$102,"&gt;"&amp;L46)+1,"")</f>
        <v/>
      </c>
      <c r="S46" s="25" t="n"/>
      <c r="T46" s="28" t="n"/>
      <c r="U46" s="48">
        <f>IF(ISNUMBER(L46),L46+(103-ROW())/100000,"")</f>
        <v/>
      </c>
    </row>
    <row r="47">
      <c r="A47" s="41">
        <f>IF(Applications!$A46="","",Applications!$A46&amp;"")</f>
        <v/>
      </c>
      <c r="B47" s="45">
        <f>IF($A47="","",Applications!$B46&amp;"")</f>
        <v/>
      </c>
      <c r="C47" s="46">
        <f>IF(AND($A47&lt;&gt;"",ISNUMBER(Applications!$D46)),Applications!$D46,"")</f>
        <v/>
      </c>
      <c r="D47" s="41">
        <f>IF($A47="","",COUNTIFS(Scores!$A$3:$A$502,$A47,Scores!$O$3:$O$502,"Counted"))</f>
        <v/>
      </c>
      <c r="E47" s="41">
        <f>IF($A47="","",COUNTIFS(Scores!$A$3:$A$502,$A47,Scores!$O$3:$O$502,"Conflict, not counted"))</f>
        <v/>
      </c>
      <c r="F47" s="47">
        <f>IF($A47="","",IF(COUNTIFS(Scores!$A$3:$A$502,$A47,Scores!$B$3:$B$502,F$2,Scores!$O$3:$O$502,"Counted")=0,"",SUMIFS(Scores!$P$3:$P$502,Scores!$A$3:$A$502,$A47,Scores!$B$3:$B$502,F$2,Scores!$O$3:$O$502,"Counted")))</f>
        <v/>
      </c>
      <c r="G47" s="47">
        <f>IF($A47="","",IF(COUNTIFS(Scores!$A$3:$A$502,$A47,Scores!$B$3:$B$502,G$2,Scores!$O$3:$O$502,"Counted")=0,"",SUMIFS(Scores!$P$3:$P$502,Scores!$A$3:$A$502,$A47,Scores!$B$3:$B$502,G$2,Scores!$O$3:$O$502,"Counted")))</f>
        <v/>
      </c>
      <c r="H47" s="47">
        <f>IF($A47="","",IF(COUNTIFS(Scores!$A$3:$A$502,$A47,Scores!$B$3:$B$502,H$2,Scores!$O$3:$O$502,"Counted")=0,"",SUMIFS(Scores!$P$3:$P$502,Scores!$A$3:$A$502,$A47,Scores!$B$3:$B$502,H$2,Scores!$O$3:$O$502,"Counted")))</f>
        <v/>
      </c>
      <c r="I47" s="47">
        <f>IF($A47="","",IF(COUNTIFS(Scores!$A$3:$A$502,$A47,Scores!$B$3:$B$502,I$2,Scores!$O$3:$O$502,"Counted")=0,"",SUMIFS(Scores!$P$3:$P$502,Scores!$A$3:$A$502,$A47,Scores!$B$3:$B$502,I$2,Scores!$O$3:$O$502,"Counted")))</f>
        <v/>
      </c>
      <c r="J47" s="47">
        <f>IF($A47="","",IF(COUNTIFS(Scores!$A$3:$A$502,$A47,Scores!$B$3:$B$502,J$2,Scores!$O$3:$O$502,"Counted")=0,"",SUMIFS(Scores!$P$3:$P$502,Scores!$A$3:$A$502,$A47,Scores!$B$3:$B$502,J$2,Scores!$O$3:$O$502,"Counted")))</f>
        <v/>
      </c>
      <c r="K47" s="47">
        <f>IF($A47="","",IF(COUNTIFS(Scores!$A$3:$A$502,$A47,Scores!$B$3:$B$502,K$2,Scores!$O$3:$O$502,"Counted")=0,"",SUMIFS(Scores!$P$3:$P$502,Scores!$A$3:$A$502,$A47,Scores!$B$3:$B$502,K$2,Scores!$O$3:$O$502,"Counted")))</f>
        <v/>
      </c>
      <c r="L47" s="42">
        <f>IF(N($D47)=0,"",ROUND(SUMIFS(Scores!$P$3:$P$502,Scores!$A$3:$A$502,$A47,Scores!$O$3:$O$502,"Counted")/$D47,1))</f>
        <v/>
      </c>
      <c r="M47" s="47">
        <f>IF(COUNT(F47:K47)=0,"",MIN(F47:K47))</f>
        <v/>
      </c>
      <c r="N47" s="47">
        <f>IF(COUNT(F47:K47)=0,"",MAX(F47:K47))</f>
        <v/>
      </c>
      <c r="O47" s="47">
        <f>IF(COUNT(F47:K47)&lt;2,"",ROUND(N47-M47,1))</f>
        <v/>
      </c>
      <c r="P47" s="41">
        <f>IF($A47="","",Gaps!$K46)</f>
        <v/>
      </c>
      <c r="Q47" s="27">
        <f>IF($A47="","",IF(N($D47)=0,"No scores yet",IF($D47&lt;Settings!$E$5,"Needs more reviews",IF(OR(AND(ISNUMBER(O47),N(O47)&gt;=Settings!$E$6),AND(ISNUMBER(P47),N(P47)&gt;=Settings!$E$7)),"Talk it through","Ready"))))</f>
        <v/>
      </c>
      <c r="R47" s="27">
        <f>IF(ISNUMBER(L47),COUNTIF($L$3:$L$102,"&gt;"&amp;L47)+1,"")</f>
        <v/>
      </c>
      <c r="S47" s="25" t="n"/>
      <c r="T47" s="28" t="n"/>
      <c r="U47" s="48">
        <f>IF(ISNUMBER(L47),L47+(103-ROW())/100000,"")</f>
        <v/>
      </c>
    </row>
    <row r="48">
      <c r="A48" s="41">
        <f>IF(Applications!$A47="","",Applications!$A47&amp;"")</f>
        <v/>
      </c>
      <c r="B48" s="45">
        <f>IF($A48="","",Applications!$B47&amp;"")</f>
        <v/>
      </c>
      <c r="C48" s="46">
        <f>IF(AND($A48&lt;&gt;"",ISNUMBER(Applications!$D47)),Applications!$D47,"")</f>
        <v/>
      </c>
      <c r="D48" s="41">
        <f>IF($A48="","",COUNTIFS(Scores!$A$3:$A$502,$A48,Scores!$O$3:$O$502,"Counted"))</f>
        <v/>
      </c>
      <c r="E48" s="41">
        <f>IF($A48="","",COUNTIFS(Scores!$A$3:$A$502,$A48,Scores!$O$3:$O$502,"Conflict, not counted"))</f>
        <v/>
      </c>
      <c r="F48" s="47">
        <f>IF($A48="","",IF(COUNTIFS(Scores!$A$3:$A$502,$A48,Scores!$B$3:$B$502,F$2,Scores!$O$3:$O$502,"Counted")=0,"",SUMIFS(Scores!$P$3:$P$502,Scores!$A$3:$A$502,$A48,Scores!$B$3:$B$502,F$2,Scores!$O$3:$O$502,"Counted")))</f>
        <v/>
      </c>
      <c r="G48" s="47">
        <f>IF($A48="","",IF(COUNTIFS(Scores!$A$3:$A$502,$A48,Scores!$B$3:$B$502,G$2,Scores!$O$3:$O$502,"Counted")=0,"",SUMIFS(Scores!$P$3:$P$502,Scores!$A$3:$A$502,$A48,Scores!$B$3:$B$502,G$2,Scores!$O$3:$O$502,"Counted")))</f>
        <v/>
      </c>
      <c r="H48" s="47">
        <f>IF($A48="","",IF(COUNTIFS(Scores!$A$3:$A$502,$A48,Scores!$B$3:$B$502,H$2,Scores!$O$3:$O$502,"Counted")=0,"",SUMIFS(Scores!$P$3:$P$502,Scores!$A$3:$A$502,$A48,Scores!$B$3:$B$502,H$2,Scores!$O$3:$O$502,"Counted")))</f>
        <v/>
      </c>
      <c r="I48" s="47">
        <f>IF($A48="","",IF(COUNTIFS(Scores!$A$3:$A$502,$A48,Scores!$B$3:$B$502,I$2,Scores!$O$3:$O$502,"Counted")=0,"",SUMIFS(Scores!$P$3:$P$502,Scores!$A$3:$A$502,$A48,Scores!$B$3:$B$502,I$2,Scores!$O$3:$O$502,"Counted")))</f>
        <v/>
      </c>
      <c r="J48" s="47">
        <f>IF($A48="","",IF(COUNTIFS(Scores!$A$3:$A$502,$A48,Scores!$B$3:$B$502,J$2,Scores!$O$3:$O$502,"Counted")=0,"",SUMIFS(Scores!$P$3:$P$502,Scores!$A$3:$A$502,$A48,Scores!$B$3:$B$502,J$2,Scores!$O$3:$O$502,"Counted")))</f>
        <v/>
      </c>
      <c r="K48" s="47">
        <f>IF($A48="","",IF(COUNTIFS(Scores!$A$3:$A$502,$A48,Scores!$B$3:$B$502,K$2,Scores!$O$3:$O$502,"Counted")=0,"",SUMIFS(Scores!$P$3:$P$502,Scores!$A$3:$A$502,$A48,Scores!$B$3:$B$502,K$2,Scores!$O$3:$O$502,"Counted")))</f>
        <v/>
      </c>
      <c r="L48" s="42">
        <f>IF(N($D48)=0,"",ROUND(SUMIFS(Scores!$P$3:$P$502,Scores!$A$3:$A$502,$A48,Scores!$O$3:$O$502,"Counted")/$D48,1))</f>
        <v/>
      </c>
      <c r="M48" s="47">
        <f>IF(COUNT(F48:K48)=0,"",MIN(F48:K48))</f>
        <v/>
      </c>
      <c r="N48" s="47">
        <f>IF(COUNT(F48:K48)=0,"",MAX(F48:K48))</f>
        <v/>
      </c>
      <c r="O48" s="47">
        <f>IF(COUNT(F48:K48)&lt;2,"",ROUND(N48-M48,1))</f>
        <v/>
      </c>
      <c r="P48" s="41">
        <f>IF($A48="","",Gaps!$K47)</f>
        <v/>
      </c>
      <c r="Q48" s="27">
        <f>IF($A48="","",IF(N($D48)=0,"No scores yet",IF($D48&lt;Settings!$E$5,"Needs more reviews",IF(OR(AND(ISNUMBER(O48),N(O48)&gt;=Settings!$E$6),AND(ISNUMBER(P48),N(P48)&gt;=Settings!$E$7)),"Talk it through","Ready"))))</f>
        <v/>
      </c>
      <c r="R48" s="27">
        <f>IF(ISNUMBER(L48),COUNTIF($L$3:$L$102,"&gt;"&amp;L48)+1,"")</f>
        <v/>
      </c>
      <c r="S48" s="25" t="n"/>
      <c r="T48" s="28" t="n"/>
      <c r="U48" s="48">
        <f>IF(ISNUMBER(L48),L48+(103-ROW())/100000,"")</f>
        <v/>
      </c>
    </row>
    <row r="49">
      <c r="A49" s="41">
        <f>IF(Applications!$A48="","",Applications!$A48&amp;"")</f>
        <v/>
      </c>
      <c r="B49" s="45">
        <f>IF($A49="","",Applications!$B48&amp;"")</f>
        <v/>
      </c>
      <c r="C49" s="46">
        <f>IF(AND($A49&lt;&gt;"",ISNUMBER(Applications!$D48)),Applications!$D48,"")</f>
        <v/>
      </c>
      <c r="D49" s="41">
        <f>IF($A49="","",COUNTIFS(Scores!$A$3:$A$502,$A49,Scores!$O$3:$O$502,"Counted"))</f>
        <v/>
      </c>
      <c r="E49" s="41">
        <f>IF($A49="","",COUNTIFS(Scores!$A$3:$A$502,$A49,Scores!$O$3:$O$502,"Conflict, not counted"))</f>
        <v/>
      </c>
      <c r="F49" s="47">
        <f>IF($A49="","",IF(COUNTIFS(Scores!$A$3:$A$502,$A49,Scores!$B$3:$B$502,F$2,Scores!$O$3:$O$502,"Counted")=0,"",SUMIFS(Scores!$P$3:$P$502,Scores!$A$3:$A$502,$A49,Scores!$B$3:$B$502,F$2,Scores!$O$3:$O$502,"Counted")))</f>
        <v/>
      </c>
      <c r="G49" s="47">
        <f>IF($A49="","",IF(COUNTIFS(Scores!$A$3:$A$502,$A49,Scores!$B$3:$B$502,G$2,Scores!$O$3:$O$502,"Counted")=0,"",SUMIFS(Scores!$P$3:$P$502,Scores!$A$3:$A$502,$A49,Scores!$B$3:$B$502,G$2,Scores!$O$3:$O$502,"Counted")))</f>
        <v/>
      </c>
      <c r="H49" s="47">
        <f>IF($A49="","",IF(COUNTIFS(Scores!$A$3:$A$502,$A49,Scores!$B$3:$B$502,H$2,Scores!$O$3:$O$502,"Counted")=0,"",SUMIFS(Scores!$P$3:$P$502,Scores!$A$3:$A$502,$A49,Scores!$B$3:$B$502,H$2,Scores!$O$3:$O$502,"Counted")))</f>
        <v/>
      </c>
      <c r="I49" s="47">
        <f>IF($A49="","",IF(COUNTIFS(Scores!$A$3:$A$502,$A49,Scores!$B$3:$B$502,I$2,Scores!$O$3:$O$502,"Counted")=0,"",SUMIFS(Scores!$P$3:$P$502,Scores!$A$3:$A$502,$A49,Scores!$B$3:$B$502,I$2,Scores!$O$3:$O$502,"Counted")))</f>
        <v/>
      </c>
      <c r="J49" s="47">
        <f>IF($A49="","",IF(COUNTIFS(Scores!$A$3:$A$502,$A49,Scores!$B$3:$B$502,J$2,Scores!$O$3:$O$502,"Counted")=0,"",SUMIFS(Scores!$P$3:$P$502,Scores!$A$3:$A$502,$A49,Scores!$B$3:$B$502,J$2,Scores!$O$3:$O$502,"Counted")))</f>
        <v/>
      </c>
      <c r="K49" s="47">
        <f>IF($A49="","",IF(COUNTIFS(Scores!$A$3:$A$502,$A49,Scores!$B$3:$B$502,K$2,Scores!$O$3:$O$502,"Counted")=0,"",SUMIFS(Scores!$P$3:$P$502,Scores!$A$3:$A$502,$A49,Scores!$B$3:$B$502,K$2,Scores!$O$3:$O$502,"Counted")))</f>
        <v/>
      </c>
      <c r="L49" s="42">
        <f>IF(N($D49)=0,"",ROUND(SUMIFS(Scores!$P$3:$P$502,Scores!$A$3:$A$502,$A49,Scores!$O$3:$O$502,"Counted")/$D49,1))</f>
        <v/>
      </c>
      <c r="M49" s="47">
        <f>IF(COUNT(F49:K49)=0,"",MIN(F49:K49))</f>
        <v/>
      </c>
      <c r="N49" s="47">
        <f>IF(COUNT(F49:K49)=0,"",MAX(F49:K49))</f>
        <v/>
      </c>
      <c r="O49" s="47">
        <f>IF(COUNT(F49:K49)&lt;2,"",ROUND(N49-M49,1))</f>
        <v/>
      </c>
      <c r="P49" s="41">
        <f>IF($A49="","",Gaps!$K48)</f>
        <v/>
      </c>
      <c r="Q49" s="27">
        <f>IF($A49="","",IF(N($D49)=0,"No scores yet",IF($D49&lt;Settings!$E$5,"Needs more reviews",IF(OR(AND(ISNUMBER(O49),N(O49)&gt;=Settings!$E$6),AND(ISNUMBER(P49),N(P49)&gt;=Settings!$E$7)),"Talk it through","Ready"))))</f>
        <v/>
      </c>
      <c r="R49" s="27">
        <f>IF(ISNUMBER(L49),COUNTIF($L$3:$L$102,"&gt;"&amp;L49)+1,"")</f>
        <v/>
      </c>
      <c r="S49" s="25" t="n"/>
      <c r="T49" s="28" t="n"/>
      <c r="U49" s="48">
        <f>IF(ISNUMBER(L49),L49+(103-ROW())/100000,"")</f>
        <v/>
      </c>
    </row>
    <row r="50">
      <c r="A50" s="41">
        <f>IF(Applications!$A49="","",Applications!$A49&amp;"")</f>
        <v/>
      </c>
      <c r="B50" s="45">
        <f>IF($A50="","",Applications!$B49&amp;"")</f>
        <v/>
      </c>
      <c r="C50" s="46">
        <f>IF(AND($A50&lt;&gt;"",ISNUMBER(Applications!$D49)),Applications!$D49,"")</f>
        <v/>
      </c>
      <c r="D50" s="41">
        <f>IF($A50="","",COUNTIFS(Scores!$A$3:$A$502,$A50,Scores!$O$3:$O$502,"Counted"))</f>
        <v/>
      </c>
      <c r="E50" s="41">
        <f>IF($A50="","",COUNTIFS(Scores!$A$3:$A$502,$A50,Scores!$O$3:$O$502,"Conflict, not counted"))</f>
        <v/>
      </c>
      <c r="F50" s="47">
        <f>IF($A50="","",IF(COUNTIFS(Scores!$A$3:$A$502,$A50,Scores!$B$3:$B$502,F$2,Scores!$O$3:$O$502,"Counted")=0,"",SUMIFS(Scores!$P$3:$P$502,Scores!$A$3:$A$502,$A50,Scores!$B$3:$B$502,F$2,Scores!$O$3:$O$502,"Counted")))</f>
        <v/>
      </c>
      <c r="G50" s="47">
        <f>IF($A50="","",IF(COUNTIFS(Scores!$A$3:$A$502,$A50,Scores!$B$3:$B$502,G$2,Scores!$O$3:$O$502,"Counted")=0,"",SUMIFS(Scores!$P$3:$P$502,Scores!$A$3:$A$502,$A50,Scores!$B$3:$B$502,G$2,Scores!$O$3:$O$502,"Counted")))</f>
        <v/>
      </c>
      <c r="H50" s="47">
        <f>IF($A50="","",IF(COUNTIFS(Scores!$A$3:$A$502,$A50,Scores!$B$3:$B$502,H$2,Scores!$O$3:$O$502,"Counted")=0,"",SUMIFS(Scores!$P$3:$P$502,Scores!$A$3:$A$502,$A50,Scores!$B$3:$B$502,H$2,Scores!$O$3:$O$502,"Counted")))</f>
        <v/>
      </c>
      <c r="I50" s="47">
        <f>IF($A50="","",IF(COUNTIFS(Scores!$A$3:$A$502,$A50,Scores!$B$3:$B$502,I$2,Scores!$O$3:$O$502,"Counted")=0,"",SUMIFS(Scores!$P$3:$P$502,Scores!$A$3:$A$502,$A50,Scores!$B$3:$B$502,I$2,Scores!$O$3:$O$502,"Counted")))</f>
        <v/>
      </c>
      <c r="J50" s="47">
        <f>IF($A50="","",IF(COUNTIFS(Scores!$A$3:$A$502,$A50,Scores!$B$3:$B$502,J$2,Scores!$O$3:$O$502,"Counted")=0,"",SUMIFS(Scores!$P$3:$P$502,Scores!$A$3:$A$502,$A50,Scores!$B$3:$B$502,J$2,Scores!$O$3:$O$502,"Counted")))</f>
        <v/>
      </c>
      <c r="K50" s="47">
        <f>IF($A50="","",IF(COUNTIFS(Scores!$A$3:$A$502,$A50,Scores!$B$3:$B$502,K$2,Scores!$O$3:$O$502,"Counted")=0,"",SUMIFS(Scores!$P$3:$P$502,Scores!$A$3:$A$502,$A50,Scores!$B$3:$B$502,K$2,Scores!$O$3:$O$502,"Counted")))</f>
        <v/>
      </c>
      <c r="L50" s="42">
        <f>IF(N($D50)=0,"",ROUND(SUMIFS(Scores!$P$3:$P$502,Scores!$A$3:$A$502,$A50,Scores!$O$3:$O$502,"Counted")/$D50,1))</f>
        <v/>
      </c>
      <c r="M50" s="47">
        <f>IF(COUNT(F50:K50)=0,"",MIN(F50:K50))</f>
        <v/>
      </c>
      <c r="N50" s="47">
        <f>IF(COUNT(F50:K50)=0,"",MAX(F50:K50))</f>
        <v/>
      </c>
      <c r="O50" s="47">
        <f>IF(COUNT(F50:K50)&lt;2,"",ROUND(N50-M50,1))</f>
        <v/>
      </c>
      <c r="P50" s="41">
        <f>IF($A50="","",Gaps!$K49)</f>
        <v/>
      </c>
      <c r="Q50" s="27">
        <f>IF($A50="","",IF(N($D50)=0,"No scores yet",IF($D50&lt;Settings!$E$5,"Needs more reviews",IF(OR(AND(ISNUMBER(O50),N(O50)&gt;=Settings!$E$6),AND(ISNUMBER(P50),N(P50)&gt;=Settings!$E$7)),"Talk it through","Ready"))))</f>
        <v/>
      </c>
      <c r="R50" s="27">
        <f>IF(ISNUMBER(L50),COUNTIF($L$3:$L$102,"&gt;"&amp;L50)+1,"")</f>
        <v/>
      </c>
      <c r="S50" s="25" t="n"/>
      <c r="T50" s="28" t="n"/>
      <c r="U50" s="48">
        <f>IF(ISNUMBER(L50),L50+(103-ROW())/100000,"")</f>
        <v/>
      </c>
    </row>
    <row r="51">
      <c r="A51" s="41">
        <f>IF(Applications!$A50="","",Applications!$A50&amp;"")</f>
        <v/>
      </c>
      <c r="B51" s="45">
        <f>IF($A51="","",Applications!$B50&amp;"")</f>
        <v/>
      </c>
      <c r="C51" s="46">
        <f>IF(AND($A51&lt;&gt;"",ISNUMBER(Applications!$D50)),Applications!$D50,"")</f>
        <v/>
      </c>
      <c r="D51" s="41">
        <f>IF($A51="","",COUNTIFS(Scores!$A$3:$A$502,$A51,Scores!$O$3:$O$502,"Counted"))</f>
        <v/>
      </c>
      <c r="E51" s="41">
        <f>IF($A51="","",COUNTIFS(Scores!$A$3:$A$502,$A51,Scores!$O$3:$O$502,"Conflict, not counted"))</f>
        <v/>
      </c>
      <c r="F51" s="47">
        <f>IF($A51="","",IF(COUNTIFS(Scores!$A$3:$A$502,$A51,Scores!$B$3:$B$502,F$2,Scores!$O$3:$O$502,"Counted")=0,"",SUMIFS(Scores!$P$3:$P$502,Scores!$A$3:$A$502,$A51,Scores!$B$3:$B$502,F$2,Scores!$O$3:$O$502,"Counted")))</f>
        <v/>
      </c>
      <c r="G51" s="47">
        <f>IF($A51="","",IF(COUNTIFS(Scores!$A$3:$A$502,$A51,Scores!$B$3:$B$502,G$2,Scores!$O$3:$O$502,"Counted")=0,"",SUMIFS(Scores!$P$3:$P$502,Scores!$A$3:$A$502,$A51,Scores!$B$3:$B$502,G$2,Scores!$O$3:$O$502,"Counted")))</f>
        <v/>
      </c>
      <c r="H51" s="47">
        <f>IF($A51="","",IF(COUNTIFS(Scores!$A$3:$A$502,$A51,Scores!$B$3:$B$502,H$2,Scores!$O$3:$O$502,"Counted")=0,"",SUMIFS(Scores!$P$3:$P$502,Scores!$A$3:$A$502,$A51,Scores!$B$3:$B$502,H$2,Scores!$O$3:$O$502,"Counted")))</f>
        <v/>
      </c>
      <c r="I51" s="47">
        <f>IF($A51="","",IF(COUNTIFS(Scores!$A$3:$A$502,$A51,Scores!$B$3:$B$502,I$2,Scores!$O$3:$O$502,"Counted")=0,"",SUMIFS(Scores!$P$3:$P$502,Scores!$A$3:$A$502,$A51,Scores!$B$3:$B$502,I$2,Scores!$O$3:$O$502,"Counted")))</f>
        <v/>
      </c>
      <c r="J51" s="47">
        <f>IF($A51="","",IF(COUNTIFS(Scores!$A$3:$A$502,$A51,Scores!$B$3:$B$502,J$2,Scores!$O$3:$O$502,"Counted")=0,"",SUMIFS(Scores!$P$3:$P$502,Scores!$A$3:$A$502,$A51,Scores!$B$3:$B$502,J$2,Scores!$O$3:$O$502,"Counted")))</f>
        <v/>
      </c>
      <c r="K51" s="47">
        <f>IF($A51="","",IF(COUNTIFS(Scores!$A$3:$A$502,$A51,Scores!$B$3:$B$502,K$2,Scores!$O$3:$O$502,"Counted")=0,"",SUMIFS(Scores!$P$3:$P$502,Scores!$A$3:$A$502,$A51,Scores!$B$3:$B$502,K$2,Scores!$O$3:$O$502,"Counted")))</f>
        <v/>
      </c>
      <c r="L51" s="42">
        <f>IF(N($D51)=0,"",ROUND(SUMIFS(Scores!$P$3:$P$502,Scores!$A$3:$A$502,$A51,Scores!$O$3:$O$502,"Counted")/$D51,1))</f>
        <v/>
      </c>
      <c r="M51" s="47">
        <f>IF(COUNT(F51:K51)=0,"",MIN(F51:K51))</f>
        <v/>
      </c>
      <c r="N51" s="47">
        <f>IF(COUNT(F51:K51)=0,"",MAX(F51:K51))</f>
        <v/>
      </c>
      <c r="O51" s="47">
        <f>IF(COUNT(F51:K51)&lt;2,"",ROUND(N51-M51,1))</f>
        <v/>
      </c>
      <c r="P51" s="41">
        <f>IF($A51="","",Gaps!$K50)</f>
        <v/>
      </c>
      <c r="Q51" s="27">
        <f>IF($A51="","",IF(N($D51)=0,"No scores yet",IF($D51&lt;Settings!$E$5,"Needs more reviews",IF(OR(AND(ISNUMBER(O51),N(O51)&gt;=Settings!$E$6),AND(ISNUMBER(P51),N(P51)&gt;=Settings!$E$7)),"Talk it through","Ready"))))</f>
        <v/>
      </c>
      <c r="R51" s="27">
        <f>IF(ISNUMBER(L51),COUNTIF($L$3:$L$102,"&gt;"&amp;L51)+1,"")</f>
        <v/>
      </c>
      <c r="S51" s="25" t="n"/>
      <c r="T51" s="28" t="n"/>
      <c r="U51" s="48">
        <f>IF(ISNUMBER(L51),L51+(103-ROW())/100000,"")</f>
        <v/>
      </c>
    </row>
    <row r="52">
      <c r="A52" s="41">
        <f>IF(Applications!$A51="","",Applications!$A51&amp;"")</f>
        <v/>
      </c>
      <c r="B52" s="45">
        <f>IF($A52="","",Applications!$B51&amp;"")</f>
        <v/>
      </c>
      <c r="C52" s="46">
        <f>IF(AND($A52&lt;&gt;"",ISNUMBER(Applications!$D51)),Applications!$D51,"")</f>
        <v/>
      </c>
      <c r="D52" s="41">
        <f>IF($A52="","",COUNTIFS(Scores!$A$3:$A$502,$A52,Scores!$O$3:$O$502,"Counted"))</f>
        <v/>
      </c>
      <c r="E52" s="41">
        <f>IF($A52="","",COUNTIFS(Scores!$A$3:$A$502,$A52,Scores!$O$3:$O$502,"Conflict, not counted"))</f>
        <v/>
      </c>
      <c r="F52" s="47">
        <f>IF($A52="","",IF(COUNTIFS(Scores!$A$3:$A$502,$A52,Scores!$B$3:$B$502,F$2,Scores!$O$3:$O$502,"Counted")=0,"",SUMIFS(Scores!$P$3:$P$502,Scores!$A$3:$A$502,$A52,Scores!$B$3:$B$502,F$2,Scores!$O$3:$O$502,"Counted")))</f>
        <v/>
      </c>
      <c r="G52" s="47">
        <f>IF($A52="","",IF(COUNTIFS(Scores!$A$3:$A$502,$A52,Scores!$B$3:$B$502,G$2,Scores!$O$3:$O$502,"Counted")=0,"",SUMIFS(Scores!$P$3:$P$502,Scores!$A$3:$A$502,$A52,Scores!$B$3:$B$502,G$2,Scores!$O$3:$O$502,"Counted")))</f>
        <v/>
      </c>
      <c r="H52" s="47">
        <f>IF($A52="","",IF(COUNTIFS(Scores!$A$3:$A$502,$A52,Scores!$B$3:$B$502,H$2,Scores!$O$3:$O$502,"Counted")=0,"",SUMIFS(Scores!$P$3:$P$502,Scores!$A$3:$A$502,$A52,Scores!$B$3:$B$502,H$2,Scores!$O$3:$O$502,"Counted")))</f>
        <v/>
      </c>
      <c r="I52" s="47">
        <f>IF($A52="","",IF(COUNTIFS(Scores!$A$3:$A$502,$A52,Scores!$B$3:$B$502,I$2,Scores!$O$3:$O$502,"Counted")=0,"",SUMIFS(Scores!$P$3:$P$502,Scores!$A$3:$A$502,$A52,Scores!$B$3:$B$502,I$2,Scores!$O$3:$O$502,"Counted")))</f>
        <v/>
      </c>
      <c r="J52" s="47">
        <f>IF($A52="","",IF(COUNTIFS(Scores!$A$3:$A$502,$A52,Scores!$B$3:$B$502,J$2,Scores!$O$3:$O$502,"Counted")=0,"",SUMIFS(Scores!$P$3:$P$502,Scores!$A$3:$A$502,$A52,Scores!$B$3:$B$502,J$2,Scores!$O$3:$O$502,"Counted")))</f>
        <v/>
      </c>
      <c r="K52" s="47">
        <f>IF($A52="","",IF(COUNTIFS(Scores!$A$3:$A$502,$A52,Scores!$B$3:$B$502,K$2,Scores!$O$3:$O$502,"Counted")=0,"",SUMIFS(Scores!$P$3:$P$502,Scores!$A$3:$A$502,$A52,Scores!$B$3:$B$502,K$2,Scores!$O$3:$O$502,"Counted")))</f>
        <v/>
      </c>
      <c r="L52" s="42">
        <f>IF(N($D52)=0,"",ROUND(SUMIFS(Scores!$P$3:$P$502,Scores!$A$3:$A$502,$A52,Scores!$O$3:$O$502,"Counted")/$D52,1))</f>
        <v/>
      </c>
      <c r="M52" s="47">
        <f>IF(COUNT(F52:K52)=0,"",MIN(F52:K52))</f>
        <v/>
      </c>
      <c r="N52" s="47">
        <f>IF(COUNT(F52:K52)=0,"",MAX(F52:K52))</f>
        <v/>
      </c>
      <c r="O52" s="47">
        <f>IF(COUNT(F52:K52)&lt;2,"",ROUND(N52-M52,1))</f>
        <v/>
      </c>
      <c r="P52" s="41">
        <f>IF($A52="","",Gaps!$K51)</f>
        <v/>
      </c>
      <c r="Q52" s="27">
        <f>IF($A52="","",IF(N($D52)=0,"No scores yet",IF($D52&lt;Settings!$E$5,"Needs more reviews",IF(OR(AND(ISNUMBER(O52),N(O52)&gt;=Settings!$E$6),AND(ISNUMBER(P52),N(P52)&gt;=Settings!$E$7)),"Talk it through","Ready"))))</f>
        <v/>
      </c>
      <c r="R52" s="27">
        <f>IF(ISNUMBER(L52),COUNTIF($L$3:$L$102,"&gt;"&amp;L52)+1,"")</f>
        <v/>
      </c>
      <c r="S52" s="25" t="n"/>
      <c r="T52" s="28" t="n"/>
      <c r="U52" s="48">
        <f>IF(ISNUMBER(L52),L52+(103-ROW())/100000,"")</f>
        <v/>
      </c>
    </row>
    <row r="53">
      <c r="A53" s="41">
        <f>IF(Applications!$A52="","",Applications!$A52&amp;"")</f>
        <v/>
      </c>
      <c r="B53" s="45">
        <f>IF($A53="","",Applications!$B52&amp;"")</f>
        <v/>
      </c>
      <c r="C53" s="46">
        <f>IF(AND($A53&lt;&gt;"",ISNUMBER(Applications!$D52)),Applications!$D52,"")</f>
        <v/>
      </c>
      <c r="D53" s="41">
        <f>IF($A53="","",COUNTIFS(Scores!$A$3:$A$502,$A53,Scores!$O$3:$O$502,"Counted"))</f>
        <v/>
      </c>
      <c r="E53" s="41">
        <f>IF($A53="","",COUNTIFS(Scores!$A$3:$A$502,$A53,Scores!$O$3:$O$502,"Conflict, not counted"))</f>
        <v/>
      </c>
      <c r="F53" s="47">
        <f>IF($A53="","",IF(COUNTIFS(Scores!$A$3:$A$502,$A53,Scores!$B$3:$B$502,F$2,Scores!$O$3:$O$502,"Counted")=0,"",SUMIFS(Scores!$P$3:$P$502,Scores!$A$3:$A$502,$A53,Scores!$B$3:$B$502,F$2,Scores!$O$3:$O$502,"Counted")))</f>
        <v/>
      </c>
      <c r="G53" s="47">
        <f>IF($A53="","",IF(COUNTIFS(Scores!$A$3:$A$502,$A53,Scores!$B$3:$B$502,G$2,Scores!$O$3:$O$502,"Counted")=0,"",SUMIFS(Scores!$P$3:$P$502,Scores!$A$3:$A$502,$A53,Scores!$B$3:$B$502,G$2,Scores!$O$3:$O$502,"Counted")))</f>
        <v/>
      </c>
      <c r="H53" s="47">
        <f>IF($A53="","",IF(COUNTIFS(Scores!$A$3:$A$502,$A53,Scores!$B$3:$B$502,H$2,Scores!$O$3:$O$502,"Counted")=0,"",SUMIFS(Scores!$P$3:$P$502,Scores!$A$3:$A$502,$A53,Scores!$B$3:$B$502,H$2,Scores!$O$3:$O$502,"Counted")))</f>
        <v/>
      </c>
      <c r="I53" s="47">
        <f>IF($A53="","",IF(COUNTIFS(Scores!$A$3:$A$502,$A53,Scores!$B$3:$B$502,I$2,Scores!$O$3:$O$502,"Counted")=0,"",SUMIFS(Scores!$P$3:$P$502,Scores!$A$3:$A$502,$A53,Scores!$B$3:$B$502,I$2,Scores!$O$3:$O$502,"Counted")))</f>
        <v/>
      </c>
      <c r="J53" s="47">
        <f>IF($A53="","",IF(COUNTIFS(Scores!$A$3:$A$502,$A53,Scores!$B$3:$B$502,J$2,Scores!$O$3:$O$502,"Counted")=0,"",SUMIFS(Scores!$P$3:$P$502,Scores!$A$3:$A$502,$A53,Scores!$B$3:$B$502,J$2,Scores!$O$3:$O$502,"Counted")))</f>
        <v/>
      </c>
      <c r="K53" s="47">
        <f>IF($A53="","",IF(COUNTIFS(Scores!$A$3:$A$502,$A53,Scores!$B$3:$B$502,K$2,Scores!$O$3:$O$502,"Counted")=0,"",SUMIFS(Scores!$P$3:$P$502,Scores!$A$3:$A$502,$A53,Scores!$B$3:$B$502,K$2,Scores!$O$3:$O$502,"Counted")))</f>
        <v/>
      </c>
      <c r="L53" s="42">
        <f>IF(N($D53)=0,"",ROUND(SUMIFS(Scores!$P$3:$P$502,Scores!$A$3:$A$502,$A53,Scores!$O$3:$O$502,"Counted")/$D53,1))</f>
        <v/>
      </c>
      <c r="M53" s="47">
        <f>IF(COUNT(F53:K53)=0,"",MIN(F53:K53))</f>
        <v/>
      </c>
      <c r="N53" s="47">
        <f>IF(COUNT(F53:K53)=0,"",MAX(F53:K53))</f>
        <v/>
      </c>
      <c r="O53" s="47">
        <f>IF(COUNT(F53:K53)&lt;2,"",ROUND(N53-M53,1))</f>
        <v/>
      </c>
      <c r="P53" s="41">
        <f>IF($A53="","",Gaps!$K52)</f>
        <v/>
      </c>
      <c r="Q53" s="27">
        <f>IF($A53="","",IF(N($D53)=0,"No scores yet",IF($D53&lt;Settings!$E$5,"Needs more reviews",IF(OR(AND(ISNUMBER(O53),N(O53)&gt;=Settings!$E$6),AND(ISNUMBER(P53),N(P53)&gt;=Settings!$E$7)),"Talk it through","Ready"))))</f>
        <v/>
      </c>
      <c r="R53" s="27">
        <f>IF(ISNUMBER(L53),COUNTIF($L$3:$L$102,"&gt;"&amp;L53)+1,"")</f>
        <v/>
      </c>
      <c r="S53" s="25" t="n"/>
      <c r="T53" s="28" t="n"/>
      <c r="U53" s="48">
        <f>IF(ISNUMBER(L53),L53+(103-ROW())/100000,"")</f>
        <v/>
      </c>
    </row>
    <row r="54">
      <c r="A54" s="41">
        <f>IF(Applications!$A53="","",Applications!$A53&amp;"")</f>
        <v/>
      </c>
      <c r="B54" s="45">
        <f>IF($A54="","",Applications!$B53&amp;"")</f>
        <v/>
      </c>
      <c r="C54" s="46">
        <f>IF(AND($A54&lt;&gt;"",ISNUMBER(Applications!$D53)),Applications!$D53,"")</f>
        <v/>
      </c>
      <c r="D54" s="41">
        <f>IF($A54="","",COUNTIFS(Scores!$A$3:$A$502,$A54,Scores!$O$3:$O$502,"Counted"))</f>
        <v/>
      </c>
      <c r="E54" s="41">
        <f>IF($A54="","",COUNTIFS(Scores!$A$3:$A$502,$A54,Scores!$O$3:$O$502,"Conflict, not counted"))</f>
        <v/>
      </c>
      <c r="F54" s="47">
        <f>IF($A54="","",IF(COUNTIFS(Scores!$A$3:$A$502,$A54,Scores!$B$3:$B$502,F$2,Scores!$O$3:$O$502,"Counted")=0,"",SUMIFS(Scores!$P$3:$P$502,Scores!$A$3:$A$502,$A54,Scores!$B$3:$B$502,F$2,Scores!$O$3:$O$502,"Counted")))</f>
        <v/>
      </c>
      <c r="G54" s="47">
        <f>IF($A54="","",IF(COUNTIFS(Scores!$A$3:$A$502,$A54,Scores!$B$3:$B$502,G$2,Scores!$O$3:$O$502,"Counted")=0,"",SUMIFS(Scores!$P$3:$P$502,Scores!$A$3:$A$502,$A54,Scores!$B$3:$B$502,G$2,Scores!$O$3:$O$502,"Counted")))</f>
        <v/>
      </c>
      <c r="H54" s="47">
        <f>IF($A54="","",IF(COUNTIFS(Scores!$A$3:$A$502,$A54,Scores!$B$3:$B$502,H$2,Scores!$O$3:$O$502,"Counted")=0,"",SUMIFS(Scores!$P$3:$P$502,Scores!$A$3:$A$502,$A54,Scores!$B$3:$B$502,H$2,Scores!$O$3:$O$502,"Counted")))</f>
        <v/>
      </c>
      <c r="I54" s="47">
        <f>IF($A54="","",IF(COUNTIFS(Scores!$A$3:$A$502,$A54,Scores!$B$3:$B$502,I$2,Scores!$O$3:$O$502,"Counted")=0,"",SUMIFS(Scores!$P$3:$P$502,Scores!$A$3:$A$502,$A54,Scores!$B$3:$B$502,I$2,Scores!$O$3:$O$502,"Counted")))</f>
        <v/>
      </c>
      <c r="J54" s="47">
        <f>IF($A54="","",IF(COUNTIFS(Scores!$A$3:$A$502,$A54,Scores!$B$3:$B$502,J$2,Scores!$O$3:$O$502,"Counted")=0,"",SUMIFS(Scores!$P$3:$P$502,Scores!$A$3:$A$502,$A54,Scores!$B$3:$B$502,J$2,Scores!$O$3:$O$502,"Counted")))</f>
        <v/>
      </c>
      <c r="K54" s="47">
        <f>IF($A54="","",IF(COUNTIFS(Scores!$A$3:$A$502,$A54,Scores!$B$3:$B$502,K$2,Scores!$O$3:$O$502,"Counted")=0,"",SUMIFS(Scores!$P$3:$P$502,Scores!$A$3:$A$502,$A54,Scores!$B$3:$B$502,K$2,Scores!$O$3:$O$502,"Counted")))</f>
        <v/>
      </c>
      <c r="L54" s="42">
        <f>IF(N($D54)=0,"",ROUND(SUMIFS(Scores!$P$3:$P$502,Scores!$A$3:$A$502,$A54,Scores!$O$3:$O$502,"Counted")/$D54,1))</f>
        <v/>
      </c>
      <c r="M54" s="47">
        <f>IF(COUNT(F54:K54)=0,"",MIN(F54:K54))</f>
        <v/>
      </c>
      <c r="N54" s="47">
        <f>IF(COUNT(F54:K54)=0,"",MAX(F54:K54))</f>
        <v/>
      </c>
      <c r="O54" s="47">
        <f>IF(COUNT(F54:K54)&lt;2,"",ROUND(N54-M54,1))</f>
        <v/>
      </c>
      <c r="P54" s="41">
        <f>IF($A54="","",Gaps!$K53)</f>
        <v/>
      </c>
      <c r="Q54" s="27">
        <f>IF($A54="","",IF(N($D54)=0,"No scores yet",IF($D54&lt;Settings!$E$5,"Needs more reviews",IF(OR(AND(ISNUMBER(O54),N(O54)&gt;=Settings!$E$6),AND(ISNUMBER(P54),N(P54)&gt;=Settings!$E$7)),"Talk it through","Ready"))))</f>
        <v/>
      </c>
      <c r="R54" s="27">
        <f>IF(ISNUMBER(L54),COUNTIF($L$3:$L$102,"&gt;"&amp;L54)+1,"")</f>
        <v/>
      </c>
      <c r="S54" s="25" t="n"/>
      <c r="T54" s="28" t="n"/>
      <c r="U54" s="48">
        <f>IF(ISNUMBER(L54),L54+(103-ROW())/100000,"")</f>
        <v/>
      </c>
    </row>
    <row r="55">
      <c r="A55" s="41">
        <f>IF(Applications!$A54="","",Applications!$A54&amp;"")</f>
        <v/>
      </c>
      <c r="B55" s="45">
        <f>IF($A55="","",Applications!$B54&amp;"")</f>
        <v/>
      </c>
      <c r="C55" s="46">
        <f>IF(AND($A55&lt;&gt;"",ISNUMBER(Applications!$D54)),Applications!$D54,"")</f>
        <v/>
      </c>
      <c r="D55" s="41">
        <f>IF($A55="","",COUNTIFS(Scores!$A$3:$A$502,$A55,Scores!$O$3:$O$502,"Counted"))</f>
        <v/>
      </c>
      <c r="E55" s="41">
        <f>IF($A55="","",COUNTIFS(Scores!$A$3:$A$502,$A55,Scores!$O$3:$O$502,"Conflict, not counted"))</f>
        <v/>
      </c>
      <c r="F55" s="47">
        <f>IF($A55="","",IF(COUNTIFS(Scores!$A$3:$A$502,$A55,Scores!$B$3:$B$502,F$2,Scores!$O$3:$O$502,"Counted")=0,"",SUMIFS(Scores!$P$3:$P$502,Scores!$A$3:$A$502,$A55,Scores!$B$3:$B$502,F$2,Scores!$O$3:$O$502,"Counted")))</f>
        <v/>
      </c>
      <c r="G55" s="47">
        <f>IF($A55="","",IF(COUNTIFS(Scores!$A$3:$A$502,$A55,Scores!$B$3:$B$502,G$2,Scores!$O$3:$O$502,"Counted")=0,"",SUMIFS(Scores!$P$3:$P$502,Scores!$A$3:$A$502,$A55,Scores!$B$3:$B$502,G$2,Scores!$O$3:$O$502,"Counted")))</f>
        <v/>
      </c>
      <c r="H55" s="47">
        <f>IF($A55="","",IF(COUNTIFS(Scores!$A$3:$A$502,$A55,Scores!$B$3:$B$502,H$2,Scores!$O$3:$O$502,"Counted")=0,"",SUMIFS(Scores!$P$3:$P$502,Scores!$A$3:$A$502,$A55,Scores!$B$3:$B$502,H$2,Scores!$O$3:$O$502,"Counted")))</f>
        <v/>
      </c>
      <c r="I55" s="47">
        <f>IF($A55="","",IF(COUNTIFS(Scores!$A$3:$A$502,$A55,Scores!$B$3:$B$502,I$2,Scores!$O$3:$O$502,"Counted")=0,"",SUMIFS(Scores!$P$3:$P$502,Scores!$A$3:$A$502,$A55,Scores!$B$3:$B$502,I$2,Scores!$O$3:$O$502,"Counted")))</f>
        <v/>
      </c>
      <c r="J55" s="47">
        <f>IF($A55="","",IF(COUNTIFS(Scores!$A$3:$A$502,$A55,Scores!$B$3:$B$502,J$2,Scores!$O$3:$O$502,"Counted")=0,"",SUMIFS(Scores!$P$3:$P$502,Scores!$A$3:$A$502,$A55,Scores!$B$3:$B$502,J$2,Scores!$O$3:$O$502,"Counted")))</f>
        <v/>
      </c>
      <c r="K55" s="47">
        <f>IF($A55="","",IF(COUNTIFS(Scores!$A$3:$A$502,$A55,Scores!$B$3:$B$502,K$2,Scores!$O$3:$O$502,"Counted")=0,"",SUMIFS(Scores!$P$3:$P$502,Scores!$A$3:$A$502,$A55,Scores!$B$3:$B$502,K$2,Scores!$O$3:$O$502,"Counted")))</f>
        <v/>
      </c>
      <c r="L55" s="42">
        <f>IF(N($D55)=0,"",ROUND(SUMIFS(Scores!$P$3:$P$502,Scores!$A$3:$A$502,$A55,Scores!$O$3:$O$502,"Counted")/$D55,1))</f>
        <v/>
      </c>
      <c r="M55" s="47">
        <f>IF(COUNT(F55:K55)=0,"",MIN(F55:K55))</f>
        <v/>
      </c>
      <c r="N55" s="47">
        <f>IF(COUNT(F55:K55)=0,"",MAX(F55:K55))</f>
        <v/>
      </c>
      <c r="O55" s="47">
        <f>IF(COUNT(F55:K55)&lt;2,"",ROUND(N55-M55,1))</f>
        <v/>
      </c>
      <c r="P55" s="41">
        <f>IF($A55="","",Gaps!$K54)</f>
        <v/>
      </c>
      <c r="Q55" s="27">
        <f>IF($A55="","",IF(N($D55)=0,"No scores yet",IF($D55&lt;Settings!$E$5,"Needs more reviews",IF(OR(AND(ISNUMBER(O55),N(O55)&gt;=Settings!$E$6),AND(ISNUMBER(P55),N(P55)&gt;=Settings!$E$7)),"Talk it through","Ready"))))</f>
        <v/>
      </c>
      <c r="R55" s="27">
        <f>IF(ISNUMBER(L55),COUNTIF($L$3:$L$102,"&gt;"&amp;L55)+1,"")</f>
        <v/>
      </c>
      <c r="S55" s="25" t="n"/>
      <c r="T55" s="28" t="n"/>
      <c r="U55" s="48">
        <f>IF(ISNUMBER(L55),L55+(103-ROW())/100000,"")</f>
        <v/>
      </c>
    </row>
    <row r="56">
      <c r="A56" s="41">
        <f>IF(Applications!$A55="","",Applications!$A55&amp;"")</f>
        <v/>
      </c>
      <c r="B56" s="45">
        <f>IF($A56="","",Applications!$B55&amp;"")</f>
        <v/>
      </c>
      <c r="C56" s="46">
        <f>IF(AND($A56&lt;&gt;"",ISNUMBER(Applications!$D55)),Applications!$D55,"")</f>
        <v/>
      </c>
      <c r="D56" s="41">
        <f>IF($A56="","",COUNTIFS(Scores!$A$3:$A$502,$A56,Scores!$O$3:$O$502,"Counted"))</f>
        <v/>
      </c>
      <c r="E56" s="41">
        <f>IF($A56="","",COUNTIFS(Scores!$A$3:$A$502,$A56,Scores!$O$3:$O$502,"Conflict, not counted"))</f>
        <v/>
      </c>
      <c r="F56" s="47">
        <f>IF($A56="","",IF(COUNTIFS(Scores!$A$3:$A$502,$A56,Scores!$B$3:$B$502,F$2,Scores!$O$3:$O$502,"Counted")=0,"",SUMIFS(Scores!$P$3:$P$502,Scores!$A$3:$A$502,$A56,Scores!$B$3:$B$502,F$2,Scores!$O$3:$O$502,"Counted")))</f>
        <v/>
      </c>
      <c r="G56" s="47">
        <f>IF($A56="","",IF(COUNTIFS(Scores!$A$3:$A$502,$A56,Scores!$B$3:$B$502,G$2,Scores!$O$3:$O$502,"Counted")=0,"",SUMIFS(Scores!$P$3:$P$502,Scores!$A$3:$A$502,$A56,Scores!$B$3:$B$502,G$2,Scores!$O$3:$O$502,"Counted")))</f>
        <v/>
      </c>
      <c r="H56" s="47">
        <f>IF($A56="","",IF(COUNTIFS(Scores!$A$3:$A$502,$A56,Scores!$B$3:$B$502,H$2,Scores!$O$3:$O$502,"Counted")=0,"",SUMIFS(Scores!$P$3:$P$502,Scores!$A$3:$A$502,$A56,Scores!$B$3:$B$502,H$2,Scores!$O$3:$O$502,"Counted")))</f>
        <v/>
      </c>
      <c r="I56" s="47">
        <f>IF($A56="","",IF(COUNTIFS(Scores!$A$3:$A$502,$A56,Scores!$B$3:$B$502,I$2,Scores!$O$3:$O$502,"Counted")=0,"",SUMIFS(Scores!$P$3:$P$502,Scores!$A$3:$A$502,$A56,Scores!$B$3:$B$502,I$2,Scores!$O$3:$O$502,"Counted")))</f>
        <v/>
      </c>
      <c r="J56" s="47">
        <f>IF($A56="","",IF(COUNTIFS(Scores!$A$3:$A$502,$A56,Scores!$B$3:$B$502,J$2,Scores!$O$3:$O$502,"Counted")=0,"",SUMIFS(Scores!$P$3:$P$502,Scores!$A$3:$A$502,$A56,Scores!$B$3:$B$502,J$2,Scores!$O$3:$O$502,"Counted")))</f>
        <v/>
      </c>
      <c r="K56" s="47">
        <f>IF($A56="","",IF(COUNTIFS(Scores!$A$3:$A$502,$A56,Scores!$B$3:$B$502,K$2,Scores!$O$3:$O$502,"Counted")=0,"",SUMIFS(Scores!$P$3:$P$502,Scores!$A$3:$A$502,$A56,Scores!$B$3:$B$502,K$2,Scores!$O$3:$O$502,"Counted")))</f>
        <v/>
      </c>
      <c r="L56" s="42">
        <f>IF(N($D56)=0,"",ROUND(SUMIFS(Scores!$P$3:$P$502,Scores!$A$3:$A$502,$A56,Scores!$O$3:$O$502,"Counted")/$D56,1))</f>
        <v/>
      </c>
      <c r="M56" s="47">
        <f>IF(COUNT(F56:K56)=0,"",MIN(F56:K56))</f>
        <v/>
      </c>
      <c r="N56" s="47">
        <f>IF(COUNT(F56:K56)=0,"",MAX(F56:K56))</f>
        <v/>
      </c>
      <c r="O56" s="47">
        <f>IF(COUNT(F56:K56)&lt;2,"",ROUND(N56-M56,1))</f>
        <v/>
      </c>
      <c r="P56" s="41">
        <f>IF($A56="","",Gaps!$K55)</f>
        <v/>
      </c>
      <c r="Q56" s="27">
        <f>IF($A56="","",IF(N($D56)=0,"No scores yet",IF($D56&lt;Settings!$E$5,"Needs more reviews",IF(OR(AND(ISNUMBER(O56),N(O56)&gt;=Settings!$E$6),AND(ISNUMBER(P56),N(P56)&gt;=Settings!$E$7)),"Talk it through","Ready"))))</f>
        <v/>
      </c>
      <c r="R56" s="27">
        <f>IF(ISNUMBER(L56),COUNTIF($L$3:$L$102,"&gt;"&amp;L56)+1,"")</f>
        <v/>
      </c>
      <c r="S56" s="25" t="n"/>
      <c r="T56" s="28" t="n"/>
      <c r="U56" s="48">
        <f>IF(ISNUMBER(L56),L56+(103-ROW())/100000,"")</f>
        <v/>
      </c>
    </row>
    <row r="57">
      <c r="A57" s="41">
        <f>IF(Applications!$A56="","",Applications!$A56&amp;"")</f>
        <v/>
      </c>
      <c r="B57" s="45">
        <f>IF($A57="","",Applications!$B56&amp;"")</f>
        <v/>
      </c>
      <c r="C57" s="46">
        <f>IF(AND($A57&lt;&gt;"",ISNUMBER(Applications!$D56)),Applications!$D56,"")</f>
        <v/>
      </c>
      <c r="D57" s="41">
        <f>IF($A57="","",COUNTIFS(Scores!$A$3:$A$502,$A57,Scores!$O$3:$O$502,"Counted"))</f>
        <v/>
      </c>
      <c r="E57" s="41">
        <f>IF($A57="","",COUNTIFS(Scores!$A$3:$A$502,$A57,Scores!$O$3:$O$502,"Conflict, not counted"))</f>
        <v/>
      </c>
      <c r="F57" s="47">
        <f>IF($A57="","",IF(COUNTIFS(Scores!$A$3:$A$502,$A57,Scores!$B$3:$B$502,F$2,Scores!$O$3:$O$502,"Counted")=0,"",SUMIFS(Scores!$P$3:$P$502,Scores!$A$3:$A$502,$A57,Scores!$B$3:$B$502,F$2,Scores!$O$3:$O$502,"Counted")))</f>
        <v/>
      </c>
      <c r="G57" s="47">
        <f>IF($A57="","",IF(COUNTIFS(Scores!$A$3:$A$502,$A57,Scores!$B$3:$B$502,G$2,Scores!$O$3:$O$502,"Counted")=0,"",SUMIFS(Scores!$P$3:$P$502,Scores!$A$3:$A$502,$A57,Scores!$B$3:$B$502,G$2,Scores!$O$3:$O$502,"Counted")))</f>
        <v/>
      </c>
      <c r="H57" s="47">
        <f>IF($A57="","",IF(COUNTIFS(Scores!$A$3:$A$502,$A57,Scores!$B$3:$B$502,H$2,Scores!$O$3:$O$502,"Counted")=0,"",SUMIFS(Scores!$P$3:$P$502,Scores!$A$3:$A$502,$A57,Scores!$B$3:$B$502,H$2,Scores!$O$3:$O$502,"Counted")))</f>
        <v/>
      </c>
      <c r="I57" s="47">
        <f>IF($A57="","",IF(COUNTIFS(Scores!$A$3:$A$502,$A57,Scores!$B$3:$B$502,I$2,Scores!$O$3:$O$502,"Counted")=0,"",SUMIFS(Scores!$P$3:$P$502,Scores!$A$3:$A$502,$A57,Scores!$B$3:$B$502,I$2,Scores!$O$3:$O$502,"Counted")))</f>
        <v/>
      </c>
      <c r="J57" s="47">
        <f>IF($A57="","",IF(COUNTIFS(Scores!$A$3:$A$502,$A57,Scores!$B$3:$B$502,J$2,Scores!$O$3:$O$502,"Counted")=0,"",SUMIFS(Scores!$P$3:$P$502,Scores!$A$3:$A$502,$A57,Scores!$B$3:$B$502,J$2,Scores!$O$3:$O$502,"Counted")))</f>
        <v/>
      </c>
      <c r="K57" s="47">
        <f>IF($A57="","",IF(COUNTIFS(Scores!$A$3:$A$502,$A57,Scores!$B$3:$B$502,K$2,Scores!$O$3:$O$502,"Counted")=0,"",SUMIFS(Scores!$P$3:$P$502,Scores!$A$3:$A$502,$A57,Scores!$B$3:$B$502,K$2,Scores!$O$3:$O$502,"Counted")))</f>
        <v/>
      </c>
      <c r="L57" s="42">
        <f>IF(N($D57)=0,"",ROUND(SUMIFS(Scores!$P$3:$P$502,Scores!$A$3:$A$502,$A57,Scores!$O$3:$O$502,"Counted")/$D57,1))</f>
        <v/>
      </c>
      <c r="M57" s="47">
        <f>IF(COUNT(F57:K57)=0,"",MIN(F57:K57))</f>
        <v/>
      </c>
      <c r="N57" s="47">
        <f>IF(COUNT(F57:K57)=0,"",MAX(F57:K57))</f>
        <v/>
      </c>
      <c r="O57" s="47">
        <f>IF(COUNT(F57:K57)&lt;2,"",ROUND(N57-M57,1))</f>
        <v/>
      </c>
      <c r="P57" s="41">
        <f>IF($A57="","",Gaps!$K56)</f>
        <v/>
      </c>
      <c r="Q57" s="27">
        <f>IF($A57="","",IF(N($D57)=0,"No scores yet",IF($D57&lt;Settings!$E$5,"Needs more reviews",IF(OR(AND(ISNUMBER(O57),N(O57)&gt;=Settings!$E$6),AND(ISNUMBER(P57),N(P57)&gt;=Settings!$E$7)),"Talk it through","Ready"))))</f>
        <v/>
      </c>
      <c r="R57" s="27">
        <f>IF(ISNUMBER(L57),COUNTIF($L$3:$L$102,"&gt;"&amp;L57)+1,"")</f>
        <v/>
      </c>
      <c r="S57" s="25" t="n"/>
      <c r="T57" s="28" t="n"/>
      <c r="U57" s="48">
        <f>IF(ISNUMBER(L57),L57+(103-ROW())/100000,"")</f>
        <v/>
      </c>
    </row>
    <row r="58">
      <c r="A58" s="41">
        <f>IF(Applications!$A57="","",Applications!$A57&amp;"")</f>
        <v/>
      </c>
      <c r="B58" s="45">
        <f>IF($A58="","",Applications!$B57&amp;"")</f>
        <v/>
      </c>
      <c r="C58" s="46">
        <f>IF(AND($A58&lt;&gt;"",ISNUMBER(Applications!$D57)),Applications!$D57,"")</f>
        <v/>
      </c>
      <c r="D58" s="41">
        <f>IF($A58="","",COUNTIFS(Scores!$A$3:$A$502,$A58,Scores!$O$3:$O$502,"Counted"))</f>
        <v/>
      </c>
      <c r="E58" s="41">
        <f>IF($A58="","",COUNTIFS(Scores!$A$3:$A$502,$A58,Scores!$O$3:$O$502,"Conflict, not counted"))</f>
        <v/>
      </c>
      <c r="F58" s="47">
        <f>IF($A58="","",IF(COUNTIFS(Scores!$A$3:$A$502,$A58,Scores!$B$3:$B$502,F$2,Scores!$O$3:$O$502,"Counted")=0,"",SUMIFS(Scores!$P$3:$P$502,Scores!$A$3:$A$502,$A58,Scores!$B$3:$B$502,F$2,Scores!$O$3:$O$502,"Counted")))</f>
        <v/>
      </c>
      <c r="G58" s="47">
        <f>IF($A58="","",IF(COUNTIFS(Scores!$A$3:$A$502,$A58,Scores!$B$3:$B$502,G$2,Scores!$O$3:$O$502,"Counted")=0,"",SUMIFS(Scores!$P$3:$P$502,Scores!$A$3:$A$502,$A58,Scores!$B$3:$B$502,G$2,Scores!$O$3:$O$502,"Counted")))</f>
        <v/>
      </c>
      <c r="H58" s="47">
        <f>IF($A58="","",IF(COUNTIFS(Scores!$A$3:$A$502,$A58,Scores!$B$3:$B$502,H$2,Scores!$O$3:$O$502,"Counted")=0,"",SUMIFS(Scores!$P$3:$P$502,Scores!$A$3:$A$502,$A58,Scores!$B$3:$B$502,H$2,Scores!$O$3:$O$502,"Counted")))</f>
        <v/>
      </c>
      <c r="I58" s="47">
        <f>IF($A58="","",IF(COUNTIFS(Scores!$A$3:$A$502,$A58,Scores!$B$3:$B$502,I$2,Scores!$O$3:$O$502,"Counted")=0,"",SUMIFS(Scores!$P$3:$P$502,Scores!$A$3:$A$502,$A58,Scores!$B$3:$B$502,I$2,Scores!$O$3:$O$502,"Counted")))</f>
        <v/>
      </c>
      <c r="J58" s="47">
        <f>IF($A58="","",IF(COUNTIFS(Scores!$A$3:$A$502,$A58,Scores!$B$3:$B$502,J$2,Scores!$O$3:$O$502,"Counted")=0,"",SUMIFS(Scores!$P$3:$P$502,Scores!$A$3:$A$502,$A58,Scores!$B$3:$B$502,J$2,Scores!$O$3:$O$502,"Counted")))</f>
        <v/>
      </c>
      <c r="K58" s="47">
        <f>IF($A58="","",IF(COUNTIFS(Scores!$A$3:$A$502,$A58,Scores!$B$3:$B$502,K$2,Scores!$O$3:$O$502,"Counted")=0,"",SUMIFS(Scores!$P$3:$P$502,Scores!$A$3:$A$502,$A58,Scores!$B$3:$B$502,K$2,Scores!$O$3:$O$502,"Counted")))</f>
        <v/>
      </c>
      <c r="L58" s="42">
        <f>IF(N($D58)=0,"",ROUND(SUMIFS(Scores!$P$3:$P$502,Scores!$A$3:$A$502,$A58,Scores!$O$3:$O$502,"Counted")/$D58,1))</f>
        <v/>
      </c>
      <c r="M58" s="47">
        <f>IF(COUNT(F58:K58)=0,"",MIN(F58:K58))</f>
        <v/>
      </c>
      <c r="N58" s="47">
        <f>IF(COUNT(F58:K58)=0,"",MAX(F58:K58))</f>
        <v/>
      </c>
      <c r="O58" s="47">
        <f>IF(COUNT(F58:K58)&lt;2,"",ROUND(N58-M58,1))</f>
        <v/>
      </c>
      <c r="P58" s="41">
        <f>IF($A58="","",Gaps!$K57)</f>
        <v/>
      </c>
      <c r="Q58" s="27">
        <f>IF($A58="","",IF(N($D58)=0,"No scores yet",IF($D58&lt;Settings!$E$5,"Needs more reviews",IF(OR(AND(ISNUMBER(O58),N(O58)&gt;=Settings!$E$6),AND(ISNUMBER(P58),N(P58)&gt;=Settings!$E$7)),"Talk it through","Ready"))))</f>
        <v/>
      </c>
      <c r="R58" s="27">
        <f>IF(ISNUMBER(L58),COUNTIF($L$3:$L$102,"&gt;"&amp;L58)+1,"")</f>
        <v/>
      </c>
      <c r="S58" s="25" t="n"/>
      <c r="T58" s="28" t="n"/>
      <c r="U58" s="48">
        <f>IF(ISNUMBER(L58),L58+(103-ROW())/100000,"")</f>
        <v/>
      </c>
    </row>
    <row r="59">
      <c r="A59" s="41">
        <f>IF(Applications!$A58="","",Applications!$A58&amp;"")</f>
        <v/>
      </c>
      <c r="B59" s="45">
        <f>IF($A59="","",Applications!$B58&amp;"")</f>
        <v/>
      </c>
      <c r="C59" s="46">
        <f>IF(AND($A59&lt;&gt;"",ISNUMBER(Applications!$D58)),Applications!$D58,"")</f>
        <v/>
      </c>
      <c r="D59" s="41">
        <f>IF($A59="","",COUNTIFS(Scores!$A$3:$A$502,$A59,Scores!$O$3:$O$502,"Counted"))</f>
        <v/>
      </c>
      <c r="E59" s="41">
        <f>IF($A59="","",COUNTIFS(Scores!$A$3:$A$502,$A59,Scores!$O$3:$O$502,"Conflict, not counted"))</f>
        <v/>
      </c>
      <c r="F59" s="47">
        <f>IF($A59="","",IF(COUNTIFS(Scores!$A$3:$A$502,$A59,Scores!$B$3:$B$502,F$2,Scores!$O$3:$O$502,"Counted")=0,"",SUMIFS(Scores!$P$3:$P$502,Scores!$A$3:$A$502,$A59,Scores!$B$3:$B$502,F$2,Scores!$O$3:$O$502,"Counted")))</f>
        <v/>
      </c>
      <c r="G59" s="47">
        <f>IF($A59="","",IF(COUNTIFS(Scores!$A$3:$A$502,$A59,Scores!$B$3:$B$502,G$2,Scores!$O$3:$O$502,"Counted")=0,"",SUMIFS(Scores!$P$3:$P$502,Scores!$A$3:$A$502,$A59,Scores!$B$3:$B$502,G$2,Scores!$O$3:$O$502,"Counted")))</f>
        <v/>
      </c>
      <c r="H59" s="47">
        <f>IF($A59="","",IF(COUNTIFS(Scores!$A$3:$A$502,$A59,Scores!$B$3:$B$502,H$2,Scores!$O$3:$O$502,"Counted")=0,"",SUMIFS(Scores!$P$3:$P$502,Scores!$A$3:$A$502,$A59,Scores!$B$3:$B$502,H$2,Scores!$O$3:$O$502,"Counted")))</f>
        <v/>
      </c>
      <c r="I59" s="47">
        <f>IF($A59="","",IF(COUNTIFS(Scores!$A$3:$A$502,$A59,Scores!$B$3:$B$502,I$2,Scores!$O$3:$O$502,"Counted")=0,"",SUMIFS(Scores!$P$3:$P$502,Scores!$A$3:$A$502,$A59,Scores!$B$3:$B$502,I$2,Scores!$O$3:$O$502,"Counted")))</f>
        <v/>
      </c>
      <c r="J59" s="47">
        <f>IF($A59="","",IF(COUNTIFS(Scores!$A$3:$A$502,$A59,Scores!$B$3:$B$502,J$2,Scores!$O$3:$O$502,"Counted")=0,"",SUMIFS(Scores!$P$3:$P$502,Scores!$A$3:$A$502,$A59,Scores!$B$3:$B$502,J$2,Scores!$O$3:$O$502,"Counted")))</f>
        <v/>
      </c>
      <c r="K59" s="47">
        <f>IF($A59="","",IF(COUNTIFS(Scores!$A$3:$A$502,$A59,Scores!$B$3:$B$502,K$2,Scores!$O$3:$O$502,"Counted")=0,"",SUMIFS(Scores!$P$3:$P$502,Scores!$A$3:$A$502,$A59,Scores!$B$3:$B$502,K$2,Scores!$O$3:$O$502,"Counted")))</f>
        <v/>
      </c>
      <c r="L59" s="42">
        <f>IF(N($D59)=0,"",ROUND(SUMIFS(Scores!$P$3:$P$502,Scores!$A$3:$A$502,$A59,Scores!$O$3:$O$502,"Counted")/$D59,1))</f>
        <v/>
      </c>
      <c r="M59" s="47">
        <f>IF(COUNT(F59:K59)=0,"",MIN(F59:K59))</f>
        <v/>
      </c>
      <c r="N59" s="47">
        <f>IF(COUNT(F59:K59)=0,"",MAX(F59:K59))</f>
        <v/>
      </c>
      <c r="O59" s="47">
        <f>IF(COUNT(F59:K59)&lt;2,"",ROUND(N59-M59,1))</f>
        <v/>
      </c>
      <c r="P59" s="41">
        <f>IF($A59="","",Gaps!$K58)</f>
        <v/>
      </c>
      <c r="Q59" s="27">
        <f>IF($A59="","",IF(N($D59)=0,"No scores yet",IF($D59&lt;Settings!$E$5,"Needs more reviews",IF(OR(AND(ISNUMBER(O59),N(O59)&gt;=Settings!$E$6),AND(ISNUMBER(P59),N(P59)&gt;=Settings!$E$7)),"Talk it through","Ready"))))</f>
        <v/>
      </c>
      <c r="R59" s="27">
        <f>IF(ISNUMBER(L59),COUNTIF($L$3:$L$102,"&gt;"&amp;L59)+1,"")</f>
        <v/>
      </c>
      <c r="S59" s="25" t="n"/>
      <c r="T59" s="28" t="n"/>
      <c r="U59" s="48">
        <f>IF(ISNUMBER(L59),L59+(103-ROW())/100000,"")</f>
        <v/>
      </c>
    </row>
    <row r="60">
      <c r="A60" s="41">
        <f>IF(Applications!$A59="","",Applications!$A59&amp;"")</f>
        <v/>
      </c>
      <c r="B60" s="45">
        <f>IF($A60="","",Applications!$B59&amp;"")</f>
        <v/>
      </c>
      <c r="C60" s="46">
        <f>IF(AND($A60&lt;&gt;"",ISNUMBER(Applications!$D59)),Applications!$D59,"")</f>
        <v/>
      </c>
      <c r="D60" s="41">
        <f>IF($A60="","",COUNTIFS(Scores!$A$3:$A$502,$A60,Scores!$O$3:$O$502,"Counted"))</f>
        <v/>
      </c>
      <c r="E60" s="41">
        <f>IF($A60="","",COUNTIFS(Scores!$A$3:$A$502,$A60,Scores!$O$3:$O$502,"Conflict, not counted"))</f>
        <v/>
      </c>
      <c r="F60" s="47">
        <f>IF($A60="","",IF(COUNTIFS(Scores!$A$3:$A$502,$A60,Scores!$B$3:$B$502,F$2,Scores!$O$3:$O$502,"Counted")=0,"",SUMIFS(Scores!$P$3:$P$502,Scores!$A$3:$A$502,$A60,Scores!$B$3:$B$502,F$2,Scores!$O$3:$O$502,"Counted")))</f>
        <v/>
      </c>
      <c r="G60" s="47">
        <f>IF($A60="","",IF(COUNTIFS(Scores!$A$3:$A$502,$A60,Scores!$B$3:$B$502,G$2,Scores!$O$3:$O$502,"Counted")=0,"",SUMIFS(Scores!$P$3:$P$502,Scores!$A$3:$A$502,$A60,Scores!$B$3:$B$502,G$2,Scores!$O$3:$O$502,"Counted")))</f>
        <v/>
      </c>
      <c r="H60" s="47">
        <f>IF($A60="","",IF(COUNTIFS(Scores!$A$3:$A$502,$A60,Scores!$B$3:$B$502,H$2,Scores!$O$3:$O$502,"Counted")=0,"",SUMIFS(Scores!$P$3:$P$502,Scores!$A$3:$A$502,$A60,Scores!$B$3:$B$502,H$2,Scores!$O$3:$O$502,"Counted")))</f>
        <v/>
      </c>
      <c r="I60" s="47">
        <f>IF($A60="","",IF(COUNTIFS(Scores!$A$3:$A$502,$A60,Scores!$B$3:$B$502,I$2,Scores!$O$3:$O$502,"Counted")=0,"",SUMIFS(Scores!$P$3:$P$502,Scores!$A$3:$A$502,$A60,Scores!$B$3:$B$502,I$2,Scores!$O$3:$O$502,"Counted")))</f>
        <v/>
      </c>
      <c r="J60" s="47">
        <f>IF($A60="","",IF(COUNTIFS(Scores!$A$3:$A$502,$A60,Scores!$B$3:$B$502,J$2,Scores!$O$3:$O$502,"Counted")=0,"",SUMIFS(Scores!$P$3:$P$502,Scores!$A$3:$A$502,$A60,Scores!$B$3:$B$502,J$2,Scores!$O$3:$O$502,"Counted")))</f>
        <v/>
      </c>
      <c r="K60" s="47">
        <f>IF($A60="","",IF(COUNTIFS(Scores!$A$3:$A$502,$A60,Scores!$B$3:$B$502,K$2,Scores!$O$3:$O$502,"Counted")=0,"",SUMIFS(Scores!$P$3:$P$502,Scores!$A$3:$A$502,$A60,Scores!$B$3:$B$502,K$2,Scores!$O$3:$O$502,"Counted")))</f>
        <v/>
      </c>
      <c r="L60" s="42">
        <f>IF(N($D60)=0,"",ROUND(SUMIFS(Scores!$P$3:$P$502,Scores!$A$3:$A$502,$A60,Scores!$O$3:$O$502,"Counted")/$D60,1))</f>
        <v/>
      </c>
      <c r="M60" s="47">
        <f>IF(COUNT(F60:K60)=0,"",MIN(F60:K60))</f>
        <v/>
      </c>
      <c r="N60" s="47">
        <f>IF(COUNT(F60:K60)=0,"",MAX(F60:K60))</f>
        <v/>
      </c>
      <c r="O60" s="47">
        <f>IF(COUNT(F60:K60)&lt;2,"",ROUND(N60-M60,1))</f>
        <v/>
      </c>
      <c r="P60" s="41">
        <f>IF($A60="","",Gaps!$K59)</f>
        <v/>
      </c>
      <c r="Q60" s="27">
        <f>IF($A60="","",IF(N($D60)=0,"No scores yet",IF($D60&lt;Settings!$E$5,"Needs more reviews",IF(OR(AND(ISNUMBER(O60),N(O60)&gt;=Settings!$E$6),AND(ISNUMBER(P60),N(P60)&gt;=Settings!$E$7)),"Talk it through","Ready"))))</f>
        <v/>
      </c>
      <c r="R60" s="27">
        <f>IF(ISNUMBER(L60),COUNTIF($L$3:$L$102,"&gt;"&amp;L60)+1,"")</f>
        <v/>
      </c>
      <c r="S60" s="25" t="n"/>
      <c r="T60" s="28" t="n"/>
      <c r="U60" s="48">
        <f>IF(ISNUMBER(L60),L60+(103-ROW())/100000,"")</f>
        <v/>
      </c>
    </row>
    <row r="61">
      <c r="A61" s="41">
        <f>IF(Applications!$A60="","",Applications!$A60&amp;"")</f>
        <v/>
      </c>
      <c r="B61" s="45">
        <f>IF($A61="","",Applications!$B60&amp;"")</f>
        <v/>
      </c>
      <c r="C61" s="46">
        <f>IF(AND($A61&lt;&gt;"",ISNUMBER(Applications!$D60)),Applications!$D60,"")</f>
        <v/>
      </c>
      <c r="D61" s="41">
        <f>IF($A61="","",COUNTIFS(Scores!$A$3:$A$502,$A61,Scores!$O$3:$O$502,"Counted"))</f>
        <v/>
      </c>
      <c r="E61" s="41">
        <f>IF($A61="","",COUNTIFS(Scores!$A$3:$A$502,$A61,Scores!$O$3:$O$502,"Conflict, not counted"))</f>
        <v/>
      </c>
      <c r="F61" s="47">
        <f>IF($A61="","",IF(COUNTIFS(Scores!$A$3:$A$502,$A61,Scores!$B$3:$B$502,F$2,Scores!$O$3:$O$502,"Counted")=0,"",SUMIFS(Scores!$P$3:$P$502,Scores!$A$3:$A$502,$A61,Scores!$B$3:$B$502,F$2,Scores!$O$3:$O$502,"Counted")))</f>
        <v/>
      </c>
      <c r="G61" s="47">
        <f>IF($A61="","",IF(COUNTIFS(Scores!$A$3:$A$502,$A61,Scores!$B$3:$B$502,G$2,Scores!$O$3:$O$502,"Counted")=0,"",SUMIFS(Scores!$P$3:$P$502,Scores!$A$3:$A$502,$A61,Scores!$B$3:$B$502,G$2,Scores!$O$3:$O$502,"Counted")))</f>
        <v/>
      </c>
      <c r="H61" s="47">
        <f>IF($A61="","",IF(COUNTIFS(Scores!$A$3:$A$502,$A61,Scores!$B$3:$B$502,H$2,Scores!$O$3:$O$502,"Counted")=0,"",SUMIFS(Scores!$P$3:$P$502,Scores!$A$3:$A$502,$A61,Scores!$B$3:$B$502,H$2,Scores!$O$3:$O$502,"Counted")))</f>
        <v/>
      </c>
      <c r="I61" s="47">
        <f>IF($A61="","",IF(COUNTIFS(Scores!$A$3:$A$502,$A61,Scores!$B$3:$B$502,I$2,Scores!$O$3:$O$502,"Counted")=0,"",SUMIFS(Scores!$P$3:$P$502,Scores!$A$3:$A$502,$A61,Scores!$B$3:$B$502,I$2,Scores!$O$3:$O$502,"Counted")))</f>
        <v/>
      </c>
      <c r="J61" s="47">
        <f>IF($A61="","",IF(COUNTIFS(Scores!$A$3:$A$502,$A61,Scores!$B$3:$B$502,J$2,Scores!$O$3:$O$502,"Counted")=0,"",SUMIFS(Scores!$P$3:$P$502,Scores!$A$3:$A$502,$A61,Scores!$B$3:$B$502,J$2,Scores!$O$3:$O$502,"Counted")))</f>
        <v/>
      </c>
      <c r="K61" s="47">
        <f>IF($A61="","",IF(COUNTIFS(Scores!$A$3:$A$502,$A61,Scores!$B$3:$B$502,K$2,Scores!$O$3:$O$502,"Counted")=0,"",SUMIFS(Scores!$P$3:$P$502,Scores!$A$3:$A$502,$A61,Scores!$B$3:$B$502,K$2,Scores!$O$3:$O$502,"Counted")))</f>
        <v/>
      </c>
      <c r="L61" s="42">
        <f>IF(N($D61)=0,"",ROUND(SUMIFS(Scores!$P$3:$P$502,Scores!$A$3:$A$502,$A61,Scores!$O$3:$O$502,"Counted")/$D61,1))</f>
        <v/>
      </c>
      <c r="M61" s="47">
        <f>IF(COUNT(F61:K61)=0,"",MIN(F61:K61))</f>
        <v/>
      </c>
      <c r="N61" s="47">
        <f>IF(COUNT(F61:K61)=0,"",MAX(F61:K61))</f>
        <v/>
      </c>
      <c r="O61" s="47">
        <f>IF(COUNT(F61:K61)&lt;2,"",ROUND(N61-M61,1))</f>
        <v/>
      </c>
      <c r="P61" s="41">
        <f>IF($A61="","",Gaps!$K60)</f>
        <v/>
      </c>
      <c r="Q61" s="27">
        <f>IF($A61="","",IF(N($D61)=0,"No scores yet",IF($D61&lt;Settings!$E$5,"Needs more reviews",IF(OR(AND(ISNUMBER(O61),N(O61)&gt;=Settings!$E$6),AND(ISNUMBER(P61),N(P61)&gt;=Settings!$E$7)),"Talk it through","Ready"))))</f>
        <v/>
      </c>
      <c r="R61" s="27">
        <f>IF(ISNUMBER(L61),COUNTIF($L$3:$L$102,"&gt;"&amp;L61)+1,"")</f>
        <v/>
      </c>
      <c r="S61" s="25" t="n"/>
      <c r="T61" s="28" t="n"/>
      <c r="U61" s="48">
        <f>IF(ISNUMBER(L61),L61+(103-ROW())/100000,"")</f>
        <v/>
      </c>
    </row>
    <row r="62">
      <c r="A62" s="41">
        <f>IF(Applications!$A61="","",Applications!$A61&amp;"")</f>
        <v/>
      </c>
      <c r="B62" s="45">
        <f>IF($A62="","",Applications!$B61&amp;"")</f>
        <v/>
      </c>
      <c r="C62" s="46">
        <f>IF(AND($A62&lt;&gt;"",ISNUMBER(Applications!$D61)),Applications!$D61,"")</f>
        <v/>
      </c>
      <c r="D62" s="41">
        <f>IF($A62="","",COUNTIFS(Scores!$A$3:$A$502,$A62,Scores!$O$3:$O$502,"Counted"))</f>
        <v/>
      </c>
      <c r="E62" s="41">
        <f>IF($A62="","",COUNTIFS(Scores!$A$3:$A$502,$A62,Scores!$O$3:$O$502,"Conflict, not counted"))</f>
        <v/>
      </c>
      <c r="F62" s="47">
        <f>IF($A62="","",IF(COUNTIFS(Scores!$A$3:$A$502,$A62,Scores!$B$3:$B$502,F$2,Scores!$O$3:$O$502,"Counted")=0,"",SUMIFS(Scores!$P$3:$P$502,Scores!$A$3:$A$502,$A62,Scores!$B$3:$B$502,F$2,Scores!$O$3:$O$502,"Counted")))</f>
        <v/>
      </c>
      <c r="G62" s="47">
        <f>IF($A62="","",IF(COUNTIFS(Scores!$A$3:$A$502,$A62,Scores!$B$3:$B$502,G$2,Scores!$O$3:$O$502,"Counted")=0,"",SUMIFS(Scores!$P$3:$P$502,Scores!$A$3:$A$502,$A62,Scores!$B$3:$B$502,G$2,Scores!$O$3:$O$502,"Counted")))</f>
        <v/>
      </c>
      <c r="H62" s="47">
        <f>IF($A62="","",IF(COUNTIFS(Scores!$A$3:$A$502,$A62,Scores!$B$3:$B$502,H$2,Scores!$O$3:$O$502,"Counted")=0,"",SUMIFS(Scores!$P$3:$P$502,Scores!$A$3:$A$502,$A62,Scores!$B$3:$B$502,H$2,Scores!$O$3:$O$502,"Counted")))</f>
        <v/>
      </c>
      <c r="I62" s="47">
        <f>IF($A62="","",IF(COUNTIFS(Scores!$A$3:$A$502,$A62,Scores!$B$3:$B$502,I$2,Scores!$O$3:$O$502,"Counted")=0,"",SUMIFS(Scores!$P$3:$P$502,Scores!$A$3:$A$502,$A62,Scores!$B$3:$B$502,I$2,Scores!$O$3:$O$502,"Counted")))</f>
        <v/>
      </c>
      <c r="J62" s="47">
        <f>IF($A62="","",IF(COUNTIFS(Scores!$A$3:$A$502,$A62,Scores!$B$3:$B$502,J$2,Scores!$O$3:$O$502,"Counted")=0,"",SUMIFS(Scores!$P$3:$P$502,Scores!$A$3:$A$502,$A62,Scores!$B$3:$B$502,J$2,Scores!$O$3:$O$502,"Counted")))</f>
        <v/>
      </c>
      <c r="K62" s="47">
        <f>IF($A62="","",IF(COUNTIFS(Scores!$A$3:$A$502,$A62,Scores!$B$3:$B$502,K$2,Scores!$O$3:$O$502,"Counted")=0,"",SUMIFS(Scores!$P$3:$P$502,Scores!$A$3:$A$502,$A62,Scores!$B$3:$B$502,K$2,Scores!$O$3:$O$502,"Counted")))</f>
        <v/>
      </c>
      <c r="L62" s="42">
        <f>IF(N($D62)=0,"",ROUND(SUMIFS(Scores!$P$3:$P$502,Scores!$A$3:$A$502,$A62,Scores!$O$3:$O$502,"Counted")/$D62,1))</f>
        <v/>
      </c>
      <c r="M62" s="47">
        <f>IF(COUNT(F62:K62)=0,"",MIN(F62:K62))</f>
        <v/>
      </c>
      <c r="N62" s="47">
        <f>IF(COUNT(F62:K62)=0,"",MAX(F62:K62))</f>
        <v/>
      </c>
      <c r="O62" s="47">
        <f>IF(COUNT(F62:K62)&lt;2,"",ROUND(N62-M62,1))</f>
        <v/>
      </c>
      <c r="P62" s="41">
        <f>IF($A62="","",Gaps!$K61)</f>
        <v/>
      </c>
      <c r="Q62" s="27">
        <f>IF($A62="","",IF(N($D62)=0,"No scores yet",IF($D62&lt;Settings!$E$5,"Needs more reviews",IF(OR(AND(ISNUMBER(O62),N(O62)&gt;=Settings!$E$6),AND(ISNUMBER(P62),N(P62)&gt;=Settings!$E$7)),"Talk it through","Ready"))))</f>
        <v/>
      </c>
      <c r="R62" s="27">
        <f>IF(ISNUMBER(L62),COUNTIF($L$3:$L$102,"&gt;"&amp;L62)+1,"")</f>
        <v/>
      </c>
      <c r="S62" s="25" t="n"/>
      <c r="T62" s="28" t="n"/>
      <c r="U62" s="48">
        <f>IF(ISNUMBER(L62),L62+(103-ROW())/100000,"")</f>
        <v/>
      </c>
    </row>
    <row r="63">
      <c r="A63" s="41">
        <f>IF(Applications!$A62="","",Applications!$A62&amp;"")</f>
        <v/>
      </c>
      <c r="B63" s="45">
        <f>IF($A63="","",Applications!$B62&amp;"")</f>
        <v/>
      </c>
      <c r="C63" s="46">
        <f>IF(AND($A63&lt;&gt;"",ISNUMBER(Applications!$D62)),Applications!$D62,"")</f>
        <v/>
      </c>
      <c r="D63" s="41">
        <f>IF($A63="","",COUNTIFS(Scores!$A$3:$A$502,$A63,Scores!$O$3:$O$502,"Counted"))</f>
        <v/>
      </c>
      <c r="E63" s="41">
        <f>IF($A63="","",COUNTIFS(Scores!$A$3:$A$502,$A63,Scores!$O$3:$O$502,"Conflict, not counted"))</f>
        <v/>
      </c>
      <c r="F63" s="47">
        <f>IF($A63="","",IF(COUNTIFS(Scores!$A$3:$A$502,$A63,Scores!$B$3:$B$502,F$2,Scores!$O$3:$O$502,"Counted")=0,"",SUMIFS(Scores!$P$3:$P$502,Scores!$A$3:$A$502,$A63,Scores!$B$3:$B$502,F$2,Scores!$O$3:$O$502,"Counted")))</f>
        <v/>
      </c>
      <c r="G63" s="47">
        <f>IF($A63="","",IF(COUNTIFS(Scores!$A$3:$A$502,$A63,Scores!$B$3:$B$502,G$2,Scores!$O$3:$O$502,"Counted")=0,"",SUMIFS(Scores!$P$3:$P$502,Scores!$A$3:$A$502,$A63,Scores!$B$3:$B$502,G$2,Scores!$O$3:$O$502,"Counted")))</f>
        <v/>
      </c>
      <c r="H63" s="47">
        <f>IF($A63="","",IF(COUNTIFS(Scores!$A$3:$A$502,$A63,Scores!$B$3:$B$502,H$2,Scores!$O$3:$O$502,"Counted")=0,"",SUMIFS(Scores!$P$3:$P$502,Scores!$A$3:$A$502,$A63,Scores!$B$3:$B$502,H$2,Scores!$O$3:$O$502,"Counted")))</f>
        <v/>
      </c>
      <c r="I63" s="47">
        <f>IF($A63="","",IF(COUNTIFS(Scores!$A$3:$A$502,$A63,Scores!$B$3:$B$502,I$2,Scores!$O$3:$O$502,"Counted")=0,"",SUMIFS(Scores!$P$3:$P$502,Scores!$A$3:$A$502,$A63,Scores!$B$3:$B$502,I$2,Scores!$O$3:$O$502,"Counted")))</f>
        <v/>
      </c>
      <c r="J63" s="47">
        <f>IF($A63="","",IF(COUNTIFS(Scores!$A$3:$A$502,$A63,Scores!$B$3:$B$502,J$2,Scores!$O$3:$O$502,"Counted")=0,"",SUMIFS(Scores!$P$3:$P$502,Scores!$A$3:$A$502,$A63,Scores!$B$3:$B$502,J$2,Scores!$O$3:$O$502,"Counted")))</f>
        <v/>
      </c>
      <c r="K63" s="47">
        <f>IF($A63="","",IF(COUNTIFS(Scores!$A$3:$A$502,$A63,Scores!$B$3:$B$502,K$2,Scores!$O$3:$O$502,"Counted")=0,"",SUMIFS(Scores!$P$3:$P$502,Scores!$A$3:$A$502,$A63,Scores!$B$3:$B$502,K$2,Scores!$O$3:$O$502,"Counted")))</f>
        <v/>
      </c>
      <c r="L63" s="42">
        <f>IF(N($D63)=0,"",ROUND(SUMIFS(Scores!$P$3:$P$502,Scores!$A$3:$A$502,$A63,Scores!$O$3:$O$502,"Counted")/$D63,1))</f>
        <v/>
      </c>
      <c r="M63" s="47">
        <f>IF(COUNT(F63:K63)=0,"",MIN(F63:K63))</f>
        <v/>
      </c>
      <c r="N63" s="47">
        <f>IF(COUNT(F63:K63)=0,"",MAX(F63:K63))</f>
        <v/>
      </c>
      <c r="O63" s="47">
        <f>IF(COUNT(F63:K63)&lt;2,"",ROUND(N63-M63,1))</f>
        <v/>
      </c>
      <c r="P63" s="41">
        <f>IF($A63="","",Gaps!$K62)</f>
        <v/>
      </c>
      <c r="Q63" s="27">
        <f>IF($A63="","",IF(N($D63)=0,"No scores yet",IF($D63&lt;Settings!$E$5,"Needs more reviews",IF(OR(AND(ISNUMBER(O63),N(O63)&gt;=Settings!$E$6),AND(ISNUMBER(P63),N(P63)&gt;=Settings!$E$7)),"Talk it through","Ready"))))</f>
        <v/>
      </c>
      <c r="R63" s="27">
        <f>IF(ISNUMBER(L63),COUNTIF($L$3:$L$102,"&gt;"&amp;L63)+1,"")</f>
        <v/>
      </c>
      <c r="S63" s="25" t="n"/>
      <c r="T63" s="28" t="n"/>
      <c r="U63" s="48">
        <f>IF(ISNUMBER(L63),L63+(103-ROW())/100000,"")</f>
        <v/>
      </c>
    </row>
    <row r="64">
      <c r="A64" s="41">
        <f>IF(Applications!$A63="","",Applications!$A63&amp;"")</f>
        <v/>
      </c>
      <c r="B64" s="45">
        <f>IF($A64="","",Applications!$B63&amp;"")</f>
        <v/>
      </c>
      <c r="C64" s="46">
        <f>IF(AND($A64&lt;&gt;"",ISNUMBER(Applications!$D63)),Applications!$D63,"")</f>
        <v/>
      </c>
      <c r="D64" s="41">
        <f>IF($A64="","",COUNTIFS(Scores!$A$3:$A$502,$A64,Scores!$O$3:$O$502,"Counted"))</f>
        <v/>
      </c>
      <c r="E64" s="41">
        <f>IF($A64="","",COUNTIFS(Scores!$A$3:$A$502,$A64,Scores!$O$3:$O$502,"Conflict, not counted"))</f>
        <v/>
      </c>
      <c r="F64" s="47">
        <f>IF($A64="","",IF(COUNTIFS(Scores!$A$3:$A$502,$A64,Scores!$B$3:$B$502,F$2,Scores!$O$3:$O$502,"Counted")=0,"",SUMIFS(Scores!$P$3:$P$502,Scores!$A$3:$A$502,$A64,Scores!$B$3:$B$502,F$2,Scores!$O$3:$O$502,"Counted")))</f>
        <v/>
      </c>
      <c r="G64" s="47">
        <f>IF($A64="","",IF(COUNTIFS(Scores!$A$3:$A$502,$A64,Scores!$B$3:$B$502,G$2,Scores!$O$3:$O$502,"Counted")=0,"",SUMIFS(Scores!$P$3:$P$502,Scores!$A$3:$A$502,$A64,Scores!$B$3:$B$502,G$2,Scores!$O$3:$O$502,"Counted")))</f>
        <v/>
      </c>
      <c r="H64" s="47">
        <f>IF($A64="","",IF(COUNTIFS(Scores!$A$3:$A$502,$A64,Scores!$B$3:$B$502,H$2,Scores!$O$3:$O$502,"Counted")=0,"",SUMIFS(Scores!$P$3:$P$502,Scores!$A$3:$A$502,$A64,Scores!$B$3:$B$502,H$2,Scores!$O$3:$O$502,"Counted")))</f>
        <v/>
      </c>
      <c r="I64" s="47">
        <f>IF($A64="","",IF(COUNTIFS(Scores!$A$3:$A$502,$A64,Scores!$B$3:$B$502,I$2,Scores!$O$3:$O$502,"Counted")=0,"",SUMIFS(Scores!$P$3:$P$502,Scores!$A$3:$A$502,$A64,Scores!$B$3:$B$502,I$2,Scores!$O$3:$O$502,"Counted")))</f>
        <v/>
      </c>
      <c r="J64" s="47">
        <f>IF($A64="","",IF(COUNTIFS(Scores!$A$3:$A$502,$A64,Scores!$B$3:$B$502,J$2,Scores!$O$3:$O$502,"Counted")=0,"",SUMIFS(Scores!$P$3:$P$502,Scores!$A$3:$A$502,$A64,Scores!$B$3:$B$502,J$2,Scores!$O$3:$O$502,"Counted")))</f>
        <v/>
      </c>
      <c r="K64" s="47">
        <f>IF($A64="","",IF(COUNTIFS(Scores!$A$3:$A$502,$A64,Scores!$B$3:$B$502,K$2,Scores!$O$3:$O$502,"Counted")=0,"",SUMIFS(Scores!$P$3:$P$502,Scores!$A$3:$A$502,$A64,Scores!$B$3:$B$502,K$2,Scores!$O$3:$O$502,"Counted")))</f>
        <v/>
      </c>
      <c r="L64" s="42">
        <f>IF(N($D64)=0,"",ROUND(SUMIFS(Scores!$P$3:$P$502,Scores!$A$3:$A$502,$A64,Scores!$O$3:$O$502,"Counted")/$D64,1))</f>
        <v/>
      </c>
      <c r="M64" s="47">
        <f>IF(COUNT(F64:K64)=0,"",MIN(F64:K64))</f>
        <v/>
      </c>
      <c r="N64" s="47">
        <f>IF(COUNT(F64:K64)=0,"",MAX(F64:K64))</f>
        <v/>
      </c>
      <c r="O64" s="47">
        <f>IF(COUNT(F64:K64)&lt;2,"",ROUND(N64-M64,1))</f>
        <v/>
      </c>
      <c r="P64" s="41">
        <f>IF($A64="","",Gaps!$K63)</f>
        <v/>
      </c>
      <c r="Q64" s="27">
        <f>IF($A64="","",IF(N($D64)=0,"No scores yet",IF($D64&lt;Settings!$E$5,"Needs more reviews",IF(OR(AND(ISNUMBER(O64),N(O64)&gt;=Settings!$E$6),AND(ISNUMBER(P64),N(P64)&gt;=Settings!$E$7)),"Talk it through","Ready"))))</f>
        <v/>
      </c>
      <c r="R64" s="27">
        <f>IF(ISNUMBER(L64),COUNTIF($L$3:$L$102,"&gt;"&amp;L64)+1,"")</f>
        <v/>
      </c>
      <c r="S64" s="25" t="n"/>
      <c r="T64" s="28" t="n"/>
      <c r="U64" s="48">
        <f>IF(ISNUMBER(L64),L64+(103-ROW())/100000,"")</f>
        <v/>
      </c>
    </row>
    <row r="65">
      <c r="A65" s="41">
        <f>IF(Applications!$A64="","",Applications!$A64&amp;"")</f>
        <v/>
      </c>
      <c r="B65" s="45">
        <f>IF($A65="","",Applications!$B64&amp;"")</f>
        <v/>
      </c>
      <c r="C65" s="46">
        <f>IF(AND($A65&lt;&gt;"",ISNUMBER(Applications!$D64)),Applications!$D64,"")</f>
        <v/>
      </c>
      <c r="D65" s="41">
        <f>IF($A65="","",COUNTIFS(Scores!$A$3:$A$502,$A65,Scores!$O$3:$O$502,"Counted"))</f>
        <v/>
      </c>
      <c r="E65" s="41">
        <f>IF($A65="","",COUNTIFS(Scores!$A$3:$A$502,$A65,Scores!$O$3:$O$502,"Conflict, not counted"))</f>
        <v/>
      </c>
      <c r="F65" s="47">
        <f>IF($A65="","",IF(COUNTIFS(Scores!$A$3:$A$502,$A65,Scores!$B$3:$B$502,F$2,Scores!$O$3:$O$502,"Counted")=0,"",SUMIFS(Scores!$P$3:$P$502,Scores!$A$3:$A$502,$A65,Scores!$B$3:$B$502,F$2,Scores!$O$3:$O$502,"Counted")))</f>
        <v/>
      </c>
      <c r="G65" s="47">
        <f>IF($A65="","",IF(COUNTIFS(Scores!$A$3:$A$502,$A65,Scores!$B$3:$B$502,G$2,Scores!$O$3:$O$502,"Counted")=0,"",SUMIFS(Scores!$P$3:$P$502,Scores!$A$3:$A$502,$A65,Scores!$B$3:$B$502,G$2,Scores!$O$3:$O$502,"Counted")))</f>
        <v/>
      </c>
      <c r="H65" s="47">
        <f>IF($A65="","",IF(COUNTIFS(Scores!$A$3:$A$502,$A65,Scores!$B$3:$B$502,H$2,Scores!$O$3:$O$502,"Counted")=0,"",SUMIFS(Scores!$P$3:$P$502,Scores!$A$3:$A$502,$A65,Scores!$B$3:$B$502,H$2,Scores!$O$3:$O$502,"Counted")))</f>
        <v/>
      </c>
      <c r="I65" s="47">
        <f>IF($A65="","",IF(COUNTIFS(Scores!$A$3:$A$502,$A65,Scores!$B$3:$B$502,I$2,Scores!$O$3:$O$502,"Counted")=0,"",SUMIFS(Scores!$P$3:$P$502,Scores!$A$3:$A$502,$A65,Scores!$B$3:$B$502,I$2,Scores!$O$3:$O$502,"Counted")))</f>
        <v/>
      </c>
      <c r="J65" s="47">
        <f>IF($A65="","",IF(COUNTIFS(Scores!$A$3:$A$502,$A65,Scores!$B$3:$B$502,J$2,Scores!$O$3:$O$502,"Counted")=0,"",SUMIFS(Scores!$P$3:$P$502,Scores!$A$3:$A$502,$A65,Scores!$B$3:$B$502,J$2,Scores!$O$3:$O$502,"Counted")))</f>
        <v/>
      </c>
      <c r="K65" s="47">
        <f>IF($A65="","",IF(COUNTIFS(Scores!$A$3:$A$502,$A65,Scores!$B$3:$B$502,K$2,Scores!$O$3:$O$502,"Counted")=0,"",SUMIFS(Scores!$P$3:$P$502,Scores!$A$3:$A$502,$A65,Scores!$B$3:$B$502,K$2,Scores!$O$3:$O$502,"Counted")))</f>
        <v/>
      </c>
      <c r="L65" s="42">
        <f>IF(N($D65)=0,"",ROUND(SUMIFS(Scores!$P$3:$P$502,Scores!$A$3:$A$502,$A65,Scores!$O$3:$O$502,"Counted")/$D65,1))</f>
        <v/>
      </c>
      <c r="M65" s="47">
        <f>IF(COUNT(F65:K65)=0,"",MIN(F65:K65))</f>
        <v/>
      </c>
      <c r="N65" s="47">
        <f>IF(COUNT(F65:K65)=0,"",MAX(F65:K65))</f>
        <v/>
      </c>
      <c r="O65" s="47">
        <f>IF(COUNT(F65:K65)&lt;2,"",ROUND(N65-M65,1))</f>
        <v/>
      </c>
      <c r="P65" s="41">
        <f>IF($A65="","",Gaps!$K64)</f>
        <v/>
      </c>
      <c r="Q65" s="27">
        <f>IF($A65="","",IF(N($D65)=0,"No scores yet",IF($D65&lt;Settings!$E$5,"Needs more reviews",IF(OR(AND(ISNUMBER(O65),N(O65)&gt;=Settings!$E$6),AND(ISNUMBER(P65),N(P65)&gt;=Settings!$E$7)),"Talk it through","Ready"))))</f>
        <v/>
      </c>
      <c r="R65" s="27">
        <f>IF(ISNUMBER(L65),COUNTIF($L$3:$L$102,"&gt;"&amp;L65)+1,"")</f>
        <v/>
      </c>
      <c r="S65" s="25" t="n"/>
      <c r="T65" s="28" t="n"/>
      <c r="U65" s="48">
        <f>IF(ISNUMBER(L65),L65+(103-ROW())/100000,"")</f>
        <v/>
      </c>
    </row>
    <row r="66">
      <c r="A66" s="41">
        <f>IF(Applications!$A65="","",Applications!$A65&amp;"")</f>
        <v/>
      </c>
      <c r="B66" s="45">
        <f>IF($A66="","",Applications!$B65&amp;"")</f>
        <v/>
      </c>
      <c r="C66" s="46">
        <f>IF(AND($A66&lt;&gt;"",ISNUMBER(Applications!$D65)),Applications!$D65,"")</f>
        <v/>
      </c>
      <c r="D66" s="41">
        <f>IF($A66="","",COUNTIFS(Scores!$A$3:$A$502,$A66,Scores!$O$3:$O$502,"Counted"))</f>
        <v/>
      </c>
      <c r="E66" s="41">
        <f>IF($A66="","",COUNTIFS(Scores!$A$3:$A$502,$A66,Scores!$O$3:$O$502,"Conflict, not counted"))</f>
        <v/>
      </c>
      <c r="F66" s="47">
        <f>IF($A66="","",IF(COUNTIFS(Scores!$A$3:$A$502,$A66,Scores!$B$3:$B$502,F$2,Scores!$O$3:$O$502,"Counted")=0,"",SUMIFS(Scores!$P$3:$P$502,Scores!$A$3:$A$502,$A66,Scores!$B$3:$B$502,F$2,Scores!$O$3:$O$502,"Counted")))</f>
        <v/>
      </c>
      <c r="G66" s="47">
        <f>IF($A66="","",IF(COUNTIFS(Scores!$A$3:$A$502,$A66,Scores!$B$3:$B$502,G$2,Scores!$O$3:$O$502,"Counted")=0,"",SUMIFS(Scores!$P$3:$P$502,Scores!$A$3:$A$502,$A66,Scores!$B$3:$B$502,G$2,Scores!$O$3:$O$502,"Counted")))</f>
        <v/>
      </c>
      <c r="H66" s="47">
        <f>IF($A66="","",IF(COUNTIFS(Scores!$A$3:$A$502,$A66,Scores!$B$3:$B$502,H$2,Scores!$O$3:$O$502,"Counted")=0,"",SUMIFS(Scores!$P$3:$P$502,Scores!$A$3:$A$502,$A66,Scores!$B$3:$B$502,H$2,Scores!$O$3:$O$502,"Counted")))</f>
        <v/>
      </c>
      <c r="I66" s="47">
        <f>IF($A66="","",IF(COUNTIFS(Scores!$A$3:$A$502,$A66,Scores!$B$3:$B$502,I$2,Scores!$O$3:$O$502,"Counted")=0,"",SUMIFS(Scores!$P$3:$P$502,Scores!$A$3:$A$502,$A66,Scores!$B$3:$B$502,I$2,Scores!$O$3:$O$502,"Counted")))</f>
        <v/>
      </c>
      <c r="J66" s="47">
        <f>IF($A66="","",IF(COUNTIFS(Scores!$A$3:$A$502,$A66,Scores!$B$3:$B$502,J$2,Scores!$O$3:$O$502,"Counted")=0,"",SUMIFS(Scores!$P$3:$P$502,Scores!$A$3:$A$502,$A66,Scores!$B$3:$B$502,J$2,Scores!$O$3:$O$502,"Counted")))</f>
        <v/>
      </c>
      <c r="K66" s="47">
        <f>IF($A66="","",IF(COUNTIFS(Scores!$A$3:$A$502,$A66,Scores!$B$3:$B$502,K$2,Scores!$O$3:$O$502,"Counted")=0,"",SUMIFS(Scores!$P$3:$P$502,Scores!$A$3:$A$502,$A66,Scores!$B$3:$B$502,K$2,Scores!$O$3:$O$502,"Counted")))</f>
        <v/>
      </c>
      <c r="L66" s="42">
        <f>IF(N($D66)=0,"",ROUND(SUMIFS(Scores!$P$3:$P$502,Scores!$A$3:$A$502,$A66,Scores!$O$3:$O$502,"Counted")/$D66,1))</f>
        <v/>
      </c>
      <c r="M66" s="47">
        <f>IF(COUNT(F66:K66)=0,"",MIN(F66:K66))</f>
        <v/>
      </c>
      <c r="N66" s="47">
        <f>IF(COUNT(F66:K66)=0,"",MAX(F66:K66))</f>
        <v/>
      </c>
      <c r="O66" s="47">
        <f>IF(COUNT(F66:K66)&lt;2,"",ROUND(N66-M66,1))</f>
        <v/>
      </c>
      <c r="P66" s="41">
        <f>IF($A66="","",Gaps!$K65)</f>
        <v/>
      </c>
      <c r="Q66" s="27">
        <f>IF($A66="","",IF(N($D66)=0,"No scores yet",IF($D66&lt;Settings!$E$5,"Needs more reviews",IF(OR(AND(ISNUMBER(O66),N(O66)&gt;=Settings!$E$6),AND(ISNUMBER(P66),N(P66)&gt;=Settings!$E$7)),"Talk it through","Ready"))))</f>
        <v/>
      </c>
      <c r="R66" s="27">
        <f>IF(ISNUMBER(L66),COUNTIF($L$3:$L$102,"&gt;"&amp;L66)+1,"")</f>
        <v/>
      </c>
      <c r="S66" s="25" t="n"/>
      <c r="T66" s="28" t="n"/>
      <c r="U66" s="48">
        <f>IF(ISNUMBER(L66),L66+(103-ROW())/100000,"")</f>
        <v/>
      </c>
    </row>
    <row r="67">
      <c r="A67" s="41">
        <f>IF(Applications!$A66="","",Applications!$A66&amp;"")</f>
        <v/>
      </c>
      <c r="B67" s="45">
        <f>IF($A67="","",Applications!$B66&amp;"")</f>
        <v/>
      </c>
      <c r="C67" s="46">
        <f>IF(AND($A67&lt;&gt;"",ISNUMBER(Applications!$D66)),Applications!$D66,"")</f>
        <v/>
      </c>
      <c r="D67" s="41">
        <f>IF($A67="","",COUNTIFS(Scores!$A$3:$A$502,$A67,Scores!$O$3:$O$502,"Counted"))</f>
        <v/>
      </c>
      <c r="E67" s="41">
        <f>IF($A67="","",COUNTIFS(Scores!$A$3:$A$502,$A67,Scores!$O$3:$O$502,"Conflict, not counted"))</f>
        <v/>
      </c>
      <c r="F67" s="47">
        <f>IF($A67="","",IF(COUNTIFS(Scores!$A$3:$A$502,$A67,Scores!$B$3:$B$502,F$2,Scores!$O$3:$O$502,"Counted")=0,"",SUMIFS(Scores!$P$3:$P$502,Scores!$A$3:$A$502,$A67,Scores!$B$3:$B$502,F$2,Scores!$O$3:$O$502,"Counted")))</f>
        <v/>
      </c>
      <c r="G67" s="47">
        <f>IF($A67="","",IF(COUNTIFS(Scores!$A$3:$A$502,$A67,Scores!$B$3:$B$502,G$2,Scores!$O$3:$O$502,"Counted")=0,"",SUMIFS(Scores!$P$3:$P$502,Scores!$A$3:$A$502,$A67,Scores!$B$3:$B$502,G$2,Scores!$O$3:$O$502,"Counted")))</f>
        <v/>
      </c>
      <c r="H67" s="47">
        <f>IF($A67="","",IF(COUNTIFS(Scores!$A$3:$A$502,$A67,Scores!$B$3:$B$502,H$2,Scores!$O$3:$O$502,"Counted")=0,"",SUMIFS(Scores!$P$3:$P$502,Scores!$A$3:$A$502,$A67,Scores!$B$3:$B$502,H$2,Scores!$O$3:$O$502,"Counted")))</f>
        <v/>
      </c>
      <c r="I67" s="47">
        <f>IF($A67="","",IF(COUNTIFS(Scores!$A$3:$A$502,$A67,Scores!$B$3:$B$502,I$2,Scores!$O$3:$O$502,"Counted")=0,"",SUMIFS(Scores!$P$3:$P$502,Scores!$A$3:$A$502,$A67,Scores!$B$3:$B$502,I$2,Scores!$O$3:$O$502,"Counted")))</f>
        <v/>
      </c>
      <c r="J67" s="47">
        <f>IF($A67="","",IF(COUNTIFS(Scores!$A$3:$A$502,$A67,Scores!$B$3:$B$502,J$2,Scores!$O$3:$O$502,"Counted")=0,"",SUMIFS(Scores!$P$3:$P$502,Scores!$A$3:$A$502,$A67,Scores!$B$3:$B$502,J$2,Scores!$O$3:$O$502,"Counted")))</f>
        <v/>
      </c>
      <c r="K67" s="47">
        <f>IF($A67="","",IF(COUNTIFS(Scores!$A$3:$A$502,$A67,Scores!$B$3:$B$502,K$2,Scores!$O$3:$O$502,"Counted")=0,"",SUMIFS(Scores!$P$3:$P$502,Scores!$A$3:$A$502,$A67,Scores!$B$3:$B$502,K$2,Scores!$O$3:$O$502,"Counted")))</f>
        <v/>
      </c>
      <c r="L67" s="42">
        <f>IF(N($D67)=0,"",ROUND(SUMIFS(Scores!$P$3:$P$502,Scores!$A$3:$A$502,$A67,Scores!$O$3:$O$502,"Counted")/$D67,1))</f>
        <v/>
      </c>
      <c r="M67" s="47">
        <f>IF(COUNT(F67:K67)=0,"",MIN(F67:K67))</f>
        <v/>
      </c>
      <c r="N67" s="47">
        <f>IF(COUNT(F67:K67)=0,"",MAX(F67:K67))</f>
        <v/>
      </c>
      <c r="O67" s="47">
        <f>IF(COUNT(F67:K67)&lt;2,"",ROUND(N67-M67,1))</f>
        <v/>
      </c>
      <c r="P67" s="41">
        <f>IF($A67="","",Gaps!$K66)</f>
        <v/>
      </c>
      <c r="Q67" s="27">
        <f>IF($A67="","",IF(N($D67)=0,"No scores yet",IF($D67&lt;Settings!$E$5,"Needs more reviews",IF(OR(AND(ISNUMBER(O67),N(O67)&gt;=Settings!$E$6),AND(ISNUMBER(P67),N(P67)&gt;=Settings!$E$7)),"Talk it through","Ready"))))</f>
        <v/>
      </c>
      <c r="R67" s="27">
        <f>IF(ISNUMBER(L67),COUNTIF($L$3:$L$102,"&gt;"&amp;L67)+1,"")</f>
        <v/>
      </c>
      <c r="S67" s="25" t="n"/>
      <c r="T67" s="28" t="n"/>
      <c r="U67" s="48">
        <f>IF(ISNUMBER(L67),L67+(103-ROW())/100000,"")</f>
        <v/>
      </c>
    </row>
    <row r="68">
      <c r="A68" s="41">
        <f>IF(Applications!$A67="","",Applications!$A67&amp;"")</f>
        <v/>
      </c>
      <c r="B68" s="45">
        <f>IF($A68="","",Applications!$B67&amp;"")</f>
        <v/>
      </c>
      <c r="C68" s="46">
        <f>IF(AND($A68&lt;&gt;"",ISNUMBER(Applications!$D67)),Applications!$D67,"")</f>
        <v/>
      </c>
      <c r="D68" s="41">
        <f>IF($A68="","",COUNTIFS(Scores!$A$3:$A$502,$A68,Scores!$O$3:$O$502,"Counted"))</f>
        <v/>
      </c>
      <c r="E68" s="41">
        <f>IF($A68="","",COUNTIFS(Scores!$A$3:$A$502,$A68,Scores!$O$3:$O$502,"Conflict, not counted"))</f>
        <v/>
      </c>
      <c r="F68" s="47">
        <f>IF($A68="","",IF(COUNTIFS(Scores!$A$3:$A$502,$A68,Scores!$B$3:$B$502,F$2,Scores!$O$3:$O$502,"Counted")=0,"",SUMIFS(Scores!$P$3:$P$502,Scores!$A$3:$A$502,$A68,Scores!$B$3:$B$502,F$2,Scores!$O$3:$O$502,"Counted")))</f>
        <v/>
      </c>
      <c r="G68" s="47">
        <f>IF($A68="","",IF(COUNTIFS(Scores!$A$3:$A$502,$A68,Scores!$B$3:$B$502,G$2,Scores!$O$3:$O$502,"Counted")=0,"",SUMIFS(Scores!$P$3:$P$502,Scores!$A$3:$A$502,$A68,Scores!$B$3:$B$502,G$2,Scores!$O$3:$O$502,"Counted")))</f>
        <v/>
      </c>
      <c r="H68" s="47">
        <f>IF($A68="","",IF(COUNTIFS(Scores!$A$3:$A$502,$A68,Scores!$B$3:$B$502,H$2,Scores!$O$3:$O$502,"Counted")=0,"",SUMIFS(Scores!$P$3:$P$502,Scores!$A$3:$A$502,$A68,Scores!$B$3:$B$502,H$2,Scores!$O$3:$O$502,"Counted")))</f>
        <v/>
      </c>
      <c r="I68" s="47">
        <f>IF($A68="","",IF(COUNTIFS(Scores!$A$3:$A$502,$A68,Scores!$B$3:$B$502,I$2,Scores!$O$3:$O$502,"Counted")=0,"",SUMIFS(Scores!$P$3:$P$502,Scores!$A$3:$A$502,$A68,Scores!$B$3:$B$502,I$2,Scores!$O$3:$O$502,"Counted")))</f>
        <v/>
      </c>
      <c r="J68" s="47">
        <f>IF($A68="","",IF(COUNTIFS(Scores!$A$3:$A$502,$A68,Scores!$B$3:$B$502,J$2,Scores!$O$3:$O$502,"Counted")=0,"",SUMIFS(Scores!$P$3:$P$502,Scores!$A$3:$A$502,$A68,Scores!$B$3:$B$502,J$2,Scores!$O$3:$O$502,"Counted")))</f>
        <v/>
      </c>
      <c r="K68" s="47">
        <f>IF($A68="","",IF(COUNTIFS(Scores!$A$3:$A$502,$A68,Scores!$B$3:$B$502,K$2,Scores!$O$3:$O$502,"Counted")=0,"",SUMIFS(Scores!$P$3:$P$502,Scores!$A$3:$A$502,$A68,Scores!$B$3:$B$502,K$2,Scores!$O$3:$O$502,"Counted")))</f>
        <v/>
      </c>
      <c r="L68" s="42">
        <f>IF(N($D68)=0,"",ROUND(SUMIFS(Scores!$P$3:$P$502,Scores!$A$3:$A$502,$A68,Scores!$O$3:$O$502,"Counted")/$D68,1))</f>
        <v/>
      </c>
      <c r="M68" s="47">
        <f>IF(COUNT(F68:K68)=0,"",MIN(F68:K68))</f>
        <v/>
      </c>
      <c r="N68" s="47">
        <f>IF(COUNT(F68:K68)=0,"",MAX(F68:K68))</f>
        <v/>
      </c>
      <c r="O68" s="47">
        <f>IF(COUNT(F68:K68)&lt;2,"",ROUND(N68-M68,1))</f>
        <v/>
      </c>
      <c r="P68" s="41">
        <f>IF($A68="","",Gaps!$K67)</f>
        <v/>
      </c>
      <c r="Q68" s="27">
        <f>IF($A68="","",IF(N($D68)=0,"No scores yet",IF($D68&lt;Settings!$E$5,"Needs more reviews",IF(OR(AND(ISNUMBER(O68),N(O68)&gt;=Settings!$E$6),AND(ISNUMBER(P68),N(P68)&gt;=Settings!$E$7)),"Talk it through","Ready"))))</f>
        <v/>
      </c>
      <c r="R68" s="27">
        <f>IF(ISNUMBER(L68),COUNTIF($L$3:$L$102,"&gt;"&amp;L68)+1,"")</f>
        <v/>
      </c>
      <c r="S68" s="25" t="n"/>
      <c r="T68" s="28" t="n"/>
      <c r="U68" s="48">
        <f>IF(ISNUMBER(L68),L68+(103-ROW())/100000,"")</f>
        <v/>
      </c>
    </row>
    <row r="69">
      <c r="A69" s="41">
        <f>IF(Applications!$A68="","",Applications!$A68&amp;"")</f>
        <v/>
      </c>
      <c r="B69" s="45">
        <f>IF($A69="","",Applications!$B68&amp;"")</f>
        <v/>
      </c>
      <c r="C69" s="46">
        <f>IF(AND($A69&lt;&gt;"",ISNUMBER(Applications!$D68)),Applications!$D68,"")</f>
        <v/>
      </c>
      <c r="D69" s="41">
        <f>IF($A69="","",COUNTIFS(Scores!$A$3:$A$502,$A69,Scores!$O$3:$O$502,"Counted"))</f>
        <v/>
      </c>
      <c r="E69" s="41">
        <f>IF($A69="","",COUNTIFS(Scores!$A$3:$A$502,$A69,Scores!$O$3:$O$502,"Conflict, not counted"))</f>
        <v/>
      </c>
      <c r="F69" s="47">
        <f>IF($A69="","",IF(COUNTIFS(Scores!$A$3:$A$502,$A69,Scores!$B$3:$B$502,F$2,Scores!$O$3:$O$502,"Counted")=0,"",SUMIFS(Scores!$P$3:$P$502,Scores!$A$3:$A$502,$A69,Scores!$B$3:$B$502,F$2,Scores!$O$3:$O$502,"Counted")))</f>
        <v/>
      </c>
      <c r="G69" s="47">
        <f>IF($A69="","",IF(COUNTIFS(Scores!$A$3:$A$502,$A69,Scores!$B$3:$B$502,G$2,Scores!$O$3:$O$502,"Counted")=0,"",SUMIFS(Scores!$P$3:$P$502,Scores!$A$3:$A$502,$A69,Scores!$B$3:$B$502,G$2,Scores!$O$3:$O$502,"Counted")))</f>
        <v/>
      </c>
      <c r="H69" s="47">
        <f>IF($A69="","",IF(COUNTIFS(Scores!$A$3:$A$502,$A69,Scores!$B$3:$B$502,H$2,Scores!$O$3:$O$502,"Counted")=0,"",SUMIFS(Scores!$P$3:$P$502,Scores!$A$3:$A$502,$A69,Scores!$B$3:$B$502,H$2,Scores!$O$3:$O$502,"Counted")))</f>
        <v/>
      </c>
      <c r="I69" s="47">
        <f>IF($A69="","",IF(COUNTIFS(Scores!$A$3:$A$502,$A69,Scores!$B$3:$B$502,I$2,Scores!$O$3:$O$502,"Counted")=0,"",SUMIFS(Scores!$P$3:$P$502,Scores!$A$3:$A$502,$A69,Scores!$B$3:$B$502,I$2,Scores!$O$3:$O$502,"Counted")))</f>
        <v/>
      </c>
      <c r="J69" s="47">
        <f>IF($A69="","",IF(COUNTIFS(Scores!$A$3:$A$502,$A69,Scores!$B$3:$B$502,J$2,Scores!$O$3:$O$502,"Counted")=0,"",SUMIFS(Scores!$P$3:$P$502,Scores!$A$3:$A$502,$A69,Scores!$B$3:$B$502,J$2,Scores!$O$3:$O$502,"Counted")))</f>
        <v/>
      </c>
      <c r="K69" s="47">
        <f>IF($A69="","",IF(COUNTIFS(Scores!$A$3:$A$502,$A69,Scores!$B$3:$B$502,K$2,Scores!$O$3:$O$502,"Counted")=0,"",SUMIFS(Scores!$P$3:$P$502,Scores!$A$3:$A$502,$A69,Scores!$B$3:$B$502,K$2,Scores!$O$3:$O$502,"Counted")))</f>
        <v/>
      </c>
      <c r="L69" s="42">
        <f>IF(N($D69)=0,"",ROUND(SUMIFS(Scores!$P$3:$P$502,Scores!$A$3:$A$502,$A69,Scores!$O$3:$O$502,"Counted")/$D69,1))</f>
        <v/>
      </c>
      <c r="M69" s="47">
        <f>IF(COUNT(F69:K69)=0,"",MIN(F69:K69))</f>
        <v/>
      </c>
      <c r="N69" s="47">
        <f>IF(COUNT(F69:K69)=0,"",MAX(F69:K69))</f>
        <v/>
      </c>
      <c r="O69" s="47">
        <f>IF(COUNT(F69:K69)&lt;2,"",ROUND(N69-M69,1))</f>
        <v/>
      </c>
      <c r="P69" s="41">
        <f>IF($A69="","",Gaps!$K68)</f>
        <v/>
      </c>
      <c r="Q69" s="27">
        <f>IF($A69="","",IF(N($D69)=0,"No scores yet",IF($D69&lt;Settings!$E$5,"Needs more reviews",IF(OR(AND(ISNUMBER(O69),N(O69)&gt;=Settings!$E$6),AND(ISNUMBER(P69),N(P69)&gt;=Settings!$E$7)),"Talk it through","Ready"))))</f>
        <v/>
      </c>
      <c r="R69" s="27">
        <f>IF(ISNUMBER(L69),COUNTIF($L$3:$L$102,"&gt;"&amp;L69)+1,"")</f>
        <v/>
      </c>
      <c r="S69" s="25" t="n"/>
      <c r="T69" s="28" t="n"/>
      <c r="U69" s="48">
        <f>IF(ISNUMBER(L69),L69+(103-ROW())/100000,"")</f>
        <v/>
      </c>
    </row>
    <row r="70">
      <c r="A70" s="41">
        <f>IF(Applications!$A69="","",Applications!$A69&amp;"")</f>
        <v/>
      </c>
      <c r="B70" s="45">
        <f>IF($A70="","",Applications!$B69&amp;"")</f>
        <v/>
      </c>
      <c r="C70" s="46">
        <f>IF(AND($A70&lt;&gt;"",ISNUMBER(Applications!$D69)),Applications!$D69,"")</f>
        <v/>
      </c>
      <c r="D70" s="41">
        <f>IF($A70="","",COUNTIFS(Scores!$A$3:$A$502,$A70,Scores!$O$3:$O$502,"Counted"))</f>
        <v/>
      </c>
      <c r="E70" s="41">
        <f>IF($A70="","",COUNTIFS(Scores!$A$3:$A$502,$A70,Scores!$O$3:$O$502,"Conflict, not counted"))</f>
        <v/>
      </c>
      <c r="F70" s="47">
        <f>IF($A70="","",IF(COUNTIFS(Scores!$A$3:$A$502,$A70,Scores!$B$3:$B$502,F$2,Scores!$O$3:$O$502,"Counted")=0,"",SUMIFS(Scores!$P$3:$P$502,Scores!$A$3:$A$502,$A70,Scores!$B$3:$B$502,F$2,Scores!$O$3:$O$502,"Counted")))</f>
        <v/>
      </c>
      <c r="G70" s="47">
        <f>IF($A70="","",IF(COUNTIFS(Scores!$A$3:$A$502,$A70,Scores!$B$3:$B$502,G$2,Scores!$O$3:$O$502,"Counted")=0,"",SUMIFS(Scores!$P$3:$P$502,Scores!$A$3:$A$502,$A70,Scores!$B$3:$B$502,G$2,Scores!$O$3:$O$502,"Counted")))</f>
        <v/>
      </c>
      <c r="H70" s="47">
        <f>IF($A70="","",IF(COUNTIFS(Scores!$A$3:$A$502,$A70,Scores!$B$3:$B$502,H$2,Scores!$O$3:$O$502,"Counted")=0,"",SUMIFS(Scores!$P$3:$P$502,Scores!$A$3:$A$502,$A70,Scores!$B$3:$B$502,H$2,Scores!$O$3:$O$502,"Counted")))</f>
        <v/>
      </c>
      <c r="I70" s="47">
        <f>IF($A70="","",IF(COUNTIFS(Scores!$A$3:$A$502,$A70,Scores!$B$3:$B$502,I$2,Scores!$O$3:$O$502,"Counted")=0,"",SUMIFS(Scores!$P$3:$P$502,Scores!$A$3:$A$502,$A70,Scores!$B$3:$B$502,I$2,Scores!$O$3:$O$502,"Counted")))</f>
        <v/>
      </c>
      <c r="J70" s="47">
        <f>IF($A70="","",IF(COUNTIFS(Scores!$A$3:$A$502,$A70,Scores!$B$3:$B$502,J$2,Scores!$O$3:$O$502,"Counted")=0,"",SUMIFS(Scores!$P$3:$P$502,Scores!$A$3:$A$502,$A70,Scores!$B$3:$B$502,J$2,Scores!$O$3:$O$502,"Counted")))</f>
        <v/>
      </c>
      <c r="K70" s="47">
        <f>IF($A70="","",IF(COUNTIFS(Scores!$A$3:$A$502,$A70,Scores!$B$3:$B$502,K$2,Scores!$O$3:$O$502,"Counted")=0,"",SUMIFS(Scores!$P$3:$P$502,Scores!$A$3:$A$502,$A70,Scores!$B$3:$B$502,K$2,Scores!$O$3:$O$502,"Counted")))</f>
        <v/>
      </c>
      <c r="L70" s="42">
        <f>IF(N($D70)=0,"",ROUND(SUMIFS(Scores!$P$3:$P$502,Scores!$A$3:$A$502,$A70,Scores!$O$3:$O$502,"Counted")/$D70,1))</f>
        <v/>
      </c>
      <c r="M70" s="47">
        <f>IF(COUNT(F70:K70)=0,"",MIN(F70:K70))</f>
        <v/>
      </c>
      <c r="N70" s="47">
        <f>IF(COUNT(F70:K70)=0,"",MAX(F70:K70))</f>
        <v/>
      </c>
      <c r="O70" s="47">
        <f>IF(COUNT(F70:K70)&lt;2,"",ROUND(N70-M70,1))</f>
        <v/>
      </c>
      <c r="P70" s="41">
        <f>IF($A70="","",Gaps!$K69)</f>
        <v/>
      </c>
      <c r="Q70" s="27">
        <f>IF($A70="","",IF(N($D70)=0,"No scores yet",IF($D70&lt;Settings!$E$5,"Needs more reviews",IF(OR(AND(ISNUMBER(O70),N(O70)&gt;=Settings!$E$6),AND(ISNUMBER(P70),N(P70)&gt;=Settings!$E$7)),"Talk it through","Ready"))))</f>
        <v/>
      </c>
      <c r="R70" s="27">
        <f>IF(ISNUMBER(L70),COUNTIF($L$3:$L$102,"&gt;"&amp;L70)+1,"")</f>
        <v/>
      </c>
      <c r="S70" s="25" t="n"/>
      <c r="T70" s="28" t="n"/>
      <c r="U70" s="48">
        <f>IF(ISNUMBER(L70),L70+(103-ROW())/100000,"")</f>
        <v/>
      </c>
    </row>
    <row r="71">
      <c r="A71" s="41">
        <f>IF(Applications!$A70="","",Applications!$A70&amp;"")</f>
        <v/>
      </c>
      <c r="B71" s="45">
        <f>IF($A71="","",Applications!$B70&amp;"")</f>
        <v/>
      </c>
      <c r="C71" s="46">
        <f>IF(AND($A71&lt;&gt;"",ISNUMBER(Applications!$D70)),Applications!$D70,"")</f>
        <v/>
      </c>
      <c r="D71" s="41">
        <f>IF($A71="","",COUNTIFS(Scores!$A$3:$A$502,$A71,Scores!$O$3:$O$502,"Counted"))</f>
        <v/>
      </c>
      <c r="E71" s="41">
        <f>IF($A71="","",COUNTIFS(Scores!$A$3:$A$502,$A71,Scores!$O$3:$O$502,"Conflict, not counted"))</f>
        <v/>
      </c>
      <c r="F71" s="47">
        <f>IF($A71="","",IF(COUNTIFS(Scores!$A$3:$A$502,$A71,Scores!$B$3:$B$502,F$2,Scores!$O$3:$O$502,"Counted")=0,"",SUMIFS(Scores!$P$3:$P$502,Scores!$A$3:$A$502,$A71,Scores!$B$3:$B$502,F$2,Scores!$O$3:$O$502,"Counted")))</f>
        <v/>
      </c>
      <c r="G71" s="47">
        <f>IF($A71="","",IF(COUNTIFS(Scores!$A$3:$A$502,$A71,Scores!$B$3:$B$502,G$2,Scores!$O$3:$O$502,"Counted")=0,"",SUMIFS(Scores!$P$3:$P$502,Scores!$A$3:$A$502,$A71,Scores!$B$3:$B$502,G$2,Scores!$O$3:$O$502,"Counted")))</f>
        <v/>
      </c>
      <c r="H71" s="47">
        <f>IF($A71="","",IF(COUNTIFS(Scores!$A$3:$A$502,$A71,Scores!$B$3:$B$502,H$2,Scores!$O$3:$O$502,"Counted")=0,"",SUMIFS(Scores!$P$3:$P$502,Scores!$A$3:$A$502,$A71,Scores!$B$3:$B$502,H$2,Scores!$O$3:$O$502,"Counted")))</f>
        <v/>
      </c>
      <c r="I71" s="47">
        <f>IF($A71="","",IF(COUNTIFS(Scores!$A$3:$A$502,$A71,Scores!$B$3:$B$502,I$2,Scores!$O$3:$O$502,"Counted")=0,"",SUMIFS(Scores!$P$3:$P$502,Scores!$A$3:$A$502,$A71,Scores!$B$3:$B$502,I$2,Scores!$O$3:$O$502,"Counted")))</f>
        <v/>
      </c>
      <c r="J71" s="47">
        <f>IF($A71="","",IF(COUNTIFS(Scores!$A$3:$A$502,$A71,Scores!$B$3:$B$502,J$2,Scores!$O$3:$O$502,"Counted")=0,"",SUMIFS(Scores!$P$3:$P$502,Scores!$A$3:$A$502,$A71,Scores!$B$3:$B$502,J$2,Scores!$O$3:$O$502,"Counted")))</f>
        <v/>
      </c>
      <c r="K71" s="47">
        <f>IF($A71="","",IF(COUNTIFS(Scores!$A$3:$A$502,$A71,Scores!$B$3:$B$502,K$2,Scores!$O$3:$O$502,"Counted")=0,"",SUMIFS(Scores!$P$3:$P$502,Scores!$A$3:$A$502,$A71,Scores!$B$3:$B$502,K$2,Scores!$O$3:$O$502,"Counted")))</f>
        <v/>
      </c>
      <c r="L71" s="42">
        <f>IF(N($D71)=0,"",ROUND(SUMIFS(Scores!$P$3:$P$502,Scores!$A$3:$A$502,$A71,Scores!$O$3:$O$502,"Counted")/$D71,1))</f>
        <v/>
      </c>
      <c r="M71" s="47">
        <f>IF(COUNT(F71:K71)=0,"",MIN(F71:K71))</f>
        <v/>
      </c>
      <c r="N71" s="47">
        <f>IF(COUNT(F71:K71)=0,"",MAX(F71:K71))</f>
        <v/>
      </c>
      <c r="O71" s="47">
        <f>IF(COUNT(F71:K71)&lt;2,"",ROUND(N71-M71,1))</f>
        <v/>
      </c>
      <c r="P71" s="41">
        <f>IF($A71="","",Gaps!$K70)</f>
        <v/>
      </c>
      <c r="Q71" s="27">
        <f>IF($A71="","",IF(N($D71)=0,"No scores yet",IF($D71&lt;Settings!$E$5,"Needs more reviews",IF(OR(AND(ISNUMBER(O71),N(O71)&gt;=Settings!$E$6),AND(ISNUMBER(P71),N(P71)&gt;=Settings!$E$7)),"Talk it through","Ready"))))</f>
        <v/>
      </c>
      <c r="R71" s="27">
        <f>IF(ISNUMBER(L71),COUNTIF($L$3:$L$102,"&gt;"&amp;L71)+1,"")</f>
        <v/>
      </c>
      <c r="S71" s="25" t="n"/>
      <c r="T71" s="28" t="n"/>
      <c r="U71" s="48">
        <f>IF(ISNUMBER(L71),L71+(103-ROW())/100000,"")</f>
        <v/>
      </c>
    </row>
    <row r="72">
      <c r="A72" s="41">
        <f>IF(Applications!$A71="","",Applications!$A71&amp;"")</f>
        <v/>
      </c>
      <c r="B72" s="45">
        <f>IF($A72="","",Applications!$B71&amp;"")</f>
        <v/>
      </c>
      <c r="C72" s="46">
        <f>IF(AND($A72&lt;&gt;"",ISNUMBER(Applications!$D71)),Applications!$D71,"")</f>
        <v/>
      </c>
      <c r="D72" s="41">
        <f>IF($A72="","",COUNTIFS(Scores!$A$3:$A$502,$A72,Scores!$O$3:$O$502,"Counted"))</f>
        <v/>
      </c>
      <c r="E72" s="41">
        <f>IF($A72="","",COUNTIFS(Scores!$A$3:$A$502,$A72,Scores!$O$3:$O$502,"Conflict, not counted"))</f>
        <v/>
      </c>
      <c r="F72" s="47">
        <f>IF($A72="","",IF(COUNTIFS(Scores!$A$3:$A$502,$A72,Scores!$B$3:$B$502,F$2,Scores!$O$3:$O$502,"Counted")=0,"",SUMIFS(Scores!$P$3:$P$502,Scores!$A$3:$A$502,$A72,Scores!$B$3:$B$502,F$2,Scores!$O$3:$O$502,"Counted")))</f>
        <v/>
      </c>
      <c r="G72" s="47">
        <f>IF($A72="","",IF(COUNTIFS(Scores!$A$3:$A$502,$A72,Scores!$B$3:$B$502,G$2,Scores!$O$3:$O$502,"Counted")=0,"",SUMIFS(Scores!$P$3:$P$502,Scores!$A$3:$A$502,$A72,Scores!$B$3:$B$502,G$2,Scores!$O$3:$O$502,"Counted")))</f>
        <v/>
      </c>
      <c r="H72" s="47">
        <f>IF($A72="","",IF(COUNTIFS(Scores!$A$3:$A$502,$A72,Scores!$B$3:$B$502,H$2,Scores!$O$3:$O$502,"Counted")=0,"",SUMIFS(Scores!$P$3:$P$502,Scores!$A$3:$A$502,$A72,Scores!$B$3:$B$502,H$2,Scores!$O$3:$O$502,"Counted")))</f>
        <v/>
      </c>
      <c r="I72" s="47">
        <f>IF($A72="","",IF(COUNTIFS(Scores!$A$3:$A$502,$A72,Scores!$B$3:$B$502,I$2,Scores!$O$3:$O$502,"Counted")=0,"",SUMIFS(Scores!$P$3:$P$502,Scores!$A$3:$A$502,$A72,Scores!$B$3:$B$502,I$2,Scores!$O$3:$O$502,"Counted")))</f>
        <v/>
      </c>
      <c r="J72" s="47">
        <f>IF($A72="","",IF(COUNTIFS(Scores!$A$3:$A$502,$A72,Scores!$B$3:$B$502,J$2,Scores!$O$3:$O$502,"Counted")=0,"",SUMIFS(Scores!$P$3:$P$502,Scores!$A$3:$A$502,$A72,Scores!$B$3:$B$502,J$2,Scores!$O$3:$O$502,"Counted")))</f>
        <v/>
      </c>
      <c r="K72" s="47">
        <f>IF($A72="","",IF(COUNTIFS(Scores!$A$3:$A$502,$A72,Scores!$B$3:$B$502,K$2,Scores!$O$3:$O$502,"Counted")=0,"",SUMIFS(Scores!$P$3:$P$502,Scores!$A$3:$A$502,$A72,Scores!$B$3:$B$502,K$2,Scores!$O$3:$O$502,"Counted")))</f>
        <v/>
      </c>
      <c r="L72" s="42">
        <f>IF(N($D72)=0,"",ROUND(SUMIFS(Scores!$P$3:$P$502,Scores!$A$3:$A$502,$A72,Scores!$O$3:$O$502,"Counted")/$D72,1))</f>
        <v/>
      </c>
      <c r="M72" s="47">
        <f>IF(COUNT(F72:K72)=0,"",MIN(F72:K72))</f>
        <v/>
      </c>
      <c r="N72" s="47">
        <f>IF(COUNT(F72:K72)=0,"",MAX(F72:K72))</f>
        <v/>
      </c>
      <c r="O72" s="47">
        <f>IF(COUNT(F72:K72)&lt;2,"",ROUND(N72-M72,1))</f>
        <v/>
      </c>
      <c r="P72" s="41">
        <f>IF($A72="","",Gaps!$K71)</f>
        <v/>
      </c>
      <c r="Q72" s="27">
        <f>IF($A72="","",IF(N($D72)=0,"No scores yet",IF($D72&lt;Settings!$E$5,"Needs more reviews",IF(OR(AND(ISNUMBER(O72),N(O72)&gt;=Settings!$E$6),AND(ISNUMBER(P72),N(P72)&gt;=Settings!$E$7)),"Talk it through","Ready"))))</f>
        <v/>
      </c>
      <c r="R72" s="27">
        <f>IF(ISNUMBER(L72),COUNTIF($L$3:$L$102,"&gt;"&amp;L72)+1,"")</f>
        <v/>
      </c>
      <c r="S72" s="25" t="n"/>
      <c r="T72" s="28" t="n"/>
      <c r="U72" s="48">
        <f>IF(ISNUMBER(L72),L72+(103-ROW())/100000,"")</f>
        <v/>
      </c>
    </row>
    <row r="73">
      <c r="A73" s="41">
        <f>IF(Applications!$A72="","",Applications!$A72&amp;"")</f>
        <v/>
      </c>
      <c r="B73" s="45">
        <f>IF($A73="","",Applications!$B72&amp;"")</f>
        <v/>
      </c>
      <c r="C73" s="46">
        <f>IF(AND($A73&lt;&gt;"",ISNUMBER(Applications!$D72)),Applications!$D72,"")</f>
        <v/>
      </c>
      <c r="D73" s="41">
        <f>IF($A73="","",COUNTIFS(Scores!$A$3:$A$502,$A73,Scores!$O$3:$O$502,"Counted"))</f>
        <v/>
      </c>
      <c r="E73" s="41">
        <f>IF($A73="","",COUNTIFS(Scores!$A$3:$A$502,$A73,Scores!$O$3:$O$502,"Conflict, not counted"))</f>
        <v/>
      </c>
      <c r="F73" s="47">
        <f>IF($A73="","",IF(COUNTIFS(Scores!$A$3:$A$502,$A73,Scores!$B$3:$B$502,F$2,Scores!$O$3:$O$502,"Counted")=0,"",SUMIFS(Scores!$P$3:$P$502,Scores!$A$3:$A$502,$A73,Scores!$B$3:$B$502,F$2,Scores!$O$3:$O$502,"Counted")))</f>
        <v/>
      </c>
      <c r="G73" s="47">
        <f>IF($A73="","",IF(COUNTIFS(Scores!$A$3:$A$502,$A73,Scores!$B$3:$B$502,G$2,Scores!$O$3:$O$502,"Counted")=0,"",SUMIFS(Scores!$P$3:$P$502,Scores!$A$3:$A$502,$A73,Scores!$B$3:$B$502,G$2,Scores!$O$3:$O$502,"Counted")))</f>
        <v/>
      </c>
      <c r="H73" s="47">
        <f>IF($A73="","",IF(COUNTIFS(Scores!$A$3:$A$502,$A73,Scores!$B$3:$B$502,H$2,Scores!$O$3:$O$502,"Counted")=0,"",SUMIFS(Scores!$P$3:$P$502,Scores!$A$3:$A$502,$A73,Scores!$B$3:$B$502,H$2,Scores!$O$3:$O$502,"Counted")))</f>
        <v/>
      </c>
      <c r="I73" s="47">
        <f>IF($A73="","",IF(COUNTIFS(Scores!$A$3:$A$502,$A73,Scores!$B$3:$B$502,I$2,Scores!$O$3:$O$502,"Counted")=0,"",SUMIFS(Scores!$P$3:$P$502,Scores!$A$3:$A$502,$A73,Scores!$B$3:$B$502,I$2,Scores!$O$3:$O$502,"Counted")))</f>
        <v/>
      </c>
      <c r="J73" s="47">
        <f>IF($A73="","",IF(COUNTIFS(Scores!$A$3:$A$502,$A73,Scores!$B$3:$B$502,J$2,Scores!$O$3:$O$502,"Counted")=0,"",SUMIFS(Scores!$P$3:$P$502,Scores!$A$3:$A$502,$A73,Scores!$B$3:$B$502,J$2,Scores!$O$3:$O$502,"Counted")))</f>
        <v/>
      </c>
      <c r="K73" s="47">
        <f>IF($A73="","",IF(COUNTIFS(Scores!$A$3:$A$502,$A73,Scores!$B$3:$B$502,K$2,Scores!$O$3:$O$502,"Counted")=0,"",SUMIFS(Scores!$P$3:$P$502,Scores!$A$3:$A$502,$A73,Scores!$B$3:$B$502,K$2,Scores!$O$3:$O$502,"Counted")))</f>
        <v/>
      </c>
      <c r="L73" s="42">
        <f>IF(N($D73)=0,"",ROUND(SUMIFS(Scores!$P$3:$P$502,Scores!$A$3:$A$502,$A73,Scores!$O$3:$O$502,"Counted")/$D73,1))</f>
        <v/>
      </c>
      <c r="M73" s="47">
        <f>IF(COUNT(F73:K73)=0,"",MIN(F73:K73))</f>
        <v/>
      </c>
      <c r="N73" s="47">
        <f>IF(COUNT(F73:K73)=0,"",MAX(F73:K73))</f>
        <v/>
      </c>
      <c r="O73" s="47">
        <f>IF(COUNT(F73:K73)&lt;2,"",ROUND(N73-M73,1))</f>
        <v/>
      </c>
      <c r="P73" s="41">
        <f>IF($A73="","",Gaps!$K72)</f>
        <v/>
      </c>
      <c r="Q73" s="27">
        <f>IF($A73="","",IF(N($D73)=0,"No scores yet",IF($D73&lt;Settings!$E$5,"Needs more reviews",IF(OR(AND(ISNUMBER(O73),N(O73)&gt;=Settings!$E$6),AND(ISNUMBER(P73),N(P73)&gt;=Settings!$E$7)),"Talk it through","Ready"))))</f>
        <v/>
      </c>
      <c r="R73" s="27">
        <f>IF(ISNUMBER(L73),COUNTIF($L$3:$L$102,"&gt;"&amp;L73)+1,"")</f>
        <v/>
      </c>
      <c r="S73" s="25" t="n"/>
      <c r="T73" s="28" t="n"/>
      <c r="U73" s="48">
        <f>IF(ISNUMBER(L73),L73+(103-ROW())/100000,"")</f>
        <v/>
      </c>
    </row>
    <row r="74">
      <c r="A74" s="41">
        <f>IF(Applications!$A73="","",Applications!$A73&amp;"")</f>
        <v/>
      </c>
      <c r="B74" s="45">
        <f>IF($A74="","",Applications!$B73&amp;"")</f>
        <v/>
      </c>
      <c r="C74" s="46">
        <f>IF(AND($A74&lt;&gt;"",ISNUMBER(Applications!$D73)),Applications!$D73,"")</f>
        <v/>
      </c>
      <c r="D74" s="41">
        <f>IF($A74="","",COUNTIFS(Scores!$A$3:$A$502,$A74,Scores!$O$3:$O$502,"Counted"))</f>
        <v/>
      </c>
      <c r="E74" s="41">
        <f>IF($A74="","",COUNTIFS(Scores!$A$3:$A$502,$A74,Scores!$O$3:$O$502,"Conflict, not counted"))</f>
        <v/>
      </c>
      <c r="F74" s="47">
        <f>IF($A74="","",IF(COUNTIFS(Scores!$A$3:$A$502,$A74,Scores!$B$3:$B$502,F$2,Scores!$O$3:$O$502,"Counted")=0,"",SUMIFS(Scores!$P$3:$P$502,Scores!$A$3:$A$502,$A74,Scores!$B$3:$B$502,F$2,Scores!$O$3:$O$502,"Counted")))</f>
        <v/>
      </c>
      <c r="G74" s="47">
        <f>IF($A74="","",IF(COUNTIFS(Scores!$A$3:$A$502,$A74,Scores!$B$3:$B$502,G$2,Scores!$O$3:$O$502,"Counted")=0,"",SUMIFS(Scores!$P$3:$P$502,Scores!$A$3:$A$502,$A74,Scores!$B$3:$B$502,G$2,Scores!$O$3:$O$502,"Counted")))</f>
        <v/>
      </c>
      <c r="H74" s="47">
        <f>IF($A74="","",IF(COUNTIFS(Scores!$A$3:$A$502,$A74,Scores!$B$3:$B$502,H$2,Scores!$O$3:$O$502,"Counted")=0,"",SUMIFS(Scores!$P$3:$P$502,Scores!$A$3:$A$502,$A74,Scores!$B$3:$B$502,H$2,Scores!$O$3:$O$502,"Counted")))</f>
        <v/>
      </c>
      <c r="I74" s="47">
        <f>IF($A74="","",IF(COUNTIFS(Scores!$A$3:$A$502,$A74,Scores!$B$3:$B$502,I$2,Scores!$O$3:$O$502,"Counted")=0,"",SUMIFS(Scores!$P$3:$P$502,Scores!$A$3:$A$502,$A74,Scores!$B$3:$B$502,I$2,Scores!$O$3:$O$502,"Counted")))</f>
        <v/>
      </c>
      <c r="J74" s="47">
        <f>IF($A74="","",IF(COUNTIFS(Scores!$A$3:$A$502,$A74,Scores!$B$3:$B$502,J$2,Scores!$O$3:$O$502,"Counted")=0,"",SUMIFS(Scores!$P$3:$P$502,Scores!$A$3:$A$502,$A74,Scores!$B$3:$B$502,J$2,Scores!$O$3:$O$502,"Counted")))</f>
        <v/>
      </c>
      <c r="K74" s="47">
        <f>IF($A74="","",IF(COUNTIFS(Scores!$A$3:$A$502,$A74,Scores!$B$3:$B$502,K$2,Scores!$O$3:$O$502,"Counted")=0,"",SUMIFS(Scores!$P$3:$P$502,Scores!$A$3:$A$502,$A74,Scores!$B$3:$B$502,K$2,Scores!$O$3:$O$502,"Counted")))</f>
        <v/>
      </c>
      <c r="L74" s="42">
        <f>IF(N($D74)=0,"",ROUND(SUMIFS(Scores!$P$3:$P$502,Scores!$A$3:$A$502,$A74,Scores!$O$3:$O$502,"Counted")/$D74,1))</f>
        <v/>
      </c>
      <c r="M74" s="47">
        <f>IF(COUNT(F74:K74)=0,"",MIN(F74:K74))</f>
        <v/>
      </c>
      <c r="N74" s="47">
        <f>IF(COUNT(F74:K74)=0,"",MAX(F74:K74))</f>
        <v/>
      </c>
      <c r="O74" s="47">
        <f>IF(COUNT(F74:K74)&lt;2,"",ROUND(N74-M74,1))</f>
        <v/>
      </c>
      <c r="P74" s="41">
        <f>IF($A74="","",Gaps!$K73)</f>
        <v/>
      </c>
      <c r="Q74" s="27">
        <f>IF($A74="","",IF(N($D74)=0,"No scores yet",IF($D74&lt;Settings!$E$5,"Needs more reviews",IF(OR(AND(ISNUMBER(O74),N(O74)&gt;=Settings!$E$6),AND(ISNUMBER(P74),N(P74)&gt;=Settings!$E$7)),"Talk it through","Ready"))))</f>
        <v/>
      </c>
      <c r="R74" s="27">
        <f>IF(ISNUMBER(L74),COUNTIF($L$3:$L$102,"&gt;"&amp;L74)+1,"")</f>
        <v/>
      </c>
      <c r="S74" s="25" t="n"/>
      <c r="T74" s="28" t="n"/>
      <c r="U74" s="48">
        <f>IF(ISNUMBER(L74),L74+(103-ROW())/100000,"")</f>
        <v/>
      </c>
    </row>
    <row r="75">
      <c r="A75" s="41">
        <f>IF(Applications!$A74="","",Applications!$A74&amp;"")</f>
        <v/>
      </c>
      <c r="B75" s="45">
        <f>IF($A75="","",Applications!$B74&amp;"")</f>
        <v/>
      </c>
      <c r="C75" s="46">
        <f>IF(AND($A75&lt;&gt;"",ISNUMBER(Applications!$D74)),Applications!$D74,"")</f>
        <v/>
      </c>
      <c r="D75" s="41">
        <f>IF($A75="","",COUNTIFS(Scores!$A$3:$A$502,$A75,Scores!$O$3:$O$502,"Counted"))</f>
        <v/>
      </c>
      <c r="E75" s="41">
        <f>IF($A75="","",COUNTIFS(Scores!$A$3:$A$502,$A75,Scores!$O$3:$O$502,"Conflict, not counted"))</f>
        <v/>
      </c>
      <c r="F75" s="47">
        <f>IF($A75="","",IF(COUNTIFS(Scores!$A$3:$A$502,$A75,Scores!$B$3:$B$502,F$2,Scores!$O$3:$O$502,"Counted")=0,"",SUMIFS(Scores!$P$3:$P$502,Scores!$A$3:$A$502,$A75,Scores!$B$3:$B$502,F$2,Scores!$O$3:$O$502,"Counted")))</f>
        <v/>
      </c>
      <c r="G75" s="47">
        <f>IF($A75="","",IF(COUNTIFS(Scores!$A$3:$A$502,$A75,Scores!$B$3:$B$502,G$2,Scores!$O$3:$O$502,"Counted")=0,"",SUMIFS(Scores!$P$3:$P$502,Scores!$A$3:$A$502,$A75,Scores!$B$3:$B$502,G$2,Scores!$O$3:$O$502,"Counted")))</f>
        <v/>
      </c>
      <c r="H75" s="47">
        <f>IF($A75="","",IF(COUNTIFS(Scores!$A$3:$A$502,$A75,Scores!$B$3:$B$502,H$2,Scores!$O$3:$O$502,"Counted")=0,"",SUMIFS(Scores!$P$3:$P$502,Scores!$A$3:$A$502,$A75,Scores!$B$3:$B$502,H$2,Scores!$O$3:$O$502,"Counted")))</f>
        <v/>
      </c>
      <c r="I75" s="47">
        <f>IF($A75="","",IF(COUNTIFS(Scores!$A$3:$A$502,$A75,Scores!$B$3:$B$502,I$2,Scores!$O$3:$O$502,"Counted")=0,"",SUMIFS(Scores!$P$3:$P$502,Scores!$A$3:$A$502,$A75,Scores!$B$3:$B$502,I$2,Scores!$O$3:$O$502,"Counted")))</f>
        <v/>
      </c>
      <c r="J75" s="47">
        <f>IF($A75="","",IF(COUNTIFS(Scores!$A$3:$A$502,$A75,Scores!$B$3:$B$502,J$2,Scores!$O$3:$O$502,"Counted")=0,"",SUMIFS(Scores!$P$3:$P$502,Scores!$A$3:$A$502,$A75,Scores!$B$3:$B$502,J$2,Scores!$O$3:$O$502,"Counted")))</f>
        <v/>
      </c>
      <c r="K75" s="47">
        <f>IF($A75="","",IF(COUNTIFS(Scores!$A$3:$A$502,$A75,Scores!$B$3:$B$502,K$2,Scores!$O$3:$O$502,"Counted")=0,"",SUMIFS(Scores!$P$3:$P$502,Scores!$A$3:$A$502,$A75,Scores!$B$3:$B$502,K$2,Scores!$O$3:$O$502,"Counted")))</f>
        <v/>
      </c>
      <c r="L75" s="42">
        <f>IF(N($D75)=0,"",ROUND(SUMIFS(Scores!$P$3:$P$502,Scores!$A$3:$A$502,$A75,Scores!$O$3:$O$502,"Counted")/$D75,1))</f>
        <v/>
      </c>
      <c r="M75" s="47">
        <f>IF(COUNT(F75:K75)=0,"",MIN(F75:K75))</f>
        <v/>
      </c>
      <c r="N75" s="47">
        <f>IF(COUNT(F75:K75)=0,"",MAX(F75:K75))</f>
        <v/>
      </c>
      <c r="O75" s="47">
        <f>IF(COUNT(F75:K75)&lt;2,"",ROUND(N75-M75,1))</f>
        <v/>
      </c>
      <c r="P75" s="41">
        <f>IF($A75="","",Gaps!$K74)</f>
        <v/>
      </c>
      <c r="Q75" s="27">
        <f>IF($A75="","",IF(N($D75)=0,"No scores yet",IF($D75&lt;Settings!$E$5,"Needs more reviews",IF(OR(AND(ISNUMBER(O75),N(O75)&gt;=Settings!$E$6),AND(ISNUMBER(P75),N(P75)&gt;=Settings!$E$7)),"Talk it through","Ready"))))</f>
        <v/>
      </c>
      <c r="R75" s="27">
        <f>IF(ISNUMBER(L75),COUNTIF($L$3:$L$102,"&gt;"&amp;L75)+1,"")</f>
        <v/>
      </c>
      <c r="S75" s="25" t="n"/>
      <c r="T75" s="28" t="n"/>
      <c r="U75" s="48">
        <f>IF(ISNUMBER(L75),L75+(103-ROW())/100000,"")</f>
        <v/>
      </c>
    </row>
    <row r="76">
      <c r="A76" s="41">
        <f>IF(Applications!$A75="","",Applications!$A75&amp;"")</f>
        <v/>
      </c>
      <c r="B76" s="45">
        <f>IF($A76="","",Applications!$B75&amp;"")</f>
        <v/>
      </c>
      <c r="C76" s="46">
        <f>IF(AND($A76&lt;&gt;"",ISNUMBER(Applications!$D75)),Applications!$D75,"")</f>
        <v/>
      </c>
      <c r="D76" s="41">
        <f>IF($A76="","",COUNTIFS(Scores!$A$3:$A$502,$A76,Scores!$O$3:$O$502,"Counted"))</f>
        <v/>
      </c>
      <c r="E76" s="41">
        <f>IF($A76="","",COUNTIFS(Scores!$A$3:$A$502,$A76,Scores!$O$3:$O$502,"Conflict, not counted"))</f>
        <v/>
      </c>
      <c r="F76" s="47">
        <f>IF($A76="","",IF(COUNTIFS(Scores!$A$3:$A$502,$A76,Scores!$B$3:$B$502,F$2,Scores!$O$3:$O$502,"Counted")=0,"",SUMIFS(Scores!$P$3:$P$502,Scores!$A$3:$A$502,$A76,Scores!$B$3:$B$502,F$2,Scores!$O$3:$O$502,"Counted")))</f>
        <v/>
      </c>
      <c r="G76" s="47">
        <f>IF($A76="","",IF(COUNTIFS(Scores!$A$3:$A$502,$A76,Scores!$B$3:$B$502,G$2,Scores!$O$3:$O$502,"Counted")=0,"",SUMIFS(Scores!$P$3:$P$502,Scores!$A$3:$A$502,$A76,Scores!$B$3:$B$502,G$2,Scores!$O$3:$O$502,"Counted")))</f>
        <v/>
      </c>
      <c r="H76" s="47">
        <f>IF($A76="","",IF(COUNTIFS(Scores!$A$3:$A$502,$A76,Scores!$B$3:$B$502,H$2,Scores!$O$3:$O$502,"Counted")=0,"",SUMIFS(Scores!$P$3:$P$502,Scores!$A$3:$A$502,$A76,Scores!$B$3:$B$502,H$2,Scores!$O$3:$O$502,"Counted")))</f>
        <v/>
      </c>
      <c r="I76" s="47">
        <f>IF($A76="","",IF(COUNTIFS(Scores!$A$3:$A$502,$A76,Scores!$B$3:$B$502,I$2,Scores!$O$3:$O$502,"Counted")=0,"",SUMIFS(Scores!$P$3:$P$502,Scores!$A$3:$A$502,$A76,Scores!$B$3:$B$502,I$2,Scores!$O$3:$O$502,"Counted")))</f>
        <v/>
      </c>
      <c r="J76" s="47">
        <f>IF($A76="","",IF(COUNTIFS(Scores!$A$3:$A$502,$A76,Scores!$B$3:$B$502,J$2,Scores!$O$3:$O$502,"Counted")=0,"",SUMIFS(Scores!$P$3:$P$502,Scores!$A$3:$A$502,$A76,Scores!$B$3:$B$502,J$2,Scores!$O$3:$O$502,"Counted")))</f>
        <v/>
      </c>
      <c r="K76" s="47">
        <f>IF($A76="","",IF(COUNTIFS(Scores!$A$3:$A$502,$A76,Scores!$B$3:$B$502,K$2,Scores!$O$3:$O$502,"Counted")=0,"",SUMIFS(Scores!$P$3:$P$502,Scores!$A$3:$A$502,$A76,Scores!$B$3:$B$502,K$2,Scores!$O$3:$O$502,"Counted")))</f>
        <v/>
      </c>
      <c r="L76" s="42">
        <f>IF(N($D76)=0,"",ROUND(SUMIFS(Scores!$P$3:$P$502,Scores!$A$3:$A$502,$A76,Scores!$O$3:$O$502,"Counted")/$D76,1))</f>
        <v/>
      </c>
      <c r="M76" s="47">
        <f>IF(COUNT(F76:K76)=0,"",MIN(F76:K76))</f>
        <v/>
      </c>
      <c r="N76" s="47">
        <f>IF(COUNT(F76:K76)=0,"",MAX(F76:K76))</f>
        <v/>
      </c>
      <c r="O76" s="47">
        <f>IF(COUNT(F76:K76)&lt;2,"",ROUND(N76-M76,1))</f>
        <v/>
      </c>
      <c r="P76" s="41">
        <f>IF($A76="","",Gaps!$K75)</f>
        <v/>
      </c>
      <c r="Q76" s="27">
        <f>IF($A76="","",IF(N($D76)=0,"No scores yet",IF($D76&lt;Settings!$E$5,"Needs more reviews",IF(OR(AND(ISNUMBER(O76),N(O76)&gt;=Settings!$E$6),AND(ISNUMBER(P76),N(P76)&gt;=Settings!$E$7)),"Talk it through","Ready"))))</f>
        <v/>
      </c>
      <c r="R76" s="27">
        <f>IF(ISNUMBER(L76),COUNTIF($L$3:$L$102,"&gt;"&amp;L76)+1,"")</f>
        <v/>
      </c>
      <c r="S76" s="25" t="n"/>
      <c r="T76" s="28" t="n"/>
      <c r="U76" s="48">
        <f>IF(ISNUMBER(L76),L76+(103-ROW())/100000,"")</f>
        <v/>
      </c>
    </row>
    <row r="77">
      <c r="A77" s="41">
        <f>IF(Applications!$A76="","",Applications!$A76&amp;"")</f>
        <v/>
      </c>
      <c r="B77" s="45">
        <f>IF($A77="","",Applications!$B76&amp;"")</f>
        <v/>
      </c>
      <c r="C77" s="46">
        <f>IF(AND($A77&lt;&gt;"",ISNUMBER(Applications!$D76)),Applications!$D76,"")</f>
        <v/>
      </c>
      <c r="D77" s="41">
        <f>IF($A77="","",COUNTIFS(Scores!$A$3:$A$502,$A77,Scores!$O$3:$O$502,"Counted"))</f>
        <v/>
      </c>
      <c r="E77" s="41">
        <f>IF($A77="","",COUNTIFS(Scores!$A$3:$A$502,$A77,Scores!$O$3:$O$502,"Conflict, not counted"))</f>
        <v/>
      </c>
      <c r="F77" s="47">
        <f>IF($A77="","",IF(COUNTIFS(Scores!$A$3:$A$502,$A77,Scores!$B$3:$B$502,F$2,Scores!$O$3:$O$502,"Counted")=0,"",SUMIFS(Scores!$P$3:$P$502,Scores!$A$3:$A$502,$A77,Scores!$B$3:$B$502,F$2,Scores!$O$3:$O$502,"Counted")))</f>
        <v/>
      </c>
      <c r="G77" s="47">
        <f>IF($A77="","",IF(COUNTIFS(Scores!$A$3:$A$502,$A77,Scores!$B$3:$B$502,G$2,Scores!$O$3:$O$502,"Counted")=0,"",SUMIFS(Scores!$P$3:$P$502,Scores!$A$3:$A$502,$A77,Scores!$B$3:$B$502,G$2,Scores!$O$3:$O$502,"Counted")))</f>
        <v/>
      </c>
      <c r="H77" s="47">
        <f>IF($A77="","",IF(COUNTIFS(Scores!$A$3:$A$502,$A77,Scores!$B$3:$B$502,H$2,Scores!$O$3:$O$502,"Counted")=0,"",SUMIFS(Scores!$P$3:$P$502,Scores!$A$3:$A$502,$A77,Scores!$B$3:$B$502,H$2,Scores!$O$3:$O$502,"Counted")))</f>
        <v/>
      </c>
      <c r="I77" s="47">
        <f>IF($A77="","",IF(COUNTIFS(Scores!$A$3:$A$502,$A77,Scores!$B$3:$B$502,I$2,Scores!$O$3:$O$502,"Counted")=0,"",SUMIFS(Scores!$P$3:$P$502,Scores!$A$3:$A$502,$A77,Scores!$B$3:$B$502,I$2,Scores!$O$3:$O$502,"Counted")))</f>
        <v/>
      </c>
      <c r="J77" s="47">
        <f>IF($A77="","",IF(COUNTIFS(Scores!$A$3:$A$502,$A77,Scores!$B$3:$B$502,J$2,Scores!$O$3:$O$502,"Counted")=0,"",SUMIFS(Scores!$P$3:$P$502,Scores!$A$3:$A$502,$A77,Scores!$B$3:$B$502,J$2,Scores!$O$3:$O$502,"Counted")))</f>
        <v/>
      </c>
      <c r="K77" s="47">
        <f>IF($A77="","",IF(COUNTIFS(Scores!$A$3:$A$502,$A77,Scores!$B$3:$B$502,K$2,Scores!$O$3:$O$502,"Counted")=0,"",SUMIFS(Scores!$P$3:$P$502,Scores!$A$3:$A$502,$A77,Scores!$B$3:$B$502,K$2,Scores!$O$3:$O$502,"Counted")))</f>
        <v/>
      </c>
      <c r="L77" s="42">
        <f>IF(N($D77)=0,"",ROUND(SUMIFS(Scores!$P$3:$P$502,Scores!$A$3:$A$502,$A77,Scores!$O$3:$O$502,"Counted")/$D77,1))</f>
        <v/>
      </c>
      <c r="M77" s="47">
        <f>IF(COUNT(F77:K77)=0,"",MIN(F77:K77))</f>
        <v/>
      </c>
      <c r="N77" s="47">
        <f>IF(COUNT(F77:K77)=0,"",MAX(F77:K77))</f>
        <v/>
      </c>
      <c r="O77" s="47">
        <f>IF(COUNT(F77:K77)&lt;2,"",ROUND(N77-M77,1))</f>
        <v/>
      </c>
      <c r="P77" s="41">
        <f>IF($A77="","",Gaps!$K76)</f>
        <v/>
      </c>
      <c r="Q77" s="27">
        <f>IF($A77="","",IF(N($D77)=0,"No scores yet",IF($D77&lt;Settings!$E$5,"Needs more reviews",IF(OR(AND(ISNUMBER(O77),N(O77)&gt;=Settings!$E$6),AND(ISNUMBER(P77),N(P77)&gt;=Settings!$E$7)),"Talk it through","Ready"))))</f>
        <v/>
      </c>
      <c r="R77" s="27">
        <f>IF(ISNUMBER(L77),COUNTIF($L$3:$L$102,"&gt;"&amp;L77)+1,"")</f>
        <v/>
      </c>
      <c r="S77" s="25" t="n"/>
      <c r="T77" s="28" t="n"/>
      <c r="U77" s="48">
        <f>IF(ISNUMBER(L77),L77+(103-ROW())/100000,"")</f>
        <v/>
      </c>
    </row>
    <row r="78">
      <c r="A78" s="41">
        <f>IF(Applications!$A77="","",Applications!$A77&amp;"")</f>
        <v/>
      </c>
      <c r="B78" s="45">
        <f>IF($A78="","",Applications!$B77&amp;"")</f>
        <v/>
      </c>
      <c r="C78" s="46">
        <f>IF(AND($A78&lt;&gt;"",ISNUMBER(Applications!$D77)),Applications!$D77,"")</f>
        <v/>
      </c>
      <c r="D78" s="41">
        <f>IF($A78="","",COUNTIFS(Scores!$A$3:$A$502,$A78,Scores!$O$3:$O$502,"Counted"))</f>
        <v/>
      </c>
      <c r="E78" s="41">
        <f>IF($A78="","",COUNTIFS(Scores!$A$3:$A$502,$A78,Scores!$O$3:$O$502,"Conflict, not counted"))</f>
        <v/>
      </c>
      <c r="F78" s="47">
        <f>IF($A78="","",IF(COUNTIFS(Scores!$A$3:$A$502,$A78,Scores!$B$3:$B$502,F$2,Scores!$O$3:$O$502,"Counted")=0,"",SUMIFS(Scores!$P$3:$P$502,Scores!$A$3:$A$502,$A78,Scores!$B$3:$B$502,F$2,Scores!$O$3:$O$502,"Counted")))</f>
        <v/>
      </c>
      <c r="G78" s="47">
        <f>IF($A78="","",IF(COUNTIFS(Scores!$A$3:$A$502,$A78,Scores!$B$3:$B$502,G$2,Scores!$O$3:$O$502,"Counted")=0,"",SUMIFS(Scores!$P$3:$P$502,Scores!$A$3:$A$502,$A78,Scores!$B$3:$B$502,G$2,Scores!$O$3:$O$502,"Counted")))</f>
        <v/>
      </c>
      <c r="H78" s="47">
        <f>IF($A78="","",IF(COUNTIFS(Scores!$A$3:$A$502,$A78,Scores!$B$3:$B$502,H$2,Scores!$O$3:$O$502,"Counted")=0,"",SUMIFS(Scores!$P$3:$P$502,Scores!$A$3:$A$502,$A78,Scores!$B$3:$B$502,H$2,Scores!$O$3:$O$502,"Counted")))</f>
        <v/>
      </c>
      <c r="I78" s="47">
        <f>IF($A78="","",IF(COUNTIFS(Scores!$A$3:$A$502,$A78,Scores!$B$3:$B$502,I$2,Scores!$O$3:$O$502,"Counted")=0,"",SUMIFS(Scores!$P$3:$P$502,Scores!$A$3:$A$502,$A78,Scores!$B$3:$B$502,I$2,Scores!$O$3:$O$502,"Counted")))</f>
        <v/>
      </c>
      <c r="J78" s="47">
        <f>IF($A78="","",IF(COUNTIFS(Scores!$A$3:$A$502,$A78,Scores!$B$3:$B$502,J$2,Scores!$O$3:$O$502,"Counted")=0,"",SUMIFS(Scores!$P$3:$P$502,Scores!$A$3:$A$502,$A78,Scores!$B$3:$B$502,J$2,Scores!$O$3:$O$502,"Counted")))</f>
        <v/>
      </c>
      <c r="K78" s="47">
        <f>IF($A78="","",IF(COUNTIFS(Scores!$A$3:$A$502,$A78,Scores!$B$3:$B$502,K$2,Scores!$O$3:$O$502,"Counted")=0,"",SUMIFS(Scores!$P$3:$P$502,Scores!$A$3:$A$502,$A78,Scores!$B$3:$B$502,K$2,Scores!$O$3:$O$502,"Counted")))</f>
        <v/>
      </c>
      <c r="L78" s="42">
        <f>IF(N($D78)=0,"",ROUND(SUMIFS(Scores!$P$3:$P$502,Scores!$A$3:$A$502,$A78,Scores!$O$3:$O$502,"Counted")/$D78,1))</f>
        <v/>
      </c>
      <c r="M78" s="47">
        <f>IF(COUNT(F78:K78)=0,"",MIN(F78:K78))</f>
        <v/>
      </c>
      <c r="N78" s="47">
        <f>IF(COUNT(F78:K78)=0,"",MAX(F78:K78))</f>
        <v/>
      </c>
      <c r="O78" s="47">
        <f>IF(COUNT(F78:K78)&lt;2,"",ROUND(N78-M78,1))</f>
        <v/>
      </c>
      <c r="P78" s="41">
        <f>IF($A78="","",Gaps!$K77)</f>
        <v/>
      </c>
      <c r="Q78" s="27">
        <f>IF($A78="","",IF(N($D78)=0,"No scores yet",IF($D78&lt;Settings!$E$5,"Needs more reviews",IF(OR(AND(ISNUMBER(O78),N(O78)&gt;=Settings!$E$6),AND(ISNUMBER(P78),N(P78)&gt;=Settings!$E$7)),"Talk it through","Ready"))))</f>
        <v/>
      </c>
      <c r="R78" s="27">
        <f>IF(ISNUMBER(L78),COUNTIF($L$3:$L$102,"&gt;"&amp;L78)+1,"")</f>
        <v/>
      </c>
      <c r="S78" s="25" t="n"/>
      <c r="T78" s="28" t="n"/>
      <c r="U78" s="48">
        <f>IF(ISNUMBER(L78),L78+(103-ROW())/100000,"")</f>
        <v/>
      </c>
    </row>
    <row r="79">
      <c r="A79" s="41">
        <f>IF(Applications!$A78="","",Applications!$A78&amp;"")</f>
        <v/>
      </c>
      <c r="B79" s="45">
        <f>IF($A79="","",Applications!$B78&amp;"")</f>
        <v/>
      </c>
      <c r="C79" s="46">
        <f>IF(AND($A79&lt;&gt;"",ISNUMBER(Applications!$D78)),Applications!$D78,"")</f>
        <v/>
      </c>
      <c r="D79" s="41">
        <f>IF($A79="","",COUNTIFS(Scores!$A$3:$A$502,$A79,Scores!$O$3:$O$502,"Counted"))</f>
        <v/>
      </c>
      <c r="E79" s="41">
        <f>IF($A79="","",COUNTIFS(Scores!$A$3:$A$502,$A79,Scores!$O$3:$O$502,"Conflict, not counted"))</f>
        <v/>
      </c>
      <c r="F79" s="47">
        <f>IF($A79="","",IF(COUNTIFS(Scores!$A$3:$A$502,$A79,Scores!$B$3:$B$502,F$2,Scores!$O$3:$O$502,"Counted")=0,"",SUMIFS(Scores!$P$3:$P$502,Scores!$A$3:$A$502,$A79,Scores!$B$3:$B$502,F$2,Scores!$O$3:$O$502,"Counted")))</f>
        <v/>
      </c>
      <c r="G79" s="47">
        <f>IF($A79="","",IF(COUNTIFS(Scores!$A$3:$A$502,$A79,Scores!$B$3:$B$502,G$2,Scores!$O$3:$O$502,"Counted")=0,"",SUMIFS(Scores!$P$3:$P$502,Scores!$A$3:$A$502,$A79,Scores!$B$3:$B$502,G$2,Scores!$O$3:$O$502,"Counted")))</f>
        <v/>
      </c>
      <c r="H79" s="47">
        <f>IF($A79="","",IF(COUNTIFS(Scores!$A$3:$A$502,$A79,Scores!$B$3:$B$502,H$2,Scores!$O$3:$O$502,"Counted")=0,"",SUMIFS(Scores!$P$3:$P$502,Scores!$A$3:$A$502,$A79,Scores!$B$3:$B$502,H$2,Scores!$O$3:$O$502,"Counted")))</f>
        <v/>
      </c>
      <c r="I79" s="47">
        <f>IF($A79="","",IF(COUNTIFS(Scores!$A$3:$A$502,$A79,Scores!$B$3:$B$502,I$2,Scores!$O$3:$O$502,"Counted")=0,"",SUMIFS(Scores!$P$3:$P$502,Scores!$A$3:$A$502,$A79,Scores!$B$3:$B$502,I$2,Scores!$O$3:$O$502,"Counted")))</f>
        <v/>
      </c>
      <c r="J79" s="47">
        <f>IF($A79="","",IF(COUNTIFS(Scores!$A$3:$A$502,$A79,Scores!$B$3:$B$502,J$2,Scores!$O$3:$O$502,"Counted")=0,"",SUMIFS(Scores!$P$3:$P$502,Scores!$A$3:$A$502,$A79,Scores!$B$3:$B$502,J$2,Scores!$O$3:$O$502,"Counted")))</f>
        <v/>
      </c>
      <c r="K79" s="47">
        <f>IF($A79="","",IF(COUNTIFS(Scores!$A$3:$A$502,$A79,Scores!$B$3:$B$502,K$2,Scores!$O$3:$O$502,"Counted")=0,"",SUMIFS(Scores!$P$3:$P$502,Scores!$A$3:$A$502,$A79,Scores!$B$3:$B$502,K$2,Scores!$O$3:$O$502,"Counted")))</f>
        <v/>
      </c>
      <c r="L79" s="42">
        <f>IF(N($D79)=0,"",ROUND(SUMIFS(Scores!$P$3:$P$502,Scores!$A$3:$A$502,$A79,Scores!$O$3:$O$502,"Counted")/$D79,1))</f>
        <v/>
      </c>
      <c r="M79" s="47">
        <f>IF(COUNT(F79:K79)=0,"",MIN(F79:K79))</f>
        <v/>
      </c>
      <c r="N79" s="47">
        <f>IF(COUNT(F79:K79)=0,"",MAX(F79:K79))</f>
        <v/>
      </c>
      <c r="O79" s="47">
        <f>IF(COUNT(F79:K79)&lt;2,"",ROUND(N79-M79,1))</f>
        <v/>
      </c>
      <c r="P79" s="41">
        <f>IF($A79="","",Gaps!$K78)</f>
        <v/>
      </c>
      <c r="Q79" s="27">
        <f>IF($A79="","",IF(N($D79)=0,"No scores yet",IF($D79&lt;Settings!$E$5,"Needs more reviews",IF(OR(AND(ISNUMBER(O79),N(O79)&gt;=Settings!$E$6),AND(ISNUMBER(P79),N(P79)&gt;=Settings!$E$7)),"Talk it through","Ready"))))</f>
        <v/>
      </c>
      <c r="R79" s="27">
        <f>IF(ISNUMBER(L79),COUNTIF($L$3:$L$102,"&gt;"&amp;L79)+1,"")</f>
        <v/>
      </c>
      <c r="S79" s="25" t="n"/>
      <c r="T79" s="28" t="n"/>
      <c r="U79" s="48">
        <f>IF(ISNUMBER(L79),L79+(103-ROW())/100000,"")</f>
        <v/>
      </c>
    </row>
    <row r="80">
      <c r="A80" s="41">
        <f>IF(Applications!$A79="","",Applications!$A79&amp;"")</f>
        <v/>
      </c>
      <c r="B80" s="45">
        <f>IF($A80="","",Applications!$B79&amp;"")</f>
        <v/>
      </c>
      <c r="C80" s="46">
        <f>IF(AND($A80&lt;&gt;"",ISNUMBER(Applications!$D79)),Applications!$D79,"")</f>
        <v/>
      </c>
      <c r="D80" s="41">
        <f>IF($A80="","",COUNTIFS(Scores!$A$3:$A$502,$A80,Scores!$O$3:$O$502,"Counted"))</f>
        <v/>
      </c>
      <c r="E80" s="41">
        <f>IF($A80="","",COUNTIFS(Scores!$A$3:$A$502,$A80,Scores!$O$3:$O$502,"Conflict, not counted"))</f>
        <v/>
      </c>
      <c r="F80" s="47">
        <f>IF($A80="","",IF(COUNTIFS(Scores!$A$3:$A$502,$A80,Scores!$B$3:$B$502,F$2,Scores!$O$3:$O$502,"Counted")=0,"",SUMIFS(Scores!$P$3:$P$502,Scores!$A$3:$A$502,$A80,Scores!$B$3:$B$502,F$2,Scores!$O$3:$O$502,"Counted")))</f>
        <v/>
      </c>
      <c r="G80" s="47">
        <f>IF($A80="","",IF(COUNTIFS(Scores!$A$3:$A$502,$A80,Scores!$B$3:$B$502,G$2,Scores!$O$3:$O$502,"Counted")=0,"",SUMIFS(Scores!$P$3:$P$502,Scores!$A$3:$A$502,$A80,Scores!$B$3:$B$502,G$2,Scores!$O$3:$O$502,"Counted")))</f>
        <v/>
      </c>
      <c r="H80" s="47">
        <f>IF($A80="","",IF(COUNTIFS(Scores!$A$3:$A$502,$A80,Scores!$B$3:$B$502,H$2,Scores!$O$3:$O$502,"Counted")=0,"",SUMIFS(Scores!$P$3:$P$502,Scores!$A$3:$A$502,$A80,Scores!$B$3:$B$502,H$2,Scores!$O$3:$O$502,"Counted")))</f>
        <v/>
      </c>
      <c r="I80" s="47">
        <f>IF($A80="","",IF(COUNTIFS(Scores!$A$3:$A$502,$A80,Scores!$B$3:$B$502,I$2,Scores!$O$3:$O$502,"Counted")=0,"",SUMIFS(Scores!$P$3:$P$502,Scores!$A$3:$A$502,$A80,Scores!$B$3:$B$502,I$2,Scores!$O$3:$O$502,"Counted")))</f>
        <v/>
      </c>
      <c r="J80" s="47">
        <f>IF($A80="","",IF(COUNTIFS(Scores!$A$3:$A$502,$A80,Scores!$B$3:$B$502,J$2,Scores!$O$3:$O$502,"Counted")=0,"",SUMIFS(Scores!$P$3:$P$502,Scores!$A$3:$A$502,$A80,Scores!$B$3:$B$502,J$2,Scores!$O$3:$O$502,"Counted")))</f>
        <v/>
      </c>
      <c r="K80" s="47">
        <f>IF($A80="","",IF(COUNTIFS(Scores!$A$3:$A$502,$A80,Scores!$B$3:$B$502,K$2,Scores!$O$3:$O$502,"Counted")=0,"",SUMIFS(Scores!$P$3:$P$502,Scores!$A$3:$A$502,$A80,Scores!$B$3:$B$502,K$2,Scores!$O$3:$O$502,"Counted")))</f>
        <v/>
      </c>
      <c r="L80" s="42">
        <f>IF(N($D80)=0,"",ROUND(SUMIFS(Scores!$P$3:$P$502,Scores!$A$3:$A$502,$A80,Scores!$O$3:$O$502,"Counted")/$D80,1))</f>
        <v/>
      </c>
      <c r="M80" s="47">
        <f>IF(COUNT(F80:K80)=0,"",MIN(F80:K80))</f>
        <v/>
      </c>
      <c r="N80" s="47">
        <f>IF(COUNT(F80:K80)=0,"",MAX(F80:K80))</f>
        <v/>
      </c>
      <c r="O80" s="47">
        <f>IF(COUNT(F80:K80)&lt;2,"",ROUND(N80-M80,1))</f>
        <v/>
      </c>
      <c r="P80" s="41">
        <f>IF($A80="","",Gaps!$K79)</f>
        <v/>
      </c>
      <c r="Q80" s="27">
        <f>IF($A80="","",IF(N($D80)=0,"No scores yet",IF($D80&lt;Settings!$E$5,"Needs more reviews",IF(OR(AND(ISNUMBER(O80),N(O80)&gt;=Settings!$E$6),AND(ISNUMBER(P80),N(P80)&gt;=Settings!$E$7)),"Talk it through","Ready"))))</f>
        <v/>
      </c>
      <c r="R80" s="27">
        <f>IF(ISNUMBER(L80),COUNTIF($L$3:$L$102,"&gt;"&amp;L80)+1,"")</f>
        <v/>
      </c>
      <c r="S80" s="25" t="n"/>
      <c r="T80" s="28" t="n"/>
      <c r="U80" s="48">
        <f>IF(ISNUMBER(L80),L80+(103-ROW())/100000,"")</f>
        <v/>
      </c>
    </row>
    <row r="81">
      <c r="A81" s="41">
        <f>IF(Applications!$A80="","",Applications!$A80&amp;"")</f>
        <v/>
      </c>
      <c r="B81" s="45">
        <f>IF($A81="","",Applications!$B80&amp;"")</f>
        <v/>
      </c>
      <c r="C81" s="46">
        <f>IF(AND($A81&lt;&gt;"",ISNUMBER(Applications!$D80)),Applications!$D80,"")</f>
        <v/>
      </c>
      <c r="D81" s="41">
        <f>IF($A81="","",COUNTIFS(Scores!$A$3:$A$502,$A81,Scores!$O$3:$O$502,"Counted"))</f>
        <v/>
      </c>
      <c r="E81" s="41">
        <f>IF($A81="","",COUNTIFS(Scores!$A$3:$A$502,$A81,Scores!$O$3:$O$502,"Conflict, not counted"))</f>
        <v/>
      </c>
      <c r="F81" s="47">
        <f>IF($A81="","",IF(COUNTIFS(Scores!$A$3:$A$502,$A81,Scores!$B$3:$B$502,F$2,Scores!$O$3:$O$502,"Counted")=0,"",SUMIFS(Scores!$P$3:$P$502,Scores!$A$3:$A$502,$A81,Scores!$B$3:$B$502,F$2,Scores!$O$3:$O$502,"Counted")))</f>
        <v/>
      </c>
      <c r="G81" s="47">
        <f>IF($A81="","",IF(COUNTIFS(Scores!$A$3:$A$502,$A81,Scores!$B$3:$B$502,G$2,Scores!$O$3:$O$502,"Counted")=0,"",SUMIFS(Scores!$P$3:$P$502,Scores!$A$3:$A$502,$A81,Scores!$B$3:$B$502,G$2,Scores!$O$3:$O$502,"Counted")))</f>
        <v/>
      </c>
      <c r="H81" s="47">
        <f>IF($A81="","",IF(COUNTIFS(Scores!$A$3:$A$502,$A81,Scores!$B$3:$B$502,H$2,Scores!$O$3:$O$502,"Counted")=0,"",SUMIFS(Scores!$P$3:$P$502,Scores!$A$3:$A$502,$A81,Scores!$B$3:$B$502,H$2,Scores!$O$3:$O$502,"Counted")))</f>
        <v/>
      </c>
      <c r="I81" s="47">
        <f>IF($A81="","",IF(COUNTIFS(Scores!$A$3:$A$502,$A81,Scores!$B$3:$B$502,I$2,Scores!$O$3:$O$502,"Counted")=0,"",SUMIFS(Scores!$P$3:$P$502,Scores!$A$3:$A$502,$A81,Scores!$B$3:$B$502,I$2,Scores!$O$3:$O$502,"Counted")))</f>
        <v/>
      </c>
      <c r="J81" s="47">
        <f>IF($A81="","",IF(COUNTIFS(Scores!$A$3:$A$502,$A81,Scores!$B$3:$B$502,J$2,Scores!$O$3:$O$502,"Counted")=0,"",SUMIFS(Scores!$P$3:$P$502,Scores!$A$3:$A$502,$A81,Scores!$B$3:$B$502,J$2,Scores!$O$3:$O$502,"Counted")))</f>
        <v/>
      </c>
      <c r="K81" s="47">
        <f>IF($A81="","",IF(COUNTIFS(Scores!$A$3:$A$502,$A81,Scores!$B$3:$B$502,K$2,Scores!$O$3:$O$502,"Counted")=0,"",SUMIFS(Scores!$P$3:$P$502,Scores!$A$3:$A$502,$A81,Scores!$B$3:$B$502,K$2,Scores!$O$3:$O$502,"Counted")))</f>
        <v/>
      </c>
      <c r="L81" s="42">
        <f>IF(N($D81)=0,"",ROUND(SUMIFS(Scores!$P$3:$P$502,Scores!$A$3:$A$502,$A81,Scores!$O$3:$O$502,"Counted")/$D81,1))</f>
        <v/>
      </c>
      <c r="M81" s="47">
        <f>IF(COUNT(F81:K81)=0,"",MIN(F81:K81))</f>
        <v/>
      </c>
      <c r="N81" s="47">
        <f>IF(COUNT(F81:K81)=0,"",MAX(F81:K81))</f>
        <v/>
      </c>
      <c r="O81" s="47">
        <f>IF(COUNT(F81:K81)&lt;2,"",ROUND(N81-M81,1))</f>
        <v/>
      </c>
      <c r="P81" s="41">
        <f>IF($A81="","",Gaps!$K80)</f>
        <v/>
      </c>
      <c r="Q81" s="27">
        <f>IF($A81="","",IF(N($D81)=0,"No scores yet",IF($D81&lt;Settings!$E$5,"Needs more reviews",IF(OR(AND(ISNUMBER(O81),N(O81)&gt;=Settings!$E$6),AND(ISNUMBER(P81),N(P81)&gt;=Settings!$E$7)),"Talk it through","Ready"))))</f>
        <v/>
      </c>
      <c r="R81" s="27">
        <f>IF(ISNUMBER(L81),COUNTIF($L$3:$L$102,"&gt;"&amp;L81)+1,"")</f>
        <v/>
      </c>
      <c r="S81" s="25" t="n"/>
      <c r="T81" s="28" t="n"/>
      <c r="U81" s="48">
        <f>IF(ISNUMBER(L81),L81+(103-ROW())/100000,"")</f>
        <v/>
      </c>
    </row>
    <row r="82">
      <c r="A82" s="41">
        <f>IF(Applications!$A81="","",Applications!$A81&amp;"")</f>
        <v/>
      </c>
      <c r="B82" s="45">
        <f>IF($A82="","",Applications!$B81&amp;"")</f>
        <v/>
      </c>
      <c r="C82" s="46">
        <f>IF(AND($A82&lt;&gt;"",ISNUMBER(Applications!$D81)),Applications!$D81,"")</f>
        <v/>
      </c>
      <c r="D82" s="41">
        <f>IF($A82="","",COUNTIFS(Scores!$A$3:$A$502,$A82,Scores!$O$3:$O$502,"Counted"))</f>
        <v/>
      </c>
      <c r="E82" s="41">
        <f>IF($A82="","",COUNTIFS(Scores!$A$3:$A$502,$A82,Scores!$O$3:$O$502,"Conflict, not counted"))</f>
        <v/>
      </c>
      <c r="F82" s="47">
        <f>IF($A82="","",IF(COUNTIFS(Scores!$A$3:$A$502,$A82,Scores!$B$3:$B$502,F$2,Scores!$O$3:$O$502,"Counted")=0,"",SUMIFS(Scores!$P$3:$P$502,Scores!$A$3:$A$502,$A82,Scores!$B$3:$B$502,F$2,Scores!$O$3:$O$502,"Counted")))</f>
        <v/>
      </c>
      <c r="G82" s="47">
        <f>IF($A82="","",IF(COUNTIFS(Scores!$A$3:$A$502,$A82,Scores!$B$3:$B$502,G$2,Scores!$O$3:$O$502,"Counted")=0,"",SUMIFS(Scores!$P$3:$P$502,Scores!$A$3:$A$502,$A82,Scores!$B$3:$B$502,G$2,Scores!$O$3:$O$502,"Counted")))</f>
        <v/>
      </c>
      <c r="H82" s="47">
        <f>IF($A82="","",IF(COUNTIFS(Scores!$A$3:$A$502,$A82,Scores!$B$3:$B$502,H$2,Scores!$O$3:$O$502,"Counted")=0,"",SUMIFS(Scores!$P$3:$P$502,Scores!$A$3:$A$502,$A82,Scores!$B$3:$B$502,H$2,Scores!$O$3:$O$502,"Counted")))</f>
        <v/>
      </c>
      <c r="I82" s="47">
        <f>IF($A82="","",IF(COUNTIFS(Scores!$A$3:$A$502,$A82,Scores!$B$3:$B$502,I$2,Scores!$O$3:$O$502,"Counted")=0,"",SUMIFS(Scores!$P$3:$P$502,Scores!$A$3:$A$502,$A82,Scores!$B$3:$B$502,I$2,Scores!$O$3:$O$502,"Counted")))</f>
        <v/>
      </c>
      <c r="J82" s="47">
        <f>IF($A82="","",IF(COUNTIFS(Scores!$A$3:$A$502,$A82,Scores!$B$3:$B$502,J$2,Scores!$O$3:$O$502,"Counted")=0,"",SUMIFS(Scores!$P$3:$P$502,Scores!$A$3:$A$502,$A82,Scores!$B$3:$B$502,J$2,Scores!$O$3:$O$502,"Counted")))</f>
        <v/>
      </c>
      <c r="K82" s="47">
        <f>IF($A82="","",IF(COUNTIFS(Scores!$A$3:$A$502,$A82,Scores!$B$3:$B$502,K$2,Scores!$O$3:$O$502,"Counted")=0,"",SUMIFS(Scores!$P$3:$P$502,Scores!$A$3:$A$502,$A82,Scores!$B$3:$B$502,K$2,Scores!$O$3:$O$502,"Counted")))</f>
        <v/>
      </c>
      <c r="L82" s="42">
        <f>IF(N($D82)=0,"",ROUND(SUMIFS(Scores!$P$3:$P$502,Scores!$A$3:$A$502,$A82,Scores!$O$3:$O$502,"Counted")/$D82,1))</f>
        <v/>
      </c>
      <c r="M82" s="47">
        <f>IF(COUNT(F82:K82)=0,"",MIN(F82:K82))</f>
        <v/>
      </c>
      <c r="N82" s="47">
        <f>IF(COUNT(F82:K82)=0,"",MAX(F82:K82))</f>
        <v/>
      </c>
      <c r="O82" s="47">
        <f>IF(COUNT(F82:K82)&lt;2,"",ROUND(N82-M82,1))</f>
        <v/>
      </c>
      <c r="P82" s="41">
        <f>IF($A82="","",Gaps!$K81)</f>
        <v/>
      </c>
      <c r="Q82" s="27">
        <f>IF($A82="","",IF(N($D82)=0,"No scores yet",IF($D82&lt;Settings!$E$5,"Needs more reviews",IF(OR(AND(ISNUMBER(O82),N(O82)&gt;=Settings!$E$6),AND(ISNUMBER(P82),N(P82)&gt;=Settings!$E$7)),"Talk it through","Ready"))))</f>
        <v/>
      </c>
      <c r="R82" s="27">
        <f>IF(ISNUMBER(L82),COUNTIF($L$3:$L$102,"&gt;"&amp;L82)+1,"")</f>
        <v/>
      </c>
      <c r="S82" s="25" t="n"/>
      <c r="T82" s="28" t="n"/>
      <c r="U82" s="48">
        <f>IF(ISNUMBER(L82),L82+(103-ROW())/100000,"")</f>
        <v/>
      </c>
    </row>
    <row r="83">
      <c r="A83" s="41">
        <f>IF(Applications!$A82="","",Applications!$A82&amp;"")</f>
        <v/>
      </c>
      <c r="B83" s="45">
        <f>IF($A83="","",Applications!$B82&amp;"")</f>
        <v/>
      </c>
      <c r="C83" s="46">
        <f>IF(AND($A83&lt;&gt;"",ISNUMBER(Applications!$D82)),Applications!$D82,"")</f>
        <v/>
      </c>
      <c r="D83" s="41">
        <f>IF($A83="","",COUNTIFS(Scores!$A$3:$A$502,$A83,Scores!$O$3:$O$502,"Counted"))</f>
        <v/>
      </c>
      <c r="E83" s="41">
        <f>IF($A83="","",COUNTIFS(Scores!$A$3:$A$502,$A83,Scores!$O$3:$O$502,"Conflict, not counted"))</f>
        <v/>
      </c>
      <c r="F83" s="47">
        <f>IF($A83="","",IF(COUNTIFS(Scores!$A$3:$A$502,$A83,Scores!$B$3:$B$502,F$2,Scores!$O$3:$O$502,"Counted")=0,"",SUMIFS(Scores!$P$3:$P$502,Scores!$A$3:$A$502,$A83,Scores!$B$3:$B$502,F$2,Scores!$O$3:$O$502,"Counted")))</f>
        <v/>
      </c>
      <c r="G83" s="47">
        <f>IF($A83="","",IF(COUNTIFS(Scores!$A$3:$A$502,$A83,Scores!$B$3:$B$502,G$2,Scores!$O$3:$O$502,"Counted")=0,"",SUMIFS(Scores!$P$3:$P$502,Scores!$A$3:$A$502,$A83,Scores!$B$3:$B$502,G$2,Scores!$O$3:$O$502,"Counted")))</f>
        <v/>
      </c>
      <c r="H83" s="47">
        <f>IF($A83="","",IF(COUNTIFS(Scores!$A$3:$A$502,$A83,Scores!$B$3:$B$502,H$2,Scores!$O$3:$O$502,"Counted")=0,"",SUMIFS(Scores!$P$3:$P$502,Scores!$A$3:$A$502,$A83,Scores!$B$3:$B$502,H$2,Scores!$O$3:$O$502,"Counted")))</f>
        <v/>
      </c>
      <c r="I83" s="47">
        <f>IF($A83="","",IF(COUNTIFS(Scores!$A$3:$A$502,$A83,Scores!$B$3:$B$502,I$2,Scores!$O$3:$O$502,"Counted")=0,"",SUMIFS(Scores!$P$3:$P$502,Scores!$A$3:$A$502,$A83,Scores!$B$3:$B$502,I$2,Scores!$O$3:$O$502,"Counted")))</f>
        <v/>
      </c>
      <c r="J83" s="47">
        <f>IF($A83="","",IF(COUNTIFS(Scores!$A$3:$A$502,$A83,Scores!$B$3:$B$502,J$2,Scores!$O$3:$O$502,"Counted")=0,"",SUMIFS(Scores!$P$3:$P$502,Scores!$A$3:$A$502,$A83,Scores!$B$3:$B$502,J$2,Scores!$O$3:$O$502,"Counted")))</f>
        <v/>
      </c>
      <c r="K83" s="47">
        <f>IF($A83="","",IF(COUNTIFS(Scores!$A$3:$A$502,$A83,Scores!$B$3:$B$502,K$2,Scores!$O$3:$O$502,"Counted")=0,"",SUMIFS(Scores!$P$3:$P$502,Scores!$A$3:$A$502,$A83,Scores!$B$3:$B$502,K$2,Scores!$O$3:$O$502,"Counted")))</f>
        <v/>
      </c>
      <c r="L83" s="42">
        <f>IF(N($D83)=0,"",ROUND(SUMIFS(Scores!$P$3:$P$502,Scores!$A$3:$A$502,$A83,Scores!$O$3:$O$502,"Counted")/$D83,1))</f>
        <v/>
      </c>
      <c r="M83" s="47">
        <f>IF(COUNT(F83:K83)=0,"",MIN(F83:K83))</f>
        <v/>
      </c>
      <c r="N83" s="47">
        <f>IF(COUNT(F83:K83)=0,"",MAX(F83:K83))</f>
        <v/>
      </c>
      <c r="O83" s="47">
        <f>IF(COUNT(F83:K83)&lt;2,"",ROUND(N83-M83,1))</f>
        <v/>
      </c>
      <c r="P83" s="41">
        <f>IF($A83="","",Gaps!$K82)</f>
        <v/>
      </c>
      <c r="Q83" s="27">
        <f>IF($A83="","",IF(N($D83)=0,"No scores yet",IF($D83&lt;Settings!$E$5,"Needs more reviews",IF(OR(AND(ISNUMBER(O83),N(O83)&gt;=Settings!$E$6),AND(ISNUMBER(P83),N(P83)&gt;=Settings!$E$7)),"Talk it through","Ready"))))</f>
        <v/>
      </c>
      <c r="R83" s="27">
        <f>IF(ISNUMBER(L83),COUNTIF($L$3:$L$102,"&gt;"&amp;L83)+1,"")</f>
        <v/>
      </c>
      <c r="S83" s="25" t="n"/>
      <c r="T83" s="28" t="n"/>
      <c r="U83" s="48">
        <f>IF(ISNUMBER(L83),L83+(103-ROW())/100000,"")</f>
        <v/>
      </c>
    </row>
    <row r="84">
      <c r="A84" s="41">
        <f>IF(Applications!$A83="","",Applications!$A83&amp;"")</f>
        <v/>
      </c>
      <c r="B84" s="45">
        <f>IF($A84="","",Applications!$B83&amp;"")</f>
        <v/>
      </c>
      <c r="C84" s="46">
        <f>IF(AND($A84&lt;&gt;"",ISNUMBER(Applications!$D83)),Applications!$D83,"")</f>
        <v/>
      </c>
      <c r="D84" s="41">
        <f>IF($A84="","",COUNTIFS(Scores!$A$3:$A$502,$A84,Scores!$O$3:$O$502,"Counted"))</f>
        <v/>
      </c>
      <c r="E84" s="41">
        <f>IF($A84="","",COUNTIFS(Scores!$A$3:$A$502,$A84,Scores!$O$3:$O$502,"Conflict, not counted"))</f>
        <v/>
      </c>
      <c r="F84" s="47">
        <f>IF($A84="","",IF(COUNTIFS(Scores!$A$3:$A$502,$A84,Scores!$B$3:$B$502,F$2,Scores!$O$3:$O$502,"Counted")=0,"",SUMIFS(Scores!$P$3:$P$502,Scores!$A$3:$A$502,$A84,Scores!$B$3:$B$502,F$2,Scores!$O$3:$O$502,"Counted")))</f>
        <v/>
      </c>
      <c r="G84" s="47">
        <f>IF($A84="","",IF(COUNTIFS(Scores!$A$3:$A$502,$A84,Scores!$B$3:$B$502,G$2,Scores!$O$3:$O$502,"Counted")=0,"",SUMIFS(Scores!$P$3:$P$502,Scores!$A$3:$A$502,$A84,Scores!$B$3:$B$502,G$2,Scores!$O$3:$O$502,"Counted")))</f>
        <v/>
      </c>
      <c r="H84" s="47">
        <f>IF($A84="","",IF(COUNTIFS(Scores!$A$3:$A$502,$A84,Scores!$B$3:$B$502,H$2,Scores!$O$3:$O$502,"Counted")=0,"",SUMIFS(Scores!$P$3:$P$502,Scores!$A$3:$A$502,$A84,Scores!$B$3:$B$502,H$2,Scores!$O$3:$O$502,"Counted")))</f>
        <v/>
      </c>
      <c r="I84" s="47">
        <f>IF($A84="","",IF(COUNTIFS(Scores!$A$3:$A$502,$A84,Scores!$B$3:$B$502,I$2,Scores!$O$3:$O$502,"Counted")=0,"",SUMIFS(Scores!$P$3:$P$502,Scores!$A$3:$A$502,$A84,Scores!$B$3:$B$502,I$2,Scores!$O$3:$O$502,"Counted")))</f>
        <v/>
      </c>
      <c r="J84" s="47">
        <f>IF($A84="","",IF(COUNTIFS(Scores!$A$3:$A$502,$A84,Scores!$B$3:$B$502,J$2,Scores!$O$3:$O$502,"Counted")=0,"",SUMIFS(Scores!$P$3:$P$502,Scores!$A$3:$A$502,$A84,Scores!$B$3:$B$502,J$2,Scores!$O$3:$O$502,"Counted")))</f>
        <v/>
      </c>
      <c r="K84" s="47">
        <f>IF($A84="","",IF(COUNTIFS(Scores!$A$3:$A$502,$A84,Scores!$B$3:$B$502,K$2,Scores!$O$3:$O$502,"Counted")=0,"",SUMIFS(Scores!$P$3:$P$502,Scores!$A$3:$A$502,$A84,Scores!$B$3:$B$502,K$2,Scores!$O$3:$O$502,"Counted")))</f>
        <v/>
      </c>
      <c r="L84" s="42">
        <f>IF(N($D84)=0,"",ROUND(SUMIFS(Scores!$P$3:$P$502,Scores!$A$3:$A$502,$A84,Scores!$O$3:$O$502,"Counted")/$D84,1))</f>
        <v/>
      </c>
      <c r="M84" s="47">
        <f>IF(COUNT(F84:K84)=0,"",MIN(F84:K84))</f>
        <v/>
      </c>
      <c r="N84" s="47">
        <f>IF(COUNT(F84:K84)=0,"",MAX(F84:K84))</f>
        <v/>
      </c>
      <c r="O84" s="47">
        <f>IF(COUNT(F84:K84)&lt;2,"",ROUND(N84-M84,1))</f>
        <v/>
      </c>
      <c r="P84" s="41">
        <f>IF($A84="","",Gaps!$K83)</f>
        <v/>
      </c>
      <c r="Q84" s="27">
        <f>IF($A84="","",IF(N($D84)=0,"No scores yet",IF($D84&lt;Settings!$E$5,"Needs more reviews",IF(OR(AND(ISNUMBER(O84),N(O84)&gt;=Settings!$E$6),AND(ISNUMBER(P84),N(P84)&gt;=Settings!$E$7)),"Talk it through","Ready"))))</f>
        <v/>
      </c>
      <c r="R84" s="27">
        <f>IF(ISNUMBER(L84),COUNTIF($L$3:$L$102,"&gt;"&amp;L84)+1,"")</f>
        <v/>
      </c>
      <c r="S84" s="25" t="n"/>
      <c r="T84" s="28" t="n"/>
      <c r="U84" s="48">
        <f>IF(ISNUMBER(L84),L84+(103-ROW())/100000,"")</f>
        <v/>
      </c>
    </row>
    <row r="85">
      <c r="A85" s="41">
        <f>IF(Applications!$A84="","",Applications!$A84&amp;"")</f>
        <v/>
      </c>
      <c r="B85" s="45">
        <f>IF($A85="","",Applications!$B84&amp;"")</f>
        <v/>
      </c>
      <c r="C85" s="46">
        <f>IF(AND($A85&lt;&gt;"",ISNUMBER(Applications!$D84)),Applications!$D84,"")</f>
        <v/>
      </c>
      <c r="D85" s="41">
        <f>IF($A85="","",COUNTIFS(Scores!$A$3:$A$502,$A85,Scores!$O$3:$O$502,"Counted"))</f>
        <v/>
      </c>
      <c r="E85" s="41">
        <f>IF($A85="","",COUNTIFS(Scores!$A$3:$A$502,$A85,Scores!$O$3:$O$502,"Conflict, not counted"))</f>
        <v/>
      </c>
      <c r="F85" s="47">
        <f>IF($A85="","",IF(COUNTIFS(Scores!$A$3:$A$502,$A85,Scores!$B$3:$B$502,F$2,Scores!$O$3:$O$502,"Counted")=0,"",SUMIFS(Scores!$P$3:$P$502,Scores!$A$3:$A$502,$A85,Scores!$B$3:$B$502,F$2,Scores!$O$3:$O$502,"Counted")))</f>
        <v/>
      </c>
      <c r="G85" s="47">
        <f>IF($A85="","",IF(COUNTIFS(Scores!$A$3:$A$502,$A85,Scores!$B$3:$B$502,G$2,Scores!$O$3:$O$502,"Counted")=0,"",SUMIFS(Scores!$P$3:$P$502,Scores!$A$3:$A$502,$A85,Scores!$B$3:$B$502,G$2,Scores!$O$3:$O$502,"Counted")))</f>
        <v/>
      </c>
      <c r="H85" s="47">
        <f>IF($A85="","",IF(COUNTIFS(Scores!$A$3:$A$502,$A85,Scores!$B$3:$B$502,H$2,Scores!$O$3:$O$502,"Counted")=0,"",SUMIFS(Scores!$P$3:$P$502,Scores!$A$3:$A$502,$A85,Scores!$B$3:$B$502,H$2,Scores!$O$3:$O$502,"Counted")))</f>
        <v/>
      </c>
      <c r="I85" s="47">
        <f>IF($A85="","",IF(COUNTIFS(Scores!$A$3:$A$502,$A85,Scores!$B$3:$B$502,I$2,Scores!$O$3:$O$502,"Counted")=0,"",SUMIFS(Scores!$P$3:$P$502,Scores!$A$3:$A$502,$A85,Scores!$B$3:$B$502,I$2,Scores!$O$3:$O$502,"Counted")))</f>
        <v/>
      </c>
      <c r="J85" s="47">
        <f>IF($A85="","",IF(COUNTIFS(Scores!$A$3:$A$502,$A85,Scores!$B$3:$B$502,J$2,Scores!$O$3:$O$502,"Counted")=0,"",SUMIFS(Scores!$P$3:$P$502,Scores!$A$3:$A$502,$A85,Scores!$B$3:$B$502,J$2,Scores!$O$3:$O$502,"Counted")))</f>
        <v/>
      </c>
      <c r="K85" s="47">
        <f>IF($A85="","",IF(COUNTIFS(Scores!$A$3:$A$502,$A85,Scores!$B$3:$B$502,K$2,Scores!$O$3:$O$502,"Counted")=0,"",SUMIFS(Scores!$P$3:$P$502,Scores!$A$3:$A$502,$A85,Scores!$B$3:$B$502,K$2,Scores!$O$3:$O$502,"Counted")))</f>
        <v/>
      </c>
      <c r="L85" s="42">
        <f>IF(N($D85)=0,"",ROUND(SUMIFS(Scores!$P$3:$P$502,Scores!$A$3:$A$502,$A85,Scores!$O$3:$O$502,"Counted")/$D85,1))</f>
        <v/>
      </c>
      <c r="M85" s="47">
        <f>IF(COUNT(F85:K85)=0,"",MIN(F85:K85))</f>
        <v/>
      </c>
      <c r="N85" s="47">
        <f>IF(COUNT(F85:K85)=0,"",MAX(F85:K85))</f>
        <v/>
      </c>
      <c r="O85" s="47">
        <f>IF(COUNT(F85:K85)&lt;2,"",ROUND(N85-M85,1))</f>
        <v/>
      </c>
      <c r="P85" s="41">
        <f>IF($A85="","",Gaps!$K84)</f>
        <v/>
      </c>
      <c r="Q85" s="27">
        <f>IF($A85="","",IF(N($D85)=0,"No scores yet",IF($D85&lt;Settings!$E$5,"Needs more reviews",IF(OR(AND(ISNUMBER(O85),N(O85)&gt;=Settings!$E$6),AND(ISNUMBER(P85),N(P85)&gt;=Settings!$E$7)),"Talk it through","Ready"))))</f>
        <v/>
      </c>
      <c r="R85" s="27">
        <f>IF(ISNUMBER(L85),COUNTIF($L$3:$L$102,"&gt;"&amp;L85)+1,"")</f>
        <v/>
      </c>
      <c r="S85" s="25" t="n"/>
      <c r="T85" s="28" t="n"/>
      <c r="U85" s="48">
        <f>IF(ISNUMBER(L85),L85+(103-ROW())/100000,"")</f>
        <v/>
      </c>
    </row>
    <row r="86">
      <c r="A86" s="41">
        <f>IF(Applications!$A85="","",Applications!$A85&amp;"")</f>
        <v/>
      </c>
      <c r="B86" s="45">
        <f>IF($A86="","",Applications!$B85&amp;"")</f>
        <v/>
      </c>
      <c r="C86" s="46">
        <f>IF(AND($A86&lt;&gt;"",ISNUMBER(Applications!$D85)),Applications!$D85,"")</f>
        <v/>
      </c>
      <c r="D86" s="41">
        <f>IF($A86="","",COUNTIFS(Scores!$A$3:$A$502,$A86,Scores!$O$3:$O$502,"Counted"))</f>
        <v/>
      </c>
      <c r="E86" s="41">
        <f>IF($A86="","",COUNTIFS(Scores!$A$3:$A$502,$A86,Scores!$O$3:$O$502,"Conflict, not counted"))</f>
        <v/>
      </c>
      <c r="F86" s="47">
        <f>IF($A86="","",IF(COUNTIFS(Scores!$A$3:$A$502,$A86,Scores!$B$3:$B$502,F$2,Scores!$O$3:$O$502,"Counted")=0,"",SUMIFS(Scores!$P$3:$P$502,Scores!$A$3:$A$502,$A86,Scores!$B$3:$B$502,F$2,Scores!$O$3:$O$502,"Counted")))</f>
        <v/>
      </c>
      <c r="G86" s="47">
        <f>IF($A86="","",IF(COUNTIFS(Scores!$A$3:$A$502,$A86,Scores!$B$3:$B$502,G$2,Scores!$O$3:$O$502,"Counted")=0,"",SUMIFS(Scores!$P$3:$P$502,Scores!$A$3:$A$502,$A86,Scores!$B$3:$B$502,G$2,Scores!$O$3:$O$502,"Counted")))</f>
        <v/>
      </c>
      <c r="H86" s="47">
        <f>IF($A86="","",IF(COUNTIFS(Scores!$A$3:$A$502,$A86,Scores!$B$3:$B$502,H$2,Scores!$O$3:$O$502,"Counted")=0,"",SUMIFS(Scores!$P$3:$P$502,Scores!$A$3:$A$502,$A86,Scores!$B$3:$B$502,H$2,Scores!$O$3:$O$502,"Counted")))</f>
        <v/>
      </c>
      <c r="I86" s="47">
        <f>IF($A86="","",IF(COUNTIFS(Scores!$A$3:$A$502,$A86,Scores!$B$3:$B$502,I$2,Scores!$O$3:$O$502,"Counted")=0,"",SUMIFS(Scores!$P$3:$P$502,Scores!$A$3:$A$502,$A86,Scores!$B$3:$B$502,I$2,Scores!$O$3:$O$502,"Counted")))</f>
        <v/>
      </c>
      <c r="J86" s="47">
        <f>IF($A86="","",IF(COUNTIFS(Scores!$A$3:$A$502,$A86,Scores!$B$3:$B$502,J$2,Scores!$O$3:$O$502,"Counted")=0,"",SUMIFS(Scores!$P$3:$P$502,Scores!$A$3:$A$502,$A86,Scores!$B$3:$B$502,J$2,Scores!$O$3:$O$502,"Counted")))</f>
        <v/>
      </c>
      <c r="K86" s="47">
        <f>IF($A86="","",IF(COUNTIFS(Scores!$A$3:$A$502,$A86,Scores!$B$3:$B$502,K$2,Scores!$O$3:$O$502,"Counted")=0,"",SUMIFS(Scores!$P$3:$P$502,Scores!$A$3:$A$502,$A86,Scores!$B$3:$B$502,K$2,Scores!$O$3:$O$502,"Counted")))</f>
        <v/>
      </c>
      <c r="L86" s="42">
        <f>IF(N($D86)=0,"",ROUND(SUMIFS(Scores!$P$3:$P$502,Scores!$A$3:$A$502,$A86,Scores!$O$3:$O$502,"Counted")/$D86,1))</f>
        <v/>
      </c>
      <c r="M86" s="47">
        <f>IF(COUNT(F86:K86)=0,"",MIN(F86:K86))</f>
        <v/>
      </c>
      <c r="N86" s="47">
        <f>IF(COUNT(F86:K86)=0,"",MAX(F86:K86))</f>
        <v/>
      </c>
      <c r="O86" s="47">
        <f>IF(COUNT(F86:K86)&lt;2,"",ROUND(N86-M86,1))</f>
        <v/>
      </c>
      <c r="P86" s="41">
        <f>IF($A86="","",Gaps!$K85)</f>
        <v/>
      </c>
      <c r="Q86" s="27">
        <f>IF($A86="","",IF(N($D86)=0,"No scores yet",IF($D86&lt;Settings!$E$5,"Needs more reviews",IF(OR(AND(ISNUMBER(O86),N(O86)&gt;=Settings!$E$6),AND(ISNUMBER(P86),N(P86)&gt;=Settings!$E$7)),"Talk it through","Ready"))))</f>
        <v/>
      </c>
      <c r="R86" s="27">
        <f>IF(ISNUMBER(L86),COUNTIF($L$3:$L$102,"&gt;"&amp;L86)+1,"")</f>
        <v/>
      </c>
      <c r="S86" s="25" t="n"/>
      <c r="T86" s="28" t="n"/>
      <c r="U86" s="48">
        <f>IF(ISNUMBER(L86),L86+(103-ROW())/100000,"")</f>
        <v/>
      </c>
    </row>
    <row r="87">
      <c r="A87" s="41">
        <f>IF(Applications!$A86="","",Applications!$A86&amp;"")</f>
        <v/>
      </c>
      <c r="B87" s="45">
        <f>IF($A87="","",Applications!$B86&amp;"")</f>
        <v/>
      </c>
      <c r="C87" s="46">
        <f>IF(AND($A87&lt;&gt;"",ISNUMBER(Applications!$D86)),Applications!$D86,"")</f>
        <v/>
      </c>
      <c r="D87" s="41">
        <f>IF($A87="","",COUNTIFS(Scores!$A$3:$A$502,$A87,Scores!$O$3:$O$502,"Counted"))</f>
        <v/>
      </c>
      <c r="E87" s="41">
        <f>IF($A87="","",COUNTIFS(Scores!$A$3:$A$502,$A87,Scores!$O$3:$O$502,"Conflict, not counted"))</f>
        <v/>
      </c>
      <c r="F87" s="47">
        <f>IF($A87="","",IF(COUNTIFS(Scores!$A$3:$A$502,$A87,Scores!$B$3:$B$502,F$2,Scores!$O$3:$O$502,"Counted")=0,"",SUMIFS(Scores!$P$3:$P$502,Scores!$A$3:$A$502,$A87,Scores!$B$3:$B$502,F$2,Scores!$O$3:$O$502,"Counted")))</f>
        <v/>
      </c>
      <c r="G87" s="47">
        <f>IF($A87="","",IF(COUNTIFS(Scores!$A$3:$A$502,$A87,Scores!$B$3:$B$502,G$2,Scores!$O$3:$O$502,"Counted")=0,"",SUMIFS(Scores!$P$3:$P$502,Scores!$A$3:$A$502,$A87,Scores!$B$3:$B$502,G$2,Scores!$O$3:$O$502,"Counted")))</f>
        <v/>
      </c>
      <c r="H87" s="47">
        <f>IF($A87="","",IF(COUNTIFS(Scores!$A$3:$A$502,$A87,Scores!$B$3:$B$502,H$2,Scores!$O$3:$O$502,"Counted")=0,"",SUMIFS(Scores!$P$3:$P$502,Scores!$A$3:$A$502,$A87,Scores!$B$3:$B$502,H$2,Scores!$O$3:$O$502,"Counted")))</f>
        <v/>
      </c>
      <c r="I87" s="47">
        <f>IF($A87="","",IF(COUNTIFS(Scores!$A$3:$A$502,$A87,Scores!$B$3:$B$502,I$2,Scores!$O$3:$O$502,"Counted")=0,"",SUMIFS(Scores!$P$3:$P$502,Scores!$A$3:$A$502,$A87,Scores!$B$3:$B$502,I$2,Scores!$O$3:$O$502,"Counted")))</f>
        <v/>
      </c>
      <c r="J87" s="47">
        <f>IF($A87="","",IF(COUNTIFS(Scores!$A$3:$A$502,$A87,Scores!$B$3:$B$502,J$2,Scores!$O$3:$O$502,"Counted")=0,"",SUMIFS(Scores!$P$3:$P$502,Scores!$A$3:$A$502,$A87,Scores!$B$3:$B$502,J$2,Scores!$O$3:$O$502,"Counted")))</f>
        <v/>
      </c>
      <c r="K87" s="47">
        <f>IF($A87="","",IF(COUNTIFS(Scores!$A$3:$A$502,$A87,Scores!$B$3:$B$502,K$2,Scores!$O$3:$O$502,"Counted")=0,"",SUMIFS(Scores!$P$3:$P$502,Scores!$A$3:$A$502,$A87,Scores!$B$3:$B$502,K$2,Scores!$O$3:$O$502,"Counted")))</f>
        <v/>
      </c>
      <c r="L87" s="42">
        <f>IF(N($D87)=0,"",ROUND(SUMIFS(Scores!$P$3:$P$502,Scores!$A$3:$A$502,$A87,Scores!$O$3:$O$502,"Counted")/$D87,1))</f>
        <v/>
      </c>
      <c r="M87" s="47">
        <f>IF(COUNT(F87:K87)=0,"",MIN(F87:K87))</f>
        <v/>
      </c>
      <c r="N87" s="47">
        <f>IF(COUNT(F87:K87)=0,"",MAX(F87:K87))</f>
        <v/>
      </c>
      <c r="O87" s="47">
        <f>IF(COUNT(F87:K87)&lt;2,"",ROUND(N87-M87,1))</f>
        <v/>
      </c>
      <c r="P87" s="41">
        <f>IF($A87="","",Gaps!$K86)</f>
        <v/>
      </c>
      <c r="Q87" s="27">
        <f>IF($A87="","",IF(N($D87)=0,"No scores yet",IF($D87&lt;Settings!$E$5,"Needs more reviews",IF(OR(AND(ISNUMBER(O87),N(O87)&gt;=Settings!$E$6),AND(ISNUMBER(P87),N(P87)&gt;=Settings!$E$7)),"Talk it through","Ready"))))</f>
        <v/>
      </c>
      <c r="R87" s="27">
        <f>IF(ISNUMBER(L87),COUNTIF($L$3:$L$102,"&gt;"&amp;L87)+1,"")</f>
        <v/>
      </c>
      <c r="S87" s="25" t="n"/>
      <c r="T87" s="28" t="n"/>
      <c r="U87" s="48">
        <f>IF(ISNUMBER(L87),L87+(103-ROW())/100000,"")</f>
        <v/>
      </c>
    </row>
    <row r="88">
      <c r="A88" s="41">
        <f>IF(Applications!$A87="","",Applications!$A87&amp;"")</f>
        <v/>
      </c>
      <c r="B88" s="45">
        <f>IF($A88="","",Applications!$B87&amp;"")</f>
        <v/>
      </c>
      <c r="C88" s="46">
        <f>IF(AND($A88&lt;&gt;"",ISNUMBER(Applications!$D87)),Applications!$D87,"")</f>
        <v/>
      </c>
      <c r="D88" s="41">
        <f>IF($A88="","",COUNTIFS(Scores!$A$3:$A$502,$A88,Scores!$O$3:$O$502,"Counted"))</f>
        <v/>
      </c>
      <c r="E88" s="41">
        <f>IF($A88="","",COUNTIFS(Scores!$A$3:$A$502,$A88,Scores!$O$3:$O$502,"Conflict, not counted"))</f>
        <v/>
      </c>
      <c r="F88" s="47">
        <f>IF($A88="","",IF(COUNTIFS(Scores!$A$3:$A$502,$A88,Scores!$B$3:$B$502,F$2,Scores!$O$3:$O$502,"Counted")=0,"",SUMIFS(Scores!$P$3:$P$502,Scores!$A$3:$A$502,$A88,Scores!$B$3:$B$502,F$2,Scores!$O$3:$O$502,"Counted")))</f>
        <v/>
      </c>
      <c r="G88" s="47">
        <f>IF($A88="","",IF(COUNTIFS(Scores!$A$3:$A$502,$A88,Scores!$B$3:$B$502,G$2,Scores!$O$3:$O$502,"Counted")=0,"",SUMIFS(Scores!$P$3:$P$502,Scores!$A$3:$A$502,$A88,Scores!$B$3:$B$502,G$2,Scores!$O$3:$O$502,"Counted")))</f>
        <v/>
      </c>
      <c r="H88" s="47">
        <f>IF($A88="","",IF(COUNTIFS(Scores!$A$3:$A$502,$A88,Scores!$B$3:$B$502,H$2,Scores!$O$3:$O$502,"Counted")=0,"",SUMIFS(Scores!$P$3:$P$502,Scores!$A$3:$A$502,$A88,Scores!$B$3:$B$502,H$2,Scores!$O$3:$O$502,"Counted")))</f>
        <v/>
      </c>
      <c r="I88" s="47">
        <f>IF($A88="","",IF(COUNTIFS(Scores!$A$3:$A$502,$A88,Scores!$B$3:$B$502,I$2,Scores!$O$3:$O$502,"Counted")=0,"",SUMIFS(Scores!$P$3:$P$502,Scores!$A$3:$A$502,$A88,Scores!$B$3:$B$502,I$2,Scores!$O$3:$O$502,"Counted")))</f>
        <v/>
      </c>
      <c r="J88" s="47">
        <f>IF($A88="","",IF(COUNTIFS(Scores!$A$3:$A$502,$A88,Scores!$B$3:$B$502,J$2,Scores!$O$3:$O$502,"Counted")=0,"",SUMIFS(Scores!$P$3:$P$502,Scores!$A$3:$A$502,$A88,Scores!$B$3:$B$502,J$2,Scores!$O$3:$O$502,"Counted")))</f>
        <v/>
      </c>
      <c r="K88" s="47">
        <f>IF($A88="","",IF(COUNTIFS(Scores!$A$3:$A$502,$A88,Scores!$B$3:$B$502,K$2,Scores!$O$3:$O$502,"Counted")=0,"",SUMIFS(Scores!$P$3:$P$502,Scores!$A$3:$A$502,$A88,Scores!$B$3:$B$502,K$2,Scores!$O$3:$O$502,"Counted")))</f>
        <v/>
      </c>
      <c r="L88" s="42">
        <f>IF(N($D88)=0,"",ROUND(SUMIFS(Scores!$P$3:$P$502,Scores!$A$3:$A$502,$A88,Scores!$O$3:$O$502,"Counted")/$D88,1))</f>
        <v/>
      </c>
      <c r="M88" s="47">
        <f>IF(COUNT(F88:K88)=0,"",MIN(F88:K88))</f>
        <v/>
      </c>
      <c r="N88" s="47">
        <f>IF(COUNT(F88:K88)=0,"",MAX(F88:K88))</f>
        <v/>
      </c>
      <c r="O88" s="47">
        <f>IF(COUNT(F88:K88)&lt;2,"",ROUND(N88-M88,1))</f>
        <v/>
      </c>
      <c r="P88" s="41">
        <f>IF($A88="","",Gaps!$K87)</f>
        <v/>
      </c>
      <c r="Q88" s="27">
        <f>IF($A88="","",IF(N($D88)=0,"No scores yet",IF($D88&lt;Settings!$E$5,"Needs more reviews",IF(OR(AND(ISNUMBER(O88),N(O88)&gt;=Settings!$E$6),AND(ISNUMBER(P88),N(P88)&gt;=Settings!$E$7)),"Talk it through","Ready"))))</f>
        <v/>
      </c>
      <c r="R88" s="27">
        <f>IF(ISNUMBER(L88),COUNTIF($L$3:$L$102,"&gt;"&amp;L88)+1,"")</f>
        <v/>
      </c>
      <c r="S88" s="25" t="n"/>
      <c r="T88" s="28" t="n"/>
      <c r="U88" s="48">
        <f>IF(ISNUMBER(L88),L88+(103-ROW())/100000,"")</f>
        <v/>
      </c>
    </row>
    <row r="89">
      <c r="A89" s="41">
        <f>IF(Applications!$A88="","",Applications!$A88&amp;"")</f>
        <v/>
      </c>
      <c r="B89" s="45">
        <f>IF($A89="","",Applications!$B88&amp;"")</f>
        <v/>
      </c>
      <c r="C89" s="46">
        <f>IF(AND($A89&lt;&gt;"",ISNUMBER(Applications!$D88)),Applications!$D88,"")</f>
        <v/>
      </c>
      <c r="D89" s="41">
        <f>IF($A89="","",COUNTIFS(Scores!$A$3:$A$502,$A89,Scores!$O$3:$O$502,"Counted"))</f>
        <v/>
      </c>
      <c r="E89" s="41">
        <f>IF($A89="","",COUNTIFS(Scores!$A$3:$A$502,$A89,Scores!$O$3:$O$502,"Conflict, not counted"))</f>
        <v/>
      </c>
      <c r="F89" s="47">
        <f>IF($A89="","",IF(COUNTIFS(Scores!$A$3:$A$502,$A89,Scores!$B$3:$B$502,F$2,Scores!$O$3:$O$502,"Counted")=0,"",SUMIFS(Scores!$P$3:$P$502,Scores!$A$3:$A$502,$A89,Scores!$B$3:$B$502,F$2,Scores!$O$3:$O$502,"Counted")))</f>
        <v/>
      </c>
      <c r="G89" s="47">
        <f>IF($A89="","",IF(COUNTIFS(Scores!$A$3:$A$502,$A89,Scores!$B$3:$B$502,G$2,Scores!$O$3:$O$502,"Counted")=0,"",SUMIFS(Scores!$P$3:$P$502,Scores!$A$3:$A$502,$A89,Scores!$B$3:$B$502,G$2,Scores!$O$3:$O$502,"Counted")))</f>
        <v/>
      </c>
      <c r="H89" s="47">
        <f>IF($A89="","",IF(COUNTIFS(Scores!$A$3:$A$502,$A89,Scores!$B$3:$B$502,H$2,Scores!$O$3:$O$502,"Counted")=0,"",SUMIFS(Scores!$P$3:$P$502,Scores!$A$3:$A$502,$A89,Scores!$B$3:$B$502,H$2,Scores!$O$3:$O$502,"Counted")))</f>
        <v/>
      </c>
      <c r="I89" s="47">
        <f>IF($A89="","",IF(COUNTIFS(Scores!$A$3:$A$502,$A89,Scores!$B$3:$B$502,I$2,Scores!$O$3:$O$502,"Counted")=0,"",SUMIFS(Scores!$P$3:$P$502,Scores!$A$3:$A$502,$A89,Scores!$B$3:$B$502,I$2,Scores!$O$3:$O$502,"Counted")))</f>
        <v/>
      </c>
      <c r="J89" s="47">
        <f>IF($A89="","",IF(COUNTIFS(Scores!$A$3:$A$502,$A89,Scores!$B$3:$B$502,J$2,Scores!$O$3:$O$502,"Counted")=0,"",SUMIFS(Scores!$P$3:$P$502,Scores!$A$3:$A$502,$A89,Scores!$B$3:$B$502,J$2,Scores!$O$3:$O$502,"Counted")))</f>
        <v/>
      </c>
      <c r="K89" s="47">
        <f>IF($A89="","",IF(COUNTIFS(Scores!$A$3:$A$502,$A89,Scores!$B$3:$B$502,K$2,Scores!$O$3:$O$502,"Counted")=0,"",SUMIFS(Scores!$P$3:$P$502,Scores!$A$3:$A$502,$A89,Scores!$B$3:$B$502,K$2,Scores!$O$3:$O$502,"Counted")))</f>
        <v/>
      </c>
      <c r="L89" s="42">
        <f>IF(N($D89)=0,"",ROUND(SUMIFS(Scores!$P$3:$P$502,Scores!$A$3:$A$502,$A89,Scores!$O$3:$O$502,"Counted")/$D89,1))</f>
        <v/>
      </c>
      <c r="M89" s="47">
        <f>IF(COUNT(F89:K89)=0,"",MIN(F89:K89))</f>
        <v/>
      </c>
      <c r="N89" s="47">
        <f>IF(COUNT(F89:K89)=0,"",MAX(F89:K89))</f>
        <v/>
      </c>
      <c r="O89" s="47">
        <f>IF(COUNT(F89:K89)&lt;2,"",ROUND(N89-M89,1))</f>
        <v/>
      </c>
      <c r="P89" s="41">
        <f>IF($A89="","",Gaps!$K88)</f>
        <v/>
      </c>
      <c r="Q89" s="27">
        <f>IF($A89="","",IF(N($D89)=0,"No scores yet",IF($D89&lt;Settings!$E$5,"Needs more reviews",IF(OR(AND(ISNUMBER(O89),N(O89)&gt;=Settings!$E$6),AND(ISNUMBER(P89),N(P89)&gt;=Settings!$E$7)),"Talk it through","Ready"))))</f>
        <v/>
      </c>
      <c r="R89" s="27">
        <f>IF(ISNUMBER(L89),COUNTIF($L$3:$L$102,"&gt;"&amp;L89)+1,"")</f>
        <v/>
      </c>
      <c r="S89" s="25" t="n"/>
      <c r="T89" s="28" t="n"/>
      <c r="U89" s="48">
        <f>IF(ISNUMBER(L89),L89+(103-ROW())/100000,"")</f>
        <v/>
      </c>
    </row>
    <row r="90">
      <c r="A90" s="41">
        <f>IF(Applications!$A89="","",Applications!$A89&amp;"")</f>
        <v/>
      </c>
      <c r="B90" s="45">
        <f>IF($A90="","",Applications!$B89&amp;"")</f>
        <v/>
      </c>
      <c r="C90" s="46">
        <f>IF(AND($A90&lt;&gt;"",ISNUMBER(Applications!$D89)),Applications!$D89,"")</f>
        <v/>
      </c>
      <c r="D90" s="41">
        <f>IF($A90="","",COUNTIFS(Scores!$A$3:$A$502,$A90,Scores!$O$3:$O$502,"Counted"))</f>
        <v/>
      </c>
      <c r="E90" s="41">
        <f>IF($A90="","",COUNTIFS(Scores!$A$3:$A$502,$A90,Scores!$O$3:$O$502,"Conflict, not counted"))</f>
        <v/>
      </c>
      <c r="F90" s="47">
        <f>IF($A90="","",IF(COUNTIFS(Scores!$A$3:$A$502,$A90,Scores!$B$3:$B$502,F$2,Scores!$O$3:$O$502,"Counted")=0,"",SUMIFS(Scores!$P$3:$P$502,Scores!$A$3:$A$502,$A90,Scores!$B$3:$B$502,F$2,Scores!$O$3:$O$502,"Counted")))</f>
        <v/>
      </c>
      <c r="G90" s="47">
        <f>IF($A90="","",IF(COUNTIFS(Scores!$A$3:$A$502,$A90,Scores!$B$3:$B$502,G$2,Scores!$O$3:$O$502,"Counted")=0,"",SUMIFS(Scores!$P$3:$P$502,Scores!$A$3:$A$502,$A90,Scores!$B$3:$B$502,G$2,Scores!$O$3:$O$502,"Counted")))</f>
        <v/>
      </c>
      <c r="H90" s="47">
        <f>IF($A90="","",IF(COUNTIFS(Scores!$A$3:$A$502,$A90,Scores!$B$3:$B$502,H$2,Scores!$O$3:$O$502,"Counted")=0,"",SUMIFS(Scores!$P$3:$P$502,Scores!$A$3:$A$502,$A90,Scores!$B$3:$B$502,H$2,Scores!$O$3:$O$502,"Counted")))</f>
        <v/>
      </c>
      <c r="I90" s="47">
        <f>IF($A90="","",IF(COUNTIFS(Scores!$A$3:$A$502,$A90,Scores!$B$3:$B$502,I$2,Scores!$O$3:$O$502,"Counted")=0,"",SUMIFS(Scores!$P$3:$P$502,Scores!$A$3:$A$502,$A90,Scores!$B$3:$B$502,I$2,Scores!$O$3:$O$502,"Counted")))</f>
        <v/>
      </c>
      <c r="J90" s="47">
        <f>IF($A90="","",IF(COUNTIFS(Scores!$A$3:$A$502,$A90,Scores!$B$3:$B$502,J$2,Scores!$O$3:$O$502,"Counted")=0,"",SUMIFS(Scores!$P$3:$P$502,Scores!$A$3:$A$502,$A90,Scores!$B$3:$B$502,J$2,Scores!$O$3:$O$502,"Counted")))</f>
        <v/>
      </c>
      <c r="K90" s="47">
        <f>IF($A90="","",IF(COUNTIFS(Scores!$A$3:$A$502,$A90,Scores!$B$3:$B$502,K$2,Scores!$O$3:$O$502,"Counted")=0,"",SUMIFS(Scores!$P$3:$P$502,Scores!$A$3:$A$502,$A90,Scores!$B$3:$B$502,K$2,Scores!$O$3:$O$502,"Counted")))</f>
        <v/>
      </c>
      <c r="L90" s="42">
        <f>IF(N($D90)=0,"",ROUND(SUMIFS(Scores!$P$3:$P$502,Scores!$A$3:$A$502,$A90,Scores!$O$3:$O$502,"Counted")/$D90,1))</f>
        <v/>
      </c>
      <c r="M90" s="47">
        <f>IF(COUNT(F90:K90)=0,"",MIN(F90:K90))</f>
        <v/>
      </c>
      <c r="N90" s="47">
        <f>IF(COUNT(F90:K90)=0,"",MAX(F90:K90))</f>
        <v/>
      </c>
      <c r="O90" s="47">
        <f>IF(COUNT(F90:K90)&lt;2,"",ROUND(N90-M90,1))</f>
        <v/>
      </c>
      <c r="P90" s="41">
        <f>IF($A90="","",Gaps!$K89)</f>
        <v/>
      </c>
      <c r="Q90" s="27">
        <f>IF($A90="","",IF(N($D90)=0,"No scores yet",IF($D90&lt;Settings!$E$5,"Needs more reviews",IF(OR(AND(ISNUMBER(O90),N(O90)&gt;=Settings!$E$6),AND(ISNUMBER(P90),N(P90)&gt;=Settings!$E$7)),"Talk it through","Ready"))))</f>
        <v/>
      </c>
      <c r="R90" s="27">
        <f>IF(ISNUMBER(L90),COUNTIF($L$3:$L$102,"&gt;"&amp;L90)+1,"")</f>
        <v/>
      </c>
      <c r="S90" s="25" t="n"/>
      <c r="T90" s="28" t="n"/>
      <c r="U90" s="48">
        <f>IF(ISNUMBER(L90),L90+(103-ROW())/100000,"")</f>
        <v/>
      </c>
    </row>
    <row r="91">
      <c r="A91" s="41">
        <f>IF(Applications!$A90="","",Applications!$A90&amp;"")</f>
        <v/>
      </c>
      <c r="B91" s="45">
        <f>IF($A91="","",Applications!$B90&amp;"")</f>
        <v/>
      </c>
      <c r="C91" s="46">
        <f>IF(AND($A91&lt;&gt;"",ISNUMBER(Applications!$D90)),Applications!$D90,"")</f>
        <v/>
      </c>
      <c r="D91" s="41">
        <f>IF($A91="","",COUNTIFS(Scores!$A$3:$A$502,$A91,Scores!$O$3:$O$502,"Counted"))</f>
        <v/>
      </c>
      <c r="E91" s="41">
        <f>IF($A91="","",COUNTIFS(Scores!$A$3:$A$502,$A91,Scores!$O$3:$O$502,"Conflict, not counted"))</f>
        <v/>
      </c>
      <c r="F91" s="47">
        <f>IF($A91="","",IF(COUNTIFS(Scores!$A$3:$A$502,$A91,Scores!$B$3:$B$502,F$2,Scores!$O$3:$O$502,"Counted")=0,"",SUMIFS(Scores!$P$3:$P$502,Scores!$A$3:$A$502,$A91,Scores!$B$3:$B$502,F$2,Scores!$O$3:$O$502,"Counted")))</f>
        <v/>
      </c>
      <c r="G91" s="47">
        <f>IF($A91="","",IF(COUNTIFS(Scores!$A$3:$A$502,$A91,Scores!$B$3:$B$502,G$2,Scores!$O$3:$O$502,"Counted")=0,"",SUMIFS(Scores!$P$3:$P$502,Scores!$A$3:$A$502,$A91,Scores!$B$3:$B$502,G$2,Scores!$O$3:$O$502,"Counted")))</f>
        <v/>
      </c>
      <c r="H91" s="47">
        <f>IF($A91="","",IF(COUNTIFS(Scores!$A$3:$A$502,$A91,Scores!$B$3:$B$502,H$2,Scores!$O$3:$O$502,"Counted")=0,"",SUMIFS(Scores!$P$3:$P$502,Scores!$A$3:$A$502,$A91,Scores!$B$3:$B$502,H$2,Scores!$O$3:$O$502,"Counted")))</f>
        <v/>
      </c>
      <c r="I91" s="47">
        <f>IF($A91="","",IF(COUNTIFS(Scores!$A$3:$A$502,$A91,Scores!$B$3:$B$502,I$2,Scores!$O$3:$O$502,"Counted")=0,"",SUMIFS(Scores!$P$3:$P$502,Scores!$A$3:$A$502,$A91,Scores!$B$3:$B$502,I$2,Scores!$O$3:$O$502,"Counted")))</f>
        <v/>
      </c>
      <c r="J91" s="47">
        <f>IF($A91="","",IF(COUNTIFS(Scores!$A$3:$A$502,$A91,Scores!$B$3:$B$502,J$2,Scores!$O$3:$O$502,"Counted")=0,"",SUMIFS(Scores!$P$3:$P$502,Scores!$A$3:$A$502,$A91,Scores!$B$3:$B$502,J$2,Scores!$O$3:$O$502,"Counted")))</f>
        <v/>
      </c>
      <c r="K91" s="47">
        <f>IF($A91="","",IF(COUNTIFS(Scores!$A$3:$A$502,$A91,Scores!$B$3:$B$502,K$2,Scores!$O$3:$O$502,"Counted")=0,"",SUMIFS(Scores!$P$3:$P$502,Scores!$A$3:$A$502,$A91,Scores!$B$3:$B$502,K$2,Scores!$O$3:$O$502,"Counted")))</f>
        <v/>
      </c>
      <c r="L91" s="42">
        <f>IF(N($D91)=0,"",ROUND(SUMIFS(Scores!$P$3:$P$502,Scores!$A$3:$A$502,$A91,Scores!$O$3:$O$502,"Counted")/$D91,1))</f>
        <v/>
      </c>
      <c r="M91" s="47">
        <f>IF(COUNT(F91:K91)=0,"",MIN(F91:K91))</f>
        <v/>
      </c>
      <c r="N91" s="47">
        <f>IF(COUNT(F91:K91)=0,"",MAX(F91:K91))</f>
        <v/>
      </c>
      <c r="O91" s="47">
        <f>IF(COUNT(F91:K91)&lt;2,"",ROUND(N91-M91,1))</f>
        <v/>
      </c>
      <c r="P91" s="41">
        <f>IF($A91="","",Gaps!$K90)</f>
        <v/>
      </c>
      <c r="Q91" s="27">
        <f>IF($A91="","",IF(N($D91)=0,"No scores yet",IF($D91&lt;Settings!$E$5,"Needs more reviews",IF(OR(AND(ISNUMBER(O91),N(O91)&gt;=Settings!$E$6),AND(ISNUMBER(P91),N(P91)&gt;=Settings!$E$7)),"Talk it through","Ready"))))</f>
        <v/>
      </c>
      <c r="R91" s="27">
        <f>IF(ISNUMBER(L91),COUNTIF($L$3:$L$102,"&gt;"&amp;L91)+1,"")</f>
        <v/>
      </c>
      <c r="S91" s="25" t="n"/>
      <c r="T91" s="28" t="n"/>
      <c r="U91" s="48">
        <f>IF(ISNUMBER(L91),L91+(103-ROW())/100000,"")</f>
        <v/>
      </c>
    </row>
    <row r="92">
      <c r="A92" s="41">
        <f>IF(Applications!$A91="","",Applications!$A91&amp;"")</f>
        <v/>
      </c>
      <c r="B92" s="45">
        <f>IF($A92="","",Applications!$B91&amp;"")</f>
        <v/>
      </c>
      <c r="C92" s="46">
        <f>IF(AND($A92&lt;&gt;"",ISNUMBER(Applications!$D91)),Applications!$D91,"")</f>
        <v/>
      </c>
      <c r="D92" s="41">
        <f>IF($A92="","",COUNTIFS(Scores!$A$3:$A$502,$A92,Scores!$O$3:$O$502,"Counted"))</f>
        <v/>
      </c>
      <c r="E92" s="41">
        <f>IF($A92="","",COUNTIFS(Scores!$A$3:$A$502,$A92,Scores!$O$3:$O$502,"Conflict, not counted"))</f>
        <v/>
      </c>
      <c r="F92" s="47">
        <f>IF($A92="","",IF(COUNTIFS(Scores!$A$3:$A$502,$A92,Scores!$B$3:$B$502,F$2,Scores!$O$3:$O$502,"Counted")=0,"",SUMIFS(Scores!$P$3:$P$502,Scores!$A$3:$A$502,$A92,Scores!$B$3:$B$502,F$2,Scores!$O$3:$O$502,"Counted")))</f>
        <v/>
      </c>
      <c r="G92" s="47">
        <f>IF($A92="","",IF(COUNTIFS(Scores!$A$3:$A$502,$A92,Scores!$B$3:$B$502,G$2,Scores!$O$3:$O$502,"Counted")=0,"",SUMIFS(Scores!$P$3:$P$502,Scores!$A$3:$A$502,$A92,Scores!$B$3:$B$502,G$2,Scores!$O$3:$O$502,"Counted")))</f>
        <v/>
      </c>
      <c r="H92" s="47">
        <f>IF($A92="","",IF(COUNTIFS(Scores!$A$3:$A$502,$A92,Scores!$B$3:$B$502,H$2,Scores!$O$3:$O$502,"Counted")=0,"",SUMIFS(Scores!$P$3:$P$502,Scores!$A$3:$A$502,$A92,Scores!$B$3:$B$502,H$2,Scores!$O$3:$O$502,"Counted")))</f>
        <v/>
      </c>
      <c r="I92" s="47">
        <f>IF($A92="","",IF(COUNTIFS(Scores!$A$3:$A$502,$A92,Scores!$B$3:$B$502,I$2,Scores!$O$3:$O$502,"Counted")=0,"",SUMIFS(Scores!$P$3:$P$502,Scores!$A$3:$A$502,$A92,Scores!$B$3:$B$502,I$2,Scores!$O$3:$O$502,"Counted")))</f>
        <v/>
      </c>
      <c r="J92" s="47">
        <f>IF($A92="","",IF(COUNTIFS(Scores!$A$3:$A$502,$A92,Scores!$B$3:$B$502,J$2,Scores!$O$3:$O$502,"Counted")=0,"",SUMIFS(Scores!$P$3:$P$502,Scores!$A$3:$A$502,$A92,Scores!$B$3:$B$502,J$2,Scores!$O$3:$O$502,"Counted")))</f>
        <v/>
      </c>
      <c r="K92" s="47">
        <f>IF($A92="","",IF(COUNTIFS(Scores!$A$3:$A$502,$A92,Scores!$B$3:$B$502,K$2,Scores!$O$3:$O$502,"Counted")=0,"",SUMIFS(Scores!$P$3:$P$502,Scores!$A$3:$A$502,$A92,Scores!$B$3:$B$502,K$2,Scores!$O$3:$O$502,"Counted")))</f>
        <v/>
      </c>
      <c r="L92" s="42">
        <f>IF(N($D92)=0,"",ROUND(SUMIFS(Scores!$P$3:$P$502,Scores!$A$3:$A$502,$A92,Scores!$O$3:$O$502,"Counted")/$D92,1))</f>
        <v/>
      </c>
      <c r="M92" s="47">
        <f>IF(COUNT(F92:K92)=0,"",MIN(F92:K92))</f>
        <v/>
      </c>
      <c r="N92" s="47">
        <f>IF(COUNT(F92:K92)=0,"",MAX(F92:K92))</f>
        <v/>
      </c>
      <c r="O92" s="47">
        <f>IF(COUNT(F92:K92)&lt;2,"",ROUND(N92-M92,1))</f>
        <v/>
      </c>
      <c r="P92" s="41">
        <f>IF($A92="","",Gaps!$K91)</f>
        <v/>
      </c>
      <c r="Q92" s="27">
        <f>IF($A92="","",IF(N($D92)=0,"No scores yet",IF($D92&lt;Settings!$E$5,"Needs more reviews",IF(OR(AND(ISNUMBER(O92),N(O92)&gt;=Settings!$E$6),AND(ISNUMBER(P92),N(P92)&gt;=Settings!$E$7)),"Talk it through","Ready"))))</f>
        <v/>
      </c>
      <c r="R92" s="27">
        <f>IF(ISNUMBER(L92),COUNTIF($L$3:$L$102,"&gt;"&amp;L92)+1,"")</f>
        <v/>
      </c>
      <c r="S92" s="25" t="n"/>
      <c r="T92" s="28" t="n"/>
      <c r="U92" s="48">
        <f>IF(ISNUMBER(L92),L92+(103-ROW())/100000,"")</f>
        <v/>
      </c>
    </row>
    <row r="93">
      <c r="A93" s="41">
        <f>IF(Applications!$A92="","",Applications!$A92&amp;"")</f>
        <v/>
      </c>
      <c r="B93" s="45">
        <f>IF($A93="","",Applications!$B92&amp;"")</f>
        <v/>
      </c>
      <c r="C93" s="46">
        <f>IF(AND($A93&lt;&gt;"",ISNUMBER(Applications!$D92)),Applications!$D92,"")</f>
        <v/>
      </c>
      <c r="D93" s="41">
        <f>IF($A93="","",COUNTIFS(Scores!$A$3:$A$502,$A93,Scores!$O$3:$O$502,"Counted"))</f>
        <v/>
      </c>
      <c r="E93" s="41">
        <f>IF($A93="","",COUNTIFS(Scores!$A$3:$A$502,$A93,Scores!$O$3:$O$502,"Conflict, not counted"))</f>
        <v/>
      </c>
      <c r="F93" s="47">
        <f>IF($A93="","",IF(COUNTIFS(Scores!$A$3:$A$502,$A93,Scores!$B$3:$B$502,F$2,Scores!$O$3:$O$502,"Counted")=0,"",SUMIFS(Scores!$P$3:$P$502,Scores!$A$3:$A$502,$A93,Scores!$B$3:$B$502,F$2,Scores!$O$3:$O$502,"Counted")))</f>
        <v/>
      </c>
      <c r="G93" s="47">
        <f>IF($A93="","",IF(COUNTIFS(Scores!$A$3:$A$502,$A93,Scores!$B$3:$B$502,G$2,Scores!$O$3:$O$502,"Counted")=0,"",SUMIFS(Scores!$P$3:$P$502,Scores!$A$3:$A$502,$A93,Scores!$B$3:$B$502,G$2,Scores!$O$3:$O$502,"Counted")))</f>
        <v/>
      </c>
      <c r="H93" s="47">
        <f>IF($A93="","",IF(COUNTIFS(Scores!$A$3:$A$502,$A93,Scores!$B$3:$B$502,H$2,Scores!$O$3:$O$502,"Counted")=0,"",SUMIFS(Scores!$P$3:$P$502,Scores!$A$3:$A$502,$A93,Scores!$B$3:$B$502,H$2,Scores!$O$3:$O$502,"Counted")))</f>
        <v/>
      </c>
      <c r="I93" s="47">
        <f>IF($A93="","",IF(COUNTIFS(Scores!$A$3:$A$502,$A93,Scores!$B$3:$B$502,I$2,Scores!$O$3:$O$502,"Counted")=0,"",SUMIFS(Scores!$P$3:$P$502,Scores!$A$3:$A$502,$A93,Scores!$B$3:$B$502,I$2,Scores!$O$3:$O$502,"Counted")))</f>
        <v/>
      </c>
      <c r="J93" s="47">
        <f>IF($A93="","",IF(COUNTIFS(Scores!$A$3:$A$502,$A93,Scores!$B$3:$B$502,J$2,Scores!$O$3:$O$502,"Counted")=0,"",SUMIFS(Scores!$P$3:$P$502,Scores!$A$3:$A$502,$A93,Scores!$B$3:$B$502,J$2,Scores!$O$3:$O$502,"Counted")))</f>
        <v/>
      </c>
      <c r="K93" s="47">
        <f>IF($A93="","",IF(COUNTIFS(Scores!$A$3:$A$502,$A93,Scores!$B$3:$B$502,K$2,Scores!$O$3:$O$502,"Counted")=0,"",SUMIFS(Scores!$P$3:$P$502,Scores!$A$3:$A$502,$A93,Scores!$B$3:$B$502,K$2,Scores!$O$3:$O$502,"Counted")))</f>
        <v/>
      </c>
      <c r="L93" s="42">
        <f>IF(N($D93)=0,"",ROUND(SUMIFS(Scores!$P$3:$P$502,Scores!$A$3:$A$502,$A93,Scores!$O$3:$O$502,"Counted")/$D93,1))</f>
        <v/>
      </c>
      <c r="M93" s="47">
        <f>IF(COUNT(F93:K93)=0,"",MIN(F93:K93))</f>
        <v/>
      </c>
      <c r="N93" s="47">
        <f>IF(COUNT(F93:K93)=0,"",MAX(F93:K93))</f>
        <v/>
      </c>
      <c r="O93" s="47">
        <f>IF(COUNT(F93:K93)&lt;2,"",ROUND(N93-M93,1))</f>
        <v/>
      </c>
      <c r="P93" s="41">
        <f>IF($A93="","",Gaps!$K92)</f>
        <v/>
      </c>
      <c r="Q93" s="27">
        <f>IF($A93="","",IF(N($D93)=0,"No scores yet",IF($D93&lt;Settings!$E$5,"Needs more reviews",IF(OR(AND(ISNUMBER(O93),N(O93)&gt;=Settings!$E$6),AND(ISNUMBER(P93),N(P93)&gt;=Settings!$E$7)),"Talk it through","Ready"))))</f>
        <v/>
      </c>
      <c r="R93" s="27">
        <f>IF(ISNUMBER(L93),COUNTIF($L$3:$L$102,"&gt;"&amp;L93)+1,"")</f>
        <v/>
      </c>
      <c r="S93" s="25" t="n"/>
      <c r="T93" s="28" t="n"/>
      <c r="U93" s="48">
        <f>IF(ISNUMBER(L93),L93+(103-ROW())/100000,"")</f>
        <v/>
      </c>
    </row>
    <row r="94">
      <c r="A94" s="41">
        <f>IF(Applications!$A93="","",Applications!$A93&amp;"")</f>
        <v/>
      </c>
      <c r="B94" s="45">
        <f>IF($A94="","",Applications!$B93&amp;"")</f>
        <v/>
      </c>
      <c r="C94" s="46">
        <f>IF(AND($A94&lt;&gt;"",ISNUMBER(Applications!$D93)),Applications!$D93,"")</f>
        <v/>
      </c>
      <c r="D94" s="41">
        <f>IF($A94="","",COUNTIFS(Scores!$A$3:$A$502,$A94,Scores!$O$3:$O$502,"Counted"))</f>
        <v/>
      </c>
      <c r="E94" s="41">
        <f>IF($A94="","",COUNTIFS(Scores!$A$3:$A$502,$A94,Scores!$O$3:$O$502,"Conflict, not counted"))</f>
        <v/>
      </c>
      <c r="F94" s="47">
        <f>IF($A94="","",IF(COUNTIFS(Scores!$A$3:$A$502,$A94,Scores!$B$3:$B$502,F$2,Scores!$O$3:$O$502,"Counted")=0,"",SUMIFS(Scores!$P$3:$P$502,Scores!$A$3:$A$502,$A94,Scores!$B$3:$B$502,F$2,Scores!$O$3:$O$502,"Counted")))</f>
        <v/>
      </c>
      <c r="G94" s="47">
        <f>IF($A94="","",IF(COUNTIFS(Scores!$A$3:$A$502,$A94,Scores!$B$3:$B$502,G$2,Scores!$O$3:$O$502,"Counted")=0,"",SUMIFS(Scores!$P$3:$P$502,Scores!$A$3:$A$502,$A94,Scores!$B$3:$B$502,G$2,Scores!$O$3:$O$502,"Counted")))</f>
        <v/>
      </c>
      <c r="H94" s="47">
        <f>IF($A94="","",IF(COUNTIFS(Scores!$A$3:$A$502,$A94,Scores!$B$3:$B$502,H$2,Scores!$O$3:$O$502,"Counted")=0,"",SUMIFS(Scores!$P$3:$P$502,Scores!$A$3:$A$502,$A94,Scores!$B$3:$B$502,H$2,Scores!$O$3:$O$502,"Counted")))</f>
        <v/>
      </c>
      <c r="I94" s="47">
        <f>IF($A94="","",IF(COUNTIFS(Scores!$A$3:$A$502,$A94,Scores!$B$3:$B$502,I$2,Scores!$O$3:$O$502,"Counted")=0,"",SUMIFS(Scores!$P$3:$P$502,Scores!$A$3:$A$502,$A94,Scores!$B$3:$B$502,I$2,Scores!$O$3:$O$502,"Counted")))</f>
        <v/>
      </c>
      <c r="J94" s="47">
        <f>IF($A94="","",IF(COUNTIFS(Scores!$A$3:$A$502,$A94,Scores!$B$3:$B$502,J$2,Scores!$O$3:$O$502,"Counted")=0,"",SUMIFS(Scores!$P$3:$P$502,Scores!$A$3:$A$502,$A94,Scores!$B$3:$B$502,J$2,Scores!$O$3:$O$502,"Counted")))</f>
        <v/>
      </c>
      <c r="K94" s="47">
        <f>IF($A94="","",IF(COUNTIFS(Scores!$A$3:$A$502,$A94,Scores!$B$3:$B$502,K$2,Scores!$O$3:$O$502,"Counted")=0,"",SUMIFS(Scores!$P$3:$P$502,Scores!$A$3:$A$502,$A94,Scores!$B$3:$B$502,K$2,Scores!$O$3:$O$502,"Counted")))</f>
        <v/>
      </c>
      <c r="L94" s="42">
        <f>IF(N($D94)=0,"",ROUND(SUMIFS(Scores!$P$3:$P$502,Scores!$A$3:$A$502,$A94,Scores!$O$3:$O$502,"Counted")/$D94,1))</f>
        <v/>
      </c>
      <c r="M94" s="47">
        <f>IF(COUNT(F94:K94)=0,"",MIN(F94:K94))</f>
        <v/>
      </c>
      <c r="N94" s="47">
        <f>IF(COUNT(F94:K94)=0,"",MAX(F94:K94))</f>
        <v/>
      </c>
      <c r="O94" s="47">
        <f>IF(COUNT(F94:K94)&lt;2,"",ROUND(N94-M94,1))</f>
        <v/>
      </c>
      <c r="P94" s="41">
        <f>IF($A94="","",Gaps!$K93)</f>
        <v/>
      </c>
      <c r="Q94" s="27">
        <f>IF($A94="","",IF(N($D94)=0,"No scores yet",IF($D94&lt;Settings!$E$5,"Needs more reviews",IF(OR(AND(ISNUMBER(O94),N(O94)&gt;=Settings!$E$6),AND(ISNUMBER(P94),N(P94)&gt;=Settings!$E$7)),"Talk it through","Ready"))))</f>
        <v/>
      </c>
      <c r="R94" s="27">
        <f>IF(ISNUMBER(L94),COUNTIF($L$3:$L$102,"&gt;"&amp;L94)+1,"")</f>
        <v/>
      </c>
      <c r="S94" s="25" t="n"/>
      <c r="T94" s="28" t="n"/>
      <c r="U94" s="48">
        <f>IF(ISNUMBER(L94),L94+(103-ROW())/100000,"")</f>
        <v/>
      </c>
    </row>
    <row r="95">
      <c r="A95" s="41">
        <f>IF(Applications!$A94="","",Applications!$A94&amp;"")</f>
        <v/>
      </c>
      <c r="B95" s="45">
        <f>IF($A95="","",Applications!$B94&amp;"")</f>
        <v/>
      </c>
      <c r="C95" s="46">
        <f>IF(AND($A95&lt;&gt;"",ISNUMBER(Applications!$D94)),Applications!$D94,"")</f>
        <v/>
      </c>
      <c r="D95" s="41">
        <f>IF($A95="","",COUNTIFS(Scores!$A$3:$A$502,$A95,Scores!$O$3:$O$502,"Counted"))</f>
        <v/>
      </c>
      <c r="E95" s="41">
        <f>IF($A95="","",COUNTIFS(Scores!$A$3:$A$502,$A95,Scores!$O$3:$O$502,"Conflict, not counted"))</f>
        <v/>
      </c>
      <c r="F95" s="47">
        <f>IF($A95="","",IF(COUNTIFS(Scores!$A$3:$A$502,$A95,Scores!$B$3:$B$502,F$2,Scores!$O$3:$O$502,"Counted")=0,"",SUMIFS(Scores!$P$3:$P$502,Scores!$A$3:$A$502,$A95,Scores!$B$3:$B$502,F$2,Scores!$O$3:$O$502,"Counted")))</f>
        <v/>
      </c>
      <c r="G95" s="47">
        <f>IF($A95="","",IF(COUNTIFS(Scores!$A$3:$A$502,$A95,Scores!$B$3:$B$502,G$2,Scores!$O$3:$O$502,"Counted")=0,"",SUMIFS(Scores!$P$3:$P$502,Scores!$A$3:$A$502,$A95,Scores!$B$3:$B$502,G$2,Scores!$O$3:$O$502,"Counted")))</f>
        <v/>
      </c>
      <c r="H95" s="47">
        <f>IF($A95="","",IF(COUNTIFS(Scores!$A$3:$A$502,$A95,Scores!$B$3:$B$502,H$2,Scores!$O$3:$O$502,"Counted")=0,"",SUMIFS(Scores!$P$3:$P$502,Scores!$A$3:$A$502,$A95,Scores!$B$3:$B$502,H$2,Scores!$O$3:$O$502,"Counted")))</f>
        <v/>
      </c>
      <c r="I95" s="47">
        <f>IF($A95="","",IF(COUNTIFS(Scores!$A$3:$A$502,$A95,Scores!$B$3:$B$502,I$2,Scores!$O$3:$O$502,"Counted")=0,"",SUMIFS(Scores!$P$3:$P$502,Scores!$A$3:$A$502,$A95,Scores!$B$3:$B$502,I$2,Scores!$O$3:$O$502,"Counted")))</f>
        <v/>
      </c>
      <c r="J95" s="47">
        <f>IF($A95="","",IF(COUNTIFS(Scores!$A$3:$A$502,$A95,Scores!$B$3:$B$502,J$2,Scores!$O$3:$O$502,"Counted")=0,"",SUMIFS(Scores!$P$3:$P$502,Scores!$A$3:$A$502,$A95,Scores!$B$3:$B$502,J$2,Scores!$O$3:$O$502,"Counted")))</f>
        <v/>
      </c>
      <c r="K95" s="47">
        <f>IF($A95="","",IF(COUNTIFS(Scores!$A$3:$A$502,$A95,Scores!$B$3:$B$502,K$2,Scores!$O$3:$O$502,"Counted")=0,"",SUMIFS(Scores!$P$3:$P$502,Scores!$A$3:$A$502,$A95,Scores!$B$3:$B$502,K$2,Scores!$O$3:$O$502,"Counted")))</f>
        <v/>
      </c>
      <c r="L95" s="42">
        <f>IF(N($D95)=0,"",ROUND(SUMIFS(Scores!$P$3:$P$502,Scores!$A$3:$A$502,$A95,Scores!$O$3:$O$502,"Counted")/$D95,1))</f>
        <v/>
      </c>
      <c r="M95" s="47">
        <f>IF(COUNT(F95:K95)=0,"",MIN(F95:K95))</f>
        <v/>
      </c>
      <c r="N95" s="47">
        <f>IF(COUNT(F95:K95)=0,"",MAX(F95:K95))</f>
        <v/>
      </c>
      <c r="O95" s="47">
        <f>IF(COUNT(F95:K95)&lt;2,"",ROUND(N95-M95,1))</f>
        <v/>
      </c>
      <c r="P95" s="41">
        <f>IF($A95="","",Gaps!$K94)</f>
        <v/>
      </c>
      <c r="Q95" s="27">
        <f>IF($A95="","",IF(N($D95)=0,"No scores yet",IF($D95&lt;Settings!$E$5,"Needs more reviews",IF(OR(AND(ISNUMBER(O95),N(O95)&gt;=Settings!$E$6),AND(ISNUMBER(P95),N(P95)&gt;=Settings!$E$7)),"Talk it through","Ready"))))</f>
        <v/>
      </c>
      <c r="R95" s="27">
        <f>IF(ISNUMBER(L95),COUNTIF($L$3:$L$102,"&gt;"&amp;L95)+1,"")</f>
        <v/>
      </c>
      <c r="S95" s="25" t="n"/>
      <c r="T95" s="28" t="n"/>
      <c r="U95" s="48">
        <f>IF(ISNUMBER(L95),L95+(103-ROW())/100000,"")</f>
        <v/>
      </c>
    </row>
    <row r="96">
      <c r="A96" s="41">
        <f>IF(Applications!$A95="","",Applications!$A95&amp;"")</f>
        <v/>
      </c>
      <c r="B96" s="45">
        <f>IF($A96="","",Applications!$B95&amp;"")</f>
        <v/>
      </c>
      <c r="C96" s="46">
        <f>IF(AND($A96&lt;&gt;"",ISNUMBER(Applications!$D95)),Applications!$D95,"")</f>
        <v/>
      </c>
      <c r="D96" s="41">
        <f>IF($A96="","",COUNTIFS(Scores!$A$3:$A$502,$A96,Scores!$O$3:$O$502,"Counted"))</f>
        <v/>
      </c>
      <c r="E96" s="41">
        <f>IF($A96="","",COUNTIFS(Scores!$A$3:$A$502,$A96,Scores!$O$3:$O$502,"Conflict, not counted"))</f>
        <v/>
      </c>
      <c r="F96" s="47">
        <f>IF($A96="","",IF(COUNTIFS(Scores!$A$3:$A$502,$A96,Scores!$B$3:$B$502,F$2,Scores!$O$3:$O$502,"Counted")=0,"",SUMIFS(Scores!$P$3:$P$502,Scores!$A$3:$A$502,$A96,Scores!$B$3:$B$502,F$2,Scores!$O$3:$O$502,"Counted")))</f>
        <v/>
      </c>
      <c r="G96" s="47">
        <f>IF($A96="","",IF(COUNTIFS(Scores!$A$3:$A$502,$A96,Scores!$B$3:$B$502,G$2,Scores!$O$3:$O$502,"Counted")=0,"",SUMIFS(Scores!$P$3:$P$502,Scores!$A$3:$A$502,$A96,Scores!$B$3:$B$502,G$2,Scores!$O$3:$O$502,"Counted")))</f>
        <v/>
      </c>
      <c r="H96" s="47">
        <f>IF($A96="","",IF(COUNTIFS(Scores!$A$3:$A$502,$A96,Scores!$B$3:$B$502,H$2,Scores!$O$3:$O$502,"Counted")=0,"",SUMIFS(Scores!$P$3:$P$502,Scores!$A$3:$A$502,$A96,Scores!$B$3:$B$502,H$2,Scores!$O$3:$O$502,"Counted")))</f>
        <v/>
      </c>
      <c r="I96" s="47">
        <f>IF($A96="","",IF(COUNTIFS(Scores!$A$3:$A$502,$A96,Scores!$B$3:$B$502,I$2,Scores!$O$3:$O$502,"Counted")=0,"",SUMIFS(Scores!$P$3:$P$502,Scores!$A$3:$A$502,$A96,Scores!$B$3:$B$502,I$2,Scores!$O$3:$O$502,"Counted")))</f>
        <v/>
      </c>
      <c r="J96" s="47">
        <f>IF($A96="","",IF(COUNTIFS(Scores!$A$3:$A$502,$A96,Scores!$B$3:$B$502,J$2,Scores!$O$3:$O$502,"Counted")=0,"",SUMIFS(Scores!$P$3:$P$502,Scores!$A$3:$A$502,$A96,Scores!$B$3:$B$502,J$2,Scores!$O$3:$O$502,"Counted")))</f>
        <v/>
      </c>
      <c r="K96" s="47">
        <f>IF($A96="","",IF(COUNTIFS(Scores!$A$3:$A$502,$A96,Scores!$B$3:$B$502,K$2,Scores!$O$3:$O$502,"Counted")=0,"",SUMIFS(Scores!$P$3:$P$502,Scores!$A$3:$A$502,$A96,Scores!$B$3:$B$502,K$2,Scores!$O$3:$O$502,"Counted")))</f>
        <v/>
      </c>
      <c r="L96" s="42">
        <f>IF(N($D96)=0,"",ROUND(SUMIFS(Scores!$P$3:$P$502,Scores!$A$3:$A$502,$A96,Scores!$O$3:$O$502,"Counted")/$D96,1))</f>
        <v/>
      </c>
      <c r="M96" s="47">
        <f>IF(COUNT(F96:K96)=0,"",MIN(F96:K96))</f>
        <v/>
      </c>
      <c r="N96" s="47">
        <f>IF(COUNT(F96:K96)=0,"",MAX(F96:K96))</f>
        <v/>
      </c>
      <c r="O96" s="47">
        <f>IF(COUNT(F96:K96)&lt;2,"",ROUND(N96-M96,1))</f>
        <v/>
      </c>
      <c r="P96" s="41">
        <f>IF($A96="","",Gaps!$K95)</f>
        <v/>
      </c>
      <c r="Q96" s="27">
        <f>IF($A96="","",IF(N($D96)=0,"No scores yet",IF($D96&lt;Settings!$E$5,"Needs more reviews",IF(OR(AND(ISNUMBER(O96),N(O96)&gt;=Settings!$E$6),AND(ISNUMBER(P96),N(P96)&gt;=Settings!$E$7)),"Talk it through","Ready"))))</f>
        <v/>
      </c>
      <c r="R96" s="27">
        <f>IF(ISNUMBER(L96),COUNTIF($L$3:$L$102,"&gt;"&amp;L96)+1,"")</f>
        <v/>
      </c>
      <c r="S96" s="25" t="n"/>
      <c r="T96" s="28" t="n"/>
      <c r="U96" s="48">
        <f>IF(ISNUMBER(L96),L96+(103-ROW())/100000,"")</f>
        <v/>
      </c>
    </row>
    <row r="97">
      <c r="A97" s="41">
        <f>IF(Applications!$A96="","",Applications!$A96&amp;"")</f>
        <v/>
      </c>
      <c r="B97" s="45">
        <f>IF($A97="","",Applications!$B96&amp;"")</f>
        <v/>
      </c>
      <c r="C97" s="46">
        <f>IF(AND($A97&lt;&gt;"",ISNUMBER(Applications!$D96)),Applications!$D96,"")</f>
        <v/>
      </c>
      <c r="D97" s="41">
        <f>IF($A97="","",COUNTIFS(Scores!$A$3:$A$502,$A97,Scores!$O$3:$O$502,"Counted"))</f>
        <v/>
      </c>
      <c r="E97" s="41">
        <f>IF($A97="","",COUNTIFS(Scores!$A$3:$A$502,$A97,Scores!$O$3:$O$502,"Conflict, not counted"))</f>
        <v/>
      </c>
      <c r="F97" s="47">
        <f>IF($A97="","",IF(COUNTIFS(Scores!$A$3:$A$502,$A97,Scores!$B$3:$B$502,F$2,Scores!$O$3:$O$502,"Counted")=0,"",SUMIFS(Scores!$P$3:$P$502,Scores!$A$3:$A$502,$A97,Scores!$B$3:$B$502,F$2,Scores!$O$3:$O$502,"Counted")))</f>
        <v/>
      </c>
      <c r="G97" s="47">
        <f>IF($A97="","",IF(COUNTIFS(Scores!$A$3:$A$502,$A97,Scores!$B$3:$B$502,G$2,Scores!$O$3:$O$502,"Counted")=0,"",SUMIFS(Scores!$P$3:$P$502,Scores!$A$3:$A$502,$A97,Scores!$B$3:$B$502,G$2,Scores!$O$3:$O$502,"Counted")))</f>
        <v/>
      </c>
      <c r="H97" s="47">
        <f>IF($A97="","",IF(COUNTIFS(Scores!$A$3:$A$502,$A97,Scores!$B$3:$B$502,H$2,Scores!$O$3:$O$502,"Counted")=0,"",SUMIFS(Scores!$P$3:$P$502,Scores!$A$3:$A$502,$A97,Scores!$B$3:$B$502,H$2,Scores!$O$3:$O$502,"Counted")))</f>
        <v/>
      </c>
      <c r="I97" s="47">
        <f>IF($A97="","",IF(COUNTIFS(Scores!$A$3:$A$502,$A97,Scores!$B$3:$B$502,I$2,Scores!$O$3:$O$502,"Counted")=0,"",SUMIFS(Scores!$P$3:$P$502,Scores!$A$3:$A$502,$A97,Scores!$B$3:$B$502,I$2,Scores!$O$3:$O$502,"Counted")))</f>
        <v/>
      </c>
      <c r="J97" s="47">
        <f>IF($A97="","",IF(COUNTIFS(Scores!$A$3:$A$502,$A97,Scores!$B$3:$B$502,J$2,Scores!$O$3:$O$502,"Counted")=0,"",SUMIFS(Scores!$P$3:$P$502,Scores!$A$3:$A$502,$A97,Scores!$B$3:$B$502,J$2,Scores!$O$3:$O$502,"Counted")))</f>
        <v/>
      </c>
      <c r="K97" s="47">
        <f>IF($A97="","",IF(COUNTIFS(Scores!$A$3:$A$502,$A97,Scores!$B$3:$B$502,K$2,Scores!$O$3:$O$502,"Counted")=0,"",SUMIFS(Scores!$P$3:$P$502,Scores!$A$3:$A$502,$A97,Scores!$B$3:$B$502,K$2,Scores!$O$3:$O$502,"Counted")))</f>
        <v/>
      </c>
      <c r="L97" s="42">
        <f>IF(N($D97)=0,"",ROUND(SUMIFS(Scores!$P$3:$P$502,Scores!$A$3:$A$502,$A97,Scores!$O$3:$O$502,"Counted")/$D97,1))</f>
        <v/>
      </c>
      <c r="M97" s="47">
        <f>IF(COUNT(F97:K97)=0,"",MIN(F97:K97))</f>
        <v/>
      </c>
      <c r="N97" s="47">
        <f>IF(COUNT(F97:K97)=0,"",MAX(F97:K97))</f>
        <v/>
      </c>
      <c r="O97" s="47">
        <f>IF(COUNT(F97:K97)&lt;2,"",ROUND(N97-M97,1))</f>
        <v/>
      </c>
      <c r="P97" s="41">
        <f>IF($A97="","",Gaps!$K96)</f>
        <v/>
      </c>
      <c r="Q97" s="27">
        <f>IF($A97="","",IF(N($D97)=0,"No scores yet",IF($D97&lt;Settings!$E$5,"Needs more reviews",IF(OR(AND(ISNUMBER(O97),N(O97)&gt;=Settings!$E$6),AND(ISNUMBER(P97),N(P97)&gt;=Settings!$E$7)),"Talk it through","Ready"))))</f>
        <v/>
      </c>
      <c r="R97" s="27">
        <f>IF(ISNUMBER(L97),COUNTIF($L$3:$L$102,"&gt;"&amp;L97)+1,"")</f>
        <v/>
      </c>
      <c r="S97" s="25" t="n"/>
      <c r="T97" s="28" t="n"/>
      <c r="U97" s="48">
        <f>IF(ISNUMBER(L97),L97+(103-ROW())/100000,"")</f>
        <v/>
      </c>
    </row>
    <row r="98">
      <c r="A98" s="41">
        <f>IF(Applications!$A97="","",Applications!$A97&amp;"")</f>
        <v/>
      </c>
      <c r="B98" s="45">
        <f>IF($A98="","",Applications!$B97&amp;"")</f>
        <v/>
      </c>
      <c r="C98" s="46">
        <f>IF(AND($A98&lt;&gt;"",ISNUMBER(Applications!$D97)),Applications!$D97,"")</f>
        <v/>
      </c>
      <c r="D98" s="41">
        <f>IF($A98="","",COUNTIFS(Scores!$A$3:$A$502,$A98,Scores!$O$3:$O$502,"Counted"))</f>
        <v/>
      </c>
      <c r="E98" s="41">
        <f>IF($A98="","",COUNTIFS(Scores!$A$3:$A$502,$A98,Scores!$O$3:$O$502,"Conflict, not counted"))</f>
        <v/>
      </c>
      <c r="F98" s="47">
        <f>IF($A98="","",IF(COUNTIFS(Scores!$A$3:$A$502,$A98,Scores!$B$3:$B$502,F$2,Scores!$O$3:$O$502,"Counted")=0,"",SUMIFS(Scores!$P$3:$P$502,Scores!$A$3:$A$502,$A98,Scores!$B$3:$B$502,F$2,Scores!$O$3:$O$502,"Counted")))</f>
        <v/>
      </c>
      <c r="G98" s="47">
        <f>IF($A98="","",IF(COUNTIFS(Scores!$A$3:$A$502,$A98,Scores!$B$3:$B$502,G$2,Scores!$O$3:$O$502,"Counted")=0,"",SUMIFS(Scores!$P$3:$P$502,Scores!$A$3:$A$502,$A98,Scores!$B$3:$B$502,G$2,Scores!$O$3:$O$502,"Counted")))</f>
        <v/>
      </c>
      <c r="H98" s="47">
        <f>IF($A98="","",IF(COUNTIFS(Scores!$A$3:$A$502,$A98,Scores!$B$3:$B$502,H$2,Scores!$O$3:$O$502,"Counted")=0,"",SUMIFS(Scores!$P$3:$P$502,Scores!$A$3:$A$502,$A98,Scores!$B$3:$B$502,H$2,Scores!$O$3:$O$502,"Counted")))</f>
        <v/>
      </c>
      <c r="I98" s="47">
        <f>IF($A98="","",IF(COUNTIFS(Scores!$A$3:$A$502,$A98,Scores!$B$3:$B$502,I$2,Scores!$O$3:$O$502,"Counted")=0,"",SUMIFS(Scores!$P$3:$P$502,Scores!$A$3:$A$502,$A98,Scores!$B$3:$B$502,I$2,Scores!$O$3:$O$502,"Counted")))</f>
        <v/>
      </c>
      <c r="J98" s="47">
        <f>IF($A98="","",IF(COUNTIFS(Scores!$A$3:$A$502,$A98,Scores!$B$3:$B$502,J$2,Scores!$O$3:$O$502,"Counted")=0,"",SUMIFS(Scores!$P$3:$P$502,Scores!$A$3:$A$502,$A98,Scores!$B$3:$B$502,J$2,Scores!$O$3:$O$502,"Counted")))</f>
        <v/>
      </c>
      <c r="K98" s="47">
        <f>IF($A98="","",IF(COUNTIFS(Scores!$A$3:$A$502,$A98,Scores!$B$3:$B$502,K$2,Scores!$O$3:$O$502,"Counted")=0,"",SUMIFS(Scores!$P$3:$P$502,Scores!$A$3:$A$502,$A98,Scores!$B$3:$B$502,K$2,Scores!$O$3:$O$502,"Counted")))</f>
        <v/>
      </c>
      <c r="L98" s="42">
        <f>IF(N($D98)=0,"",ROUND(SUMIFS(Scores!$P$3:$P$502,Scores!$A$3:$A$502,$A98,Scores!$O$3:$O$502,"Counted")/$D98,1))</f>
        <v/>
      </c>
      <c r="M98" s="47">
        <f>IF(COUNT(F98:K98)=0,"",MIN(F98:K98))</f>
        <v/>
      </c>
      <c r="N98" s="47">
        <f>IF(COUNT(F98:K98)=0,"",MAX(F98:K98))</f>
        <v/>
      </c>
      <c r="O98" s="47">
        <f>IF(COUNT(F98:K98)&lt;2,"",ROUND(N98-M98,1))</f>
        <v/>
      </c>
      <c r="P98" s="41">
        <f>IF($A98="","",Gaps!$K97)</f>
        <v/>
      </c>
      <c r="Q98" s="27">
        <f>IF($A98="","",IF(N($D98)=0,"No scores yet",IF($D98&lt;Settings!$E$5,"Needs more reviews",IF(OR(AND(ISNUMBER(O98),N(O98)&gt;=Settings!$E$6),AND(ISNUMBER(P98),N(P98)&gt;=Settings!$E$7)),"Talk it through","Ready"))))</f>
        <v/>
      </c>
      <c r="R98" s="27">
        <f>IF(ISNUMBER(L98),COUNTIF($L$3:$L$102,"&gt;"&amp;L98)+1,"")</f>
        <v/>
      </c>
      <c r="S98" s="25" t="n"/>
      <c r="T98" s="28" t="n"/>
      <c r="U98" s="48">
        <f>IF(ISNUMBER(L98),L98+(103-ROW())/100000,"")</f>
        <v/>
      </c>
    </row>
    <row r="99">
      <c r="A99" s="41">
        <f>IF(Applications!$A98="","",Applications!$A98&amp;"")</f>
        <v/>
      </c>
      <c r="B99" s="45">
        <f>IF($A99="","",Applications!$B98&amp;"")</f>
        <v/>
      </c>
      <c r="C99" s="46">
        <f>IF(AND($A99&lt;&gt;"",ISNUMBER(Applications!$D98)),Applications!$D98,"")</f>
        <v/>
      </c>
      <c r="D99" s="41">
        <f>IF($A99="","",COUNTIFS(Scores!$A$3:$A$502,$A99,Scores!$O$3:$O$502,"Counted"))</f>
        <v/>
      </c>
      <c r="E99" s="41">
        <f>IF($A99="","",COUNTIFS(Scores!$A$3:$A$502,$A99,Scores!$O$3:$O$502,"Conflict, not counted"))</f>
        <v/>
      </c>
      <c r="F99" s="47">
        <f>IF($A99="","",IF(COUNTIFS(Scores!$A$3:$A$502,$A99,Scores!$B$3:$B$502,F$2,Scores!$O$3:$O$502,"Counted")=0,"",SUMIFS(Scores!$P$3:$P$502,Scores!$A$3:$A$502,$A99,Scores!$B$3:$B$502,F$2,Scores!$O$3:$O$502,"Counted")))</f>
        <v/>
      </c>
      <c r="G99" s="47">
        <f>IF($A99="","",IF(COUNTIFS(Scores!$A$3:$A$502,$A99,Scores!$B$3:$B$502,G$2,Scores!$O$3:$O$502,"Counted")=0,"",SUMIFS(Scores!$P$3:$P$502,Scores!$A$3:$A$502,$A99,Scores!$B$3:$B$502,G$2,Scores!$O$3:$O$502,"Counted")))</f>
        <v/>
      </c>
      <c r="H99" s="47">
        <f>IF($A99="","",IF(COUNTIFS(Scores!$A$3:$A$502,$A99,Scores!$B$3:$B$502,H$2,Scores!$O$3:$O$502,"Counted")=0,"",SUMIFS(Scores!$P$3:$P$502,Scores!$A$3:$A$502,$A99,Scores!$B$3:$B$502,H$2,Scores!$O$3:$O$502,"Counted")))</f>
        <v/>
      </c>
      <c r="I99" s="47">
        <f>IF($A99="","",IF(COUNTIFS(Scores!$A$3:$A$502,$A99,Scores!$B$3:$B$502,I$2,Scores!$O$3:$O$502,"Counted")=0,"",SUMIFS(Scores!$P$3:$P$502,Scores!$A$3:$A$502,$A99,Scores!$B$3:$B$502,I$2,Scores!$O$3:$O$502,"Counted")))</f>
        <v/>
      </c>
      <c r="J99" s="47">
        <f>IF($A99="","",IF(COUNTIFS(Scores!$A$3:$A$502,$A99,Scores!$B$3:$B$502,J$2,Scores!$O$3:$O$502,"Counted")=0,"",SUMIFS(Scores!$P$3:$P$502,Scores!$A$3:$A$502,$A99,Scores!$B$3:$B$502,J$2,Scores!$O$3:$O$502,"Counted")))</f>
        <v/>
      </c>
      <c r="K99" s="47">
        <f>IF($A99="","",IF(COUNTIFS(Scores!$A$3:$A$502,$A99,Scores!$B$3:$B$502,K$2,Scores!$O$3:$O$502,"Counted")=0,"",SUMIFS(Scores!$P$3:$P$502,Scores!$A$3:$A$502,$A99,Scores!$B$3:$B$502,K$2,Scores!$O$3:$O$502,"Counted")))</f>
        <v/>
      </c>
      <c r="L99" s="42">
        <f>IF(N($D99)=0,"",ROUND(SUMIFS(Scores!$P$3:$P$502,Scores!$A$3:$A$502,$A99,Scores!$O$3:$O$502,"Counted")/$D99,1))</f>
        <v/>
      </c>
      <c r="M99" s="47">
        <f>IF(COUNT(F99:K99)=0,"",MIN(F99:K99))</f>
        <v/>
      </c>
      <c r="N99" s="47">
        <f>IF(COUNT(F99:K99)=0,"",MAX(F99:K99))</f>
        <v/>
      </c>
      <c r="O99" s="47">
        <f>IF(COUNT(F99:K99)&lt;2,"",ROUND(N99-M99,1))</f>
        <v/>
      </c>
      <c r="P99" s="41">
        <f>IF($A99="","",Gaps!$K98)</f>
        <v/>
      </c>
      <c r="Q99" s="27">
        <f>IF($A99="","",IF(N($D99)=0,"No scores yet",IF($D99&lt;Settings!$E$5,"Needs more reviews",IF(OR(AND(ISNUMBER(O99),N(O99)&gt;=Settings!$E$6),AND(ISNUMBER(P99),N(P99)&gt;=Settings!$E$7)),"Talk it through","Ready"))))</f>
        <v/>
      </c>
      <c r="R99" s="27">
        <f>IF(ISNUMBER(L99),COUNTIF($L$3:$L$102,"&gt;"&amp;L99)+1,"")</f>
        <v/>
      </c>
      <c r="S99" s="25" t="n"/>
      <c r="T99" s="28" t="n"/>
      <c r="U99" s="48">
        <f>IF(ISNUMBER(L99),L99+(103-ROW())/100000,"")</f>
        <v/>
      </c>
    </row>
    <row r="100">
      <c r="A100" s="41">
        <f>IF(Applications!$A99="","",Applications!$A99&amp;"")</f>
        <v/>
      </c>
      <c r="B100" s="45">
        <f>IF($A100="","",Applications!$B99&amp;"")</f>
        <v/>
      </c>
      <c r="C100" s="46">
        <f>IF(AND($A100&lt;&gt;"",ISNUMBER(Applications!$D99)),Applications!$D99,"")</f>
        <v/>
      </c>
      <c r="D100" s="41">
        <f>IF($A100="","",COUNTIFS(Scores!$A$3:$A$502,$A100,Scores!$O$3:$O$502,"Counted"))</f>
        <v/>
      </c>
      <c r="E100" s="41">
        <f>IF($A100="","",COUNTIFS(Scores!$A$3:$A$502,$A100,Scores!$O$3:$O$502,"Conflict, not counted"))</f>
        <v/>
      </c>
      <c r="F100" s="47">
        <f>IF($A100="","",IF(COUNTIFS(Scores!$A$3:$A$502,$A100,Scores!$B$3:$B$502,F$2,Scores!$O$3:$O$502,"Counted")=0,"",SUMIFS(Scores!$P$3:$P$502,Scores!$A$3:$A$502,$A100,Scores!$B$3:$B$502,F$2,Scores!$O$3:$O$502,"Counted")))</f>
        <v/>
      </c>
      <c r="G100" s="47">
        <f>IF($A100="","",IF(COUNTIFS(Scores!$A$3:$A$502,$A100,Scores!$B$3:$B$502,G$2,Scores!$O$3:$O$502,"Counted")=0,"",SUMIFS(Scores!$P$3:$P$502,Scores!$A$3:$A$502,$A100,Scores!$B$3:$B$502,G$2,Scores!$O$3:$O$502,"Counted")))</f>
        <v/>
      </c>
      <c r="H100" s="47">
        <f>IF($A100="","",IF(COUNTIFS(Scores!$A$3:$A$502,$A100,Scores!$B$3:$B$502,H$2,Scores!$O$3:$O$502,"Counted")=0,"",SUMIFS(Scores!$P$3:$P$502,Scores!$A$3:$A$502,$A100,Scores!$B$3:$B$502,H$2,Scores!$O$3:$O$502,"Counted")))</f>
        <v/>
      </c>
      <c r="I100" s="47">
        <f>IF($A100="","",IF(COUNTIFS(Scores!$A$3:$A$502,$A100,Scores!$B$3:$B$502,I$2,Scores!$O$3:$O$502,"Counted")=0,"",SUMIFS(Scores!$P$3:$P$502,Scores!$A$3:$A$502,$A100,Scores!$B$3:$B$502,I$2,Scores!$O$3:$O$502,"Counted")))</f>
        <v/>
      </c>
      <c r="J100" s="47">
        <f>IF($A100="","",IF(COUNTIFS(Scores!$A$3:$A$502,$A100,Scores!$B$3:$B$502,J$2,Scores!$O$3:$O$502,"Counted")=0,"",SUMIFS(Scores!$P$3:$P$502,Scores!$A$3:$A$502,$A100,Scores!$B$3:$B$502,J$2,Scores!$O$3:$O$502,"Counted")))</f>
        <v/>
      </c>
      <c r="K100" s="47">
        <f>IF($A100="","",IF(COUNTIFS(Scores!$A$3:$A$502,$A100,Scores!$B$3:$B$502,K$2,Scores!$O$3:$O$502,"Counted")=0,"",SUMIFS(Scores!$P$3:$P$502,Scores!$A$3:$A$502,$A100,Scores!$B$3:$B$502,K$2,Scores!$O$3:$O$502,"Counted")))</f>
        <v/>
      </c>
      <c r="L100" s="42">
        <f>IF(N($D100)=0,"",ROUND(SUMIFS(Scores!$P$3:$P$502,Scores!$A$3:$A$502,$A100,Scores!$O$3:$O$502,"Counted")/$D100,1))</f>
        <v/>
      </c>
      <c r="M100" s="47">
        <f>IF(COUNT(F100:K100)=0,"",MIN(F100:K100))</f>
        <v/>
      </c>
      <c r="N100" s="47">
        <f>IF(COUNT(F100:K100)=0,"",MAX(F100:K100))</f>
        <v/>
      </c>
      <c r="O100" s="47">
        <f>IF(COUNT(F100:K100)&lt;2,"",ROUND(N100-M100,1))</f>
        <v/>
      </c>
      <c r="P100" s="41">
        <f>IF($A100="","",Gaps!$K99)</f>
        <v/>
      </c>
      <c r="Q100" s="27">
        <f>IF($A100="","",IF(N($D100)=0,"No scores yet",IF($D100&lt;Settings!$E$5,"Needs more reviews",IF(OR(AND(ISNUMBER(O100),N(O100)&gt;=Settings!$E$6),AND(ISNUMBER(P100),N(P100)&gt;=Settings!$E$7)),"Talk it through","Ready"))))</f>
        <v/>
      </c>
      <c r="R100" s="27">
        <f>IF(ISNUMBER(L100),COUNTIF($L$3:$L$102,"&gt;"&amp;L100)+1,"")</f>
        <v/>
      </c>
      <c r="S100" s="25" t="n"/>
      <c r="T100" s="28" t="n"/>
      <c r="U100" s="48">
        <f>IF(ISNUMBER(L100),L100+(103-ROW())/100000,"")</f>
        <v/>
      </c>
    </row>
    <row r="101">
      <c r="A101" s="41">
        <f>IF(Applications!$A100="","",Applications!$A100&amp;"")</f>
        <v/>
      </c>
      <c r="B101" s="45">
        <f>IF($A101="","",Applications!$B100&amp;"")</f>
        <v/>
      </c>
      <c r="C101" s="46">
        <f>IF(AND($A101&lt;&gt;"",ISNUMBER(Applications!$D100)),Applications!$D100,"")</f>
        <v/>
      </c>
      <c r="D101" s="41">
        <f>IF($A101="","",COUNTIFS(Scores!$A$3:$A$502,$A101,Scores!$O$3:$O$502,"Counted"))</f>
        <v/>
      </c>
      <c r="E101" s="41">
        <f>IF($A101="","",COUNTIFS(Scores!$A$3:$A$502,$A101,Scores!$O$3:$O$502,"Conflict, not counted"))</f>
        <v/>
      </c>
      <c r="F101" s="47">
        <f>IF($A101="","",IF(COUNTIFS(Scores!$A$3:$A$502,$A101,Scores!$B$3:$B$502,F$2,Scores!$O$3:$O$502,"Counted")=0,"",SUMIFS(Scores!$P$3:$P$502,Scores!$A$3:$A$502,$A101,Scores!$B$3:$B$502,F$2,Scores!$O$3:$O$502,"Counted")))</f>
        <v/>
      </c>
      <c r="G101" s="47">
        <f>IF($A101="","",IF(COUNTIFS(Scores!$A$3:$A$502,$A101,Scores!$B$3:$B$502,G$2,Scores!$O$3:$O$502,"Counted")=0,"",SUMIFS(Scores!$P$3:$P$502,Scores!$A$3:$A$502,$A101,Scores!$B$3:$B$502,G$2,Scores!$O$3:$O$502,"Counted")))</f>
        <v/>
      </c>
      <c r="H101" s="47">
        <f>IF($A101="","",IF(COUNTIFS(Scores!$A$3:$A$502,$A101,Scores!$B$3:$B$502,H$2,Scores!$O$3:$O$502,"Counted")=0,"",SUMIFS(Scores!$P$3:$P$502,Scores!$A$3:$A$502,$A101,Scores!$B$3:$B$502,H$2,Scores!$O$3:$O$502,"Counted")))</f>
        <v/>
      </c>
      <c r="I101" s="47">
        <f>IF($A101="","",IF(COUNTIFS(Scores!$A$3:$A$502,$A101,Scores!$B$3:$B$502,I$2,Scores!$O$3:$O$502,"Counted")=0,"",SUMIFS(Scores!$P$3:$P$502,Scores!$A$3:$A$502,$A101,Scores!$B$3:$B$502,I$2,Scores!$O$3:$O$502,"Counted")))</f>
        <v/>
      </c>
      <c r="J101" s="47">
        <f>IF($A101="","",IF(COUNTIFS(Scores!$A$3:$A$502,$A101,Scores!$B$3:$B$502,J$2,Scores!$O$3:$O$502,"Counted")=0,"",SUMIFS(Scores!$P$3:$P$502,Scores!$A$3:$A$502,$A101,Scores!$B$3:$B$502,J$2,Scores!$O$3:$O$502,"Counted")))</f>
        <v/>
      </c>
      <c r="K101" s="47">
        <f>IF($A101="","",IF(COUNTIFS(Scores!$A$3:$A$502,$A101,Scores!$B$3:$B$502,K$2,Scores!$O$3:$O$502,"Counted")=0,"",SUMIFS(Scores!$P$3:$P$502,Scores!$A$3:$A$502,$A101,Scores!$B$3:$B$502,K$2,Scores!$O$3:$O$502,"Counted")))</f>
        <v/>
      </c>
      <c r="L101" s="42">
        <f>IF(N($D101)=0,"",ROUND(SUMIFS(Scores!$P$3:$P$502,Scores!$A$3:$A$502,$A101,Scores!$O$3:$O$502,"Counted")/$D101,1))</f>
        <v/>
      </c>
      <c r="M101" s="47">
        <f>IF(COUNT(F101:K101)=0,"",MIN(F101:K101))</f>
        <v/>
      </c>
      <c r="N101" s="47">
        <f>IF(COUNT(F101:K101)=0,"",MAX(F101:K101))</f>
        <v/>
      </c>
      <c r="O101" s="47">
        <f>IF(COUNT(F101:K101)&lt;2,"",ROUND(N101-M101,1))</f>
        <v/>
      </c>
      <c r="P101" s="41">
        <f>IF($A101="","",Gaps!$K100)</f>
        <v/>
      </c>
      <c r="Q101" s="27">
        <f>IF($A101="","",IF(N($D101)=0,"No scores yet",IF($D101&lt;Settings!$E$5,"Needs more reviews",IF(OR(AND(ISNUMBER(O101),N(O101)&gt;=Settings!$E$6),AND(ISNUMBER(P101),N(P101)&gt;=Settings!$E$7)),"Talk it through","Ready"))))</f>
        <v/>
      </c>
      <c r="R101" s="27">
        <f>IF(ISNUMBER(L101),COUNTIF($L$3:$L$102,"&gt;"&amp;L101)+1,"")</f>
        <v/>
      </c>
      <c r="S101" s="25" t="n"/>
      <c r="T101" s="28" t="n"/>
      <c r="U101" s="48">
        <f>IF(ISNUMBER(L101),L101+(103-ROW())/100000,"")</f>
        <v/>
      </c>
    </row>
    <row r="102">
      <c r="A102" s="41">
        <f>IF(Applications!$A101="","",Applications!$A101&amp;"")</f>
        <v/>
      </c>
      <c r="B102" s="45">
        <f>IF($A102="","",Applications!$B101&amp;"")</f>
        <v/>
      </c>
      <c r="C102" s="46">
        <f>IF(AND($A102&lt;&gt;"",ISNUMBER(Applications!$D101)),Applications!$D101,"")</f>
        <v/>
      </c>
      <c r="D102" s="41">
        <f>IF($A102="","",COUNTIFS(Scores!$A$3:$A$502,$A102,Scores!$O$3:$O$502,"Counted"))</f>
        <v/>
      </c>
      <c r="E102" s="41">
        <f>IF($A102="","",COUNTIFS(Scores!$A$3:$A$502,$A102,Scores!$O$3:$O$502,"Conflict, not counted"))</f>
        <v/>
      </c>
      <c r="F102" s="47">
        <f>IF($A102="","",IF(COUNTIFS(Scores!$A$3:$A$502,$A102,Scores!$B$3:$B$502,F$2,Scores!$O$3:$O$502,"Counted")=0,"",SUMIFS(Scores!$P$3:$P$502,Scores!$A$3:$A$502,$A102,Scores!$B$3:$B$502,F$2,Scores!$O$3:$O$502,"Counted")))</f>
        <v/>
      </c>
      <c r="G102" s="47">
        <f>IF($A102="","",IF(COUNTIFS(Scores!$A$3:$A$502,$A102,Scores!$B$3:$B$502,G$2,Scores!$O$3:$O$502,"Counted")=0,"",SUMIFS(Scores!$P$3:$P$502,Scores!$A$3:$A$502,$A102,Scores!$B$3:$B$502,G$2,Scores!$O$3:$O$502,"Counted")))</f>
        <v/>
      </c>
      <c r="H102" s="47">
        <f>IF($A102="","",IF(COUNTIFS(Scores!$A$3:$A$502,$A102,Scores!$B$3:$B$502,H$2,Scores!$O$3:$O$502,"Counted")=0,"",SUMIFS(Scores!$P$3:$P$502,Scores!$A$3:$A$502,$A102,Scores!$B$3:$B$502,H$2,Scores!$O$3:$O$502,"Counted")))</f>
        <v/>
      </c>
      <c r="I102" s="47">
        <f>IF($A102="","",IF(COUNTIFS(Scores!$A$3:$A$502,$A102,Scores!$B$3:$B$502,I$2,Scores!$O$3:$O$502,"Counted")=0,"",SUMIFS(Scores!$P$3:$P$502,Scores!$A$3:$A$502,$A102,Scores!$B$3:$B$502,I$2,Scores!$O$3:$O$502,"Counted")))</f>
        <v/>
      </c>
      <c r="J102" s="47">
        <f>IF($A102="","",IF(COUNTIFS(Scores!$A$3:$A$502,$A102,Scores!$B$3:$B$502,J$2,Scores!$O$3:$O$502,"Counted")=0,"",SUMIFS(Scores!$P$3:$P$502,Scores!$A$3:$A$502,$A102,Scores!$B$3:$B$502,J$2,Scores!$O$3:$O$502,"Counted")))</f>
        <v/>
      </c>
      <c r="K102" s="47">
        <f>IF($A102="","",IF(COUNTIFS(Scores!$A$3:$A$502,$A102,Scores!$B$3:$B$502,K$2,Scores!$O$3:$O$502,"Counted")=0,"",SUMIFS(Scores!$P$3:$P$502,Scores!$A$3:$A$502,$A102,Scores!$B$3:$B$502,K$2,Scores!$O$3:$O$502,"Counted")))</f>
        <v/>
      </c>
      <c r="L102" s="42">
        <f>IF(N($D102)=0,"",ROUND(SUMIFS(Scores!$P$3:$P$502,Scores!$A$3:$A$502,$A102,Scores!$O$3:$O$502,"Counted")/$D102,1))</f>
        <v/>
      </c>
      <c r="M102" s="47">
        <f>IF(COUNT(F102:K102)=0,"",MIN(F102:K102))</f>
        <v/>
      </c>
      <c r="N102" s="47">
        <f>IF(COUNT(F102:K102)=0,"",MAX(F102:K102))</f>
        <v/>
      </c>
      <c r="O102" s="47">
        <f>IF(COUNT(F102:K102)&lt;2,"",ROUND(N102-M102,1))</f>
        <v/>
      </c>
      <c r="P102" s="41">
        <f>IF($A102="","",Gaps!$K101)</f>
        <v/>
      </c>
      <c r="Q102" s="27">
        <f>IF($A102="","",IF(N($D102)=0,"No scores yet",IF($D102&lt;Settings!$E$5,"Needs more reviews",IF(OR(AND(ISNUMBER(O102),N(O102)&gt;=Settings!$E$6),AND(ISNUMBER(P102),N(P102)&gt;=Settings!$E$7)),"Talk it through","Ready"))))</f>
        <v/>
      </c>
      <c r="R102" s="27">
        <f>IF(ISNUMBER(L102),COUNTIF($L$3:$L$102,"&gt;"&amp;L102)+1,"")</f>
        <v/>
      </c>
      <c r="S102" s="25" t="n"/>
      <c r="T102" s="28" t="n"/>
      <c r="U102" s="48">
        <f>IF(ISNUMBER(L102),L102+(103-ROW())/100000,"")</f>
        <v/>
      </c>
    </row>
  </sheetData>
  <dataValidations count="1">
    <dataValidation sqref="S3:S102" showDropDown="0" showInputMessage="1" showErrorMessage="1" allowBlank="1" errorTitle="Decision" error="Pick a value from the list. Fund, Part fund, Hold or Decline." promptTitle="Decision" prompt="Fund, Part fund, Hold or Decline." type="list" errorStyle="warning">
      <formula1>Settings!$H$4:$H$7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28" customWidth="1" min="3" max="3"/>
    <col width="10" customWidth="1" min="4" max="4"/>
    <col width="20" customWidth="1" min="5" max="5"/>
    <col width="12" customWidth="1" min="6" max="6"/>
    <col width="14" customWidth="1" min="7" max="7"/>
    <col width="18" customWidth="1" min="8" max="8"/>
    <col width="13" customWidth="1" min="9" max="9"/>
    <col width="12" customWidth="1" min="10" max="10"/>
  </cols>
  <sheetData>
    <row r="1">
      <c r="A1" s="16" t="inlineStr">
        <is>
          <t>Ranking by average score</t>
        </is>
      </c>
    </row>
    <row r="2">
      <c r="A2" s="17" t="inlineStr">
        <is>
          <t>Highest average first. Ties go to the application listed first. Decisions and amounts awarded are typed on Summary.</t>
        </is>
      </c>
    </row>
    <row r="4">
      <c r="A4" s="49" t="inlineStr">
        <is>
          <t>Money available</t>
        </is>
      </c>
      <c r="B4" s="50">
        <f>Settings!$E$8</f>
        <v/>
      </c>
    </row>
    <row r="5">
      <c r="A5" s="49" t="inlineStr">
        <is>
          <t>Total awarded (from Summary)</t>
        </is>
      </c>
      <c r="B5" s="50">
        <f>SUM(Summary!$T$3:$T$102)</f>
        <v/>
      </c>
    </row>
    <row r="6">
      <c r="A6" s="49" t="inlineStr">
        <is>
          <t>Left to award</t>
        </is>
      </c>
      <c r="B6" s="50">
        <f>B4-B5</f>
        <v/>
      </c>
    </row>
    <row r="8" ht="44" customHeight="1">
      <c r="A8" s="3" t="inlineStr">
        <is>
          <t>Place</t>
        </is>
      </c>
      <c r="B8" s="3" t="inlineStr">
        <is>
          <t>Application ID</t>
        </is>
      </c>
      <c r="C8" s="3" t="inlineStr">
        <is>
          <t>Organisation</t>
        </is>
      </c>
      <c r="D8" s="3" t="inlineStr">
        <is>
          <t>Average score</t>
        </is>
      </c>
      <c r="E8" s="3" t="inlineStr">
        <is>
          <t>Flag</t>
        </is>
      </c>
      <c r="F8" s="3" t="inlineStr">
        <is>
          <t>Amount requested</t>
        </is>
      </c>
      <c r="G8" s="3" t="inlineStr">
        <is>
          <t>Running total requested</t>
        </is>
      </c>
      <c r="H8" s="3" t="inlineStr">
        <is>
          <t>Fits in the money available?</t>
        </is>
      </c>
      <c r="I8" s="3" t="inlineStr">
        <is>
          <t>Your decision</t>
        </is>
      </c>
      <c r="J8" s="3" t="inlineStr">
        <is>
          <t>Amount awarded</t>
        </is>
      </c>
    </row>
    <row r="9">
      <c r="A9" s="27" t="n">
        <v>1</v>
      </c>
      <c r="B9" s="41">
        <f>IF(1&gt;COUNT(Summary!$U$3:$U$102),"",INDEX(Summary!$A$3:$A$102,MATCH(LARGE(Summary!$U$3:$U$102,1),Summary!$U$3:$U$102,0)))</f>
        <v/>
      </c>
      <c r="C9" s="45">
        <f>IF($B9="","",INDEX(Summary!$B$3:$B$102,MATCH($B9,Summary!$A$3:$A$102,0)))</f>
        <v/>
      </c>
      <c r="D9" s="42">
        <f>IF($B9="","",INDEX(Summary!$L$3:$L$102,MATCH($B9,Summary!$A$3:$A$102,0)))</f>
        <v/>
      </c>
      <c r="E9" s="41">
        <f>IF($B9="","",INDEX(Summary!$Q$3:$Q$102,MATCH($B9,Summary!$A$3:$A$102,0)))</f>
        <v/>
      </c>
      <c r="F9" s="46">
        <f>IF($B9="","",INDEX(Summary!$C$3:$C$102,MATCH($B9,Summary!$A$3:$A$102,0)))</f>
        <v/>
      </c>
      <c r="G9" s="46">
        <f>IF($B9="","",SUM($F$9:$F9))</f>
        <v/>
      </c>
      <c r="H9" s="41">
        <f>IF($B9="","",IF($G9&lt;=Settings!$E$8,"Yes","Over by "&amp;TEXT($G9-Settings!$E$8,"#,##0")))</f>
        <v/>
      </c>
      <c r="I9" s="41">
        <f>IF($B9="","",INDEX(Summary!$S$3:$S$102,MATCH($B9,Summary!$A$3:$A$102,0))&amp;"")</f>
        <v/>
      </c>
      <c r="J9" s="46">
        <f>IF($B9="","",IF(ISNUMBER(INDEX(Summary!$T$3:$T$102,MATCH($B9,Summary!$A$3:$A$102,0))),INDEX(Summary!$T$3:$T$102,MATCH($B9,Summary!$A$3:$A$102,0)),""))</f>
        <v/>
      </c>
    </row>
    <row r="10">
      <c r="A10" s="27" t="n">
        <v>2</v>
      </c>
      <c r="B10" s="41">
        <f>IF(2&gt;COUNT(Summary!$U$3:$U$102),"",INDEX(Summary!$A$3:$A$102,MATCH(LARGE(Summary!$U$3:$U$102,2),Summary!$U$3:$U$102,0)))</f>
        <v/>
      </c>
      <c r="C10" s="45">
        <f>IF($B10="","",INDEX(Summary!$B$3:$B$102,MATCH($B10,Summary!$A$3:$A$102,0)))</f>
        <v/>
      </c>
      <c r="D10" s="42">
        <f>IF($B10="","",INDEX(Summary!$L$3:$L$102,MATCH($B10,Summary!$A$3:$A$102,0)))</f>
        <v/>
      </c>
      <c r="E10" s="41">
        <f>IF($B10="","",INDEX(Summary!$Q$3:$Q$102,MATCH($B10,Summary!$A$3:$A$102,0)))</f>
        <v/>
      </c>
      <c r="F10" s="46">
        <f>IF($B10="","",INDEX(Summary!$C$3:$C$102,MATCH($B10,Summary!$A$3:$A$102,0)))</f>
        <v/>
      </c>
      <c r="G10" s="46">
        <f>IF($B10="","",SUM($F$9:$F10))</f>
        <v/>
      </c>
      <c r="H10" s="41">
        <f>IF($B10="","",IF($G10&lt;=Settings!$E$8,"Yes","Over by "&amp;TEXT($G10-Settings!$E$8,"#,##0")))</f>
        <v/>
      </c>
      <c r="I10" s="41">
        <f>IF($B10="","",INDEX(Summary!$S$3:$S$102,MATCH($B10,Summary!$A$3:$A$102,0))&amp;"")</f>
        <v/>
      </c>
      <c r="J10" s="46">
        <f>IF($B10="","",IF(ISNUMBER(INDEX(Summary!$T$3:$T$102,MATCH($B10,Summary!$A$3:$A$102,0))),INDEX(Summary!$T$3:$T$102,MATCH($B10,Summary!$A$3:$A$102,0)),""))</f>
        <v/>
      </c>
    </row>
    <row r="11">
      <c r="A11" s="27" t="n">
        <v>3</v>
      </c>
      <c r="B11" s="41">
        <f>IF(3&gt;COUNT(Summary!$U$3:$U$102),"",INDEX(Summary!$A$3:$A$102,MATCH(LARGE(Summary!$U$3:$U$102,3),Summary!$U$3:$U$102,0)))</f>
        <v/>
      </c>
      <c r="C11" s="45">
        <f>IF($B11="","",INDEX(Summary!$B$3:$B$102,MATCH($B11,Summary!$A$3:$A$102,0)))</f>
        <v/>
      </c>
      <c r="D11" s="42">
        <f>IF($B11="","",INDEX(Summary!$L$3:$L$102,MATCH($B11,Summary!$A$3:$A$102,0)))</f>
        <v/>
      </c>
      <c r="E11" s="41">
        <f>IF($B11="","",INDEX(Summary!$Q$3:$Q$102,MATCH($B11,Summary!$A$3:$A$102,0)))</f>
        <v/>
      </c>
      <c r="F11" s="46">
        <f>IF($B11="","",INDEX(Summary!$C$3:$C$102,MATCH($B11,Summary!$A$3:$A$102,0)))</f>
        <v/>
      </c>
      <c r="G11" s="46">
        <f>IF($B11="","",SUM($F$9:$F11))</f>
        <v/>
      </c>
      <c r="H11" s="41">
        <f>IF($B11="","",IF($G11&lt;=Settings!$E$8,"Yes","Over by "&amp;TEXT($G11-Settings!$E$8,"#,##0")))</f>
        <v/>
      </c>
      <c r="I11" s="41">
        <f>IF($B11="","",INDEX(Summary!$S$3:$S$102,MATCH($B11,Summary!$A$3:$A$102,0))&amp;"")</f>
        <v/>
      </c>
      <c r="J11" s="46">
        <f>IF($B11="","",IF(ISNUMBER(INDEX(Summary!$T$3:$T$102,MATCH($B11,Summary!$A$3:$A$102,0))),INDEX(Summary!$T$3:$T$102,MATCH($B11,Summary!$A$3:$A$102,0)),""))</f>
        <v/>
      </c>
    </row>
    <row r="12">
      <c r="A12" s="27" t="n">
        <v>4</v>
      </c>
      <c r="B12" s="41">
        <f>IF(4&gt;COUNT(Summary!$U$3:$U$102),"",INDEX(Summary!$A$3:$A$102,MATCH(LARGE(Summary!$U$3:$U$102,4),Summary!$U$3:$U$102,0)))</f>
        <v/>
      </c>
      <c r="C12" s="45">
        <f>IF($B12="","",INDEX(Summary!$B$3:$B$102,MATCH($B12,Summary!$A$3:$A$102,0)))</f>
        <v/>
      </c>
      <c r="D12" s="42">
        <f>IF($B12="","",INDEX(Summary!$L$3:$L$102,MATCH($B12,Summary!$A$3:$A$102,0)))</f>
        <v/>
      </c>
      <c r="E12" s="41">
        <f>IF($B12="","",INDEX(Summary!$Q$3:$Q$102,MATCH($B12,Summary!$A$3:$A$102,0)))</f>
        <v/>
      </c>
      <c r="F12" s="46">
        <f>IF($B12="","",INDEX(Summary!$C$3:$C$102,MATCH($B12,Summary!$A$3:$A$102,0)))</f>
        <v/>
      </c>
      <c r="G12" s="46">
        <f>IF($B12="","",SUM($F$9:$F12))</f>
        <v/>
      </c>
      <c r="H12" s="41">
        <f>IF($B12="","",IF($G12&lt;=Settings!$E$8,"Yes","Over by "&amp;TEXT($G12-Settings!$E$8,"#,##0")))</f>
        <v/>
      </c>
      <c r="I12" s="41">
        <f>IF($B12="","",INDEX(Summary!$S$3:$S$102,MATCH($B12,Summary!$A$3:$A$102,0))&amp;"")</f>
        <v/>
      </c>
      <c r="J12" s="46">
        <f>IF($B12="","",IF(ISNUMBER(INDEX(Summary!$T$3:$T$102,MATCH($B12,Summary!$A$3:$A$102,0))),INDEX(Summary!$T$3:$T$102,MATCH($B12,Summary!$A$3:$A$102,0)),""))</f>
        <v/>
      </c>
    </row>
    <row r="13">
      <c r="A13" s="27" t="n">
        <v>5</v>
      </c>
      <c r="B13" s="41">
        <f>IF(5&gt;COUNT(Summary!$U$3:$U$102),"",INDEX(Summary!$A$3:$A$102,MATCH(LARGE(Summary!$U$3:$U$102,5),Summary!$U$3:$U$102,0)))</f>
        <v/>
      </c>
      <c r="C13" s="45">
        <f>IF($B13="","",INDEX(Summary!$B$3:$B$102,MATCH($B13,Summary!$A$3:$A$102,0)))</f>
        <v/>
      </c>
      <c r="D13" s="42">
        <f>IF($B13="","",INDEX(Summary!$L$3:$L$102,MATCH($B13,Summary!$A$3:$A$102,0)))</f>
        <v/>
      </c>
      <c r="E13" s="41">
        <f>IF($B13="","",INDEX(Summary!$Q$3:$Q$102,MATCH($B13,Summary!$A$3:$A$102,0)))</f>
        <v/>
      </c>
      <c r="F13" s="46">
        <f>IF($B13="","",INDEX(Summary!$C$3:$C$102,MATCH($B13,Summary!$A$3:$A$102,0)))</f>
        <v/>
      </c>
      <c r="G13" s="46">
        <f>IF($B13="","",SUM($F$9:$F13))</f>
        <v/>
      </c>
      <c r="H13" s="41">
        <f>IF($B13="","",IF($G13&lt;=Settings!$E$8,"Yes","Over by "&amp;TEXT($G13-Settings!$E$8,"#,##0")))</f>
        <v/>
      </c>
      <c r="I13" s="41">
        <f>IF($B13="","",INDEX(Summary!$S$3:$S$102,MATCH($B13,Summary!$A$3:$A$102,0))&amp;"")</f>
        <v/>
      </c>
      <c r="J13" s="46">
        <f>IF($B13="","",IF(ISNUMBER(INDEX(Summary!$T$3:$T$102,MATCH($B13,Summary!$A$3:$A$102,0))),INDEX(Summary!$T$3:$T$102,MATCH($B13,Summary!$A$3:$A$102,0)),""))</f>
        <v/>
      </c>
    </row>
    <row r="14">
      <c r="A14" s="27" t="n">
        <v>6</v>
      </c>
      <c r="B14" s="41">
        <f>IF(6&gt;COUNT(Summary!$U$3:$U$102),"",INDEX(Summary!$A$3:$A$102,MATCH(LARGE(Summary!$U$3:$U$102,6),Summary!$U$3:$U$102,0)))</f>
        <v/>
      </c>
      <c r="C14" s="45">
        <f>IF($B14="","",INDEX(Summary!$B$3:$B$102,MATCH($B14,Summary!$A$3:$A$102,0)))</f>
        <v/>
      </c>
      <c r="D14" s="42">
        <f>IF($B14="","",INDEX(Summary!$L$3:$L$102,MATCH($B14,Summary!$A$3:$A$102,0)))</f>
        <v/>
      </c>
      <c r="E14" s="41">
        <f>IF($B14="","",INDEX(Summary!$Q$3:$Q$102,MATCH($B14,Summary!$A$3:$A$102,0)))</f>
        <v/>
      </c>
      <c r="F14" s="46">
        <f>IF($B14="","",INDEX(Summary!$C$3:$C$102,MATCH($B14,Summary!$A$3:$A$102,0)))</f>
        <v/>
      </c>
      <c r="G14" s="46">
        <f>IF($B14="","",SUM($F$9:$F14))</f>
        <v/>
      </c>
      <c r="H14" s="41">
        <f>IF($B14="","",IF($G14&lt;=Settings!$E$8,"Yes","Over by "&amp;TEXT($G14-Settings!$E$8,"#,##0")))</f>
        <v/>
      </c>
      <c r="I14" s="41">
        <f>IF($B14="","",INDEX(Summary!$S$3:$S$102,MATCH($B14,Summary!$A$3:$A$102,0))&amp;"")</f>
        <v/>
      </c>
      <c r="J14" s="46">
        <f>IF($B14="","",IF(ISNUMBER(INDEX(Summary!$T$3:$T$102,MATCH($B14,Summary!$A$3:$A$102,0))),INDEX(Summary!$T$3:$T$102,MATCH($B14,Summary!$A$3:$A$102,0)),""))</f>
        <v/>
      </c>
    </row>
    <row r="15">
      <c r="A15" s="27" t="n">
        <v>7</v>
      </c>
      <c r="B15" s="41">
        <f>IF(7&gt;COUNT(Summary!$U$3:$U$102),"",INDEX(Summary!$A$3:$A$102,MATCH(LARGE(Summary!$U$3:$U$102,7),Summary!$U$3:$U$102,0)))</f>
        <v/>
      </c>
      <c r="C15" s="45">
        <f>IF($B15="","",INDEX(Summary!$B$3:$B$102,MATCH($B15,Summary!$A$3:$A$102,0)))</f>
        <v/>
      </c>
      <c r="D15" s="42">
        <f>IF($B15="","",INDEX(Summary!$L$3:$L$102,MATCH($B15,Summary!$A$3:$A$102,0)))</f>
        <v/>
      </c>
      <c r="E15" s="41">
        <f>IF($B15="","",INDEX(Summary!$Q$3:$Q$102,MATCH($B15,Summary!$A$3:$A$102,0)))</f>
        <v/>
      </c>
      <c r="F15" s="46">
        <f>IF($B15="","",INDEX(Summary!$C$3:$C$102,MATCH($B15,Summary!$A$3:$A$102,0)))</f>
        <v/>
      </c>
      <c r="G15" s="46">
        <f>IF($B15="","",SUM($F$9:$F15))</f>
        <v/>
      </c>
      <c r="H15" s="41">
        <f>IF($B15="","",IF($G15&lt;=Settings!$E$8,"Yes","Over by "&amp;TEXT($G15-Settings!$E$8,"#,##0")))</f>
        <v/>
      </c>
      <c r="I15" s="41">
        <f>IF($B15="","",INDEX(Summary!$S$3:$S$102,MATCH($B15,Summary!$A$3:$A$102,0))&amp;"")</f>
        <v/>
      </c>
      <c r="J15" s="46">
        <f>IF($B15="","",IF(ISNUMBER(INDEX(Summary!$T$3:$T$102,MATCH($B15,Summary!$A$3:$A$102,0))),INDEX(Summary!$T$3:$T$102,MATCH($B15,Summary!$A$3:$A$102,0)),""))</f>
        <v/>
      </c>
    </row>
    <row r="16">
      <c r="A16" s="27" t="n">
        <v>8</v>
      </c>
      <c r="B16" s="41">
        <f>IF(8&gt;COUNT(Summary!$U$3:$U$102),"",INDEX(Summary!$A$3:$A$102,MATCH(LARGE(Summary!$U$3:$U$102,8),Summary!$U$3:$U$102,0)))</f>
        <v/>
      </c>
      <c r="C16" s="45">
        <f>IF($B16="","",INDEX(Summary!$B$3:$B$102,MATCH($B16,Summary!$A$3:$A$102,0)))</f>
        <v/>
      </c>
      <c r="D16" s="42">
        <f>IF($B16="","",INDEX(Summary!$L$3:$L$102,MATCH($B16,Summary!$A$3:$A$102,0)))</f>
        <v/>
      </c>
      <c r="E16" s="41">
        <f>IF($B16="","",INDEX(Summary!$Q$3:$Q$102,MATCH($B16,Summary!$A$3:$A$102,0)))</f>
        <v/>
      </c>
      <c r="F16" s="46">
        <f>IF($B16="","",INDEX(Summary!$C$3:$C$102,MATCH($B16,Summary!$A$3:$A$102,0)))</f>
        <v/>
      </c>
      <c r="G16" s="46">
        <f>IF($B16="","",SUM($F$9:$F16))</f>
        <v/>
      </c>
      <c r="H16" s="41">
        <f>IF($B16="","",IF($G16&lt;=Settings!$E$8,"Yes","Over by "&amp;TEXT($G16-Settings!$E$8,"#,##0")))</f>
        <v/>
      </c>
      <c r="I16" s="41">
        <f>IF($B16="","",INDEX(Summary!$S$3:$S$102,MATCH($B16,Summary!$A$3:$A$102,0))&amp;"")</f>
        <v/>
      </c>
      <c r="J16" s="46">
        <f>IF($B16="","",IF(ISNUMBER(INDEX(Summary!$T$3:$T$102,MATCH($B16,Summary!$A$3:$A$102,0))),INDEX(Summary!$T$3:$T$102,MATCH($B16,Summary!$A$3:$A$102,0)),""))</f>
        <v/>
      </c>
    </row>
    <row r="17">
      <c r="A17" s="27" t="n">
        <v>9</v>
      </c>
      <c r="B17" s="41">
        <f>IF(9&gt;COUNT(Summary!$U$3:$U$102),"",INDEX(Summary!$A$3:$A$102,MATCH(LARGE(Summary!$U$3:$U$102,9),Summary!$U$3:$U$102,0)))</f>
        <v/>
      </c>
      <c r="C17" s="45">
        <f>IF($B17="","",INDEX(Summary!$B$3:$B$102,MATCH($B17,Summary!$A$3:$A$102,0)))</f>
        <v/>
      </c>
      <c r="D17" s="42">
        <f>IF($B17="","",INDEX(Summary!$L$3:$L$102,MATCH($B17,Summary!$A$3:$A$102,0)))</f>
        <v/>
      </c>
      <c r="E17" s="41">
        <f>IF($B17="","",INDEX(Summary!$Q$3:$Q$102,MATCH($B17,Summary!$A$3:$A$102,0)))</f>
        <v/>
      </c>
      <c r="F17" s="46">
        <f>IF($B17="","",INDEX(Summary!$C$3:$C$102,MATCH($B17,Summary!$A$3:$A$102,0)))</f>
        <v/>
      </c>
      <c r="G17" s="46">
        <f>IF($B17="","",SUM($F$9:$F17))</f>
        <v/>
      </c>
      <c r="H17" s="41">
        <f>IF($B17="","",IF($G17&lt;=Settings!$E$8,"Yes","Over by "&amp;TEXT($G17-Settings!$E$8,"#,##0")))</f>
        <v/>
      </c>
      <c r="I17" s="41">
        <f>IF($B17="","",INDEX(Summary!$S$3:$S$102,MATCH($B17,Summary!$A$3:$A$102,0))&amp;"")</f>
        <v/>
      </c>
      <c r="J17" s="46">
        <f>IF($B17="","",IF(ISNUMBER(INDEX(Summary!$T$3:$T$102,MATCH($B17,Summary!$A$3:$A$102,0))),INDEX(Summary!$T$3:$T$102,MATCH($B17,Summary!$A$3:$A$102,0)),""))</f>
        <v/>
      </c>
    </row>
    <row r="18">
      <c r="A18" s="27" t="n">
        <v>10</v>
      </c>
      <c r="B18" s="41">
        <f>IF(10&gt;COUNT(Summary!$U$3:$U$102),"",INDEX(Summary!$A$3:$A$102,MATCH(LARGE(Summary!$U$3:$U$102,10),Summary!$U$3:$U$102,0)))</f>
        <v/>
      </c>
      <c r="C18" s="45">
        <f>IF($B18="","",INDEX(Summary!$B$3:$B$102,MATCH($B18,Summary!$A$3:$A$102,0)))</f>
        <v/>
      </c>
      <c r="D18" s="42">
        <f>IF($B18="","",INDEX(Summary!$L$3:$L$102,MATCH($B18,Summary!$A$3:$A$102,0)))</f>
        <v/>
      </c>
      <c r="E18" s="41">
        <f>IF($B18="","",INDEX(Summary!$Q$3:$Q$102,MATCH($B18,Summary!$A$3:$A$102,0)))</f>
        <v/>
      </c>
      <c r="F18" s="46">
        <f>IF($B18="","",INDEX(Summary!$C$3:$C$102,MATCH($B18,Summary!$A$3:$A$102,0)))</f>
        <v/>
      </c>
      <c r="G18" s="46">
        <f>IF($B18="","",SUM($F$9:$F18))</f>
        <v/>
      </c>
      <c r="H18" s="41">
        <f>IF($B18="","",IF($G18&lt;=Settings!$E$8,"Yes","Over by "&amp;TEXT($G18-Settings!$E$8,"#,##0")))</f>
        <v/>
      </c>
      <c r="I18" s="41">
        <f>IF($B18="","",INDEX(Summary!$S$3:$S$102,MATCH($B18,Summary!$A$3:$A$102,0))&amp;"")</f>
        <v/>
      </c>
      <c r="J18" s="46">
        <f>IF($B18="","",IF(ISNUMBER(INDEX(Summary!$T$3:$T$102,MATCH($B18,Summary!$A$3:$A$102,0))),INDEX(Summary!$T$3:$T$102,MATCH($B18,Summary!$A$3:$A$102,0)),""))</f>
        <v/>
      </c>
    </row>
    <row r="19">
      <c r="A19" s="27" t="n">
        <v>11</v>
      </c>
      <c r="B19" s="41">
        <f>IF(11&gt;COUNT(Summary!$U$3:$U$102),"",INDEX(Summary!$A$3:$A$102,MATCH(LARGE(Summary!$U$3:$U$102,11),Summary!$U$3:$U$102,0)))</f>
        <v/>
      </c>
      <c r="C19" s="45">
        <f>IF($B19="","",INDEX(Summary!$B$3:$B$102,MATCH($B19,Summary!$A$3:$A$102,0)))</f>
        <v/>
      </c>
      <c r="D19" s="42">
        <f>IF($B19="","",INDEX(Summary!$L$3:$L$102,MATCH($B19,Summary!$A$3:$A$102,0)))</f>
        <v/>
      </c>
      <c r="E19" s="41">
        <f>IF($B19="","",INDEX(Summary!$Q$3:$Q$102,MATCH($B19,Summary!$A$3:$A$102,0)))</f>
        <v/>
      </c>
      <c r="F19" s="46">
        <f>IF($B19="","",INDEX(Summary!$C$3:$C$102,MATCH($B19,Summary!$A$3:$A$102,0)))</f>
        <v/>
      </c>
      <c r="G19" s="46">
        <f>IF($B19="","",SUM($F$9:$F19))</f>
        <v/>
      </c>
      <c r="H19" s="41">
        <f>IF($B19="","",IF($G19&lt;=Settings!$E$8,"Yes","Over by "&amp;TEXT($G19-Settings!$E$8,"#,##0")))</f>
        <v/>
      </c>
      <c r="I19" s="41">
        <f>IF($B19="","",INDEX(Summary!$S$3:$S$102,MATCH($B19,Summary!$A$3:$A$102,0))&amp;"")</f>
        <v/>
      </c>
      <c r="J19" s="46">
        <f>IF($B19="","",IF(ISNUMBER(INDEX(Summary!$T$3:$T$102,MATCH($B19,Summary!$A$3:$A$102,0))),INDEX(Summary!$T$3:$T$102,MATCH($B19,Summary!$A$3:$A$102,0)),""))</f>
        <v/>
      </c>
    </row>
    <row r="20">
      <c r="A20" s="27" t="n">
        <v>12</v>
      </c>
      <c r="B20" s="41">
        <f>IF(12&gt;COUNT(Summary!$U$3:$U$102),"",INDEX(Summary!$A$3:$A$102,MATCH(LARGE(Summary!$U$3:$U$102,12),Summary!$U$3:$U$102,0)))</f>
        <v/>
      </c>
      <c r="C20" s="45">
        <f>IF($B20="","",INDEX(Summary!$B$3:$B$102,MATCH($B20,Summary!$A$3:$A$102,0)))</f>
        <v/>
      </c>
      <c r="D20" s="42">
        <f>IF($B20="","",INDEX(Summary!$L$3:$L$102,MATCH($B20,Summary!$A$3:$A$102,0)))</f>
        <v/>
      </c>
      <c r="E20" s="41">
        <f>IF($B20="","",INDEX(Summary!$Q$3:$Q$102,MATCH($B20,Summary!$A$3:$A$102,0)))</f>
        <v/>
      </c>
      <c r="F20" s="46">
        <f>IF($B20="","",INDEX(Summary!$C$3:$C$102,MATCH($B20,Summary!$A$3:$A$102,0)))</f>
        <v/>
      </c>
      <c r="G20" s="46">
        <f>IF($B20="","",SUM($F$9:$F20))</f>
        <v/>
      </c>
      <c r="H20" s="41">
        <f>IF($B20="","",IF($G20&lt;=Settings!$E$8,"Yes","Over by "&amp;TEXT($G20-Settings!$E$8,"#,##0")))</f>
        <v/>
      </c>
      <c r="I20" s="41">
        <f>IF($B20="","",INDEX(Summary!$S$3:$S$102,MATCH($B20,Summary!$A$3:$A$102,0))&amp;"")</f>
        <v/>
      </c>
      <c r="J20" s="46">
        <f>IF($B20="","",IF(ISNUMBER(INDEX(Summary!$T$3:$T$102,MATCH($B20,Summary!$A$3:$A$102,0))),INDEX(Summary!$T$3:$T$102,MATCH($B20,Summary!$A$3:$A$102,0)),""))</f>
        <v/>
      </c>
    </row>
    <row r="21">
      <c r="A21" s="27" t="n">
        <v>13</v>
      </c>
      <c r="B21" s="41">
        <f>IF(13&gt;COUNT(Summary!$U$3:$U$102),"",INDEX(Summary!$A$3:$A$102,MATCH(LARGE(Summary!$U$3:$U$102,13),Summary!$U$3:$U$102,0)))</f>
        <v/>
      </c>
      <c r="C21" s="45">
        <f>IF($B21="","",INDEX(Summary!$B$3:$B$102,MATCH($B21,Summary!$A$3:$A$102,0)))</f>
        <v/>
      </c>
      <c r="D21" s="42">
        <f>IF($B21="","",INDEX(Summary!$L$3:$L$102,MATCH($B21,Summary!$A$3:$A$102,0)))</f>
        <v/>
      </c>
      <c r="E21" s="41">
        <f>IF($B21="","",INDEX(Summary!$Q$3:$Q$102,MATCH($B21,Summary!$A$3:$A$102,0)))</f>
        <v/>
      </c>
      <c r="F21" s="46">
        <f>IF($B21="","",INDEX(Summary!$C$3:$C$102,MATCH($B21,Summary!$A$3:$A$102,0)))</f>
        <v/>
      </c>
      <c r="G21" s="46">
        <f>IF($B21="","",SUM($F$9:$F21))</f>
        <v/>
      </c>
      <c r="H21" s="41">
        <f>IF($B21="","",IF($G21&lt;=Settings!$E$8,"Yes","Over by "&amp;TEXT($G21-Settings!$E$8,"#,##0")))</f>
        <v/>
      </c>
      <c r="I21" s="41">
        <f>IF($B21="","",INDEX(Summary!$S$3:$S$102,MATCH($B21,Summary!$A$3:$A$102,0))&amp;"")</f>
        <v/>
      </c>
      <c r="J21" s="46">
        <f>IF($B21="","",IF(ISNUMBER(INDEX(Summary!$T$3:$T$102,MATCH($B21,Summary!$A$3:$A$102,0))),INDEX(Summary!$T$3:$T$102,MATCH($B21,Summary!$A$3:$A$102,0)),""))</f>
        <v/>
      </c>
    </row>
    <row r="22">
      <c r="A22" s="27" t="n">
        <v>14</v>
      </c>
      <c r="B22" s="41">
        <f>IF(14&gt;COUNT(Summary!$U$3:$U$102),"",INDEX(Summary!$A$3:$A$102,MATCH(LARGE(Summary!$U$3:$U$102,14),Summary!$U$3:$U$102,0)))</f>
        <v/>
      </c>
      <c r="C22" s="45">
        <f>IF($B22="","",INDEX(Summary!$B$3:$B$102,MATCH($B22,Summary!$A$3:$A$102,0)))</f>
        <v/>
      </c>
      <c r="D22" s="42">
        <f>IF($B22="","",INDEX(Summary!$L$3:$L$102,MATCH($B22,Summary!$A$3:$A$102,0)))</f>
        <v/>
      </c>
      <c r="E22" s="41">
        <f>IF($B22="","",INDEX(Summary!$Q$3:$Q$102,MATCH($B22,Summary!$A$3:$A$102,0)))</f>
        <v/>
      </c>
      <c r="F22" s="46">
        <f>IF($B22="","",INDEX(Summary!$C$3:$C$102,MATCH($B22,Summary!$A$3:$A$102,0)))</f>
        <v/>
      </c>
      <c r="G22" s="46">
        <f>IF($B22="","",SUM($F$9:$F22))</f>
        <v/>
      </c>
      <c r="H22" s="41">
        <f>IF($B22="","",IF($G22&lt;=Settings!$E$8,"Yes","Over by "&amp;TEXT($G22-Settings!$E$8,"#,##0")))</f>
        <v/>
      </c>
      <c r="I22" s="41">
        <f>IF($B22="","",INDEX(Summary!$S$3:$S$102,MATCH($B22,Summary!$A$3:$A$102,0))&amp;"")</f>
        <v/>
      </c>
      <c r="J22" s="46">
        <f>IF($B22="","",IF(ISNUMBER(INDEX(Summary!$T$3:$T$102,MATCH($B22,Summary!$A$3:$A$102,0))),INDEX(Summary!$T$3:$T$102,MATCH($B22,Summary!$A$3:$A$102,0)),""))</f>
        <v/>
      </c>
    </row>
    <row r="23">
      <c r="A23" s="27" t="n">
        <v>15</v>
      </c>
      <c r="B23" s="41">
        <f>IF(15&gt;COUNT(Summary!$U$3:$U$102),"",INDEX(Summary!$A$3:$A$102,MATCH(LARGE(Summary!$U$3:$U$102,15),Summary!$U$3:$U$102,0)))</f>
        <v/>
      </c>
      <c r="C23" s="45">
        <f>IF($B23="","",INDEX(Summary!$B$3:$B$102,MATCH($B23,Summary!$A$3:$A$102,0)))</f>
        <v/>
      </c>
      <c r="D23" s="42">
        <f>IF($B23="","",INDEX(Summary!$L$3:$L$102,MATCH($B23,Summary!$A$3:$A$102,0)))</f>
        <v/>
      </c>
      <c r="E23" s="41">
        <f>IF($B23="","",INDEX(Summary!$Q$3:$Q$102,MATCH($B23,Summary!$A$3:$A$102,0)))</f>
        <v/>
      </c>
      <c r="F23" s="46">
        <f>IF($B23="","",INDEX(Summary!$C$3:$C$102,MATCH($B23,Summary!$A$3:$A$102,0)))</f>
        <v/>
      </c>
      <c r="G23" s="46">
        <f>IF($B23="","",SUM($F$9:$F23))</f>
        <v/>
      </c>
      <c r="H23" s="41">
        <f>IF($B23="","",IF($G23&lt;=Settings!$E$8,"Yes","Over by "&amp;TEXT($G23-Settings!$E$8,"#,##0")))</f>
        <v/>
      </c>
      <c r="I23" s="41">
        <f>IF($B23="","",INDEX(Summary!$S$3:$S$102,MATCH($B23,Summary!$A$3:$A$102,0))&amp;"")</f>
        <v/>
      </c>
      <c r="J23" s="46">
        <f>IF($B23="","",IF(ISNUMBER(INDEX(Summary!$T$3:$T$102,MATCH($B23,Summary!$A$3:$A$102,0))),INDEX(Summary!$T$3:$T$102,MATCH($B23,Summary!$A$3:$A$102,0)),""))</f>
        <v/>
      </c>
    </row>
    <row r="24">
      <c r="A24" s="27" t="n">
        <v>16</v>
      </c>
      <c r="B24" s="41">
        <f>IF(16&gt;COUNT(Summary!$U$3:$U$102),"",INDEX(Summary!$A$3:$A$102,MATCH(LARGE(Summary!$U$3:$U$102,16),Summary!$U$3:$U$102,0)))</f>
        <v/>
      </c>
      <c r="C24" s="45">
        <f>IF($B24="","",INDEX(Summary!$B$3:$B$102,MATCH($B24,Summary!$A$3:$A$102,0)))</f>
        <v/>
      </c>
      <c r="D24" s="42">
        <f>IF($B24="","",INDEX(Summary!$L$3:$L$102,MATCH($B24,Summary!$A$3:$A$102,0)))</f>
        <v/>
      </c>
      <c r="E24" s="41">
        <f>IF($B24="","",INDEX(Summary!$Q$3:$Q$102,MATCH($B24,Summary!$A$3:$A$102,0)))</f>
        <v/>
      </c>
      <c r="F24" s="46">
        <f>IF($B24="","",INDEX(Summary!$C$3:$C$102,MATCH($B24,Summary!$A$3:$A$102,0)))</f>
        <v/>
      </c>
      <c r="G24" s="46">
        <f>IF($B24="","",SUM($F$9:$F24))</f>
        <v/>
      </c>
      <c r="H24" s="41">
        <f>IF($B24="","",IF($G24&lt;=Settings!$E$8,"Yes","Over by "&amp;TEXT($G24-Settings!$E$8,"#,##0")))</f>
        <v/>
      </c>
      <c r="I24" s="41">
        <f>IF($B24="","",INDEX(Summary!$S$3:$S$102,MATCH($B24,Summary!$A$3:$A$102,0))&amp;"")</f>
        <v/>
      </c>
      <c r="J24" s="46">
        <f>IF($B24="","",IF(ISNUMBER(INDEX(Summary!$T$3:$T$102,MATCH($B24,Summary!$A$3:$A$102,0))),INDEX(Summary!$T$3:$T$102,MATCH($B24,Summary!$A$3:$A$102,0)),""))</f>
        <v/>
      </c>
    </row>
    <row r="25">
      <c r="A25" s="27" t="n">
        <v>17</v>
      </c>
      <c r="B25" s="41">
        <f>IF(17&gt;COUNT(Summary!$U$3:$U$102),"",INDEX(Summary!$A$3:$A$102,MATCH(LARGE(Summary!$U$3:$U$102,17),Summary!$U$3:$U$102,0)))</f>
        <v/>
      </c>
      <c r="C25" s="45">
        <f>IF($B25="","",INDEX(Summary!$B$3:$B$102,MATCH($B25,Summary!$A$3:$A$102,0)))</f>
        <v/>
      </c>
      <c r="D25" s="42">
        <f>IF($B25="","",INDEX(Summary!$L$3:$L$102,MATCH($B25,Summary!$A$3:$A$102,0)))</f>
        <v/>
      </c>
      <c r="E25" s="41">
        <f>IF($B25="","",INDEX(Summary!$Q$3:$Q$102,MATCH($B25,Summary!$A$3:$A$102,0)))</f>
        <v/>
      </c>
      <c r="F25" s="46">
        <f>IF($B25="","",INDEX(Summary!$C$3:$C$102,MATCH($B25,Summary!$A$3:$A$102,0)))</f>
        <v/>
      </c>
      <c r="G25" s="46">
        <f>IF($B25="","",SUM($F$9:$F25))</f>
        <v/>
      </c>
      <c r="H25" s="41">
        <f>IF($B25="","",IF($G25&lt;=Settings!$E$8,"Yes","Over by "&amp;TEXT($G25-Settings!$E$8,"#,##0")))</f>
        <v/>
      </c>
      <c r="I25" s="41">
        <f>IF($B25="","",INDEX(Summary!$S$3:$S$102,MATCH($B25,Summary!$A$3:$A$102,0))&amp;"")</f>
        <v/>
      </c>
      <c r="J25" s="46">
        <f>IF($B25="","",IF(ISNUMBER(INDEX(Summary!$T$3:$T$102,MATCH($B25,Summary!$A$3:$A$102,0))),INDEX(Summary!$T$3:$T$102,MATCH($B25,Summary!$A$3:$A$102,0)),""))</f>
        <v/>
      </c>
    </row>
    <row r="26">
      <c r="A26" s="27" t="n">
        <v>18</v>
      </c>
      <c r="B26" s="41">
        <f>IF(18&gt;COUNT(Summary!$U$3:$U$102),"",INDEX(Summary!$A$3:$A$102,MATCH(LARGE(Summary!$U$3:$U$102,18),Summary!$U$3:$U$102,0)))</f>
        <v/>
      </c>
      <c r="C26" s="45">
        <f>IF($B26="","",INDEX(Summary!$B$3:$B$102,MATCH($B26,Summary!$A$3:$A$102,0)))</f>
        <v/>
      </c>
      <c r="D26" s="42">
        <f>IF($B26="","",INDEX(Summary!$L$3:$L$102,MATCH($B26,Summary!$A$3:$A$102,0)))</f>
        <v/>
      </c>
      <c r="E26" s="41">
        <f>IF($B26="","",INDEX(Summary!$Q$3:$Q$102,MATCH($B26,Summary!$A$3:$A$102,0)))</f>
        <v/>
      </c>
      <c r="F26" s="46">
        <f>IF($B26="","",INDEX(Summary!$C$3:$C$102,MATCH($B26,Summary!$A$3:$A$102,0)))</f>
        <v/>
      </c>
      <c r="G26" s="46">
        <f>IF($B26="","",SUM($F$9:$F26))</f>
        <v/>
      </c>
      <c r="H26" s="41">
        <f>IF($B26="","",IF($G26&lt;=Settings!$E$8,"Yes","Over by "&amp;TEXT($G26-Settings!$E$8,"#,##0")))</f>
        <v/>
      </c>
      <c r="I26" s="41">
        <f>IF($B26="","",INDEX(Summary!$S$3:$S$102,MATCH($B26,Summary!$A$3:$A$102,0))&amp;"")</f>
        <v/>
      </c>
      <c r="J26" s="46">
        <f>IF($B26="","",IF(ISNUMBER(INDEX(Summary!$T$3:$T$102,MATCH($B26,Summary!$A$3:$A$102,0))),INDEX(Summary!$T$3:$T$102,MATCH($B26,Summary!$A$3:$A$102,0)),""))</f>
        <v/>
      </c>
    </row>
    <row r="27">
      <c r="A27" s="27" t="n">
        <v>19</v>
      </c>
      <c r="B27" s="41">
        <f>IF(19&gt;COUNT(Summary!$U$3:$U$102),"",INDEX(Summary!$A$3:$A$102,MATCH(LARGE(Summary!$U$3:$U$102,19),Summary!$U$3:$U$102,0)))</f>
        <v/>
      </c>
      <c r="C27" s="45">
        <f>IF($B27="","",INDEX(Summary!$B$3:$B$102,MATCH($B27,Summary!$A$3:$A$102,0)))</f>
        <v/>
      </c>
      <c r="D27" s="42">
        <f>IF($B27="","",INDEX(Summary!$L$3:$L$102,MATCH($B27,Summary!$A$3:$A$102,0)))</f>
        <v/>
      </c>
      <c r="E27" s="41">
        <f>IF($B27="","",INDEX(Summary!$Q$3:$Q$102,MATCH($B27,Summary!$A$3:$A$102,0)))</f>
        <v/>
      </c>
      <c r="F27" s="46">
        <f>IF($B27="","",INDEX(Summary!$C$3:$C$102,MATCH($B27,Summary!$A$3:$A$102,0)))</f>
        <v/>
      </c>
      <c r="G27" s="46">
        <f>IF($B27="","",SUM($F$9:$F27))</f>
        <v/>
      </c>
      <c r="H27" s="41">
        <f>IF($B27="","",IF($G27&lt;=Settings!$E$8,"Yes","Over by "&amp;TEXT($G27-Settings!$E$8,"#,##0")))</f>
        <v/>
      </c>
      <c r="I27" s="41">
        <f>IF($B27="","",INDEX(Summary!$S$3:$S$102,MATCH($B27,Summary!$A$3:$A$102,0))&amp;"")</f>
        <v/>
      </c>
      <c r="J27" s="46">
        <f>IF($B27="","",IF(ISNUMBER(INDEX(Summary!$T$3:$T$102,MATCH($B27,Summary!$A$3:$A$102,0))),INDEX(Summary!$T$3:$T$102,MATCH($B27,Summary!$A$3:$A$102,0)),""))</f>
        <v/>
      </c>
    </row>
    <row r="28">
      <c r="A28" s="27" t="n">
        <v>20</v>
      </c>
      <c r="B28" s="41">
        <f>IF(20&gt;COUNT(Summary!$U$3:$U$102),"",INDEX(Summary!$A$3:$A$102,MATCH(LARGE(Summary!$U$3:$U$102,20),Summary!$U$3:$U$102,0)))</f>
        <v/>
      </c>
      <c r="C28" s="45">
        <f>IF($B28="","",INDEX(Summary!$B$3:$B$102,MATCH($B28,Summary!$A$3:$A$102,0)))</f>
        <v/>
      </c>
      <c r="D28" s="42">
        <f>IF($B28="","",INDEX(Summary!$L$3:$L$102,MATCH($B28,Summary!$A$3:$A$102,0)))</f>
        <v/>
      </c>
      <c r="E28" s="41">
        <f>IF($B28="","",INDEX(Summary!$Q$3:$Q$102,MATCH($B28,Summary!$A$3:$A$102,0)))</f>
        <v/>
      </c>
      <c r="F28" s="46">
        <f>IF($B28="","",INDEX(Summary!$C$3:$C$102,MATCH($B28,Summary!$A$3:$A$102,0)))</f>
        <v/>
      </c>
      <c r="G28" s="46">
        <f>IF($B28="","",SUM($F$9:$F28))</f>
        <v/>
      </c>
      <c r="H28" s="41">
        <f>IF($B28="","",IF($G28&lt;=Settings!$E$8,"Yes","Over by "&amp;TEXT($G28-Settings!$E$8,"#,##0")))</f>
        <v/>
      </c>
      <c r="I28" s="41">
        <f>IF($B28="","",INDEX(Summary!$S$3:$S$102,MATCH($B28,Summary!$A$3:$A$102,0))&amp;"")</f>
        <v/>
      </c>
      <c r="J28" s="46">
        <f>IF($B28="","",IF(ISNUMBER(INDEX(Summary!$T$3:$T$102,MATCH($B28,Summary!$A$3:$A$102,0))),INDEX(Summary!$T$3:$T$102,MATCH($B28,Summary!$A$3:$A$102,0)),""))</f>
        <v/>
      </c>
    </row>
    <row r="29">
      <c r="A29" s="27" t="n">
        <v>21</v>
      </c>
      <c r="B29" s="41">
        <f>IF(21&gt;COUNT(Summary!$U$3:$U$102),"",INDEX(Summary!$A$3:$A$102,MATCH(LARGE(Summary!$U$3:$U$102,21),Summary!$U$3:$U$102,0)))</f>
        <v/>
      </c>
      <c r="C29" s="45">
        <f>IF($B29="","",INDEX(Summary!$B$3:$B$102,MATCH($B29,Summary!$A$3:$A$102,0)))</f>
        <v/>
      </c>
      <c r="D29" s="42">
        <f>IF($B29="","",INDEX(Summary!$L$3:$L$102,MATCH($B29,Summary!$A$3:$A$102,0)))</f>
        <v/>
      </c>
      <c r="E29" s="41">
        <f>IF($B29="","",INDEX(Summary!$Q$3:$Q$102,MATCH($B29,Summary!$A$3:$A$102,0)))</f>
        <v/>
      </c>
      <c r="F29" s="46">
        <f>IF($B29="","",INDEX(Summary!$C$3:$C$102,MATCH($B29,Summary!$A$3:$A$102,0)))</f>
        <v/>
      </c>
      <c r="G29" s="46">
        <f>IF($B29="","",SUM($F$9:$F29))</f>
        <v/>
      </c>
      <c r="H29" s="41">
        <f>IF($B29="","",IF($G29&lt;=Settings!$E$8,"Yes","Over by "&amp;TEXT($G29-Settings!$E$8,"#,##0")))</f>
        <v/>
      </c>
      <c r="I29" s="41">
        <f>IF($B29="","",INDEX(Summary!$S$3:$S$102,MATCH($B29,Summary!$A$3:$A$102,0))&amp;"")</f>
        <v/>
      </c>
      <c r="J29" s="46">
        <f>IF($B29="","",IF(ISNUMBER(INDEX(Summary!$T$3:$T$102,MATCH($B29,Summary!$A$3:$A$102,0))),INDEX(Summary!$T$3:$T$102,MATCH($B29,Summary!$A$3:$A$102,0)),""))</f>
        <v/>
      </c>
    </row>
    <row r="30">
      <c r="A30" s="27" t="n">
        <v>22</v>
      </c>
      <c r="B30" s="41">
        <f>IF(22&gt;COUNT(Summary!$U$3:$U$102),"",INDEX(Summary!$A$3:$A$102,MATCH(LARGE(Summary!$U$3:$U$102,22),Summary!$U$3:$U$102,0)))</f>
        <v/>
      </c>
      <c r="C30" s="45">
        <f>IF($B30="","",INDEX(Summary!$B$3:$B$102,MATCH($B30,Summary!$A$3:$A$102,0)))</f>
        <v/>
      </c>
      <c r="D30" s="42">
        <f>IF($B30="","",INDEX(Summary!$L$3:$L$102,MATCH($B30,Summary!$A$3:$A$102,0)))</f>
        <v/>
      </c>
      <c r="E30" s="41">
        <f>IF($B30="","",INDEX(Summary!$Q$3:$Q$102,MATCH($B30,Summary!$A$3:$A$102,0)))</f>
        <v/>
      </c>
      <c r="F30" s="46">
        <f>IF($B30="","",INDEX(Summary!$C$3:$C$102,MATCH($B30,Summary!$A$3:$A$102,0)))</f>
        <v/>
      </c>
      <c r="G30" s="46">
        <f>IF($B30="","",SUM($F$9:$F30))</f>
        <v/>
      </c>
      <c r="H30" s="41">
        <f>IF($B30="","",IF($G30&lt;=Settings!$E$8,"Yes","Over by "&amp;TEXT($G30-Settings!$E$8,"#,##0")))</f>
        <v/>
      </c>
      <c r="I30" s="41">
        <f>IF($B30="","",INDEX(Summary!$S$3:$S$102,MATCH($B30,Summary!$A$3:$A$102,0))&amp;"")</f>
        <v/>
      </c>
      <c r="J30" s="46">
        <f>IF($B30="","",IF(ISNUMBER(INDEX(Summary!$T$3:$T$102,MATCH($B30,Summary!$A$3:$A$102,0))),INDEX(Summary!$T$3:$T$102,MATCH($B30,Summary!$A$3:$A$102,0)),""))</f>
        <v/>
      </c>
    </row>
    <row r="31">
      <c r="A31" s="27" t="n">
        <v>23</v>
      </c>
      <c r="B31" s="41">
        <f>IF(23&gt;COUNT(Summary!$U$3:$U$102),"",INDEX(Summary!$A$3:$A$102,MATCH(LARGE(Summary!$U$3:$U$102,23),Summary!$U$3:$U$102,0)))</f>
        <v/>
      </c>
      <c r="C31" s="45">
        <f>IF($B31="","",INDEX(Summary!$B$3:$B$102,MATCH($B31,Summary!$A$3:$A$102,0)))</f>
        <v/>
      </c>
      <c r="D31" s="42">
        <f>IF($B31="","",INDEX(Summary!$L$3:$L$102,MATCH($B31,Summary!$A$3:$A$102,0)))</f>
        <v/>
      </c>
      <c r="E31" s="41">
        <f>IF($B31="","",INDEX(Summary!$Q$3:$Q$102,MATCH($B31,Summary!$A$3:$A$102,0)))</f>
        <v/>
      </c>
      <c r="F31" s="46">
        <f>IF($B31="","",INDEX(Summary!$C$3:$C$102,MATCH($B31,Summary!$A$3:$A$102,0)))</f>
        <v/>
      </c>
      <c r="G31" s="46">
        <f>IF($B31="","",SUM($F$9:$F31))</f>
        <v/>
      </c>
      <c r="H31" s="41">
        <f>IF($B31="","",IF($G31&lt;=Settings!$E$8,"Yes","Over by "&amp;TEXT($G31-Settings!$E$8,"#,##0")))</f>
        <v/>
      </c>
      <c r="I31" s="41">
        <f>IF($B31="","",INDEX(Summary!$S$3:$S$102,MATCH($B31,Summary!$A$3:$A$102,0))&amp;"")</f>
        <v/>
      </c>
      <c r="J31" s="46">
        <f>IF($B31="","",IF(ISNUMBER(INDEX(Summary!$T$3:$T$102,MATCH($B31,Summary!$A$3:$A$102,0))),INDEX(Summary!$T$3:$T$102,MATCH($B31,Summary!$A$3:$A$102,0)),""))</f>
        <v/>
      </c>
    </row>
    <row r="32">
      <c r="A32" s="27" t="n">
        <v>24</v>
      </c>
      <c r="B32" s="41">
        <f>IF(24&gt;COUNT(Summary!$U$3:$U$102),"",INDEX(Summary!$A$3:$A$102,MATCH(LARGE(Summary!$U$3:$U$102,24),Summary!$U$3:$U$102,0)))</f>
        <v/>
      </c>
      <c r="C32" s="45">
        <f>IF($B32="","",INDEX(Summary!$B$3:$B$102,MATCH($B32,Summary!$A$3:$A$102,0)))</f>
        <v/>
      </c>
      <c r="D32" s="42">
        <f>IF($B32="","",INDEX(Summary!$L$3:$L$102,MATCH($B32,Summary!$A$3:$A$102,0)))</f>
        <v/>
      </c>
      <c r="E32" s="41">
        <f>IF($B32="","",INDEX(Summary!$Q$3:$Q$102,MATCH($B32,Summary!$A$3:$A$102,0)))</f>
        <v/>
      </c>
      <c r="F32" s="46">
        <f>IF($B32="","",INDEX(Summary!$C$3:$C$102,MATCH($B32,Summary!$A$3:$A$102,0)))</f>
        <v/>
      </c>
      <c r="G32" s="46">
        <f>IF($B32="","",SUM($F$9:$F32))</f>
        <v/>
      </c>
      <c r="H32" s="41">
        <f>IF($B32="","",IF($G32&lt;=Settings!$E$8,"Yes","Over by "&amp;TEXT($G32-Settings!$E$8,"#,##0")))</f>
        <v/>
      </c>
      <c r="I32" s="41">
        <f>IF($B32="","",INDEX(Summary!$S$3:$S$102,MATCH($B32,Summary!$A$3:$A$102,0))&amp;"")</f>
        <v/>
      </c>
      <c r="J32" s="46">
        <f>IF($B32="","",IF(ISNUMBER(INDEX(Summary!$T$3:$T$102,MATCH($B32,Summary!$A$3:$A$102,0))),INDEX(Summary!$T$3:$T$102,MATCH($B32,Summary!$A$3:$A$102,0)),""))</f>
        <v/>
      </c>
    </row>
    <row r="33">
      <c r="A33" s="27" t="n">
        <v>25</v>
      </c>
      <c r="B33" s="41">
        <f>IF(25&gt;COUNT(Summary!$U$3:$U$102),"",INDEX(Summary!$A$3:$A$102,MATCH(LARGE(Summary!$U$3:$U$102,25),Summary!$U$3:$U$102,0)))</f>
        <v/>
      </c>
      <c r="C33" s="45">
        <f>IF($B33="","",INDEX(Summary!$B$3:$B$102,MATCH($B33,Summary!$A$3:$A$102,0)))</f>
        <v/>
      </c>
      <c r="D33" s="42">
        <f>IF($B33="","",INDEX(Summary!$L$3:$L$102,MATCH($B33,Summary!$A$3:$A$102,0)))</f>
        <v/>
      </c>
      <c r="E33" s="41">
        <f>IF($B33="","",INDEX(Summary!$Q$3:$Q$102,MATCH($B33,Summary!$A$3:$A$102,0)))</f>
        <v/>
      </c>
      <c r="F33" s="46">
        <f>IF($B33="","",INDEX(Summary!$C$3:$C$102,MATCH($B33,Summary!$A$3:$A$102,0)))</f>
        <v/>
      </c>
      <c r="G33" s="46">
        <f>IF($B33="","",SUM($F$9:$F33))</f>
        <v/>
      </c>
      <c r="H33" s="41">
        <f>IF($B33="","",IF($G33&lt;=Settings!$E$8,"Yes","Over by "&amp;TEXT($G33-Settings!$E$8,"#,##0")))</f>
        <v/>
      </c>
      <c r="I33" s="41">
        <f>IF($B33="","",INDEX(Summary!$S$3:$S$102,MATCH($B33,Summary!$A$3:$A$102,0))&amp;"")</f>
        <v/>
      </c>
      <c r="J33" s="46">
        <f>IF($B33="","",IF(ISNUMBER(INDEX(Summary!$T$3:$T$102,MATCH($B33,Summary!$A$3:$A$102,0))),INDEX(Summary!$T$3:$T$102,MATCH($B33,Summary!$A$3:$A$102,0)),""))</f>
        <v/>
      </c>
    </row>
    <row r="34">
      <c r="A34" s="27" t="n">
        <v>26</v>
      </c>
      <c r="B34" s="41">
        <f>IF(26&gt;COUNT(Summary!$U$3:$U$102),"",INDEX(Summary!$A$3:$A$102,MATCH(LARGE(Summary!$U$3:$U$102,26),Summary!$U$3:$U$102,0)))</f>
        <v/>
      </c>
      <c r="C34" s="45">
        <f>IF($B34="","",INDEX(Summary!$B$3:$B$102,MATCH($B34,Summary!$A$3:$A$102,0)))</f>
        <v/>
      </c>
      <c r="D34" s="42">
        <f>IF($B34="","",INDEX(Summary!$L$3:$L$102,MATCH($B34,Summary!$A$3:$A$102,0)))</f>
        <v/>
      </c>
      <c r="E34" s="41">
        <f>IF($B34="","",INDEX(Summary!$Q$3:$Q$102,MATCH($B34,Summary!$A$3:$A$102,0)))</f>
        <v/>
      </c>
      <c r="F34" s="46">
        <f>IF($B34="","",INDEX(Summary!$C$3:$C$102,MATCH($B34,Summary!$A$3:$A$102,0)))</f>
        <v/>
      </c>
      <c r="G34" s="46">
        <f>IF($B34="","",SUM($F$9:$F34))</f>
        <v/>
      </c>
      <c r="H34" s="41">
        <f>IF($B34="","",IF($G34&lt;=Settings!$E$8,"Yes","Over by "&amp;TEXT($G34-Settings!$E$8,"#,##0")))</f>
        <v/>
      </c>
      <c r="I34" s="41">
        <f>IF($B34="","",INDEX(Summary!$S$3:$S$102,MATCH($B34,Summary!$A$3:$A$102,0))&amp;"")</f>
        <v/>
      </c>
      <c r="J34" s="46">
        <f>IF($B34="","",IF(ISNUMBER(INDEX(Summary!$T$3:$T$102,MATCH($B34,Summary!$A$3:$A$102,0))),INDEX(Summary!$T$3:$T$102,MATCH($B34,Summary!$A$3:$A$102,0)),""))</f>
        <v/>
      </c>
    </row>
    <row r="35">
      <c r="A35" s="27" t="n">
        <v>27</v>
      </c>
      <c r="B35" s="41">
        <f>IF(27&gt;COUNT(Summary!$U$3:$U$102),"",INDEX(Summary!$A$3:$A$102,MATCH(LARGE(Summary!$U$3:$U$102,27),Summary!$U$3:$U$102,0)))</f>
        <v/>
      </c>
      <c r="C35" s="45">
        <f>IF($B35="","",INDEX(Summary!$B$3:$B$102,MATCH($B35,Summary!$A$3:$A$102,0)))</f>
        <v/>
      </c>
      <c r="D35" s="42">
        <f>IF($B35="","",INDEX(Summary!$L$3:$L$102,MATCH($B35,Summary!$A$3:$A$102,0)))</f>
        <v/>
      </c>
      <c r="E35" s="41">
        <f>IF($B35="","",INDEX(Summary!$Q$3:$Q$102,MATCH($B35,Summary!$A$3:$A$102,0)))</f>
        <v/>
      </c>
      <c r="F35" s="46">
        <f>IF($B35="","",INDEX(Summary!$C$3:$C$102,MATCH($B35,Summary!$A$3:$A$102,0)))</f>
        <v/>
      </c>
      <c r="G35" s="46">
        <f>IF($B35="","",SUM($F$9:$F35))</f>
        <v/>
      </c>
      <c r="H35" s="41">
        <f>IF($B35="","",IF($G35&lt;=Settings!$E$8,"Yes","Over by "&amp;TEXT($G35-Settings!$E$8,"#,##0")))</f>
        <v/>
      </c>
      <c r="I35" s="41">
        <f>IF($B35="","",INDEX(Summary!$S$3:$S$102,MATCH($B35,Summary!$A$3:$A$102,0))&amp;"")</f>
        <v/>
      </c>
      <c r="J35" s="46">
        <f>IF($B35="","",IF(ISNUMBER(INDEX(Summary!$T$3:$T$102,MATCH($B35,Summary!$A$3:$A$102,0))),INDEX(Summary!$T$3:$T$102,MATCH($B35,Summary!$A$3:$A$102,0)),""))</f>
        <v/>
      </c>
    </row>
    <row r="36">
      <c r="A36" s="27" t="n">
        <v>28</v>
      </c>
      <c r="B36" s="41">
        <f>IF(28&gt;COUNT(Summary!$U$3:$U$102),"",INDEX(Summary!$A$3:$A$102,MATCH(LARGE(Summary!$U$3:$U$102,28),Summary!$U$3:$U$102,0)))</f>
        <v/>
      </c>
      <c r="C36" s="45">
        <f>IF($B36="","",INDEX(Summary!$B$3:$B$102,MATCH($B36,Summary!$A$3:$A$102,0)))</f>
        <v/>
      </c>
      <c r="D36" s="42">
        <f>IF($B36="","",INDEX(Summary!$L$3:$L$102,MATCH($B36,Summary!$A$3:$A$102,0)))</f>
        <v/>
      </c>
      <c r="E36" s="41">
        <f>IF($B36="","",INDEX(Summary!$Q$3:$Q$102,MATCH($B36,Summary!$A$3:$A$102,0)))</f>
        <v/>
      </c>
      <c r="F36" s="46">
        <f>IF($B36="","",INDEX(Summary!$C$3:$C$102,MATCH($B36,Summary!$A$3:$A$102,0)))</f>
        <v/>
      </c>
      <c r="G36" s="46">
        <f>IF($B36="","",SUM($F$9:$F36))</f>
        <v/>
      </c>
      <c r="H36" s="41">
        <f>IF($B36="","",IF($G36&lt;=Settings!$E$8,"Yes","Over by "&amp;TEXT($G36-Settings!$E$8,"#,##0")))</f>
        <v/>
      </c>
      <c r="I36" s="41">
        <f>IF($B36="","",INDEX(Summary!$S$3:$S$102,MATCH($B36,Summary!$A$3:$A$102,0))&amp;"")</f>
        <v/>
      </c>
      <c r="J36" s="46">
        <f>IF($B36="","",IF(ISNUMBER(INDEX(Summary!$T$3:$T$102,MATCH($B36,Summary!$A$3:$A$102,0))),INDEX(Summary!$T$3:$T$102,MATCH($B36,Summary!$A$3:$A$102,0)),""))</f>
        <v/>
      </c>
    </row>
    <row r="37">
      <c r="A37" s="27" t="n">
        <v>29</v>
      </c>
      <c r="B37" s="41">
        <f>IF(29&gt;COUNT(Summary!$U$3:$U$102),"",INDEX(Summary!$A$3:$A$102,MATCH(LARGE(Summary!$U$3:$U$102,29),Summary!$U$3:$U$102,0)))</f>
        <v/>
      </c>
      <c r="C37" s="45">
        <f>IF($B37="","",INDEX(Summary!$B$3:$B$102,MATCH($B37,Summary!$A$3:$A$102,0)))</f>
        <v/>
      </c>
      <c r="D37" s="42">
        <f>IF($B37="","",INDEX(Summary!$L$3:$L$102,MATCH($B37,Summary!$A$3:$A$102,0)))</f>
        <v/>
      </c>
      <c r="E37" s="41">
        <f>IF($B37="","",INDEX(Summary!$Q$3:$Q$102,MATCH($B37,Summary!$A$3:$A$102,0)))</f>
        <v/>
      </c>
      <c r="F37" s="46">
        <f>IF($B37="","",INDEX(Summary!$C$3:$C$102,MATCH($B37,Summary!$A$3:$A$102,0)))</f>
        <v/>
      </c>
      <c r="G37" s="46">
        <f>IF($B37="","",SUM($F$9:$F37))</f>
        <v/>
      </c>
      <c r="H37" s="41">
        <f>IF($B37="","",IF($G37&lt;=Settings!$E$8,"Yes","Over by "&amp;TEXT($G37-Settings!$E$8,"#,##0")))</f>
        <v/>
      </c>
      <c r="I37" s="41">
        <f>IF($B37="","",INDEX(Summary!$S$3:$S$102,MATCH($B37,Summary!$A$3:$A$102,0))&amp;"")</f>
        <v/>
      </c>
      <c r="J37" s="46">
        <f>IF($B37="","",IF(ISNUMBER(INDEX(Summary!$T$3:$T$102,MATCH($B37,Summary!$A$3:$A$102,0))),INDEX(Summary!$T$3:$T$102,MATCH($B37,Summary!$A$3:$A$102,0)),""))</f>
        <v/>
      </c>
    </row>
    <row r="38">
      <c r="A38" s="27" t="n">
        <v>30</v>
      </c>
      <c r="B38" s="41">
        <f>IF(30&gt;COUNT(Summary!$U$3:$U$102),"",INDEX(Summary!$A$3:$A$102,MATCH(LARGE(Summary!$U$3:$U$102,30),Summary!$U$3:$U$102,0)))</f>
        <v/>
      </c>
      <c r="C38" s="45">
        <f>IF($B38="","",INDEX(Summary!$B$3:$B$102,MATCH($B38,Summary!$A$3:$A$102,0)))</f>
        <v/>
      </c>
      <c r="D38" s="42">
        <f>IF($B38="","",INDEX(Summary!$L$3:$L$102,MATCH($B38,Summary!$A$3:$A$102,0)))</f>
        <v/>
      </c>
      <c r="E38" s="41">
        <f>IF($B38="","",INDEX(Summary!$Q$3:$Q$102,MATCH($B38,Summary!$A$3:$A$102,0)))</f>
        <v/>
      </c>
      <c r="F38" s="46">
        <f>IF($B38="","",INDEX(Summary!$C$3:$C$102,MATCH($B38,Summary!$A$3:$A$102,0)))</f>
        <v/>
      </c>
      <c r="G38" s="46">
        <f>IF($B38="","",SUM($F$9:$F38))</f>
        <v/>
      </c>
      <c r="H38" s="41">
        <f>IF($B38="","",IF($G38&lt;=Settings!$E$8,"Yes","Over by "&amp;TEXT($G38-Settings!$E$8,"#,##0")))</f>
        <v/>
      </c>
      <c r="I38" s="41">
        <f>IF($B38="","",INDEX(Summary!$S$3:$S$102,MATCH($B38,Summary!$A$3:$A$102,0))&amp;"")</f>
        <v/>
      </c>
      <c r="J38" s="46">
        <f>IF($B38="","",IF(ISNUMBER(INDEX(Summary!$T$3:$T$102,MATCH($B38,Summary!$A$3:$A$102,0))),INDEX(Summary!$T$3:$T$102,MATCH($B38,Summary!$A$3:$A$102,0)),""))</f>
        <v/>
      </c>
    </row>
    <row r="39">
      <c r="A39" s="27" t="n">
        <v>31</v>
      </c>
      <c r="B39" s="41">
        <f>IF(31&gt;COUNT(Summary!$U$3:$U$102),"",INDEX(Summary!$A$3:$A$102,MATCH(LARGE(Summary!$U$3:$U$102,31),Summary!$U$3:$U$102,0)))</f>
        <v/>
      </c>
      <c r="C39" s="45">
        <f>IF($B39="","",INDEX(Summary!$B$3:$B$102,MATCH($B39,Summary!$A$3:$A$102,0)))</f>
        <v/>
      </c>
      <c r="D39" s="42">
        <f>IF($B39="","",INDEX(Summary!$L$3:$L$102,MATCH($B39,Summary!$A$3:$A$102,0)))</f>
        <v/>
      </c>
      <c r="E39" s="41">
        <f>IF($B39="","",INDEX(Summary!$Q$3:$Q$102,MATCH($B39,Summary!$A$3:$A$102,0)))</f>
        <v/>
      </c>
      <c r="F39" s="46">
        <f>IF($B39="","",INDEX(Summary!$C$3:$C$102,MATCH($B39,Summary!$A$3:$A$102,0)))</f>
        <v/>
      </c>
      <c r="G39" s="46">
        <f>IF($B39="","",SUM($F$9:$F39))</f>
        <v/>
      </c>
      <c r="H39" s="41">
        <f>IF($B39="","",IF($G39&lt;=Settings!$E$8,"Yes","Over by "&amp;TEXT($G39-Settings!$E$8,"#,##0")))</f>
        <v/>
      </c>
      <c r="I39" s="41">
        <f>IF($B39="","",INDEX(Summary!$S$3:$S$102,MATCH($B39,Summary!$A$3:$A$102,0))&amp;"")</f>
        <v/>
      </c>
      <c r="J39" s="46">
        <f>IF($B39="","",IF(ISNUMBER(INDEX(Summary!$T$3:$T$102,MATCH($B39,Summary!$A$3:$A$102,0))),INDEX(Summary!$T$3:$T$102,MATCH($B39,Summary!$A$3:$A$102,0)),""))</f>
        <v/>
      </c>
    </row>
    <row r="40">
      <c r="A40" s="27" t="n">
        <v>32</v>
      </c>
      <c r="B40" s="41">
        <f>IF(32&gt;COUNT(Summary!$U$3:$U$102),"",INDEX(Summary!$A$3:$A$102,MATCH(LARGE(Summary!$U$3:$U$102,32),Summary!$U$3:$U$102,0)))</f>
        <v/>
      </c>
      <c r="C40" s="45">
        <f>IF($B40="","",INDEX(Summary!$B$3:$B$102,MATCH($B40,Summary!$A$3:$A$102,0)))</f>
        <v/>
      </c>
      <c r="D40" s="42">
        <f>IF($B40="","",INDEX(Summary!$L$3:$L$102,MATCH($B40,Summary!$A$3:$A$102,0)))</f>
        <v/>
      </c>
      <c r="E40" s="41">
        <f>IF($B40="","",INDEX(Summary!$Q$3:$Q$102,MATCH($B40,Summary!$A$3:$A$102,0)))</f>
        <v/>
      </c>
      <c r="F40" s="46">
        <f>IF($B40="","",INDEX(Summary!$C$3:$C$102,MATCH($B40,Summary!$A$3:$A$102,0)))</f>
        <v/>
      </c>
      <c r="G40" s="46">
        <f>IF($B40="","",SUM($F$9:$F40))</f>
        <v/>
      </c>
      <c r="H40" s="41">
        <f>IF($B40="","",IF($G40&lt;=Settings!$E$8,"Yes","Over by "&amp;TEXT($G40-Settings!$E$8,"#,##0")))</f>
        <v/>
      </c>
      <c r="I40" s="41">
        <f>IF($B40="","",INDEX(Summary!$S$3:$S$102,MATCH($B40,Summary!$A$3:$A$102,0))&amp;"")</f>
        <v/>
      </c>
      <c r="J40" s="46">
        <f>IF($B40="","",IF(ISNUMBER(INDEX(Summary!$T$3:$T$102,MATCH($B40,Summary!$A$3:$A$102,0))),INDEX(Summary!$T$3:$T$102,MATCH($B40,Summary!$A$3:$A$102,0)),""))</f>
        <v/>
      </c>
    </row>
    <row r="41">
      <c r="A41" s="27" t="n">
        <v>33</v>
      </c>
      <c r="B41" s="41">
        <f>IF(33&gt;COUNT(Summary!$U$3:$U$102),"",INDEX(Summary!$A$3:$A$102,MATCH(LARGE(Summary!$U$3:$U$102,33),Summary!$U$3:$U$102,0)))</f>
        <v/>
      </c>
      <c r="C41" s="45">
        <f>IF($B41="","",INDEX(Summary!$B$3:$B$102,MATCH($B41,Summary!$A$3:$A$102,0)))</f>
        <v/>
      </c>
      <c r="D41" s="42">
        <f>IF($B41="","",INDEX(Summary!$L$3:$L$102,MATCH($B41,Summary!$A$3:$A$102,0)))</f>
        <v/>
      </c>
      <c r="E41" s="41">
        <f>IF($B41="","",INDEX(Summary!$Q$3:$Q$102,MATCH($B41,Summary!$A$3:$A$102,0)))</f>
        <v/>
      </c>
      <c r="F41" s="46">
        <f>IF($B41="","",INDEX(Summary!$C$3:$C$102,MATCH($B41,Summary!$A$3:$A$102,0)))</f>
        <v/>
      </c>
      <c r="G41" s="46">
        <f>IF($B41="","",SUM($F$9:$F41))</f>
        <v/>
      </c>
      <c r="H41" s="41">
        <f>IF($B41="","",IF($G41&lt;=Settings!$E$8,"Yes","Over by "&amp;TEXT($G41-Settings!$E$8,"#,##0")))</f>
        <v/>
      </c>
      <c r="I41" s="41">
        <f>IF($B41="","",INDEX(Summary!$S$3:$S$102,MATCH($B41,Summary!$A$3:$A$102,0))&amp;"")</f>
        <v/>
      </c>
      <c r="J41" s="46">
        <f>IF($B41="","",IF(ISNUMBER(INDEX(Summary!$T$3:$T$102,MATCH($B41,Summary!$A$3:$A$102,0))),INDEX(Summary!$T$3:$T$102,MATCH($B41,Summary!$A$3:$A$102,0)),""))</f>
        <v/>
      </c>
    </row>
    <row r="42">
      <c r="A42" s="27" t="n">
        <v>34</v>
      </c>
      <c r="B42" s="41">
        <f>IF(34&gt;COUNT(Summary!$U$3:$U$102),"",INDEX(Summary!$A$3:$A$102,MATCH(LARGE(Summary!$U$3:$U$102,34),Summary!$U$3:$U$102,0)))</f>
        <v/>
      </c>
      <c r="C42" s="45">
        <f>IF($B42="","",INDEX(Summary!$B$3:$B$102,MATCH($B42,Summary!$A$3:$A$102,0)))</f>
        <v/>
      </c>
      <c r="D42" s="42">
        <f>IF($B42="","",INDEX(Summary!$L$3:$L$102,MATCH($B42,Summary!$A$3:$A$102,0)))</f>
        <v/>
      </c>
      <c r="E42" s="41">
        <f>IF($B42="","",INDEX(Summary!$Q$3:$Q$102,MATCH($B42,Summary!$A$3:$A$102,0)))</f>
        <v/>
      </c>
      <c r="F42" s="46">
        <f>IF($B42="","",INDEX(Summary!$C$3:$C$102,MATCH($B42,Summary!$A$3:$A$102,0)))</f>
        <v/>
      </c>
      <c r="G42" s="46">
        <f>IF($B42="","",SUM($F$9:$F42))</f>
        <v/>
      </c>
      <c r="H42" s="41">
        <f>IF($B42="","",IF($G42&lt;=Settings!$E$8,"Yes","Over by "&amp;TEXT($G42-Settings!$E$8,"#,##0")))</f>
        <v/>
      </c>
      <c r="I42" s="41">
        <f>IF($B42="","",INDEX(Summary!$S$3:$S$102,MATCH($B42,Summary!$A$3:$A$102,0))&amp;"")</f>
        <v/>
      </c>
      <c r="J42" s="46">
        <f>IF($B42="","",IF(ISNUMBER(INDEX(Summary!$T$3:$T$102,MATCH($B42,Summary!$A$3:$A$102,0))),INDEX(Summary!$T$3:$T$102,MATCH($B42,Summary!$A$3:$A$102,0)),""))</f>
        <v/>
      </c>
    </row>
    <row r="43">
      <c r="A43" s="27" t="n">
        <v>35</v>
      </c>
      <c r="B43" s="41">
        <f>IF(35&gt;COUNT(Summary!$U$3:$U$102),"",INDEX(Summary!$A$3:$A$102,MATCH(LARGE(Summary!$U$3:$U$102,35),Summary!$U$3:$U$102,0)))</f>
        <v/>
      </c>
      <c r="C43" s="45">
        <f>IF($B43="","",INDEX(Summary!$B$3:$B$102,MATCH($B43,Summary!$A$3:$A$102,0)))</f>
        <v/>
      </c>
      <c r="D43" s="42">
        <f>IF($B43="","",INDEX(Summary!$L$3:$L$102,MATCH($B43,Summary!$A$3:$A$102,0)))</f>
        <v/>
      </c>
      <c r="E43" s="41">
        <f>IF($B43="","",INDEX(Summary!$Q$3:$Q$102,MATCH($B43,Summary!$A$3:$A$102,0)))</f>
        <v/>
      </c>
      <c r="F43" s="46">
        <f>IF($B43="","",INDEX(Summary!$C$3:$C$102,MATCH($B43,Summary!$A$3:$A$102,0)))</f>
        <v/>
      </c>
      <c r="G43" s="46">
        <f>IF($B43="","",SUM($F$9:$F43))</f>
        <v/>
      </c>
      <c r="H43" s="41">
        <f>IF($B43="","",IF($G43&lt;=Settings!$E$8,"Yes","Over by "&amp;TEXT($G43-Settings!$E$8,"#,##0")))</f>
        <v/>
      </c>
      <c r="I43" s="41">
        <f>IF($B43="","",INDEX(Summary!$S$3:$S$102,MATCH($B43,Summary!$A$3:$A$102,0))&amp;"")</f>
        <v/>
      </c>
      <c r="J43" s="46">
        <f>IF($B43="","",IF(ISNUMBER(INDEX(Summary!$T$3:$T$102,MATCH($B43,Summary!$A$3:$A$102,0))),INDEX(Summary!$T$3:$T$102,MATCH($B43,Summary!$A$3:$A$102,0)),""))</f>
        <v/>
      </c>
    </row>
    <row r="44">
      <c r="A44" s="27" t="n">
        <v>36</v>
      </c>
      <c r="B44" s="41">
        <f>IF(36&gt;COUNT(Summary!$U$3:$U$102),"",INDEX(Summary!$A$3:$A$102,MATCH(LARGE(Summary!$U$3:$U$102,36),Summary!$U$3:$U$102,0)))</f>
        <v/>
      </c>
      <c r="C44" s="45">
        <f>IF($B44="","",INDEX(Summary!$B$3:$B$102,MATCH($B44,Summary!$A$3:$A$102,0)))</f>
        <v/>
      </c>
      <c r="D44" s="42">
        <f>IF($B44="","",INDEX(Summary!$L$3:$L$102,MATCH($B44,Summary!$A$3:$A$102,0)))</f>
        <v/>
      </c>
      <c r="E44" s="41">
        <f>IF($B44="","",INDEX(Summary!$Q$3:$Q$102,MATCH($B44,Summary!$A$3:$A$102,0)))</f>
        <v/>
      </c>
      <c r="F44" s="46">
        <f>IF($B44="","",INDEX(Summary!$C$3:$C$102,MATCH($B44,Summary!$A$3:$A$102,0)))</f>
        <v/>
      </c>
      <c r="G44" s="46">
        <f>IF($B44="","",SUM($F$9:$F44))</f>
        <v/>
      </c>
      <c r="H44" s="41">
        <f>IF($B44="","",IF($G44&lt;=Settings!$E$8,"Yes","Over by "&amp;TEXT($G44-Settings!$E$8,"#,##0")))</f>
        <v/>
      </c>
      <c r="I44" s="41">
        <f>IF($B44="","",INDEX(Summary!$S$3:$S$102,MATCH($B44,Summary!$A$3:$A$102,0))&amp;"")</f>
        <v/>
      </c>
      <c r="J44" s="46">
        <f>IF($B44="","",IF(ISNUMBER(INDEX(Summary!$T$3:$T$102,MATCH($B44,Summary!$A$3:$A$102,0))),INDEX(Summary!$T$3:$T$102,MATCH($B44,Summary!$A$3:$A$102,0)),""))</f>
        <v/>
      </c>
    </row>
    <row r="45">
      <c r="A45" s="27" t="n">
        <v>37</v>
      </c>
      <c r="B45" s="41">
        <f>IF(37&gt;COUNT(Summary!$U$3:$U$102),"",INDEX(Summary!$A$3:$A$102,MATCH(LARGE(Summary!$U$3:$U$102,37),Summary!$U$3:$U$102,0)))</f>
        <v/>
      </c>
      <c r="C45" s="45">
        <f>IF($B45="","",INDEX(Summary!$B$3:$B$102,MATCH($B45,Summary!$A$3:$A$102,0)))</f>
        <v/>
      </c>
      <c r="D45" s="42">
        <f>IF($B45="","",INDEX(Summary!$L$3:$L$102,MATCH($B45,Summary!$A$3:$A$102,0)))</f>
        <v/>
      </c>
      <c r="E45" s="41">
        <f>IF($B45="","",INDEX(Summary!$Q$3:$Q$102,MATCH($B45,Summary!$A$3:$A$102,0)))</f>
        <v/>
      </c>
      <c r="F45" s="46">
        <f>IF($B45="","",INDEX(Summary!$C$3:$C$102,MATCH($B45,Summary!$A$3:$A$102,0)))</f>
        <v/>
      </c>
      <c r="G45" s="46">
        <f>IF($B45="","",SUM($F$9:$F45))</f>
        <v/>
      </c>
      <c r="H45" s="41">
        <f>IF($B45="","",IF($G45&lt;=Settings!$E$8,"Yes","Over by "&amp;TEXT($G45-Settings!$E$8,"#,##0")))</f>
        <v/>
      </c>
      <c r="I45" s="41">
        <f>IF($B45="","",INDEX(Summary!$S$3:$S$102,MATCH($B45,Summary!$A$3:$A$102,0))&amp;"")</f>
        <v/>
      </c>
      <c r="J45" s="46">
        <f>IF($B45="","",IF(ISNUMBER(INDEX(Summary!$T$3:$T$102,MATCH($B45,Summary!$A$3:$A$102,0))),INDEX(Summary!$T$3:$T$102,MATCH($B45,Summary!$A$3:$A$102,0)),""))</f>
        <v/>
      </c>
    </row>
    <row r="46">
      <c r="A46" s="27" t="n">
        <v>38</v>
      </c>
      <c r="B46" s="41">
        <f>IF(38&gt;COUNT(Summary!$U$3:$U$102),"",INDEX(Summary!$A$3:$A$102,MATCH(LARGE(Summary!$U$3:$U$102,38),Summary!$U$3:$U$102,0)))</f>
        <v/>
      </c>
      <c r="C46" s="45">
        <f>IF($B46="","",INDEX(Summary!$B$3:$B$102,MATCH($B46,Summary!$A$3:$A$102,0)))</f>
        <v/>
      </c>
      <c r="D46" s="42">
        <f>IF($B46="","",INDEX(Summary!$L$3:$L$102,MATCH($B46,Summary!$A$3:$A$102,0)))</f>
        <v/>
      </c>
      <c r="E46" s="41">
        <f>IF($B46="","",INDEX(Summary!$Q$3:$Q$102,MATCH($B46,Summary!$A$3:$A$102,0)))</f>
        <v/>
      </c>
      <c r="F46" s="46">
        <f>IF($B46="","",INDEX(Summary!$C$3:$C$102,MATCH($B46,Summary!$A$3:$A$102,0)))</f>
        <v/>
      </c>
      <c r="G46" s="46">
        <f>IF($B46="","",SUM($F$9:$F46))</f>
        <v/>
      </c>
      <c r="H46" s="41">
        <f>IF($B46="","",IF($G46&lt;=Settings!$E$8,"Yes","Over by "&amp;TEXT($G46-Settings!$E$8,"#,##0")))</f>
        <v/>
      </c>
      <c r="I46" s="41">
        <f>IF($B46="","",INDEX(Summary!$S$3:$S$102,MATCH($B46,Summary!$A$3:$A$102,0))&amp;"")</f>
        <v/>
      </c>
      <c r="J46" s="46">
        <f>IF($B46="","",IF(ISNUMBER(INDEX(Summary!$T$3:$T$102,MATCH($B46,Summary!$A$3:$A$102,0))),INDEX(Summary!$T$3:$T$102,MATCH($B46,Summary!$A$3:$A$102,0)),""))</f>
        <v/>
      </c>
    </row>
    <row r="47">
      <c r="A47" s="27" t="n">
        <v>39</v>
      </c>
      <c r="B47" s="41">
        <f>IF(39&gt;COUNT(Summary!$U$3:$U$102),"",INDEX(Summary!$A$3:$A$102,MATCH(LARGE(Summary!$U$3:$U$102,39),Summary!$U$3:$U$102,0)))</f>
        <v/>
      </c>
      <c r="C47" s="45">
        <f>IF($B47="","",INDEX(Summary!$B$3:$B$102,MATCH($B47,Summary!$A$3:$A$102,0)))</f>
        <v/>
      </c>
      <c r="D47" s="42">
        <f>IF($B47="","",INDEX(Summary!$L$3:$L$102,MATCH($B47,Summary!$A$3:$A$102,0)))</f>
        <v/>
      </c>
      <c r="E47" s="41">
        <f>IF($B47="","",INDEX(Summary!$Q$3:$Q$102,MATCH($B47,Summary!$A$3:$A$102,0)))</f>
        <v/>
      </c>
      <c r="F47" s="46">
        <f>IF($B47="","",INDEX(Summary!$C$3:$C$102,MATCH($B47,Summary!$A$3:$A$102,0)))</f>
        <v/>
      </c>
      <c r="G47" s="46">
        <f>IF($B47="","",SUM($F$9:$F47))</f>
        <v/>
      </c>
      <c r="H47" s="41">
        <f>IF($B47="","",IF($G47&lt;=Settings!$E$8,"Yes","Over by "&amp;TEXT($G47-Settings!$E$8,"#,##0")))</f>
        <v/>
      </c>
      <c r="I47" s="41">
        <f>IF($B47="","",INDEX(Summary!$S$3:$S$102,MATCH($B47,Summary!$A$3:$A$102,0))&amp;"")</f>
        <v/>
      </c>
      <c r="J47" s="46">
        <f>IF($B47="","",IF(ISNUMBER(INDEX(Summary!$T$3:$T$102,MATCH($B47,Summary!$A$3:$A$102,0))),INDEX(Summary!$T$3:$T$102,MATCH($B47,Summary!$A$3:$A$102,0)),""))</f>
        <v/>
      </c>
    </row>
    <row r="48">
      <c r="A48" s="27" t="n">
        <v>40</v>
      </c>
      <c r="B48" s="41">
        <f>IF(40&gt;COUNT(Summary!$U$3:$U$102),"",INDEX(Summary!$A$3:$A$102,MATCH(LARGE(Summary!$U$3:$U$102,40),Summary!$U$3:$U$102,0)))</f>
        <v/>
      </c>
      <c r="C48" s="45">
        <f>IF($B48="","",INDEX(Summary!$B$3:$B$102,MATCH($B48,Summary!$A$3:$A$102,0)))</f>
        <v/>
      </c>
      <c r="D48" s="42">
        <f>IF($B48="","",INDEX(Summary!$L$3:$L$102,MATCH($B48,Summary!$A$3:$A$102,0)))</f>
        <v/>
      </c>
      <c r="E48" s="41">
        <f>IF($B48="","",INDEX(Summary!$Q$3:$Q$102,MATCH($B48,Summary!$A$3:$A$102,0)))</f>
        <v/>
      </c>
      <c r="F48" s="46">
        <f>IF($B48="","",INDEX(Summary!$C$3:$C$102,MATCH($B48,Summary!$A$3:$A$102,0)))</f>
        <v/>
      </c>
      <c r="G48" s="46">
        <f>IF($B48="","",SUM($F$9:$F48))</f>
        <v/>
      </c>
      <c r="H48" s="41">
        <f>IF($B48="","",IF($G48&lt;=Settings!$E$8,"Yes","Over by "&amp;TEXT($G48-Settings!$E$8,"#,##0")))</f>
        <v/>
      </c>
      <c r="I48" s="41">
        <f>IF($B48="","",INDEX(Summary!$S$3:$S$102,MATCH($B48,Summary!$A$3:$A$102,0))&amp;"")</f>
        <v/>
      </c>
      <c r="J48" s="46">
        <f>IF($B48="","",IF(ISNUMBER(INDEX(Summary!$T$3:$T$102,MATCH($B48,Summary!$A$3:$A$102,0))),INDEX(Summary!$T$3:$T$102,MATCH($B48,Summary!$A$3:$A$102,0)),""))</f>
        <v/>
      </c>
    </row>
    <row r="49">
      <c r="A49" s="27" t="n">
        <v>41</v>
      </c>
      <c r="B49" s="41">
        <f>IF(41&gt;COUNT(Summary!$U$3:$U$102),"",INDEX(Summary!$A$3:$A$102,MATCH(LARGE(Summary!$U$3:$U$102,41),Summary!$U$3:$U$102,0)))</f>
        <v/>
      </c>
      <c r="C49" s="45">
        <f>IF($B49="","",INDEX(Summary!$B$3:$B$102,MATCH($B49,Summary!$A$3:$A$102,0)))</f>
        <v/>
      </c>
      <c r="D49" s="42">
        <f>IF($B49="","",INDEX(Summary!$L$3:$L$102,MATCH($B49,Summary!$A$3:$A$102,0)))</f>
        <v/>
      </c>
      <c r="E49" s="41">
        <f>IF($B49="","",INDEX(Summary!$Q$3:$Q$102,MATCH($B49,Summary!$A$3:$A$102,0)))</f>
        <v/>
      </c>
      <c r="F49" s="46">
        <f>IF($B49="","",INDEX(Summary!$C$3:$C$102,MATCH($B49,Summary!$A$3:$A$102,0)))</f>
        <v/>
      </c>
      <c r="G49" s="46">
        <f>IF($B49="","",SUM($F$9:$F49))</f>
        <v/>
      </c>
      <c r="H49" s="41">
        <f>IF($B49="","",IF($G49&lt;=Settings!$E$8,"Yes","Over by "&amp;TEXT($G49-Settings!$E$8,"#,##0")))</f>
        <v/>
      </c>
      <c r="I49" s="41">
        <f>IF($B49="","",INDEX(Summary!$S$3:$S$102,MATCH($B49,Summary!$A$3:$A$102,0))&amp;"")</f>
        <v/>
      </c>
      <c r="J49" s="46">
        <f>IF($B49="","",IF(ISNUMBER(INDEX(Summary!$T$3:$T$102,MATCH($B49,Summary!$A$3:$A$102,0))),INDEX(Summary!$T$3:$T$102,MATCH($B49,Summary!$A$3:$A$102,0)),""))</f>
        <v/>
      </c>
    </row>
    <row r="50">
      <c r="A50" s="27" t="n">
        <v>42</v>
      </c>
      <c r="B50" s="41">
        <f>IF(42&gt;COUNT(Summary!$U$3:$U$102),"",INDEX(Summary!$A$3:$A$102,MATCH(LARGE(Summary!$U$3:$U$102,42),Summary!$U$3:$U$102,0)))</f>
        <v/>
      </c>
      <c r="C50" s="45">
        <f>IF($B50="","",INDEX(Summary!$B$3:$B$102,MATCH($B50,Summary!$A$3:$A$102,0)))</f>
        <v/>
      </c>
      <c r="D50" s="42">
        <f>IF($B50="","",INDEX(Summary!$L$3:$L$102,MATCH($B50,Summary!$A$3:$A$102,0)))</f>
        <v/>
      </c>
      <c r="E50" s="41">
        <f>IF($B50="","",INDEX(Summary!$Q$3:$Q$102,MATCH($B50,Summary!$A$3:$A$102,0)))</f>
        <v/>
      </c>
      <c r="F50" s="46">
        <f>IF($B50="","",INDEX(Summary!$C$3:$C$102,MATCH($B50,Summary!$A$3:$A$102,0)))</f>
        <v/>
      </c>
      <c r="G50" s="46">
        <f>IF($B50="","",SUM($F$9:$F50))</f>
        <v/>
      </c>
      <c r="H50" s="41">
        <f>IF($B50="","",IF($G50&lt;=Settings!$E$8,"Yes","Over by "&amp;TEXT($G50-Settings!$E$8,"#,##0")))</f>
        <v/>
      </c>
      <c r="I50" s="41">
        <f>IF($B50="","",INDEX(Summary!$S$3:$S$102,MATCH($B50,Summary!$A$3:$A$102,0))&amp;"")</f>
        <v/>
      </c>
      <c r="J50" s="46">
        <f>IF($B50="","",IF(ISNUMBER(INDEX(Summary!$T$3:$T$102,MATCH($B50,Summary!$A$3:$A$102,0))),INDEX(Summary!$T$3:$T$102,MATCH($B50,Summary!$A$3:$A$102,0)),""))</f>
        <v/>
      </c>
    </row>
    <row r="51">
      <c r="A51" s="27" t="n">
        <v>43</v>
      </c>
      <c r="B51" s="41">
        <f>IF(43&gt;COUNT(Summary!$U$3:$U$102),"",INDEX(Summary!$A$3:$A$102,MATCH(LARGE(Summary!$U$3:$U$102,43),Summary!$U$3:$U$102,0)))</f>
        <v/>
      </c>
      <c r="C51" s="45">
        <f>IF($B51="","",INDEX(Summary!$B$3:$B$102,MATCH($B51,Summary!$A$3:$A$102,0)))</f>
        <v/>
      </c>
      <c r="D51" s="42">
        <f>IF($B51="","",INDEX(Summary!$L$3:$L$102,MATCH($B51,Summary!$A$3:$A$102,0)))</f>
        <v/>
      </c>
      <c r="E51" s="41">
        <f>IF($B51="","",INDEX(Summary!$Q$3:$Q$102,MATCH($B51,Summary!$A$3:$A$102,0)))</f>
        <v/>
      </c>
      <c r="F51" s="46">
        <f>IF($B51="","",INDEX(Summary!$C$3:$C$102,MATCH($B51,Summary!$A$3:$A$102,0)))</f>
        <v/>
      </c>
      <c r="G51" s="46">
        <f>IF($B51="","",SUM($F$9:$F51))</f>
        <v/>
      </c>
      <c r="H51" s="41">
        <f>IF($B51="","",IF($G51&lt;=Settings!$E$8,"Yes","Over by "&amp;TEXT($G51-Settings!$E$8,"#,##0")))</f>
        <v/>
      </c>
      <c r="I51" s="41">
        <f>IF($B51="","",INDEX(Summary!$S$3:$S$102,MATCH($B51,Summary!$A$3:$A$102,0))&amp;"")</f>
        <v/>
      </c>
      <c r="J51" s="46">
        <f>IF($B51="","",IF(ISNUMBER(INDEX(Summary!$T$3:$T$102,MATCH($B51,Summary!$A$3:$A$102,0))),INDEX(Summary!$T$3:$T$102,MATCH($B51,Summary!$A$3:$A$102,0)),""))</f>
        <v/>
      </c>
    </row>
    <row r="52">
      <c r="A52" s="27" t="n">
        <v>44</v>
      </c>
      <c r="B52" s="41">
        <f>IF(44&gt;COUNT(Summary!$U$3:$U$102),"",INDEX(Summary!$A$3:$A$102,MATCH(LARGE(Summary!$U$3:$U$102,44),Summary!$U$3:$U$102,0)))</f>
        <v/>
      </c>
      <c r="C52" s="45">
        <f>IF($B52="","",INDEX(Summary!$B$3:$B$102,MATCH($B52,Summary!$A$3:$A$102,0)))</f>
        <v/>
      </c>
      <c r="D52" s="42">
        <f>IF($B52="","",INDEX(Summary!$L$3:$L$102,MATCH($B52,Summary!$A$3:$A$102,0)))</f>
        <v/>
      </c>
      <c r="E52" s="41">
        <f>IF($B52="","",INDEX(Summary!$Q$3:$Q$102,MATCH($B52,Summary!$A$3:$A$102,0)))</f>
        <v/>
      </c>
      <c r="F52" s="46">
        <f>IF($B52="","",INDEX(Summary!$C$3:$C$102,MATCH($B52,Summary!$A$3:$A$102,0)))</f>
        <v/>
      </c>
      <c r="G52" s="46">
        <f>IF($B52="","",SUM($F$9:$F52))</f>
        <v/>
      </c>
      <c r="H52" s="41">
        <f>IF($B52="","",IF($G52&lt;=Settings!$E$8,"Yes","Over by "&amp;TEXT($G52-Settings!$E$8,"#,##0")))</f>
        <v/>
      </c>
      <c r="I52" s="41">
        <f>IF($B52="","",INDEX(Summary!$S$3:$S$102,MATCH($B52,Summary!$A$3:$A$102,0))&amp;"")</f>
        <v/>
      </c>
      <c r="J52" s="46">
        <f>IF($B52="","",IF(ISNUMBER(INDEX(Summary!$T$3:$T$102,MATCH($B52,Summary!$A$3:$A$102,0))),INDEX(Summary!$T$3:$T$102,MATCH($B52,Summary!$A$3:$A$102,0)),""))</f>
        <v/>
      </c>
    </row>
    <row r="53">
      <c r="A53" s="27" t="n">
        <v>45</v>
      </c>
      <c r="B53" s="41">
        <f>IF(45&gt;COUNT(Summary!$U$3:$U$102),"",INDEX(Summary!$A$3:$A$102,MATCH(LARGE(Summary!$U$3:$U$102,45),Summary!$U$3:$U$102,0)))</f>
        <v/>
      </c>
      <c r="C53" s="45">
        <f>IF($B53="","",INDEX(Summary!$B$3:$B$102,MATCH($B53,Summary!$A$3:$A$102,0)))</f>
        <v/>
      </c>
      <c r="D53" s="42">
        <f>IF($B53="","",INDEX(Summary!$L$3:$L$102,MATCH($B53,Summary!$A$3:$A$102,0)))</f>
        <v/>
      </c>
      <c r="E53" s="41">
        <f>IF($B53="","",INDEX(Summary!$Q$3:$Q$102,MATCH($B53,Summary!$A$3:$A$102,0)))</f>
        <v/>
      </c>
      <c r="F53" s="46">
        <f>IF($B53="","",INDEX(Summary!$C$3:$C$102,MATCH($B53,Summary!$A$3:$A$102,0)))</f>
        <v/>
      </c>
      <c r="G53" s="46">
        <f>IF($B53="","",SUM($F$9:$F53))</f>
        <v/>
      </c>
      <c r="H53" s="41">
        <f>IF($B53="","",IF($G53&lt;=Settings!$E$8,"Yes","Over by "&amp;TEXT($G53-Settings!$E$8,"#,##0")))</f>
        <v/>
      </c>
      <c r="I53" s="41">
        <f>IF($B53="","",INDEX(Summary!$S$3:$S$102,MATCH($B53,Summary!$A$3:$A$102,0))&amp;"")</f>
        <v/>
      </c>
      <c r="J53" s="46">
        <f>IF($B53="","",IF(ISNUMBER(INDEX(Summary!$T$3:$T$102,MATCH($B53,Summary!$A$3:$A$102,0))),INDEX(Summary!$T$3:$T$102,MATCH($B53,Summary!$A$3:$A$102,0)),""))</f>
        <v/>
      </c>
    </row>
    <row r="54">
      <c r="A54" s="27" t="n">
        <v>46</v>
      </c>
      <c r="B54" s="41">
        <f>IF(46&gt;COUNT(Summary!$U$3:$U$102),"",INDEX(Summary!$A$3:$A$102,MATCH(LARGE(Summary!$U$3:$U$102,46),Summary!$U$3:$U$102,0)))</f>
        <v/>
      </c>
      <c r="C54" s="45">
        <f>IF($B54="","",INDEX(Summary!$B$3:$B$102,MATCH($B54,Summary!$A$3:$A$102,0)))</f>
        <v/>
      </c>
      <c r="D54" s="42">
        <f>IF($B54="","",INDEX(Summary!$L$3:$L$102,MATCH($B54,Summary!$A$3:$A$102,0)))</f>
        <v/>
      </c>
      <c r="E54" s="41">
        <f>IF($B54="","",INDEX(Summary!$Q$3:$Q$102,MATCH($B54,Summary!$A$3:$A$102,0)))</f>
        <v/>
      </c>
      <c r="F54" s="46">
        <f>IF($B54="","",INDEX(Summary!$C$3:$C$102,MATCH($B54,Summary!$A$3:$A$102,0)))</f>
        <v/>
      </c>
      <c r="G54" s="46">
        <f>IF($B54="","",SUM($F$9:$F54))</f>
        <v/>
      </c>
      <c r="H54" s="41">
        <f>IF($B54="","",IF($G54&lt;=Settings!$E$8,"Yes","Over by "&amp;TEXT($G54-Settings!$E$8,"#,##0")))</f>
        <v/>
      </c>
      <c r="I54" s="41">
        <f>IF($B54="","",INDEX(Summary!$S$3:$S$102,MATCH($B54,Summary!$A$3:$A$102,0))&amp;"")</f>
        <v/>
      </c>
      <c r="J54" s="46">
        <f>IF($B54="","",IF(ISNUMBER(INDEX(Summary!$T$3:$T$102,MATCH($B54,Summary!$A$3:$A$102,0))),INDEX(Summary!$T$3:$T$102,MATCH($B54,Summary!$A$3:$A$102,0)),""))</f>
        <v/>
      </c>
    </row>
    <row r="55">
      <c r="A55" s="27" t="n">
        <v>47</v>
      </c>
      <c r="B55" s="41">
        <f>IF(47&gt;COUNT(Summary!$U$3:$U$102),"",INDEX(Summary!$A$3:$A$102,MATCH(LARGE(Summary!$U$3:$U$102,47),Summary!$U$3:$U$102,0)))</f>
        <v/>
      </c>
      <c r="C55" s="45">
        <f>IF($B55="","",INDEX(Summary!$B$3:$B$102,MATCH($B55,Summary!$A$3:$A$102,0)))</f>
        <v/>
      </c>
      <c r="D55" s="42">
        <f>IF($B55="","",INDEX(Summary!$L$3:$L$102,MATCH($B55,Summary!$A$3:$A$102,0)))</f>
        <v/>
      </c>
      <c r="E55" s="41">
        <f>IF($B55="","",INDEX(Summary!$Q$3:$Q$102,MATCH($B55,Summary!$A$3:$A$102,0)))</f>
        <v/>
      </c>
      <c r="F55" s="46">
        <f>IF($B55="","",INDEX(Summary!$C$3:$C$102,MATCH($B55,Summary!$A$3:$A$102,0)))</f>
        <v/>
      </c>
      <c r="G55" s="46">
        <f>IF($B55="","",SUM($F$9:$F55))</f>
        <v/>
      </c>
      <c r="H55" s="41">
        <f>IF($B55="","",IF($G55&lt;=Settings!$E$8,"Yes","Over by "&amp;TEXT($G55-Settings!$E$8,"#,##0")))</f>
        <v/>
      </c>
      <c r="I55" s="41">
        <f>IF($B55="","",INDEX(Summary!$S$3:$S$102,MATCH($B55,Summary!$A$3:$A$102,0))&amp;"")</f>
        <v/>
      </c>
      <c r="J55" s="46">
        <f>IF($B55="","",IF(ISNUMBER(INDEX(Summary!$T$3:$T$102,MATCH($B55,Summary!$A$3:$A$102,0))),INDEX(Summary!$T$3:$T$102,MATCH($B55,Summary!$A$3:$A$102,0)),""))</f>
        <v/>
      </c>
    </row>
    <row r="56">
      <c r="A56" s="27" t="n">
        <v>48</v>
      </c>
      <c r="B56" s="41">
        <f>IF(48&gt;COUNT(Summary!$U$3:$U$102),"",INDEX(Summary!$A$3:$A$102,MATCH(LARGE(Summary!$U$3:$U$102,48),Summary!$U$3:$U$102,0)))</f>
        <v/>
      </c>
      <c r="C56" s="45">
        <f>IF($B56="","",INDEX(Summary!$B$3:$B$102,MATCH($B56,Summary!$A$3:$A$102,0)))</f>
        <v/>
      </c>
      <c r="D56" s="42">
        <f>IF($B56="","",INDEX(Summary!$L$3:$L$102,MATCH($B56,Summary!$A$3:$A$102,0)))</f>
        <v/>
      </c>
      <c r="E56" s="41">
        <f>IF($B56="","",INDEX(Summary!$Q$3:$Q$102,MATCH($B56,Summary!$A$3:$A$102,0)))</f>
        <v/>
      </c>
      <c r="F56" s="46">
        <f>IF($B56="","",INDEX(Summary!$C$3:$C$102,MATCH($B56,Summary!$A$3:$A$102,0)))</f>
        <v/>
      </c>
      <c r="G56" s="46">
        <f>IF($B56="","",SUM($F$9:$F56))</f>
        <v/>
      </c>
      <c r="H56" s="41">
        <f>IF($B56="","",IF($G56&lt;=Settings!$E$8,"Yes","Over by "&amp;TEXT($G56-Settings!$E$8,"#,##0")))</f>
        <v/>
      </c>
      <c r="I56" s="41">
        <f>IF($B56="","",INDEX(Summary!$S$3:$S$102,MATCH($B56,Summary!$A$3:$A$102,0))&amp;"")</f>
        <v/>
      </c>
      <c r="J56" s="46">
        <f>IF($B56="","",IF(ISNUMBER(INDEX(Summary!$T$3:$T$102,MATCH($B56,Summary!$A$3:$A$102,0))),INDEX(Summary!$T$3:$T$102,MATCH($B56,Summary!$A$3:$A$102,0)),""))</f>
        <v/>
      </c>
    </row>
    <row r="57">
      <c r="A57" s="27" t="n">
        <v>49</v>
      </c>
      <c r="B57" s="41">
        <f>IF(49&gt;COUNT(Summary!$U$3:$U$102),"",INDEX(Summary!$A$3:$A$102,MATCH(LARGE(Summary!$U$3:$U$102,49),Summary!$U$3:$U$102,0)))</f>
        <v/>
      </c>
      <c r="C57" s="45">
        <f>IF($B57="","",INDEX(Summary!$B$3:$B$102,MATCH($B57,Summary!$A$3:$A$102,0)))</f>
        <v/>
      </c>
      <c r="D57" s="42">
        <f>IF($B57="","",INDEX(Summary!$L$3:$L$102,MATCH($B57,Summary!$A$3:$A$102,0)))</f>
        <v/>
      </c>
      <c r="E57" s="41">
        <f>IF($B57="","",INDEX(Summary!$Q$3:$Q$102,MATCH($B57,Summary!$A$3:$A$102,0)))</f>
        <v/>
      </c>
      <c r="F57" s="46">
        <f>IF($B57="","",INDEX(Summary!$C$3:$C$102,MATCH($B57,Summary!$A$3:$A$102,0)))</f>
        <v/>
      </c>
      <c r="G57" s="46">
        <f>IF($B57="","",SUM($F$9:$F57))</f>
        <v/>
      </c>
      <c r="H57" s="41">
        <f>IF($B57="","",IF($G57&lt;=Settings!$E$8,"Yes","Over by "&amp;TEXT($G57-Settings!$E$8,"#,##0")))</f>
        <v/>
      </c>
      <c r="I57" s="41">
        <f>IF($B57="","",INDEX(Summary!$S$3:$S$102,MATCH($B57,Summary!$A$3:$A$102,0))&amp;"")</f>
        <v/>
      </c>
      <c r="J57" s="46">
        <f>IF($B57="","",IF(ISNUMBER(INDEX(Summary!$T$3:$T$102,MATCH($B57,Summary!$A$3:$A$102,0))),INDEX(Summary!$T$3:$T$102,MATCH($B57,Summary!$A$3:$A$102,0)),""))</f>
        <v/>
      </c>
    </row>
    <row r="58">
      <c r="A58" s="27" t="n">
        <v>50</v>
      </c>
      <c r="B58" s="41">
        <f>IF(50&gt;COUNT(Summary!$U$3:$U$102),"",INDEX(Summary!$A$3:$A$102,MATCH(LARGE(Summary!$U$3:$U$102,50),Summary!$U$3:$U$102,0)))</f>
        <v/>
      </c>
      <c r="C58" s="45">
        <f>IF($B58="","",INDEX(Summary!$B$3:$B$102,MATCH($B58,Summary!$A$3:$A$102,0)))</f>
        <v/>
      </c>
      <c r="D58" s="42">
        <f>IF($B58="","",INDEX(Summary!$L$3:$L$102,MATCH($B58,Summary!$A$3:$A$102,0)))</f>
        <v/>
      </c>
      <c r="E58" s="41">
        <f>IF($B58="","",INDEX(Summary!$Q$3:$Q$102,MATCH($B58,Summary!$A$3:$A$102,0)))</f>
        <v/>
      </c>
      <c r="F58" s="46">
        <f>IF($B58="","",INDEX(Summary!$C$3:$C$102,MATCH($B58,Summary!$A$3:$A$102,0)))</f>
        <v/>
      </c>
      <c r="G58" s="46">
        <f>IF($B58="","",SUM($F$9:$F58))</f>
        <v/>
      </c>
      <c r="H58" s="41">
        <f>IF($B58="","",IF($G58&lt;=Settings!$E$8,"Yes","Over by "&amp;TEXT($G58-Settings!$E$8,"#,##0")))</f>
        <v/>
      </c>
      <c r="I58" s="41">
        <f>IF($B58="","",INDEX(Summary!$S$3:$S$102,MATCH($B58,Summary!$A$3:$A$102,0))&amp;"")</f>
        <v/>
      </c>
      <c r="J58" s="46">
        <f>IF($B58="","",IF(ISNUMBER(INDEX(Summary!$T$3:$T$102,MATCH($B58,Summary!$A$3:$A$102,0))),INDEX(Summary!$T$3:$T$102,MATCH($B58,Summary!$A$3:$A$102,0)),""))</f>
        <v/>
      </c>
    </row>
    <row r="59">
      <c r="A59" s="27" t="n">
        <v>51</v>
      </c>
      <c r="B59" s="41">
        <f>IF(51&gt;COUNT(Summary!$U$3:$U$102),"",INDEX(Summary!$A$3:$A$102,MATCH(LARGE(Summary!$U$3:$U$102,51),Summary!$U$3:$U$102,0)))</f>
        <v/>
      </c>
      <c r="C59" s="45">
        <f>IF($B59="","",INDEX(Summary!$B$3:$B$102,MATCH($B59,Summary!$A$3:$A$102,0)))</f>
        <v/>
      </c>
      <c r="D59" s="42">
        <f>IF($B59="","",INDEX(Summary!$L$3:$L$102,MATCH($B59,Summary!$A$3:$A$102,0)))</f>
        <v/>
      </c>
      <c r="E59" s="41">
        <f>IF($B59="","",INDEX(Summary!$Q$3:$Q$102,MATCH($B59,Summary!$A$3:$A$102,0)))</f>
        <v/>
      </c>
      <c r="F59" s="46">
        <f>IF($B59="","",INDEX(Summary!$C$3:$C$102,MATCH($B59,Summary!$A$3:$A$102,0)))</f>
        <v/>
      </c>
      <c r="G59" s="46">
        <f>IF($B59="","",SUM($F$9:$F59))</f>
        <v/>
      </c>
      <c r="H59" s="41">
        <f>IF($B59="","",IF($G59&lt;=Settings!$E$8,"Yes","Over by "&amp;TEXT($G59-Settings!$E$8,"#,##0")))</f>
        <v/>
      </c>
      <c r="I59" s="41">
        <f>IF($B59="","",INDEX(Summary!$S$3:$S$102,MATCH($B59,Summary!$A$3:$A$102,0))&amp;"")</f>
        <v/>
      </c>
      <c r="J59" s="46">
        <f>IF($B59="","",IF(ISNUMBER(INDEX(Summary!$T$3:$T$102,MATCH($B59,Summary!$A$3:$A$102,0))),INDEX(Summary!$T$3:$T$102,MATCH($B59,Summary!$A$3:$A$102,0)),""))</f>
        <v/>
      </c>
    </row>
    <row r="60">
      <c r="A60" s="27" t="n">
        <v>52</v>
      </c>
      <c r="B60" s="41">
        <f>IF(52&gt;COUNT(Summary!$U$3:$U$102),"",INDEX(Summary!$A$3:$A$102,MATCH(LARGE(Summary!$U$3:$U$102,52),Summary!$U$3:$U$102,0)))</f>
        <v/>
      </c>
      <c r="C60" s="45">
        <f>IF($B60="","",INDEX(Summary!$B$3:$B$102,MATCH($B60,Summary!$A$3:$A$102,0)))</f>
        <v/>
      </c>
      <c r="D60" s="42">
        <f>IF($B60="","",INDEX(Summary!$L$3:$L$102,MATCH($B60,Summary!$A$3:$A$102,0)))</f>
        <v/>
      </c>
      <c r="E60" s="41">
        <f>IF($B60="","",INDEX(Summary!$Q$3:$Q$102,MATCH($B60,Summary!$A$3:$A$102,0)))</f>
        <v/>
      </c>
      <c r="F60" s="46">
        <f>IF($B60="","",INDEX(Summary!$C$3:$C$102,MATCH($B60,Summary!$A$3:$A$102,0)))</f>
        <v/>
      </c>
      <c r="G60" s="46">
        <f>IF($B60="","",SUM($F$9:$F60))</f>
        <v/>
      </c>
      <c r="H60" s="41">
        <f>IF($B60="","",IF($G60&lt;=Settings!$E$8,"Yes","Over by "&amp;TEXT($G60-Settings!$E$8,"#,##0")))</f>
        <v/>
      </c>
      <c r="I60" s="41">
        <f>IF($B60="","",INDEX(Summary!$S$3:$S$102,MATCH($B60,Summary!$A$3:$A$102,0))&amp;"")</f>
        <v/>
      </c>
      <c r="J60" s="46">
        <f>IF($B60="","",IF(ISNUMBER(INDEX(Summary!$T$3:$T$102,MATCH($B60,Summary!$A$3:$A$102,0))),INDEX(Summary!$T$3:$T$102,MATCH($B60,Summary!$A$3:$A$102,0)),""))</f>
        <v/>
      </c>
    </row>
    <row r="61">
      <c r="A61" s="27" t="n">
        <v>53</v>
      </c>
      <c r="B61" s="41">
        <f>IF(53&gt;COUNT(Summary!$U$3:$U$102),"",INDEX(Summary!$A$3:$A$102,MATCH(LARGE(Summary!$U$3:$U$102,53),Summary!$U$3:$U$102,0)))</f>
        <v/>
      </c>
      <c r="C61" s="45">
        <f>IF($B61="","",INDEX(Summary!$B$3:$B$102,MATCH($B61,Summary!$A$3:$A$102,0)))</f>
        <v/>
      </c>
      <c r="D61" s="42">
        <f>IF($B61="","",INDEX(Summary!$L$3:$L$102,MATCH($B61,Summary!$A$3:$A$102,0)))</f>
        <v/>
      </c>
      <c r="E61" s="41">
        <f>IF($B61="","",INDEX(Summary!$Q$3:$Q$102,MATCH($B61,Summary!$A$3:$A$102,0)))</f>
        <v/>
      </c>
      <c r="F61" s="46">
        <f>IF($B61="","",INDEX(Summary!$C$3:$C$102,MATCH($B61,Summary!$A$3:$A$102,0)))</f>
        <v/>
      </c>
      <c r="G61" s="46">
        <f>IF($B61="","",SUM($F$9:$F61))</f>
        <v/>
      </c>
      <c r="H61" s="41">
        <f>IF($B61="","",IF($G61&lt;=Settings!$E$8,"Yes","Over by "&amp;TEXT($G61-Settings!$E$8,"#,##0")))</f>
        <v/>
      </c>
      <c r="I61" s="41">
        <f>IF($B61="","",INDEX(Summary!$S$3:$S$102,MATCH($B61,Summary!$A$3:$A$102,0))&amp;"")</f>
        <v/>
      </c>
      <c r="J61" s="46">
        <f>IF($B61="","",IF(ISNUMBER(INDEX(Summary!$T$3:$T$102,MATCH($B61,Summary!$A$3:$A$102,0))),INDEX(Summary!$T$3:$T$102,MATCH($B61,Summary!$A$3:$A$102,0)),""))</f>
        <v/>
      </c>
    </row>
    <row r="62">
      <c r="A62" s="27" t="n">
        <v>54</v>
      </c>
      <c r="B62" s="41">
        <f>IF(54&gt;COUNT(Summary!$U$3:$U$102),"",INDEX(Summary!$A$3:$A$102,MATCH(LARGE(Summary!$U$3:$U$102,54),Summary!$U$3:$U$102,0)))</f>
        <v/>
      </c>
      <c r="C62" s="45">
        <f>IF($B62="","",INDEX(Summary!$B$3:$B$102,MATCH($B62,Summary!$A$3:$A$102,0)))</f>
        <v/>
      </c>
      <c r="D62" s="42">
        <f>IF($B62="","",INDEX(Summary!$L$3:$L$102,MATCH($B62,Summary!$A$3:$A$102,0)))</f>
        <v/>
      </c>
      <c r="E62" s="41">
        <f>IF($B62="","",INDEX(Summary!$Q$3:$Q$102,MATCH($B62,Summary!$A$3:$A$102,0)))</f>
        <v/>
      </c>
      <c r="F62" s="46">
        <f>IF($B62="","",INDEX(Summary!$C$3:$C$102,MATCH($B62,Summary!$A$3:$A$102,0)))</f>
        <v/>
      </c>
      <c r="G62" s="46">
        <f>IF($B62="","",SUM($F$9:$F62))</f>
        <v/>
      </c>
      <c r="H62" s="41">
        <f>IF($B62="","",IF($G62&lt;=Settings!$E$8,"Yes","Over by "&amp;TEXT($G62-Settings!$E$8,"#,##0")))</f>
        <v/>
      </c>
      <c r="I62" s="41">
        <f>IF($B62="","",INDEX(Summary!$S$3:$S$102,MATCH($B62,Summary!$A$3:$A$102,0))&amp;"")</f>
        <v/>
      </c>
      <c r="J62" s="46">
        <f>IF($B62="","",IF(ISNUMBER(INDEX(Summary!$T$3:$T$102,MATCH($B62,Summary!$A$3:$A$102,0))),INDEX(Summary!$T$3:$T$102,MATCH($B62,Summary!$A$3:$A$102,0)),""))</f>
        <v/>
      </c>
    </row>
    <row r="63">
      <c r="A63" s="27" t="n">
        <v>55</v>
      </c>
      <c r="B63" s="41">
        <f>IF(55&gt;COUNT(Summary!$U$3:$U$102),"",INDEX(Summary!$A$3:$A$102,MATCH(LARGE(Summary!$U$3:$U$102,55),Summary!$U$3:$U$102,0)))</f>
        <v/>
      </c>
      <c r="C63" s="45">
        <f>IF($B63="","",INDEX(Summary!$B$3:$B$102,MATCH($B63,Summary!$A$3:$A$102,0)))</f>
        <v/>
      </c>
      <c r="D63" s="42">
        <f>IF($B63="","",INDEX(Summary!$L$3:$L$102,MATCH($B63,Summary!$A$3:$A$102,0)))</f>
        <v/>
      </c>
      <c r="E63" s="41">
        <f>IF($B63="","",INDEX(Summary!$Q$3:$Q$102,MATCH($B63,Summary!$A$3:$A$102,0)))</f>
        <v/>
      </c>
      <c r="F63" s="46">
        <f>IF($B63="","",INDEX(Summary!$C$3:$C$102,MATCH($B63,Summary!$A$3:$A$102,0)))</f>
        <v/>
      </c>
      <c r="G63" s="46">
        <f>IF($B63="","",SUM($F$9:$F63))</f>
        <v/>
      </c>
      <c r="H63" s="41">
        <f>IF($B63="","",IF($G63&lt;=Settings!$E$8,"Yes","Over by "&amp;TEXT($G63-Settings!$E$8,"#,##0")))</f>
        <v/>
      </c>
      <c r="I63" s="41">
        <f>IF($B63="","",INDEX(Summary!$S$3:$S$102,MATCH($B63,Summary!$A$3:$A$102,0))&amp;"")</f>
        <v/>
      </c>
      <c r="J63" s="46">
        <f>IF($B63="","",IF(ISNUMBER(INDEX(Summary!$T$3:$T$102,MATCH($B63,Summary!$A$3:$A$102,0))),INDEX(Summary!$T$3:$T$102,MATCH($B63,Summary!$A$3:$A$102,0)),""))</f>
        <v/>
      </c>
    </row>
    <row r="64">
      <c r="A64" s="27" t="n">
        <v>56</v>
      </c>
      <c r="B64" s="41">
        <f>IF(56&gt;COUNT(Summary!$U$3:$U$102),"",INDEX(Summary!$A$3:$A$102,MATCH(LARGE(Summary!$U$3:$U$102,56),Summary!$U$3:$U$102,0)))</f>
        <v/>
      </c>
      <c r="C64" s="45">
        <f>IF($B64="","",INDEX(Summary!$B$3:$B$102,MATCH($B64,Summary!$A$3:$A$102,0)))</f>
        <v/>
      </c>
      <c r="D64" s="42">
        <f>IF($B64="","",INDEX(Summary!$L$3:$L$102,MATCH($B64,Summary!$A$3:$A$102,0)))</f>
        <v/>
      </c>
      <c r="E64" s="41">
        <f>IF($B64="","",INDEX(Summary!$Q$3:$Q$102,MATCH($B64,Summary!$A$3:$A$102,0)))</f>
        <v/>
      </c>
      <c r="F64" s="46">
        <f>IF($B64="","",INDEX(Summary!$C$3:$C$102,MATCH($B64,Summary!$A$3:$A$102,0)))</f>
        <v/>
      </c>
      <c r="G64" s="46">
        <f>IF($B64="","",SUM($F$9:$F64))</f>
        <v/>
      </c>
      <c r="H64" s="41">
        <f>IF($B64="","",IF($G64&lt;=Settings!$E$8,"Yes","Over by "&amp;TEXT($G64-Settings!$E$8,"#,##0")))</f>
        <v/>
      </c>
      <c r="I64" s="41">
        <f>IF($B64="","",INDEX(Summary!$S$3:$S$102,MATCH($B64,Summary!$A$3:$A$102,0))&amp;"")</f>
        <v/>
      </c>
      <c r="J64" s="46">
        <f>IF($B64="","",IF(ISNUMBER(INDEX(Summary!$T$3:$T$102,MATCH($B64,Summary!$A$3:$A$102,0))),INDEX(Summary!$T$3:$T$102,MATCH($B64,Summary!$A$3:$A$102,0)),""))</f>
        <v/>
      </c>
    </row>
    <row r="65">
      <c r="A65" s="27" t="n">
        <v>57</v>
      </c>
      <c r="B65" s="41">
        <f>IF(57&gt;COUNT(Summary!$U$3:$U$102),"",INDEX(Summary!$A$3:$A$102,MATCH(LARGE(Summary!$U$3:$U$102,57),Summary!$U$3:$U$102,0)))</f>
        <v/>
      </c>
      <c r="C65" s="45">
        <f>IF($B65="","",INDEX(Summary!$B$3:$B$102,MATCH($B65,Summary!$A$3:$A$102,0)))</f>
        <v/>
      </c>
      <c r="D65" s="42">
        <f>IF($B65="","",INDEX(Summary!$L$3:$L$102,MATCH($B65,Summary!$A$3:$A$102,0)))</f>
        <v/>
      </c>
      <c r="E65" s="41">
        <f>IF($B65="","",INDEX(Summary!$Q$3:$Q$102,MATCH($B65,Summary!$A$3:$A$102,0)))</f>
        <v/>
      </c>
      <c r="F65" s="46">
        <f>IF($B65="","",INDEX(Summary!$C$3:$C$102,MATCH($B65,Summary!$A$3:$A$102,0)))</f>
        <v/>
      </c>
      <c r="G65" s="46">
        <f>IF($B65="","",SUM($F$9:$F65))</f>
        <v/>
      </c>
      <c r="H65" s="41">
        <f>IF($B65="","",IF($G65&lt;=Settings!$E$8,"Yes","Over by "&amp;TEXT($G65-Settings!$E$8,"#,##0")))</f>
        <v/>
      </c>
      <c r="I65" s="41">
        <f>IF($B65="","",INDEX(Summary!$S$3:$S$102,MATCH($B65,Summary!$A$3:$A$102,0))&amp;"")</f>
        <v/>
      </c>
      <c r="J65" s="46">
        <f>IF($B65="","",IF(ISNUMBER(INDEX(Summary!$T$3:$T$102,MATCH($B65,Summary!$A$3:$A$102,0))),INDEX(Summary!$T$3:$T$102,MATCH($B65,Summary!$A$3:$A$102,0)),""))</f>
        <v/>
      </c>
    </row>
    <row r="66">
      <c r="A66" s="27" t="n">
        <v>58</v>
      </c>
      <c r="B66" s="41">
        <f>IF(58&gt;COUNT(Summary!$U$3:$U$102),"",INDEX(Summary!$A$3:$A$102,MATCH(LARGE(Summary!$U$3:$U$102,58),Summary!$U$3:$U$102,0)))</f>
        <v/>
      </c>
      <c r="C66" s="45">
        <f>IF($B66="","",INDEX(Summary!$B$3:$B$102,MATCH($B66,Summary!$A$3:$A$102,0)))</f>
        <v/>
      </c>
      <c r="D66" s="42">
        <f>IF($B66="","",INDEX(Summary!$L$3:$L$102,MATCH($B66,Summary!$A$3:$A$102,0)))</f>
        <v/>
      </c>
      <c r="E66" s="41">
        <f>IF($B66="","",INDEX(Summary!$Q$3:$Q$102,MATCH($B66,Summary!$A$3:$A$102,0)))</f>
        <v/>
      </c>
      <c r="F66" s="46">
        <f>IF($B66="","",INDEX(Summary!$C$3:$C$102,MATCH($B66,Summary!$A$3:$A$102,0)))</f>
        <v/>
      </c>
      <c r="G66" s="46">
        <f>IF($B66="","",SUM($F$9:$F66))</f>
        <v/>
      </c>
      <c r="H66" s="41">
        <f>IF($B66="","",IF($G66&lt;=Settings!$E$8,"Yes","Over by "&amp;TEXT($G66-Settings!$E$8,"#,##0")))</f>
        <v/>
      </c>
      <c r="I66" s="41">
        <f>IF($B66="","",INDEX(Summary!$S$3:$S$102,MATCH($B66,Summary!$A$3:$A$102,0))&amp;"")</f>
        <v/>
      </c>
      <c r="J66" s="46">
        <f>IF($B66="","",IF(ISNUMBER(INDEX(Summary!$T$3:$T$102,MATCH($B66,Summary!$A$3:$A$102,0))),INDEX(Summary!$T$3:$T$102,MATCH($B66,Summary!$A$3:$A$102,0)),""))</f>
        <v/>
      </c>
    </row>
    <row r="67">
      <c r="A67" s="27" t="n">
        <v>59</v>
      </c>
      <c r="B67" s="41">
        <f>IF(59&gt;COUNT(Summary!$U$3:$U$102),"",INDEX(Summary!$A$3:$A$102,MATCH(LARGE(Summary!$U$3:$U$102,59),Summary!$U$3:$U$102,0)))</f>
        <v/>
      </c>
      <c r="C67" s="45">
        <f>IF($B67="","",INDEX(Summary!$B$3:$B$102,MATCH($B67,Summary!$A$3:$A$102,0)))</f>
        <v/>
      </c>
      <c r="D67" s="42">
        <f>IF($B67="","",INDEX(Summary!$L$3:$L$102,MATCH($B67,Summary!$A$3:$A$102,0)))</f>
        <v/>
      </c>
      <c r="E67" s="41">
        <f>IF($B67="","",INDEX(Summary!$Q$3:$Q$102,MATCH($B67,Summary!$A$3:$A$102,0)))</f>
        <v/>
      </c>
      <c r="F67" s="46">
        <f>IF($B67="","",INDEX(Summary!$C$3:$C$102,MATCH($B67,Summary!$A$3:$A$102,0)))</f>
        <v/>
      </c>
      <c r="G67" s="46">
        <f>IF($B67="","",SUM($F$9:$F67))</f>
        <v/>
      </c>
      <c r="H67" s="41">
        <f>IF($B67="","",IF($G67&lt;=Settings!$E$8,"Yes","Over by "&amp;TEXT($G67-Settings!$E$8,"#,##0")))</f>
        <v/>
      </c>
      <c r="I67" s="41">
        <f>IF($B67="","",INDEX(Summary!$S$3:$S$102,MATCH($B67,Summary!$A$3:$A$102,0))&amp;"")</f>
        <v/>
      </c>
      <c r="J67" s="46">
        <f>IF($B67="","",IF(ISNUMBER(INDEX(Summary!$T$3:$T$102,MATCH($B67,Summary!$A$3:$A$102,0))),INDEX(Summary!$T$3:$T$102,MATCH($B67,Summary!$A$3:$A$102,0)),""))</f>
        <v/>
      </c>
    </row>
    <row r="68">
      <c r="A68" s="27" t="n">
        <v>60</v>
      </c>
      <c r="B68" s="41">
        <f>IF(60&gt;COUNT(Summary!$U$3:$U$102),"",INDEX(Summary!$A$3:$A$102,MATCH(LARGE(Summary!$U$3:$U$102,60),Summary!$U$3:$U$102,0)))</f>
        <v/>
      </c>
      <c r="C68" s="45">
        <f>IF($B68="","",INDEX(Summary!$B$3:$B$102,MATCH($B68,Summary!$A$3:$A$102,0)))</f>
        <v/>
      </c>
      <c r="D68" s="42">
        <f>IF($B68="","",INDEX(Summary!$L$3:$L$102,MATCH($B68,Summary!$A$3:$A$102,0)))</f>
        <v/>
      </c>
      <c r="E68" s="41">
        <f>IF($B68="","",INDEX(Summary!$Q$3:$Q$102,MATCH($B68,Summary!$A$3:$A$102,0)))</f>
        <v/>
      </c>
      <c r="F68" s="46">
        <f>IF($B68="","",INDEX(Summary!$C$3:$C$102,MATCH($B68,Summary!$A$3:$A$102,0)))</f>
        <v/>
      </c>
      <c r="G68" s="46">
        <f>IF($B68="","",SUM($F$9:$F68))</f>
        <v/>
      </c>
      <c r="H68" s="41">
        <f>IF($B68="","",IF($G68&lt;=Settings!$E$8,"Yes","Over by "&amp;TEXT($G68-Settings!$E$8,"#,##0")))</f>
        <v/>
      </c>
      <c r="I68" s="41">
        <f>IF($B68="","",INDEX(Summary!$S$3:$S$102,MATCH($B68,Summary!$A$3:$A$102,0))&amp;"")</f>
        <v/>
      </c>
      <c r="J68" s="46">
        <f>IF($B68="","",IF(ISNUMBER(INDEX(Summary!$T$3:$T$102,MATCH($B68,Summary!$A$3:$A$102,0))),INDEX(Summary!$T$3:$T$102,MATCH($B68,Summary!$A$3:$A$102,0)),""))</f>
        <v/>
      </c>
    </row>
    <row r="69">
      <c r="A69" s="27" t="n">
        <v>61</v>
      </c>
      <c r="B69" s="41">
        <f>IF(61&gt;COUNT(Summary!$U$3:$U$102),"",INDEX(Summary!$A$3:$A$102,MATCH(LARGE(Summary!$U$3:$U$102,61),Summary!$U$3:$U$102,0)))</f>
        <v/>
      </c>
      <c r="C69" s="45">
        <f>IF($B69="","",INDEX(Summary!$B$3:$B$102,MATCH($B69,Summary!$A$3:$A$102,0)))</f>
        <v/>
      </c>
      <c r="D69" s="42">
        <f>IF($B69="","",INDEX(Summary!$L$3:$L$102,MATCH($B69,Summary!$A$3:$A$102,0)))</f>
        <v/>
      </c>
      <c r="E69" s="41">
        <f>IF($B69="","",INDEX(Summary!$Q$3:$Q$102,MATCH($B69,Summary!$A$3:$A$102,0)))</f>
        <v/>
      </c>
      <c r="F69" s="46">
        <f>IF($B69="","",INDEX(Summary!$C$3:$C$102,MATCH($B69,Summary!$A$3:$A$102,0)))</f>
        <v/>
      </c>
      <c r="G69" s="46">
        <f>IF($B69="","",SUM($F$9:$F69))</f>
        <v/>
      </c>
      <c r="H69" s="41">
        <f>IF($B69="","",IF($G69&lt;=Settings!$E$8,"Yes","Over by "&amp;TEXT($G69-Settings!$E$8,"#,##0")))</f>
        <v/>
      </c>
      <c r="I69" s="41">
        <f>IF($B69="","",INDEX(Summary!$S$3:$S$102,MATCH($B69,Summary!$A$3:$A$102,0))&amp;"")</f>
        <v/>
      </c>
      <c r="J69" s="46">
        <f>IF($B69="","",IF(ISNUMBER(INDEX(Summary!$T$3:$T$102,MATCH($B69,Summary!$A$3:$A$102,0))),INDEX(Summary!$T$3:$T$102,MATCH($B69,Summary!$A$3:$A$102,0)),""))</f>
        <v/>
      </c>
    </row>
    <row r="70">
      <c r="A70" s="27" t="n">
        <v>62</v>
      </c>
      <c r="B70" s="41">
        <f>IF(62&gt;COUNT(Summary!$U$3:$U$102),"",INDEX(Summary!$A$3:$A$102,MATCH(LARGE(Summary!$U$3:$U$102,62),Summary!$U$3:$U$102,0)))</f>
        <v/>
      </c>
      <c r="C70" s="45">
        <f>IF($B70="","",INDEX(Summary!$B$3:$B$102,MATCH($B70,Summary!$A$3:$A$102,0)))</f>
        <v/>
      </c>
      <c r="D70" s="42">
        <f>IF($B70="","",INDEX(Summary!$L$3:$L$102,MATCH($B70,Summary!$A$3:$A$102,0)))</f>
        <v/>
      </c>
      <c r="E70" s="41">
        <f>IF($B70="","",INDEX(Summary!$Q$3:$Q$102,MATCH($B70,Summary!$A$3:$A$102,0)))</f>
        <v/>
      </c>
      <c r="F70" s="46">
        <f>IF($B70="","",INDEX(Summary!$C$3:$C$102,MATCH($B70,Summary!$A$3:$A$102,0)))</f>
        <v/>
      </c>
      <c r="G70" s="46">
        <f>IF($B70="","",SUM($F$9:$F70))</f>
        <v/>
      </c>
      <c r="H70" s="41">
        <f>IF($B70="","",IF($G70&lt;=Settings!$E$8,"Yes","Over by "&amp;TEXT($G70-Settings!$E$8,"#,##0")))</f>
        <v/>
      </c>
      <c r="I70" s="41">
        <f>IF($B70="","",INDEX(Summary!$S$3:$S$102,MATCH($B70,Summary!$A$3:$A$102,0))&amp;"")</f>
        <v/>
      </c>
      <c r="J70" s="46">
        <f>IF($B70="","",IF(ISNUMBER(INDEX(Summary!$T$3:$T$102,MATCH($B70,Summary!$A$3:$A$102,0))),INDEX(Summary!$T$3:$T$102,MATCH($B70,Summary!$A$3:$A$102,0)),""))</f>
        <v/>
      </c>
    </row>
    <row r="71">
      <c r="A71" s="27" t="n">
        <v>63</v>
      </c>
      <c r="B71" s="41">
        <f>IF(63&gt;COUNT(Summary!$U$3:$U$102),"",INDEX(Summary!$A$3:$A$102,MATCH(LARGE(Summary!$U$3:$U$102,63),Summary!$U$3:$U$102,0)))</f>
        <v/>
      </c>
      <c r="C71" s="45">
        <f>IF($B71="","",INDEX(Summary!$B$3:$B$102,MATCH($B71,Summary!$A$3:$A$102,0)))</f>
        <v/>
      </c>
      <c r="D71" s="42">
        <f>IF($B71="","",INDEX(Summary!$L$3:$L$102,MATCH($B71,Summary!$A$3:$A$102,0)))</f>
        <v/>
      </c>
      <c r="E71" s="41">
        <f>IF($B71="","",INDEX(Summary!$Q$3:$Q$102,MATCH($B71,Summary!$A$3:$A$102,0)))</f>
        <v/>
      </c>
      <c r="F71" s="46">
        <f>IF($B71="","",INDEX(Summary!$C$3:$C$102,MATCH($B71,Summary!$A$3:$A$102,0)))</f>
        <v/>
      </c>
      <c r="G71" s="46">
        <f>IF($B71="","",SUM($F$9:$F71))</f>
        <v/>
      </c>
      <c r="H71" s="41">
        <f>IF($B71="","",IF($G71&lt;=Settings!$E$8,"Yes","Over by "&amp;TEXT($G71-Settings!$E$8,"#,##0")))</f>
        <v/>
      </c>
      <c r="I71" s="41">
        <f>IF($B71="","",INDEX(Summary!$S$3:$S$102,MATCH($B71,Summary!$A$3:$A$102,0))&amp;"")</f>
        <v/>
      </c>
      <c r="J71" s="46">
        <f>IF($B71="","",IF(ISNUMBER(INDEX(Summary!$T$3:$T$102,MATCH($B71,Summary!$A$3:$A$102,0))),INDEX(Summary!$T$3:$T$102,MATCH($B71,Summary!$A$3:$A$102,0)),""))</f>
        <v/>
      </c>
    </row>
    <row r="72">
      <c r="A72" s="27" t="n">
        <v>64</v>
      </c>
      <c r="B72" s="41">
        <f>IF(64&gt;COUNT(Summary!$U$3:$U$102),"",INDEX(Summary!$A$3:$A$102,MATCH(LARGE(Summary!$U$3:$U$102,64),Summary!$U$3:$U$102,0)))</f>
        <v/>
      </c>
      <c r="C72" s="45">
        <f>IF($B72="","",INDEX(Summary!$B$3:$B$102,MATCH($B72,Summary!$A$3:$A$102,0)))</f>
        <v/>
      </c>
      <c r="D72" s="42">
        <f>IF($B72="","",INDEX(Summary!$L$3:$L$102,MATCH($B72,Summary!$A$3:$A$102,0)))</f>
        <v/>
      </c>
      <c r="E72" s="41">
        <f>IF($B72="","",INDEX(Summary!$Q$3:$Q$102,MATCH($B72,Summary!$A$3:$A$102,0)))</f>
        <v/>
      </c>
      <c r="F72" s="46">
        <f>IF($B72="","",INDEX(Summary!$C$3:$C$102,MATCH($B72,Summary!$A$3:$A$102,0)))</f>
        <v/>
      </c>
      <c r="G72" s="46">
        <f>IF($B72="","",SUM($F$9:$F72))</f>
        <v/>
      </c>
      <c r="H72" s="41">
        <f>IF($B72="","",IF($G72&lt;=Settings!$E$8,"Yes","Over by "&amp;TEXT($G72-Settings!$E$8,"#,##0")))</f>
        <v/>
      </c>
      <c r="I72" s="41">
        <f>IF($B72="","",INDEX(Summary!$S$3:$S$102,MATCH($B72,Summary!$A$3:$A$102,0))&amp;"")</f>
        <v/>
      </c>
      <c r="J72" s="46">
        <f>IF($B72="","",IF(ISNUMBER(INDEX(Summary!$T$3:$T$102,MATCH($B72,Summary!$A$3:$A$102,0))),INDEX(Summary!$T$3:$T$102,MATCH($B72,Summary!$A$3:$A$102,0)),""))</f>
        <v/>
      </c>
    </row>
    <row r="73">
      <c r="A73" s="27" t="n">
        <v>65</v>
      </c>
      <c r="B73" s="41">
        <f>IF(65&gt;COUNT(Summary!$U$3:$U$102),"",INDEX(Summary!$A$3:$A$102,MATCH(LARGE(Summary!$U$3:$U$102,65),Summary!$U$3:$U$102,0)))</f>
        <v/>
      </c>
      <c r="C73" s="45">
        <f>IF($B73="","",INDEX(Summary!$B$3:$B$102,MATCH($B73,Summary!$A$3:$A$102,0)))</f>
        <v/>
      </c>
      <c r="D73" s="42">
        <f>IF($B73="","",INDEX(Summary!$L$3:$L$102,MATCH($B73,Summary!$A$3:$A$102,0)))</f>
        <v/>
      </c>
      <c r="E73" s="41">
        <f>IF($B73="","",INDEX(Summary!$Q$3:$Q$102,MATCH($B73,Summary!$A$3:$A$102,0)))</f>
        <v/>
      </c>
      <c r="F73" s="46">
        <f>IF($B73="","",INDEX(Summary!$C$3:$C$102,MATCH($B73,Summary!$A$3:$A$102,0)))</f>
        <v/>
      </c>
      <c r="G73" s="46">
        <f>IF($B73="","",SUM($F$9:$F73))</f>
        <v/>
      </c>
      <c r="H73" s="41">
        <f>IF($B73="","",IF($G73&lt;=Settings!$E$8,"Yes","Over by "&amp;TEXT($G73-Settings!$E$8,"#,##0")))</f>
        <v/>
      </c>
      <c r="I73" s="41">
        <f>IF($B73="","",INDEX(Summary!$S$3:$S$102,MATCH($B73,Summary!$A$3:$A$102,0))&amp;"")</f>
        <v/>
      </c>
      <c r="J73" s="46">
        <f>IF($B73="","",IF(ISNUMBER(INDEX(Summary!$T$3:$T$102,MATCH($B73,Summary!$A$3:$A$102,0))),INDEX(Summary!$T$3:$T$102,MATCH($B73,Summary!$A$3:$A$102,0)),""))</f>
        <v/>
      </c>
    </row>
    <row r="74">
      <c r="A74" s="27" t="n">
        <v>66</v>
      </c>
      <c r="B74" s="41">
        <f>IF(66&gt;COUNT(Summary!$U$3:$U$102),"",INDEX(Summary!$A$3:$A$102,MATCH(LARGE(Summary!$U$3:$U$102,66),Summary!$U$3:$U$102,0)))</f>
        <v/>
      </c>
      <c r="C74" s="45">
        <f>IF($B74="","",INDEX(Summary!$B$3:$B$102,MATCH($B74,Summary!$A$3:$A$102,0)))</f>
        <v/>
      </c>
      <c r="D74" s="42">
        <f>IF($B74="","",INDEX(Summary!$L$3:$L$102,MATCH($B74,Summary!$A$3:$A$102,0)))</f>
        <v/>
      </c>
      <c r="E74" s="41">
        <f>IF($B74="","",INDEX(Summary!$Q$3:$Q$102,MATCH($B74,Summary!$A$3:$A$102,0)))</f>
        <v/>
      </c>
      <c r="F74" s="46">
        <f>IF($B74="","",INDEX(Summary!$C$3:$C$102,MATCH($B74,Summary!$A$3:$A$102,0)))</f>
        <v/>
      </c>
      <c r="G74" s="46">
        <f>IF($B74="","",SUM($F$9:$F74))</f>
        <v/>
      </c>
      <c r="H74" s="41">
        <f>IF($B74="","",IF($G74&lt;=Settings!$E$8,"Yes","Over by "&amp;TEXT($G74-Settings!$E$8,"#,##0")))</f>
        <v/>
      </c>
      <c r="I74" s="41">
        <f>IF($B74="","",INDEX(Summary!$S$3:$S$102,MATCH($B74,Summary!$A$3:$A$102,0))&amp;"")</f>
        <v/>
      </c>
      <c r="J74" s="46">
        <f>IF($B74="","",IF(ISNUMBER(INDEX(Summary!$T$3:$T$102,MATCH($B74,Summary!$A$3:$A$102,0))),INDEX(Summary!$T$3:$T$102,MATCH($B74,Summary!$A$3:$A$102,0)),""))</f>
        <v/>
      </c>
    </row>
    <row r="75">
      <c r="A75" s="27" t="n">
        <v>67</v>
      </c>
      <c r="B75" s="41">
        <f>IF(67&gt;COUNT(Summary!$U$3:$U$102),"",INDEX(Summary!$A$3:$A$102,MATCH(LARGE(Summary!$U$3:$U$102,67),Summary!$U$3:$U$102,0)))</f>
        <v/>
      </c>
      <c r="C75" s="45">
        <f>IF($B75="","",INDEX(Summary!$B$3:$B$102,MATCH($B75,Summary!$A$3:$A$102,0)))</f>
        <v/>
      </c>
      <c r="D75" s="42">
        <f>IF($B75="","",INDEX(Summary!$L$3:$L$102,MATCH($B75,Summary!$A$3:$A$102,0)))</f>
        <v/>
      </c>
      <c r="E75" s="41">
        <f>IF($B75="","",INDEX(Summary!$Q$3:$Q$102,MATCH($B75,Summary!$A$3:$A$102,0)))</f>
        <v/>
      </c>
      <c r="F75" s="46">
        <f>IF($B75="","",INDEX(Summary!$C$3:$C$102,MATCH($B75,Summary!$A$3:$A$102,0)))</f>
        <v/>
      </c>
      <c r="G75" s="46">
        <f>IF($B75="","",SUM($F$9:$F75))</f>
        <v/>
      </c>
      <c r="H75" s="41">
        <f>IF($B75="","",IF($G75&lt;=Settings!$E$8,"Yes","Over by "&amp;TEXT($G75-Settings!$E$8,"#,##0")))</f>
        <v/>
      </c>
      <c r="I75" s="41">
        <f>IF($B75="","",INDEX(Summary!$S$3:$S$102,MATCH($B75,Summary!$A$3:$A$102,0))&amp;"")</f>
        <v/>
      </c>
      <c r="J75" s="46">
        <f>IF($B75="","",IF(ISNUMBER(INDEX(Summary!$T$3:$T$102,MATCH($B75,Summary!$A$3:$A$102,0))),INDEX(Summary!$T$3:$T$102,MATCH($B75,Summary!$A$3:$A$102,0)),""))</f>
        <v/>
      </c>
    </row>
    <row r="76">
      <c r="A76" s="27" t="n">
        <v>68</v>
      </c>
      <c r="B76" s="41">
        <f>IF(68&gt;COUNT(Summary!$U$3:$U$102),"",INDEX(Summary!$A$3:$A$102,MATCH(LARGE(Summary!$U$3:$U$102,68),Summary!$U$3:$U$102,0)))</f>
        <v/>
      </c>
      <c r="C76" s="45">
        <f>IF($B76="","",INDEX(Summary!$B$3:$B$102,MATCH($B76,Summary!$A$3:$A$102,0)))</f>
        <v/>
      </c>
      <c r="D76" s="42">
        <f>IF($B76="","",INDEX(Summary!$L$3:$L$102,MATCH($B76,Summary!$A$3:$A$102,0)))</f>
        <v/>
      </c>
      <c r="E76" s="41">
        <f>IF($B76="","",INDEX(Summary!$Q$3:$Q$102,MATCH($B76,Summary!$A$3:$A$102,0)))</f>
        <v/>
      </c>
      <c r="F76" s="46">
        <f>IF($B76="","",INDEX(Summary!$C$3:$C$102,MATCH($B76,Summary!$A$3:$A$102,0)))</f>
        <v/>
      </c>
      <c r="G76" s="46">
        <f>IF($B76="","",SUM($F$9:$F76))</f>
        <v/>
      </c>
      <c r="H76" s="41">
        <f>IF($B76="","",IF($G76&lt;=Settings!$E$8,"Yes","Over by "&amp;TEXT($G76-Settings!$E$8,"#,##0")))</f>
        <v/>
      </c>
      <c r="I76" s="41">
        <f>IF($B76="","",INDEX(Summary!$S$3:$S$102,MATCH($B76,Summary!$A$3:$A$102,0))&amp;"")</f>
        <v/>
      </c>
      <c r="J76" s="46">
        <f>IF($B76="","",IF(ISNUMBER(INDEX(Summary!$T$3:$T$102,MATCH($B76,Summary!$A$3:$A$102,0))),INDEX(Summary!$T$3:$T$102,MATCH($B76,Summary!$A$3:$A$102,0)),""))</f>
        <v/>
      </c>
    </row>
    <row r="77">
      <c r="A77" s="27" t="n">
        <v>69</v>
      </c>
      <c r="B77" s="41">
        <f>IF(69&gt;COUNT(Summary!$U$3:$U$102),"",INDEX(Summary!$A$3:$A$102,MATCH(LARGE(Summary!$U$3:$U$102,69),Summary!$U$3:$U$102,0)))</f>
        <v/>
      </c>
      <c r="C77" s="45">
        <f>IF($B77="","",INDEX(Summary!$B$3:$B$102,MATCH($B77,Summary!$A$3:$A$102,0)))</f>
        <v/>
      </c>
      <c r="D77" s="42">
        <f>IF($B77="","",INDEX(Summary!$L$3:$L$102,MATCH($B77,Summary!$A$3:$A$102,0)))</f>
        <v/>
      </c>
      <c r="E77" s="41">
        <f>IF($B77="","",INDEX(Summary!$Q$3:$Q$102,MATCH($B77,Summary!$A$3:$A$102,0)))</f>
        <v/>
      </c>
      <c r="F77" s="46">
        <f>IF($B77="","",INDEX(Summary!$C$3:$C$102,MATCH($B77,Summary!$A$3:$A$102,0)))</f>
        <v/>
      </c>
      <c r="G77" s="46">
        <f>IF($B77="","",SUM($F$9:$F77))</f>
        <v/>
      </c>
      <c r="H77" s="41">
        <f>IF($B77="","",IF($G77&lt;=Settings!$E$8,"Yes","Over by "&amp;TEXT($G77-Settings!$E$8,"#,##0")))</f>
        <v/>
      </c>
      <c r="I77" s="41">
        <f>IF($B77="","",INDEX(Summary!$S$3:$S$102,MATCH($B77,Summary!$A$3:$A$102,0))&amp;"")</f>
        <v/>
      </c>
      <c r="J77" s="46">
        <f>IF($B77="","",IF(ISNUMBER(INDEX(Summary!$T$3:$T$102,MATCH($B77,Summary!$A$3:$A$102,0))),INDEX(Summary!$T$3:$T$102,MATCH($B77,Summary!$A$3:$A$102,0)),""))</f>
        <v/>
      </c>
    </row>
    <row r="78">
      <c r="A78" s="27" t="n">
        <v>70</v>
      </c>
      <c r="B78" s="41">
        <f>IF(70&gt;COUNT(Summary!$U$3:$U$102),"",INDEX(Summary!$A$3:$A$102,MATCH(LARGE(Summary!$U$3:$U$102,70),Summary!$U$3:$U$102,0)))</f>
        <v/>
      </c>
      <c r="C78" s="45">
        <f>IF($B78="","",INDEX(Summary!$B$3:$B$102,MATCH($B78,Summary!$A$3:$A$102,0)))</f>
        <v/>
      </c>
      <c r="D78" s="42">
        <f>IF($B78="","",INDEX(Summary!$L$3:$L$102,MATCH($B78,Summary!$A$3:$A$102,0)))</f>
        <v/>
      </c>
      <c r="E78" s="41">
        <f>IF($B78="","",INDEX(Summary!$Q$3:$Q$102,MATCH($B78,Summary!$A$3:$A$102,0)))</f>
        <v/>
      </c>
      <c r="F78" s="46">
        <f>IF($B78="","",INDEX(Summary!$C$3:$C$102,MATCH($B78,Summary!$A$3:$A$102,0)))</f>
        <v/>
      </c>
      <c r="G78" s="46">
        <f>IF($B78="","",SUM($F$9:$F78))</f>
        <v/>
      </c>
      <c r="H78" s="41">
        <f>IF($B78="","",IF($G78&lt;=Settings!$E$8,"Yes","Over by "&amp;TEXT($G78-Settings!$E$8,"#,##0")))</f>
        <v/>
      </c>
      <c r="I78" s="41">
        <f>IF($B78="","",INDEX(Summary!$S$3:$S$102,MATCH($B78,Summary!$A$3:$A$102,0))&amp;"")</f>
        <v/>
      </c>
      <c r="J78" s="46">
        <f>IF($B78="","",IF(ISNUMBER(INDEX(Summary!$T$3:$T$102,MATCH($B78,Summary!$A$3:$A$102,0))),INDEX(Summary!$T$3:$T$102,MATCH($B78,Summary!$A$3:$A$102,0)),""))</f>
        <v/>
      </c>
    </row>
    <row r="79">
      <c r="A79" s="27" t="n">
        <v>71</v>
      </c>
      <c r="B79" s="41">
        <f>IF(71&gt;COUNT(Summary!$U$3:$U$102),"",INDEX(Summary!$A$3:$A$102,MATCH(LARGE(Summary!$U$3:$U$102,71),Summary!$U$3:$U$102,0)))</f>
        <v/>
      </c>
      <c r="C79" s="45">
        <f>IF($B79="","",INDEX(Summary!$B$3:$B$102,MATCH($B79,Summary!$A$3:$A$102,0)))</f>
        <v/>
      </c>
      <c r="D79" s="42">
        <f>IF($B79="","",INDEX(Summary!$L$3:$L$102,MATCH($B79,Summary!$A$3:$A$102,0)))</f>
        <v/>
      </c>
      <c r="E79" s="41">
        <f>IF($B79="","",INDEX(Summary!$Q$3:$Q$102,MATCH($B79,Summary!$A$3:$A$102,0)))</f>
        <v/>
      </c>
      <c r="F79" s="46">
        <f>IF($B79="","",INDEX(Summary!$C$3:$C$102,MATCH($B79,Summary!$A$3:$A$102,0)))</f>
        <v/>
      </c>
      <c r="G79" s="46">
        <f>IF($B79="","",SUM($F$9:$F79))</f>
        <v/>
      </c>
      <c r="H79" s="41">
        <f>IF($B79="","",IF($G79&lt;=Settings!$E$8,"Yes","Over by "&amp;TEXT($G79-Settings!$E$8,"#,##0")))</f>
        <v/>
      </c>
      <c r="I79" s="41">
        <f>IF($B79="","",INDEX(Summary!$S$3:$S$102,MATCH($B79,Summary!$A$3:$A$102,0))&amp;"")</f>
        <v/>
      </c>
      <c r="J79" s="46">
        <f>IF($B79="","",IF(ISNUMBER(INDEX(Summary!$T$3:$T$102,MATCH($B79,Summary!$A$3:$A$102,0))),INDEX(Summary!$T$3:$T$102,MATCH($B79,Summary!$A$3:$A$102,0)),""))</f>
        <v/>
      </c>
    </row>
    <row r="80">
      <c r="A80" s="27" t="n">
        <v>72</v>
      </c>
      <c r="B80" s="41">
        <f>IF(72&gt;COUNT(Summary!$U$3:$U$102),"",INDEX(Summary!$A$3:$A$102,MATCH(LARGE(Summary!$U$3:$U$102,72),Summary!$U$3:$U$102,0)))</f>
        <v/>
      </c>
      <c r="C80" s="45">
        <f>IF($B80="","",INDEX(Summary!$B$3:$B$102,MATCH($B80,Summary!$A$3:$A$102,0)))</f>
        <v/>
      </c>
      <c r="D80" s="42">
        <f>IF($B80="","",INDEX(Summary!$L$3:$L$102,MATCH($B80,Summary!$A$3:$A$102,0)))</f>
        <v/>
      </c>
      <c r="E80" s="41">
        <f>IF($B80="","",INDEX(Summary!$Q$3:$Q$102,MATCH($B80,Summary!$A$3:$A$102,0)))</f>
        <v/>
      </c>
      <c r="F80" s="46">
        <f>IF($B80="","",INDEX(Summary!$C$3:$C$102,MATCH($B80,Summary!$A$3:$A$102,0)))</f>
        <v/>
      </c>
      <c r="G80" s="46">
        <f>IF($B80="","",SUM($F$9:$F80))</f>
        <v/>
      </c>
      <c r="H80" s="41">
        <f>IF($B80="","",IF($G80&lt;=Settings!$E$8,"Yes","Over by "&amp;TEXT($G80-Settings!$E$8,"#,##0")))</f>
        <v/>
      </c>
      <c r="I80" s="41">
        <f>IF($B80="","",INDEX(Summary!$S$3:$S$102,MATCH($B80,Summary!$A$3:$A$102,0))&amp;"")</f>
        <v/>
      </c>
      <c r="J80" s="46">
        <f>IF($B80="","",IF(ISNUMBER(INDEX(Summary!$T$3:$T$102,MATCH($B80,Summary!$A$3:$A$102,0))),INDEX(Summary!$T$3:$T$102,MATCH($B80,Summary!$A$3:$A$102,0)),""))</f>
        <v/>
      </c>
    </row>
    <row r="81">
      <c r="A81" s="27" t="n">
        <v>73</v>
      </c>
      <c r="B81" s="41">
        <f>IF(73&gt;COUNT(Summary!$U$3:$U$102),"",INDEX(Summary!$A$3:$A$102,MATCH(LARGE(Summary!$U$3:$U$102,73),Summary!$U$3:$U$102,0)))</f>
        <v/>
      </c>
      <c r="C81" s="45">
        <f>IF($B81="","",INDEX(Summary!$B$3:$B$102,MATCH($B81,Summary!$A$3:$A$102,0)))</f>
        <v/>
      </c>
      <c r="D81" s="42">
        <f>IF($B81="","",INDEX(Summary!$L$3:$L$102,MATCH($B81,Summary!$A$3:$A$102,0)))</f>
        <v/>
      </c>
      <c r="E81" s="41">
        <f>IF($B81="","",INDEX(Summary!$Q$3:$Q$102,MATCH($B81,Summary!$A$3:$A$102,0)))</f>
        <v/>
      </c>
      <c r="F81" s="46">
        <f>IF($B81="","",INDEX(Summary!$C$3:$C$102,MATCH($B81,Summary!$A$3:$A$102,0)))</f>
        <v/>
      </c>
      <c r="G81" s="46">
        <f>IF($B81="","",SUM($F$9:$F81))</f>
        <v/>
      </c>
      <c r="H81" s="41">
        <f>IF($B81="","",IF($G81&lt;=Settings!$E$8,"Yes","Over by "&amp;TEXT($G81-Settings!$E$8,"#,##0")))</f>
        <v/>
      </c>
      <c r="I81" s="41">
        <f>IF($B81="","",INDEX(Summary!$S$3:$S$102,MATCH($B81,Summary!$A$3:$A$102,0))&amp;"")</f>
        <v/>
      </c>
      <c r="J81" s="46">
        <f>IF($B81="","",IF(ISNUMBER(INDEX(Summary!$T$3:$T$102,MATCH($B81,Summary!$A$3:$A$102,0))),INDEX(Summary!$T$3:$T$102,MATCH($B81,Summary!$A$3:$A$102,0)),""))</f>
        <v/>
      </c>
    </row>
    <row r="82">
      <c r="A82" s="27" t="n">
        <v>74</v>
      </c>
      <c r="B82" s="41">
        <f>IF(74&gt;COUNT(Summary!$U$3:$U$102),"",INDEX(Summary!$A$3:$A$102,MATCH(LARGE(Summary!$U$3:$U$102,74),Summary!$U$3:$U$102,0)))</f>
        <v/>
      </c>
      <c r="C82" s="45">
        <f>IF($B82="","",INDEX(Summary!$B$3:$B$102,MATCH($B82,Summary!$A$3:$A$102,0)))</f>
        <v/>
      </c>
      <c r="D82" s="42">
        <f>IF($B82="","",INDEX(Summary!$L$3:$L$102,MATCH($B82,Summary!$A$3:$A$102,0)))</f>
        <v/>
      </c>
      <c r="E82" s="41">
        <f>IF($B82="","",INDEX(Summary!$Q$3:$Q$102,MATCH($B82,Summary!$A$3:$A$102,0)))</f>
        <v/>
      </c>
      <c r="F82" s="46">
        <f>IF($B82="","",INDEX(Summary!$C$3:$C$102,MATCH($B82,Summary!$A$3:$A$102,0)))</f>
        <v/>
      </c>
      <c r="G82" s="46">
        <f>IF($B82="","",SUM($F$9:$F82))</f>
        <v/>
      </c>
      <c r="H82" s="41">
        <f>IF($B82="","",IF($G82&lt;=Settings!$E$8,"Yes","Over by "&amp;TEXT($G82-Settings!$E$8,"#,##0")))</f>
        <v/>
      </c>
      <c r="I82" s="41">
        <f>IF($B82="","",INDEX(Summary!$S$3:$S$102,MATCH($B82,Summary!$A$3:$A$102,0))&amp;"")</f>
        <v/>
      </c>
      <c r="J82" s="46">
        <f>IF($B82="","",IF(ISNUMBER(INDEX(Summary!$T$3:$T$102,MATCH($B82,Summary!$A$3:$A$102,0))),INDEX(Summary!$T$3:$T$102,MATCH($B82,Summary!$A$3:$A$102,0)),""))</f>
        <v/>
      </c>
    </row>
    <row r="83">
      <c r="A83" s="27" t="n">
        <v>75</v>
      </c>
      <c r="B83" s="41">
        <f>IF(75&gt;COUNT(Summary!$U$3:$U$102),"",INDEX(Summary!$A$3:$A$102,MATCH(LARGE(Summary!$U$3:$U$102,75),Summary!$U$3:$U$102,0)))</f>
        <v/>
      </c>
      <c r="C83" s="45">
        <f>IF($B83="","",INDEX(Summary!$B$3:$B$102,MATCH($B83,Summary!$A$3:$A$102,0)))</f>
        <v/>
      </c>
      <c r="D83" s="42">
        <f>IF($B83="","",INDEX(Summary!$L$3:$L$102,MATCH($B83,Summary!$A$3:$A$102,0)))</f>
        <v/>
      </c>
      <c r="E83" s="41">
        <f>IF($B83="","",INDEX(Summary!$Q$3:$Q$102,MATCH($B83,Summary!$A$3:$A$102,0)))</f>
        <v/>
      </c>
      <c r="F83" s="46">
        <f>IF($B83="","",INDEX(Summary!$C$3:$C$102,MATCH($B83,Summary!$A$3:$A$102,0)))</f>
        <v/>
      </c>
      <c r="G83" s="46">
        <f>IF($B83="","",SUM($F$9:$F83))</f>
        <v/>
      </c>
      <c r="H83" s="41">
        <f>IF($B83="","",IF($G83&lt;=Settings!$E$8,"Yes","Over by "&amp;TEXT($G83-Settings!$E$8,"#,##0")))</f>
        <v/>
      </c>
      <c r="I83" s="41">
        <f>IF($B83="","",INDEX(Summary!$S$3:$S$102,MATCH($B83,Summary!$A$3:$A$102,0))&amp;"")</f>
        <v/>
      </c>
      <c r="J83" s="46">
        <f>IF($B83="","",IF(ISNUMBER(INDEX(Summary!$T$3:$T$102,MATCH($B83,Summary!$A$3:$A$102,0))),INDEX(Summary!$T$3:$T$102,MATCH($B83,Summary!$A$3:$A$102,0)),""))</f>
        <v/>
      </c>
    </row>
    <row r="84">
      <c r="A84" s="27" t="n">
        <v>76</v>
      </c>
      <c r="B84" s="41">
        <f>IF(76&gt;COUNT(Summary!$U$3:$U$102),"",INDEX(Summary!$A$3:$A$102,MATCH(LARGE(Summary!$U$3:$U$102,76),Summary!$U$3:$U$102,0)))</f>
        <v/>
      </c>
      <c r="C84" s="45">
        <f>IF($B84="","",INDEX(Summary!$B$3:$B$102,MATCH($B84,Summary!$A$3:$A$102,0)))</f>
        <v/>
      </c>
      <c r="D84" s="42">
        <f>IF($B84="","",INDEX(Summary!$L$3:$L$102,MATCH($B84,Summary!$A$3:$A$102,0)))</f>
        <v/>
      </c>
      <c r="E84" s="41">
        <f>IF($B84="","",INDEX(Summary!$Q$3:$Q$102,MATCH($B84,Summary!$A$3:$A$102,0)))</f>
        <v/>
      </c>
      <c r="F84" s="46">
        <f>IF($B84="","",INDEX(Summary!$C$3:$C$102,MATCH($B84,Summary!$A$3:$A$102,0)))</f>
        <v/>
      </c>
      <c r="G84" s="46">
        <f>IF($B84="","",SUM($F$9:$F84))</f>
        <v/>
      </c>
      <c r="H84" s="41">
        <f>IF($B84="","",IF($G84&lt;=Settings!$E$8,"Yes","Over by "&amp;TEXT($G84-Settings!$E$8,"#,##0")))</f>
        <v/>
      </c>
      <c r="I84" s="41">
        <f>IF($B84="","",INDEX(Summary!$S$3:$S$102,MATCH($B84,Summary!$A$3:$A$102,0))&amp;"")</f>
        <v/>
      </c>
      <c r="J84" s="46">
        <f>IF($B84="","",IF(ISNUMBER(INDEX(Summary!$T$3:$T$102,MATCH($B84,Summary!$A$3:$A$102,0))),INDEX(Summary!$T$3:$T$102,MATCH($B84,Summary!$A$3:$A$102,0)),""))</f>
        <v/>
      </c>
    </row>
    <row r="85">
      <c r="A85" s="27" t="n">
        <v>77</v>
      </c>
      <c r="B85" s="41">
        <f>IF(77&gt;COUNT(Summary!$U$3:$U$102),"",INDEX(Summary!$A$3:$A$102,MATCH(LARGE(Summary!$U$3:$U$102,77),Summary!$U$3:$U$102,0)))</f>
        <v/>
      </c>
      <c r="C85" s="45">
        <f>IF($B85="","",INDEX(Summary!$B$3:$B$102,MATCH($B85,Summary!$A$3:$A$102,0)))</f>
        <v/>
      </c>
      <c r="D85" s="42">
        <f>IF($B85="","",INDEX(Summary!$L$3:$L$102,MATCH($B85,Summary!$A$3:$A$102,0)))</f>
        <v/>
      </c>
      <c r="E85" s="41">
        <f>IF($B85="","",INDEX(Summary!$Q$3:$Q$102,MATCH($B85,Summary!$A$3:$A$102,0)))</f>
        <v/>
      </c>
      <c r="F85" s="46">
        <f>IF($B85="","",INDEX(Summary!$C$3:$C$102,MATCH($B85,Summary!$A$3:$A$102,0)))</f>
        <v/>
      </c>
      <c r="G85" s="46">
        <f>IF($B85="","",SUM($F$9:$F85))</f>
        <v/>
      </c>
      <c r="H85" s="41">
        <f>IF($B85="","",IF($G85&lt;=Settings!$E$8,"Yes","Over by "&amp;TEXT($G85-Settings!$E$8,"#,##0")))</f>
        <v/>
      </c>
      <c r="I85" s="41">
        <f>IF($B85="","",INDEX(Summary!$S$3:$S$102,MATCH($B85,Summary!$A$3:$A$102,0))&amp;"")</f>
        <v/>
      </c>
      <c r="J85" s="46">
        <f>IF($B85="","",IF(ISNUMBER(INDEX(Summary!$T$3:$T$102,MATCH($B85,Summary!$A$3:$A$102,0))),INDEX(Summary!$T$3:$T$102,MATCH($B85,Summary!$A$3:$A$102,0)),""))</f>
        <v/>
      </c>
    </row>
    <row r="86">
      <c r="A86" s="27" t="n">
        <v>78</v>
      </c>
      <c r="B86" s="41">
        <f>IF(78&gt;COUNT(Summary!$U$3:$U$102),"",INDEX(Summary!$A$3:$A$102,MATCH(LARGE(Summary!$U$3:$U$102,78),Summary!$U$3:$U$102,0)))</f>
        <v/>
      </c>
      <c r="C86" s="45">
        <f>IF($B86="","",INDEX(Summary!$B$3:$B$102,MATCH($B86,Summary!$A$3:$A$102,0)))</f>
        <v/>
      </c>
      <c r="D86" s="42">
        <f>IF($B86="","",INDEX(Summary!$L$3:$L$102,MATCH($B86,Summary!$A$3:$A$102,0)))</f>
        <v/>
      </c>
      <c r="E86" s="41">
        <f>IF($B86="","",INDEX(Summary!$Q$3:$Q$102,MATCH($B86,Summary!$A$3:$A$102,0)))</f>
        <v/>
      </c>
      <c r="F86" s="46">
        <f>IF($B86="","",INDEX(Summary!$C$3:$C$102,MATCH($B86,Summary!$A$3:$A$102,0)))</f>
        <v/>
      </c>
      <c r="G86" s="46">
        <f>IF($B86="","",SUM($F$9:$F86))</f>
        <v/>
      </c>
      <c r="H86" s="41">
        <f>IF($B86="","",IF($G86&lt;=Settings!$E$8,"Yes","Over by "&amp;TEXT($G86-Settings!$E$8,"#,##0")))</f>
        <v/>
      </c>
      <c r="I86" s="41">
        <f>IF($B86="","",INDEX(Summary!$S$3:$S$102,MATCH($B86,Summary!$A$3:$A$102,0))&amp;"")</f>
        <v/>
      </c>
      <c r="J86" s="46">
        <f>IF($B86="","",IF(ISNUMBER(INDEX(Summary!$T$3:$T$102,MATCH($B86,Summary!$A$3:$A$102,0))),INDEX(Summary!$T$3:$T$102,MATCH($B86,Summary!$A$3:$A$102,0)),""))</f>
        <v/>
      </c>
    </row>
    <row r="87">
      <c r="A87" s="27" t="n">
        <v>79</v>
      </c>
      <c r="B87" s="41">
        <f>IF(79&gt;COUNT(Summary!$U$3:$U$102),"",INDEX(Summary!$A$3:$A$102,MATCH(LARGE(Summary!$U$3:$U$102,79),Summary!$U$3:$U$102,0)))</f>
        <v/>
      </c>
      <c r="C87" s="45">
        <f>IF($B87="","",INDEX(Summary!$B$3:$B$102,MATCH($B87,Summary!$A$3:$A$102,0)))</f>
        <v/>
      </c>
      <c r="D87" s="42">
        <f>IF($B87="","",INDEX(Summary!$L$3:$L$102,MATCH($B87,Summary!$A$3:$A$102,0)))</f>
        <v/>
      </c>
      <c r="E87" s="41">
        <f>IF($B87="","",INDEX(Summary!$Q$3:$Q$102,MATCH($B87,Summary!$A$3:$A$102,0)))</f>
        <v/>
      </c>
      <c r="F87" s="46">
        <f>IF($B87="","",INDEX(Summary!$C$3:$C$102,MATCH($B87,Summary!$A$3:$A$102,0)))</f>
        <v/>
      </c>
      <c r="G87" s="46">
        <f>IF($B87="","",SUM($F$9:$F87))</f>
        <v/>
      </c>
      <c r="H87" s="41">
        <f>IF($B87="","",IF($G87&lt;=Settings!$E$8,"Yes","Over by "&amp;TEXT($G87-Settings!$E$8,"#,##0")))</f>
        <v/>
      </c>
      <c r="I87" s="41">
        <f>IF($B87="","",INDEX(Summary!$S$3:$S$102,MATCH($B87,Summary!$A$3:$A$102,0))&amp;"")</f>
        <v/>
      </c>
      <c r="J87" s="46">
        <f>IF($B87="","",IF(ISNUMBER(INDEX(Summary!$T$3:$T$102,MATCH($B87,Summary!$A$3:$A$102,0))),INDEX(Summary!$T$3:$T$102,MATCH($B87,Summary!$A$3:$A$102,0)),""))</f>
        <v/>
      </c>
    </row>
    <row r="88">
      <c r="A88" s="27" t="n">
        <v>80</v>
      </c>
      <c r="B88" s="41">
        <f>IF(80&gt;COUNT(Summary!$U$3:$U$102),"",INDEX(Summary!$A$3:$A$102,MATCH(LARGE(Summary!$U$3:$U$102,80),Summary!$U$3:$U$102,0)))</f>
        <v/>
      </c>
      <c r="C88" s="45">
        <f>IF($B88="","",INDEX(Summary!$B$3:$B$102,MATCH($B88,Summary!$A$3:$A$102,0)))</f>
        <v/>
      </c>
      <c r="D88" s="42">
        <f>IF($B88="","",INDEX(Summary!$L$3:$L$102,MATCH($B88,Summary!$A$3:$A$102,0)))</f>
        <v/>
      </c>
      <c r="E88" s="41">
        <f>IF($B88="","",INDEX(Summary!$Q$3:$Q$102,MATCH($B88,Summary!$A$3:$A$102,0)))</f>
        <v/>
      </c>
      <c r="F88" s="46">
        <f>IF($B88="","",INDEX(Summary!$C$3:$C$102,MATCH($B88,Summary!$A$3:$A$102,0)))</f>
        <v/>
      </c>
      <c r="G88" s="46">
        <f>IF($B88="","",SUM($F$9:$F88))</f>
        <v/>
      </c>
      <c r="H88" s="41">
        <f>IF($B88="","",IF($G88&lt;=Settings!$E$8,"Yes","Over by "&amp;TEXT($G88-Settings!$E$8,"#,##0")))</f>
        <v/>
      </c>
      <c r="I88" s="41">
        <f>IF($B88="","",INDEX(Summary!$S$3:$S$102,MATCH($B88,Summary!$A$3:$A$102,0))&amp;"")</f>
        <v/>
      </c>
      <c r="J88" s="46">
        <f>IF($B88="","",IF(ISNUMBER(INDEX(Summary!$T$3:$T$102,MATCH($B88,Summary!$A$3:$A$102,0))),INDEX(Summary!$T$3:$T$102,MATCH($B88,Summary!$A$3:$A$102,0)),""))</f>
        <v/>
      </c>
    </row>
    <row r="89">
      <c r="A89" s="27" t="n">
        <v>81</v>
      </c>
      <c r="B89" s="41">
        <f>IF(81&gt;COUNT(Summary!$U$3:$U$102),"",INDEX(Summary!$A$3:$A$102,MATCH(LARGE(Summary!$U$3:$U$102,81),Summary!$U$3:$U$102,0)))</f>
        <v/>
      </c>
      <c r="C89" s="45">
        <f>IF($B89="","",INDEX(Summary!$B$3:$B$102,MATCH($B89,Summary!$A$3:$A$102,0)))</f>
        <v/>
      </c>
      <c r="D89" s="42">
        <f>IF($B89="","",INDEX(Summary!$L$3:$L$102,MATCH($B89,Summary!$A$3:$A$102,0)))</f>
        <v/>
      </c>
      <c r="E89" s="41">
        <f>IF($B89="","",INDEX(Summary!$Q$3:$Q$102,MATCH($B89,Summary!$A$3:$A$102,0)))</f>
        <v/>
      </c>
      <c r="F89" s="46">
        <f>IF($B89="","",INDEX(Summary!$C$3:$C$102,MATCH($B89,Summary!$A$3:$A$102,0)))</f>
        <v/>
      </c>
      <c r="G89" s="46">
        <f>IF($B89="","",SUM($F$9:$F89))</f>
        <v/>
      </c>
      <c r="H89" s="41">
        <f>IF($B89="","",IF($G89&lt;=Settings!$E$8,"Yes","Over by "&amp;TEXT($G89-Settings!$E$8,"#,##0")))</f>
        <v/>
      </c>
      <c r="I89" s="41">
        <f>IF($B89="","",INDEX(Summary!$S$3:$S$102,MATCH($B89,Summary!$A$3:$A$102,0))&amp;"")</f>
        <v/>
      </c>
      <c r="J89" s="46">
        <f>IF($B89="","",IF(ISNUMBER(INDEX(Summary!$T$3:$T$102,MATCH($B89,Summary!$A$3:$A$102,0))),INDEX(Summary!$T$3:$T$102,MATCH($B89,Summary!$A$3:$A$102,0)),""))</f>
        <v/>
      </c>
    </row>
    <row r="90">
      <c r="A90" s="27" t="n">
        <v>82</v>
      </c>
      <c r="B90" s="41">
        <f>IF(82&gt;COUNT(Summary!$U$3:$U$102),"",INDEX(Summary!$A$3:$A$102,MATCH(LARGE(Summary!$U$3:$U$102,82),Summary!$U$3:$U$102,0)))</f>
        <v/>
      </c>
      <c r="C90" s="45">
        <f>IF($B90="","",INDEX(Summary!$B$3:$B$102,MATCH($B90,Summary!$A$3:$A$102,0)))</f>
        <v/>
      </c>
      <c r="D90" s="42">
        <f>IF($B90="","",INDEX(Summary!$L$3:$L$102,MATCH($B90,Summary!$A$3:$A$102,0)))</f>
        <v/>
      </c>
      <c r="E90" s="41">
        <f>IF($B90="","",INDEX(Summary!$Q$3:$Q$102,MATCH($B90,Summary!$A$3:$A$102,0)))</f>
        <v/>
      </c>
      <c r="F90" s="46">
        <f>IF($B90="","",INDEX(Summary!$C$3:$C$102,MATCH($B90,Summary!$A$3:$A$102,0)))</f>
        <v/>
      </c>
      <c r="G90" s="46">
        <f>IF($B90="","",SUM($F$9:$F90))</f>
        <v/>
      </c>
      <c r="H90" s="41">
        <f>IF($B90="","",IF($G90&lt;=Settings!$E$8,"Yes","Over by "&amp;TEXT($G90-Settings!$E$8,"#,##0")))</f>
        <v/>
      </c>
      <c r="I90" s="41">
        <f>IF($B90="","",INDEX(Summary!$S$3:$S$102,MATCH($B90,Summary!$A$3:$A$102,0))&amp;"")</f>
        <v/>
      </c>
      <c r="J90" s="46">
        <f>IF($B90="","",IF(ISNUMBER(INDEX(Summary!$T$3:$T$102,MATCH($B90,Summary!$A$3:$A$102,0))),INDEX(Summary!$T$3:$T$102,MATCH($B90,Summary!$A$3:$A$102,0)),""))</f>
        <v/>
      </c>
    </row>
    <row r="91">
      <c r="A91" s="27" t="n">
        <v>83</v>
      </c>
      <c r="B91" s="41">
        <f>IF(83&gt;COUNT(Summary!$U$3:$U$102),"",INDEX(Summary!$A$3:$A$102,MATCH(LARGE(Summary!$U$3:$U$102,83),Summary!$U$3:$U$102,0)))</f>
        <v/>
      </c>
      <c r="C91" s="45">
        <f>IF($B91="","",INDEX(Summary!$B$3:$B$102,MATCH($B91,Summary!$A$3:$A$102,0)))</f>
        <v/>
      </c>
      <c r="D91" s="42">
        <f>IF($B91="","",INDEX(Summary!$L$3:$L$102,MATCH($B91,Summary!$A$3:$A$102,0)))</f>
        <v/>
      </c>
      <c r="E91" s="41">
        <f>IF($B91="","",INDEX(Summary!$Q$3:$Q$102,MATCH($B91,Summary!$A$3:$A$102,0)))</f>
        <v/>
      </c>
      <c r="F91" s="46">
        <f>IF($B91="","",INDEX(Summary!$C$3:$C$102,MATCH($B91,Summary!$A$3:$A$102,0)))</f>
        <v/>
      </c>
      <c r="G91" s="46">
        <f>IF($B91="","",SUM($F$9:$F91))</f>
        <v/>
      </c>
      <c r="H91" s="41">
        <f>IF($B91="","",IF($G91&lt;=Settings!$E$8,"Yes","Over by "&amp;TEXT($G91-Settings!$E$8,"#,##0")))</f>
        <v/>
      </c>
      <c r="I91" s="41">
        <f>IF($B91="","",INDEX(Summary!$S$3:$S$102,MATCH($B91,Summary!$A$3:$A$102,0))&amp;"")</f>
        <v/>
      </c>
      <c r="J91" s="46">
        <f>IF($B91="","",IF(ISNUMBER(INDEX(Summary!$T$3:$T$102,MATCH($B91,Summary!$A$3:$A$102,0))),INDEX(Summary!$T$3:$T$102,MATCH($B91,Summary!$A$3:$A$102,0)),""))</f>
        <v/>
      </c>
    </row>
    <row r="92">
      <c r="A92" s="27" t="n">
        <v>84</v>
      </c>
      <c r="B92" s="41">
        <f>IF(84&gt;COUNT(Summary!$U$3:$U$102),"",INDEX(Summary!$A$3:$A$102,MATCH(LARGE(Summary!$U$3:$U$102,84),Summary!$U$3:$U$102,0)))</f>
        <v/>
      </c>
      <c r="C92" s="45">
        <f>IF($B92="","",INDEX(Summary!$B$3:$B$102,MATCH($B92,Summary!$A$3:$A$102,0)))</f>
        <v/>
      </c>
      <c r="D92" s="42">
        <f>IF($B92="","",INDEX(Summary!$L$3:$L$102,MATCH($B92,Summary!$A$3:$A$102,0)))</f>
        <v/>
      </c>
      <c r="E92" s="41">
        <f>IF($B92="","",INDEX(Summary!$Q$3:$Q$102,MATCH($B92,Summary!$A$3:$A$102,0)))</f>
        <v/>
      </c>
      <c r="F92" s="46">
        <f>IF($B92="","",INDEX(Summary!$C$3:$C$102,MATCH($B92,Summary!$A$3:$A$102,0)))</f>
        <v/>
      </c>
      <c r="G92" s="46">
        <f>IF($B92="","",SUM($F$9:$F92))</f>
        <v/>
      </c>
      <c r="H92" s="41">
        <f>IF($B92="","",IF($G92&lt;=Settings!$E$8,"Yes","Over by "&amp;TEXT($G92-Settings!$E$8,"#,##0")))</f>
        <v/>
      </c>
      <c r="I92" s="41">
        <f>IF($B92="","",INDEX(Summary!$S$3:$S$102,MATCH($B92,Summary!$A$3:$A$102,0))&amp;"")</f>
        <v/>
      </c>
      <c r="J92" s="46">
        <f>IF($B92="","",IF(ISNUMBER(INDEX(Summary!$T$3:$T$102,MATCH($B92,Summary!$A$3:$A$102,0))),INDEX(Summary!$T$3:$T$102,MATCH($B92,Summary!$A$3:$A$102,0)),""))</f>
        <v/>
      </c>
    </row>
    <row r="93">
      <c r="A93" s="27" t="n">
        <v>85</v>
      </c>
      <c r="B93" s="41">
        <f>IF(85&gt;COUNT(Summary!$U$3:$U$102),"",INDEX(Summary!$A$3:$A$102,MATCH(LARGE(Summary!$U$3:$U$102,85),Summary!$U$3:$U$102,0)))</f>
        <v/>
      </c>
      <c r="C93" s="45">
        <f>IF($B93="","",INDEX(Summary!$B$3:$B$102,MATCH($B93,Summary!$A$3:$A$102,0)))</f>
        <v/>
      </c>
      <c r="D93" s="42">
        <f>IF($B93="","",INDEX(Summary!$L$3:$L$102,MATCH($B93,Summary!$A$3:$A$102,0)))</f>
        <v/>
      </c>
      <c r="E93" s="41">
        <f>IF($B93="","",INDEX(Summary!$Q$3:$Q$102,MATCH($B93,Summary!$A$3:$A$102,0)))</f>
        <v/>
      </c>
      <c r="F93" s="46">
        <f>IF($B93="","",INDEX(Summary!$C$3:$C$102,MATCH($B93,Summary!$A$3:$A$102,0)))</f>
        <v/>
      </c>
      <c r="G93" s="46">
        <f>IF($B93="","",SUM($F$9:$F93))</f>
        <v/>
      </c>
      <c r="H93" s="41">
        <f>IF($B93="","",IF($G93&lt;=Settings!$E$8,"Yes","Over by "&amp;TEXT($G93-Settings!$E$8,"#,##0")))</f>
        <v/>
      </c>
      <c r="I93" s="41">
        <f>IF($B93="","",INDEX(Summary!$S$3:$S$102,MATCH($B93,Summary!$A$3:$A$102,0))&amp;"")</f>
        <v/>
      </c>
      <c r="J93" s="46">
        <f>IF($B93="","",IF(ISNUMBER(INDEX(Summary!$T$3:$T$102,MATCH($B93,Summary!$A$3:$A$102,0))),INDEX(Summary!$T$3:$T$102,MATCH($B93,Summary!$A$3:$A$102,0)),""))</f>
        <v/>
      </c>
    </row>
    <row r="94">
      <c r="A94" s="27" t="n">
        <v>86</v>
      </c>
      <c r="B94" s="41">
        <f>IF(86&gt;COUNT(Summary!$U$3:$U$102),"",INDEX(Summary!$A$3:$A$102,MATCH(LARGE(Summary!$U$3:$U$102,86),Summary!$U$3:$U$102,0)))</f>
        <v/>
      </c>
      <c r="C94" s="45">
        <f>IF($B94="","",INDEX(Summary!$B$3:$B$102,MATCH($B94,Summary!$A$3:$A$102,0)))</f>
        <v/>
      </c>
      <c r="D94" s="42">
        <f>IF($B94="","",INDEX(Summary!$L$3:$L$102,MATCH($B94,Summary!$A$3:$A$102,0)))</f>
        <v/>
      </c>
      <c r="E94" s="41">
        <f>IF($B94="","",INDEX(Summary!$Q$3:$Q$102,MATCH($B94,Summary!$A$3:$A$102,0)))</f>
        <v/>
      </c>
      <c r="F94" s="46">
        <f>IF($B94="","",INDEX(Summary!$C$3:$C$102,MATCH($B94,Summary!$A$3:$A$102,0)))</f>
        <v/>
      </c>
      <c r="G94" s="46">
        <f>IF($B94="","",SUM($F$9:$F94))</f>
        <v/>
      </c>
      <c r="H94" s="41">
        <f>IF($B94="","",IF($G94&lt;=Settings!$E$8,"Yes","Over by "&amp;TEXT($G94-Settings!$E$8,"#,##0")))</f>
        <v/>
      </c>
      <c r="I94" s="41">
        <f>IF($B94="","",INDEX(Summary!$S$3:$S$102,MATCH($B94,Summary!$A$3:$A$102,0))&amp;"")</f>
        <v/>
      </c>
      <c r="J94" s="46">
        <f>IF($B94="","",IF(ISNUMBER(INDEX(Summary!$T$3:$T$102,MATCH($B94,Summary!$A$3:$A$102,0))),INDEX(Summary!$T$3:$T$102,MATCH($B94,Summary!$A$3:$A$102,0)),""))</f>
        <v/>
      </c>
    </row>
    <row r="95">
      <c r="A95" s="27" t="n">
        <v>87</v>
      </c>
      <c r="B95" s="41">
        <f>IF(87&gt;COUNT(Summary!$U$3:$U$102),"",INDEX(Summary!$A$3:$A$102,MATCH(LARGE(Summary!$U$3:$U$102,87),Summary!$U$3:$U$102,0)))</f>
        <v/>
      </c>
      <c r="C95" s="45">
        <f>IF($B95="","",INDEX(Summary!$B$3:$B$102,MATCH($B95,Summary!$A$3:$A$102,0)))</f>
        <v/>
      </c>
      <c r="D95" s="42">
        <f>IF($B95="","",INDEX(Summary!$L$3:$L$102,MATCH($B95,Summary!$A$3:$A$102,0)))</f>
        <v/>
      </c>
      <c r="E95" s="41">
        <f>IF($B95="","",INDEX(Summary!$Q$3:$Q$102,MATCH($B95,Summary!$A$3:$A$102,0)))</f>
        <v/>
      </c>
      <c r="F95" s="46">
        <f>IF($B95="","",INDEX(Summary!$C$3:$C$102,MATCH($B95,Summary!$A$3:$A$102,0)))</f>
        <v/>
      </c>
      <c r="G95" s="46">
        <f>IF($B95="","",SUM($F$9:$F95))</f>
        <v/>
      </c>
      <c r="H95" s="41">
        <f>IF($B95="","",IF($G95&lt;=Settings!$E$8,"Yes","Over by "&amp;TEXT($G95-Settings!$E$8,"#,##0")))</f>
        <v/>
      </c>
      <c r="I95" s="41">
        <f>IF($B95="","",INDEX(Summary!$S$3:$S$102,MATCH($B95,Summary!$A$3:$A$102,0))&amp;"")</f>
        <v/>
      </c>
      <c r="J95" s="46">
        <f>IF($B95="","",IF(ISNUMBER(INDEX(Summary!$T$3:$T$102,MATCH($B95,Summary!$A$3:$A$102,0))),INDEX(Summary!$T$3:$T$102,MATCH($B95,Summary!$A$3:$A$102,0)),""))</f>
        <v/>
      </c>
    </row>
    <row r="96">
      <c r="A96" s="27" t="n">
        <v>88</v>
      </c>
      <c r="B96" s="41">
        <f>IF(88&gt;COUNT(Summary!$U$3:$U$102),"",INDEX(Summary!$A$3:$A$102,MATCH(LARGE(Summary!$U$3:$U$102,88),Summary!$U$3:$U$102,0)))</f>
        <v/>
      </c>
      <c r="C96" s="45">
        <f>IF($B96="","",INDEX(Summary!$B$3:$B$102,MATCH($B96,Summary!$A$3:$A$102,0)))</f>
        <v/>
      </c>
      <c r="D96" s="42">
        <f>IF($B96="","",INDEX(Summary!$L$3:$L$102,MATCH($B96,Summary!$A$3:$A$102,0)))</f>
        <v/>
      </c>
      <c r="E96" s="41">
        <f>IF($B96="","",INDEX(Summary!$Q$3:$Q$102,MATCH($B96,Summary!$A$3:$A$102,0)))</f>
        <v/>
      </c>
      <c r="F96" s="46">
        <f>IF($B96="","",INDEX(Summary!$C$3:$C$102,MATCH($B96,Summary!$A$3:$A$102,0)))</f>
        <v/>
      </c>
      <c r="G96" s="46">
        <f>IF($B96="","",SUM($F$9:$F96))</f>
        <v/>
      </c>
      <c r="H96" s="41">
        <f>IF($B96="","",IF($G96&lt;=Settings!$E$8,"Yes","Over by "&amp;TEXT($G96-Settings!$E$8,"#,##0")))</f>
        <v/>
      </c>
      <c r="I96" s="41">
        <f>IF($B96="","",INDEX(Summary!$S$3:$S$102,MATCH($B96,Summary!$A$3:$A$102,0))&amp;"")</f>
        <v/>
      </c>
      <c r="J96" s="46">
        <f>IF($B96="","",IF(ISNUMBER(INDEX(Summary!$T$3:$T$102,MATCH($B96,Summary!$A$3:$A$102,0))),INDEX(Summary!$T$3:$T$102,MATCH($B96,Summary!$A$3:$A$102,0)),""))</f>
        <v/>
      </c>
    </row>
    <row r="97">
      <c r="A97" s="27" t="n">
        <v>89</v>
      </c>
      <c r="B97" s="41">
        <f>IF(89&gt;COUNT(Summary!$U$3:$U$102),"",INDEX(Summary!$A$3:$A$102,MATCH(LARGE(Summary!$U$3:$U$102,89),Summary!$U$3:$U$102,0)))</f>
        <v/>
      </c>
      <c r="C97" s="45">
        <f>IF($B97="","",INDEX(Summary!$B$3:$B$102,MATCH($B97,Summary!$A$3:$A$102,0)))</f>
        <v/>
      </c>
      <c r="D97" s="42">
        <f>IF($B97="","",INDEX(Summary!$L$3:$L$102,MATCH($B97,Summary!$A$3:$A$102,0)))</f>
        <v/>
      </c>
      <c r="E97" s="41">
        <f>IF($B97="","",INDEX(Summary!$Q$3:$Q$102,MATCH($B97,Summary!$A$3:$A$102,0)))</f>
        <v/>
      </c>
      <c r="F97" s="46">
        <f>IF($B97="","",INDEX(Summary!$C$3:$C$102,MATCH($B97,Summary!$A$3:$A$102,0)))</f>
        <v/>
      </c>
      <c r="G97" s="46">
        <f>IF($B97="","",SUM($F$9:$F97))</f>
        <v/>
      </c>
      <c r="H97" s="41">
        <f>IF($B97="","",IF($G97&lt;=Settings!$E$8,"Yes","Over by "&amp;TEXT($G97-Settings!$E$8,"#,##0")))</f>
        <v/>
      </c>
      <c r="I97" s="41">
        <f>IF($B97="","",INDEX(Summary!$S$3:$S$102,MATCH($B97,Summary!$A$3:$A$102,0))&amp;"")</f>
        <v/>
      </c>
      <c r="J97" s="46">
        <f>IF($B97="","",IF(ISNUMBER(INDEX(Summary!$T$3:$T$102,MATCH($B97,Summary!$A$3:$A$102,0))),INDEX(Summary!$T$3:$T$102,MATCH($B97,Summary!$A$3:$A$102,0)),""))</f>
        <v/>
      </c>
    </row>
    <row r="98">
      <c r="A98" s="27" t="n">
        <v>90</v>
      </c>
      <c r="B98" s="41">
        <f>IF(90&gt;COUNT(Summary!$U$3:$U$102),"",INDEX(Summary!$A$3:$A$102,MATCH(LARGE(Summary!$U$3:$U$102,90),Summary!$U$3:$U$102,0)))</f>
        <v/>
      </c>
      <c r="C98" s="45">
        <f>IF($B98="","",INDEX(Summary!$B$3:$B$102,MATCH($B98,Summary!$A$3:$A$102,0)))</f>
        <v/>
      </c>
      <c r="D98" s="42">
        <f>IF($B98="","",INDEX(Summary!$L$3:$L$102,MATCH($B98,Summary!$A$3:$A$102,0)))</f>
        <v/>
      </c>
      <c r="E98" s="41">
        <f>IF($B98="","",INDEX(Summary!$Q$3:$Q$102,MATCH($B98,Summary!$A$3:$A$102,0)))</f>
        <v/>
      </c>
      <c r="F98" s="46">
        <f>IF($B98="","",INDEX(Summary!$C$3:$C$102,MATCH($B98,Summary!$A$3:$A$102,0)))</f>
        <v/>
      </c>
      <c r="G98" s="46">
        <f>IF($B98="","",SUM($F$9:$F98))</f>
        <v/>
      </c>
      <c r="H98" s="41">
        <f>IF($B98="","",IF($G98&lt;=Settings!$E$8,"Yes","Over by "&amp;TEXT($G98-Settings!$E$8,"#,##0")))</f>
        <v/>
      </c>
      <c r="I98" s="41">
        <f>IF($B98="","",INDEX(Summary!$S$3:$S$102,MATCH($B98,Summary!$A$3:$A$102,0))&amp;"")</f>
        <v/>
      </c>
      <c r="J98" s="46">
        <f>IF($B98="","",IF(ISNUMBER(INDEX(Summary!$T$3:$T$102,MATCH($B98,Summary!$A$3:$A$102,0))),INDEX(Summary!$T$3:$T$102,MATCH($B98,Summary!$A$3:$A$102,0)),""))</f>
        <v/>
      </c>
    </row>
    <row r="99">
      <c r="A99" s="27" t="n">
        <v>91</v>
      </c>
      <c r="B99" s="41">
        <f>IF(91&gt;COUNT(Summary!$U$3:$U$102),"",INDEX(Summary!$A$3:$A$102,MATCH(LARGE(Summary!$U$3:$U$102,91),Summary!$U$3:$U$102,0)))</f>
        <v/>
      </c>
      <c r="C99" s="45">
        <f>IF($B99="","",INDEX(Summary!$B$3:$B$102,MATCH($B99,Summary!$A$3:$A$102,0)))</f>
        <v/>
      </c>
      <c r="D99" s="42">
        <f>IF($B99="","",INDEX(Summary!$L$3:$L$102,MATCH($B99,Summary!$A$3:$A$102,0)))</f>
        <v/>
      </c>
      <c r="E99" s="41">
        <f>IF($B99="","",INDEX(Summary!$Q$3:$Q$102,MATCH($B99,Summary!$A$3:$A$102,0)))</f>
        <v/>
      </c>
      <c r="F99" s="46">
        <f>IF($B99="","",INDEX(Summary!$C$3:$C$102,MATCH($B99,Summary!$A$3:$A$102,0)))</f>
        <v/>
      </c>
      <c r="G99" s="46">
        <f>IF($B99="","",SUM($F$9:$F99))</f>
        <v/>
      </c>
      <c r="H99" s="41">
        <f>IF($B99="","",IF($G99&lt;=Settings!$E$8,"Yes","Over by "&amp;TEXT($G99-Settings!$E$8,"#,##0")))</f>
        <v/>
      </c>
      <c r="I99" s="41">
        <f>IF($B99="","",INDEX(Summary!$S$3:$S$102,MATCH($B99,Summary!$A$3:$A$102,0))&amp;"")</f>
        <v/>
      </c>
      <c r="J99" s="46">
        <f>IF($B99="","",IF(ISNUMBER(INDEX(Summary!$T$3:$T$102,MATCH($B99,Summary!$A$3:$A$102,0))),INDEX(Summary!$T$3:$T$102,MATCH($B99,Summary!$A$3:$A$102,0)),""))</f>
        <v/>
      </c>
    </row>
    <row r="100">
      <c r="A100" s="27" t="n">
        <v>92</v>
      </c>
      <c r="B100" s="41">
        <f>IF(92&gt;COUNT(Summary!$U$3:$U$102),"",INDEX(Summary!$A$3:$A$102,MATCH(LARGE(Summary!$U$3:$U$102,92),Summary!$U$3:$U$102,0)))</f>
        <v/>
      </c>
      <c r="C100" s="45">
        <f>IF($B100="","",INDEX(Summary!$B$3:$B$102,MATCH($B100,Summary!$A$3:$A$102,0)))</f>
        <v/>
      </c>
      <c r="D100" s="42">
        <f>IF($B100="","",INDEX(Summary!$L$3:$L$102,MATCH($B100,Summary!$A$3:$A$102,0)))</f>
        <v/>
      </c>
      <c r="E100" s="41">
        <f>IF($B100="","",INDEX(Summary!$Q$3:$Q$102,MATCH($B100,Summary!$A$3:$A$102,0)))</f>
        <v/>
      </c>
      <c r="F100" s="46">
        <f>IF($B100="","",INDEX(Summary!$C$3:$C$102,MATCH($B100,Summary!$A$3:$A$102,0)))</f>
        <v/>
      </c>
      <c r="G100" s="46">
        <f>IF($B100="","",SUM($F$9:$F100))</f>
        <v/>
      </c>
      <c r="H100" s="41">
        <f>IF($B100="","",IF($G100&lt;=Settings!$E$8,"Yes","Over by "&amp;TEXT($G100-Settings!$E$8,"#,##0")))</f>
        <v/>
      </c>
      <c r="I100" s="41">
        <f>IF($B100="","",INDEX(Summary!$S$3:$S$102,MATCH($B100,Summary!$A$3:$A$102,0))&amp;"")</f>
        <v/>
      </c>
      <c r="J100" s="46">
        <f>IF($B100="","",IF(ISNUMBER(INDEX(Summary!$T$3:$T$102,MATCH($B100,Summary!$A$3:$A$102,0))),INDEX(Summary!$T$3:$T$102,MATCH($B100,Summary!$A$3:$A$102,0)),""))</f>
        <v/>
      </c>
    </row>
    <row r="101">
      <c r="A101" s="27" t="n">
        <v>93</v>
      </c>
      <c r="B101" s="41">
        <f>IF(93&gt;COUNT(Summary!$U$3:$U$102),"",INDEX(Summary!$A$3:$A$102,MATCH(LARGE(Summary!$U$3:$U$102,93),Summary!$U$3:$U$102,0)))</f>
        <v/>
      </c>
      <c r="C101" s="45">
        <f>IF($B101="","",INDEX(Summary!$B$3:$B$102,MATCH($B101,Summary!$A$3:$A$102,0)))</f>
        <v/>
      </c>
      <c r="D101" s="42">
        <f>IF($B101="","",INDEX(Summary!$L$3:$L$102,MATCH($B101,Summary!$A$3:$A$102,0)))</f>
        <v/>
      </c>
      <c r="E101" s="41">
        <f>IF($B101="","",INDEX(Summary!$Q$3:$Q$102,MATCH($B101,Summary!$A$3:$A$102,0)))</f>
        <v/>
      </c>
      <c r="F101" s="46">
        <f>IF($B101="","",INDEX(Summary!$C$3:$C$102,MATCH($B101,Summary!$A$3:$A$102,0)))</f>
        <v/>
      </c>
      <c r="G101" s="46">
        <f>IF($B101="","",SUM($F$9:$F101))</f>
        <v/>
      </c>
      <c r="H101" s="41">
        <f>IF($B101="","",IF($G101&lt;=Settings!$E$8,"Yes","Over by "&amp;TEXT($G101-Settings!$E$8,"#,##0")))</f>
        <v/>
      </c>
      <c r="I101" s="41">
        <f>IF($B101="","",INDEX(Summary!$S$3:$S$102,MATCH($B101,Summary!$A$3:$A$102,0))&amp;"")</f>
        <v/>
      </c>
      <c r="J101" s="46">
        <f>IF($B101="","",IF(ISNUMBER(INDEX(Summary!$T$3:$T$102,MATCH($B101,Summary!$A$3:$A$102,0))),INDEX(Summary!$T$3:$T$102,MATCH($B101,Summary!$A$3:$A$102,0)),""))</f>
        <v/>
      </c>
    </row>
    <row r="102">
      <c r="A102" s="27" t="n">
        <v>94</v>
      </c>
      <c r="B102" s="41">
        <f>IF(94&gt;COUNT(Summary!$U$3:$U$102),"",INDEX(Summary!$A$3:$A$102,MATCH(LARGE(Summary!$U$3:$U$102,94),Summary!$U$3:$U$102,0)))</f>
        <v/>
      </c>
      <c r="C102" s="45">
        <f>IF($B102="","",INDEX(Summary!$B$3:$B$102,MATCH($B102,Summary!$A$3:$A$102,0)))</f>
        <v/>
      </c>
      <c r="D102" s="42">
        <f>IF($B102="","",INDEX(Summary!$L$3:$L$102,MATCH($B102,Summary!$A$3:$A$102,0)))</f>
        <v/>
      </c>
      <c r="E102" s="41">
        <f>IF($B102="","",INDEX(Summary!$Q$3:$Q$102,MATCH($B102,Summary!$A$3:$A$102,0)))</f>
        <v/>
      </c>
      <c r="F102" s="46">
        <f>IF($B102="","",INDEX(Summary!$C$3:$C$102,MATCH($B102,Summary!$A$3:$A$102,0)))</f>
        <v/>
      </c>
      <c r="G102" s="46">
        <f>IF($B102="","",SUM($F$9:$F102))</f>
        <v/>
      </c>
      <c r="H102" s="41">
        <f>IF($B102="","",IF($G102&lt;=Settings!$E$8,"Yes","Over by "&amp;TEXT($G102-Settings!$E$8,"#,##0")))</f>
        <v/>
      </c>
      <c r="I102" s="41">
        <f>IF($B102="","",INDEX(Summary!$S$3:$S$102,MATCH($B102,Summary!$A$3:$A$102,0))&amp;"")</f>
        <v/>
      </c>
      <c r="J102" s="46">
        <f>IF($B102="","",IF(ISNUMBER(INDEX(Summary!$T$3:$T$102,MATCH($B102,Summary!$A$3:$A$102,0))),INDEX(Summary!$T$3:$T$102,MATCH($B102,Summary!$A$3:$A$102,0)),""))</f>
        <v/>
      </c>
    </row>
    <row r="103">
      <c r="A103" s="27" t="n">
        <v>95</v>
      </c>
      <c r="B103" s="41">
        <f>IF(95&gt;COUNT(Summary!$U$3:$U$102),"",INDEX(Summary!$A$3:$A$102,MATCH(LARGE(Summary!$U$3:$U$102,95),Summary!$U$3:$U$102,0)))</f>
        <v/>
      </c>
      <c r="C103" s="45">
        <f>IF($B103="","",INDEX(Summary!$B$3:$B$102,MATCH($B103,Summary!$A$3:$A$102,0)))</f>
        <v/>
      </c>
      <c r="D103" s="42">
        <f>IF($B103="","",INDEX(Summary!$L$3:$L$102,MATCH($B103,Summary!$A$3:$A$102,0)))</f>
        <v/>
      </c>
      <c r="E103" s="41">
        <f>IF($B103="","",INDEX(Summary!$Q$3:$Q$102,MATCH($B103,Summary!$A$3:$A$102,0)))</f>
        <v/>
      </c>
      <c r="F103" s="46">
        <f>IF($B103="","",INDEX(Summary!$C$3:$C$102,MATCH($B103,Summary!$A$3:$A$102,0)))</f>
        <v/>
      </c>
      <c r="G103" s="46">
        <f>IF($B103="","",SUM($F$9:$F103))</f>
        <v/>
      </c>
      <c r="H103" s="41">
        <f>IF($B103="","",IF($G103&lt;=Settings!$E$8,"Yes","Over by "&amp;TEXT($G103-Settings!$E$8,"#,##0")))</f>
        <v/>
      </c>
      <c r="I103" s="41">
        <f>IF($B103="","",INDEX(Summary!$S$3:$S$102,MATCH($B103,Summary!$A$3:$A$102,0))&amp;"")</f>
        <v/>
      </c>
      <c r="J103" s="46">
        <f>IF($B103="","",IF(ISNUMBER(INDEX(Summary!$T$3:$T$102,MATCH($B103,Summary!$A$3:$A$102,0))),INDEX(Summary!$T$3:$T$102,MATCH($B103,Summary!$A$3:$A$102,0)),""))</f>
        <v/>
      </c>
    </row>
    <row r="104">
      <c r="A104" s="27" t="n">
        <v>96</v>
      </c>
      <c r="B104" s="41">
        <f>IF(96&gt;COUNT(Summary!$U$3:$U$102),"",INDEX(Summary!$A$3:$A$102,MATCH(LARGE(Summary!$U$3:$U$102,96),Summary!$U$3:$U$102,0)))</f>
        <v/>
      </c>
      <c r="C104" s="45">
        <f>IF($B104="","",INDEX(Summary!$B$3:$B$102,MATCH($B104,Summary!$A$3:$A$102,0)))</f>
        <v/>
      </c>
      <c r="D104" s="42">
        <f>IF($B104="","",INDEX(Summary!$L$3:$L$102,MATCH($B104,Summary!$A$3:$A$102,0)))</f>
        <v/>
      </c>
      <c r="E104" s="41">
        <f>IF($B104="","",INDEX(Summary!$Q$3:$Q$102,MATCH($B104,Summary!$A$3:$A$102,0)))</f>
        <v/>
      </c>
      <c r="F104" s="46">
        <f>IF($B104="","",INDEX(Summary!$C$3:$C$102,MATCH($B104,Summary!$A$3:$A$102,0)))</f>
        <v/>
      </c>
      <c r="G104" s="46">
        <f>IF($B104="","",SUM($F$9:$F104))</f>
        <v/>
      </c>
      <c r="H104" s="41">
        <f>IF($B104="","",IF($G104&lt;=Settings!$E$8,"Yes","Over by "&amp;TEXT($G104-Settings!$E$8,"#,##0")))</f>
        <v/>
      </c>
      <c r="I104" s="41">
        <f>IF($B104="","",INDEX(Summary!$S$3:$S$102,MATCH($B104,Summary!$A$3:$A$102,0))&amp;"")</f>
        <v/>
      </c>
      <c r="J104" s="46">
        <f>IF($B104="","",IF(ISNUMBER(INDEX(Summary!$T$3:$T$102,MATCH($B104,Summary!$A$3:$A$102,0))),INDEX(Summary!$T$3:$T$102,MATCH($B104,Summary!$A$3:$A$102,0)),""))</f>
        <v/>
      </c>
    </row>
    <row r="105">
      <c r="A105" s="27" t="n">
        <v>97</v>
      </c>
      <c r="B105" s="41">
        <f>IF(97&gt;COUNT(Summary!$U$3:$U$102),"",INDEX(Summary!$A$3:$A$102,MATCH(LARGE(Summary!$U$3:$U$102,97),Summary!$U$3:$U$102,0)))</f>
        <v/>
      </c>
      <c r="C105" s="45">
        <f>IF($B105="","",INDEX(Summary!$B$3:$B$102,MATCH($B105,Summary!$A$3:$A$102,0)))</f>
        <v/>
      </c>
      <c r="D105" s="42">
        <f>IF($B105="","",INDEX(Summary!$L$3:$L$102,MATCH($B105,Summary!$A$3:$A$102,0)))</f>
        <v/>
      </c>
      <c r="E105" s="41">
        <f>IF($B105="","",INDEX(Summary!$Q$3:$Q$102,MATCH($B105,Summary!$A$3:$A$102,0)))</f>
        <v/>
      </c>
      <c r="F105" s="46">
        <f>IF($B105="","",INDEX(Summary!$C$3:$C$102,MATCH($B105,Summary!$A$3:$A$102,0)))</f>
        <v/>
      </c>
      <c r="G105" s="46">
        <f>IF($B105="","",SUM($F$9:$F105))</f>
        <v/>
      </c>
      <c r="H105" s="41">
        <f>IF($B105="","",IF($G105&lt;=Settings!$E$8,"Yes","Over by "&amp;TEXT($G105-Settings!$E$8,"#,##0")))</f>
        <v/>
      </c>
      <c r="I105" s="41">
        <f>IF($B105="","",INDEX(Summary!$S$3:$S$102,MATCH($B105,Summary!$A$3:$A$102,0))&amp;"")</f>
        <v/>
      </c>
      <c r="J105" s="46">
        <f>IF($B105="","",IF(ISNUMBER(INDEX(Summary!$T$3:$T$102,MATCH($B105,Summary!$A$3:$A$102,0))),INDEX(Summary!$T$3:$T$102,MATCH($B105,Summary!$A$3:$A$102,0)),""))</f>
        <v/>
      </c>
    </row>
    <row r="106">
      <c r="A106" s="27" t="n">
        <v>98</v>
      </c>
      <c r="B106" s="41">
        <f>IF(98&gt;COUNT(Summary!$U$3:$U$102),"",INDEX(Summary!$A$3:$A$102,MATCH(LARGE(Summary!$U$3:$U$102,98),Summary!$U$3:$U$102,0)))</f>
        <v/>
      </c>
      <c r="C106" s="45">
        <f>IF($B106="","",INDEX(Summary!$B$3:$B$102,MATCH($B106,Summary!$A$3:$A$102,0)))</f>
        <v/>
      </c>
      <c r="D106" s="42">
        <f>IF($B106="","",INDEX(Summary!$L$3:$L$102,MATCH($B106,Summary!$A$3:$A$102,0)))</f>
        <v/>
      </c>
      <c r="E106" s="41">
        <f>IF($B106="","",INDEX(Summary!$Q$3:$Q$102,MATCH($B106,Summary!$A$3:$A$102,0)))</f>
        <v/>
      </c>
      <c r="F106" s="46">
        <f>IF($B106="","",INDEX(Summary!$C$3:$C$102,MATCH($B106,Summary!$A$3:$A$102,0)))</f>
        <v/>
      </c>
      <c r="G106" s="46">
        <f>IF($B106="","",SUM($F$9:$F106))</f>
        <v/>
      </c>
      <c r="H106" s="41">
        <f>IF($B106="","",IF($G106&lt;=Settings!$E$8,"Yes","Over by "&amp;TEXT($G106-Settings!$E$8,"#,##0")))</f>
        <v/>
      </c>
      <c r="I106" s="41">
        <f>IF($B106="","",INDEX(Summary!$S$3:$S$102,MATCH($B106,Summary!$A$3:$A$102,0))&amp;"")</f>
        <v/>
      </c>
      <c r="J106" s="46">
        <f>IF($B106="","",IF(ISNUMBER(INDEX(Summary!$T$3:$T$102,MATCH($B106,Summary!$A$3:$A$102,0))),INDEX(Summary!$T$3:$T$102,MATCH($B106,Summary!$A$3:$A$102,0)),""))</f>
        <v/>
      </c>
    </row>
    <row r="107">
      <c r="A107" s="27" t="n">
        <v>99</v>
      </c>
      <c r="B107" s="41">
        <f>IF(99&gt;COUNT(Summary!$U$3:$U$102),"",INDEX(Summary!$A$3:$A$102,MATCH(LARGE(Summary!$U$3:$U$102,99),Summary!$U$3:$U$102,0)))</f>
        <v/>
      </c>
      <c r="C107" s="45">
        <f>IF($B107="","",INDEX(Summary!$B$3:$B$102,MATCH($B107,Summary!$A$3:$A$102,0)))</f>
        <v/>
      </c>
      <c r="D107" s="42">
        <f>IF($B107="","",INDEX(Summary!$L$3:$L$102,MATCH($B107,Summary!$A$3:$A$102,0)))</f>
        <v/>
      </c>
      <c r="E107" s="41">
        <f>IF($B107="","",INDEX(Summary!$Q$3:$Q$102,MATCH($B107,Summary!$A$3:$A$102,0)))</f>
        <v/>
      </c>
      <c r="F107" s="46">
        <f>IF($B107="","",INDEX(Summary!$C$3:$C$102,MATCH($B107,Summary!$A$3:$A$102,0)))</f>
        <v/>
      </c>
      <c r="G107" s="46">
        <f>IF($B107="","",SUM($F$9:$F107))</f>
        <v/>
      </c>
      <c r="H107" s="41">
        <f>IF($B107="","",IF($G107&lt;=Settings!$E$8,"Yes","Over by "&amp;TEXT($G107-Settings!$E$8,"#,##0")))</f>
        <v/>
      </c>
      <c r="I107" s="41">
        <f>IF($B107="","",INDEX(Summary!$S$3:$S$102,MATCH($B107,Summary!$A$3:$A$102,0))&amp;"")</f>
        <v/>
      </c>
      <c r="J107" s="46">
        <f>IF($B107="","",IF(ISNUMBER(INDEX(Summary!$T$3:$T$102,MATCH($B107,Summary!$A$3:$A$102,0))),INDEX(Summary!$T$3:$T$102,MATCH($B107,Summary!$A$3:$A$102,0)),""))</f>
        <v/>
      </c>
    </row>
    <row r="108">
      <c r="A108" s="27" t="n">
        <v>100</v>
      </c>
      <c r="B108" s="41">
        <f>IF(100&gt;COUNT(Summary!$U$3:$U$102),"",INDEX(Summary!$A$3:$A$102,MATCH(LARGE(Summary!$U$3:$U$102,100),Summary!$U$3:$U$102,0)))</f>
        <v/>
      </c>
      <c r="C108" s="45">
        <f>IF($B108="","",INDEX(Summary!$B$3:$B$102,MATCH($B108,Summary!$A$3:$A$102,0)))</f>
        <v/>
      </c>
      <c r="D108" s="42">
        <f>IF($B108="","",INDEX(Summary!$L$3:$L$102,MATCH($B108,Summary!$A$3:$A$102,0)))</f>
        <v/>
      </c>
      <c r="E108" s="41">
        <f>IF($B108="","",INDEX(Summary!$Q$3:$Q$102,MATCH($B108,Summary!$A$3:$A$102,0)))</f>
        <v/>
      </c>
      <c r="F108" s="46">
        <f>IF($B108="","",INDEX(Summary!$C$3:$C$102,MATCH($B108,Summary!$A$3:$A$102,0)))</f>
        <v/>
      </c>
      <c r="G108" s="46">
        <f>IF($B108="","",SUM($F$9:$F108))</f>
        <v/>
      </c>
      <c r="H108" s="41">
        <f>IF($B108="","",IF($G108&lt;=Settings!$E$8,"Yes","Over by "&amp;TEXT($G108-Settings!$E$8,"#,##0")))</f>
        <v/>
      </c>
      <c r="I108" s="41">
        <f>IF($B108="","",INDEX(Summary!$S$3:$S$102,MATCH($B108,Summary!$A$3:$A$102,0))&amp;"")</f>
        <v/>
      </c>
      <c r="J108" s="46">
        <f>IF($B108="","",IF(ISNUMBER(INDEX(Summary!$T$3:$T$102,MATCH($B108,Summary!$A$3:$A$102,0))),INDEX(Summary!$T$3:$T$102,MATCH($B108,Summary!$A$3:$A$102,0)),""))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2026-10-28T15:34:36Z</dcterms:created>
  <dcterms:modified xmlns:dcterms="http://purl.org/dc/terms/" xmlns:xsi="http://www.w3.org/2001/XMLSchema-instance" xsi:type="dcterms:W3CDTF">2026-10-28T15:34:41Z</dcterms:modified>
</cp:coreProperties>
</file>