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Log" sheetId="3" state="visible" r:id="rId3"/>
    <sheet xmlns:r="http://schemas.openxmlformats.org/officeDocument/2006/relationships" name="Calendar" sheetId="4" state="visible" r:id="rId4"/>
    <sheet xmlns:r="http://schemas.openxmlformats.org/officeDocument/2006/relationships" name="Spaces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0" fontId="10" fillId="4" borderId="1" pivotButton="0" quotePrefix="0" xfId="0"/>
    <xf numFmtId="164" fontId="10" fillId="4" borderId="1" pivotButton="0" quotePrefix="0" xfId="0"/>
    <xf numFmtId="0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164" fontId="6" fillId="4" borderId="1" applyAlignment="1" pivotButton="0" quotePrefix="0" xfId="0">
      <alignment horizontal="center"/>
    </xf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164" fontId="6" fillId="4" borderId="1" pivotButton="0" quotePrefix="0" xfId="0"/>
    <xf numFmtId="0" fontId="6" fillId="3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9 are EXAMPLE data: clear A2 to AQ9 first. The export may include the six payment columns or not. Both work.</t>
      </text>
    </comment>
    <comment ref="AN1" authorId="0" shapeId="0">
      <text>
        <t>Yellow columns are yours. Pick New, Confirmed or Declined. A blank Status counts as New. Declined requests never cause a clash.</t>
      </text>
    </comment>
    <comment ref="AO1" authorId="0" shapeId="0">
      <text>
        <t>Type Yes once you have the certificate. The form only records what the person said.</t>
      </text>
    </comment>
    <comment ref="AP1" authorId="0" shapeId="0">
      <text>
        <t>Only needed if you took the fee another way (cash, cheque). Type Yes. If your form has a Payment block, the Payment status column is used instead.</t>
      </text>
    </comment>
    <comment ref="AS1" authorId="0" shapeId="0">
      <text>
        <t>Grey columns are worked out for you. Please do not type here.</t>
      </text>
    </comment>
    <comment ref="AU1" authorId="0" shapeId="0">
      <text>
        <t>Times are turned into whole minutes after midnight, so 14:00 is 840.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G5" authorId="0" shapeId="0">
      <text>
        <t>Compares People with the capacity you typed on the Spaces tab. Blank if you did not type one.</t>
      </text>
    </comment>
    <comment ref="L5" authorId="0" shapeId="0">
      <text>
        <t>Shows who else wants the same space at an overlapping time on the same date. Back-to-back bookings (one ends as the next starts) are not a clash.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B4" authorId="0" shapeId="0">
      <text>
        <t>How many people the space holds, from your own rules or fire code sign. No default: we do not know your building.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Facility booking log</t>
        </is>
      </c>
    </row>
    <row r="3">
      <c r="B3" s="2" t="inlineStr">
        <is>
          <t>Keep every space request in one place and spot two requests for the same space and time.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your requests</t>
        </is>
      </c>
      <c r="D6" s="6" t="inlineStr">
        <is>
          <t>In HornetForms, open the form's Responses page and download the CSV. Already sending answers to a Google Sheet? Open that Sheet and use File, Import, Upload this file, then pick "Insert new sheet(s)".</t>
        </is>
      </c>
    </row>
    <row r="7" ht="44" customHeight="1">
      <c r="B7" s="4" t="n">
        <v>2</v>
      </c>
      <c r="C7" s="5" t="inlineStr">
        <is>
          <t>Paste them on Responses</t>
        </is>
      </c>
      <c r="D7" s="6" t="inlineStr">
        <is>
          <t>First clear the example: select A2 to AQ9 on Responses and press Delete. Then click A1 and paste your CSV, headers included.</t>
        </is>
      </c>
    </row>
    <row r="8" ht="44" customHeight="1">
      <c r="B8" s="4" t="n">
        <v>3</v>
      </c>
      <c r="C8" s="5" t="inlineStr">
        <is>
          <t>Add your spaces</t>
        </is>
      </c>
      <c r="D8" s="6" t="inlineStr">
        <is>
          <t>On Spaces, type each space the way it shows on the form. Add a capacity if you want the Log to flag a group that is too big.</t>
        </is>
      </c>
    </row>
    <row r="9" ht="44" customHeight="1">
      <c r="B9" s="4" t="n">
        <v>4</v>
      </c>
      <c r="C9" s="5" t="inlineStr">
        <is>
          <t>Mark each request</t>
        </is>
      </c>
      <c r="D9" s="6" t="inlineStr">
        <is>
          <t>On Responses, pick Confirmed or Declined in the yellow Status column. Type Yes under Certificate received once you have the insurance paper.</t>
        </is>
      </c>
    </row>
    <row r="10" ht="44" customHeight="1">
      <c r="B10" s="4" t="n">
        <v>5</v>
      </c>
      <c r="C10" s="5" t="inlineStr">
        <is>
          <t>Read the Log</t>
        </is>
      </c>
      <c r="D10" s="6" t="inlineStr">
        <is>
          <t>The Log shows one row per request. The Clash column names who else wants the same space at an overlapping time. The Calendar tab lists confirmed bookings in date order.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A request is not a booking until you say so. The form only collects requests. Your yes comes by email.</t>
        </is>
      </c>
    </row>
    <row r="19" ht="34" customHeight="1">
      <c r="C19" s="12" t="inlineStr">
        <is>
          <t>Keep this file where only the right people can open it. It holds names, emails and phone numbers. Follow your own records rules for how long to keep it.</t>
        </is>
      </c>
    </row>
    <row r="20" ht="34" customHeight="1">
      <c r="C20" s="12" t="inlineStr">
        <is>
          <t>A clash needs the same space, the same date and times that overlap. Back-to-back is fine. A request that runs past midnight is not checked, and neither is the backup date.</t>
        </is>
      </c>
    </row>
    <row r="21" ht="28" customHeight="1">
      <c r="C21" s="12" t="inlineStr">
        <is>
          <t>Setup and cleanup are inside the start and end times, because the form asks for them that way.</t>
        </is>
      </c>
    </row>
    <row r="22" ht="28" customHeight="1">
      <c r="C22" s="12" t="inlineStr">
        <is>
          <t>Works with or without the Payment columns. If your form has a Payment block, the Paid column reads Payment status.</t>
        </is>
      </c>
    </row>
    <row r="23" ht="28" customHeight="1">
      <c r="C23" s="12" t="inlineStr">
        <is>
          <t>The sheet finds columns by their header names. Renamed a question? Update its name on the Lists tab.</t>
        </is>
      </c>
    </row>
    <row r="24" ht="34" customHeight="1">
      <c r="C24" s="12" t="inlineStr">
        <is>
          <t>Do not sort or delete rows on Responses: your yellow cells line up with the pasted rows. Paste a fresh export over the old one instead.</t>
        </is>
      </c>
    </row>
    <row r="25" ht="28" customHeight="1">
      <c r="C25" s="12" t="inlineStr">
        <is>
          <t>There is room for 500 requests.</t>
        </is>
      </c>
    </row>
    <row r="27">
      <c r="B27" s="7" t="inlineStr">
        <is>
          <t>Example data</t>
        </is>
      </c>
    </row>
    <row r="28" ht="32" customHeight="1">
      <c r="C28" s="13" t="inlineStr">
        <is>
          <t>Rows 2 to 9 on Responses are EXAMPLE data with invented people and groups, so you can see the Log and Calendar work. Clear them before you add your own.</t>
        </is>
      </c>
    </row>
    <row r="30">
      <c r="C30" s="14" t="inlineStr">
        <is>
          <t>Made by HornetForms, hornetforms.com</t>
        </is>
      </c>
    </row>
  </sheetData>
  <mergeCells count="9">
    <mergeCell ref="C20:D20"/>
    <mergeCell ref="C21:D21"/>
    <mergeCell ref="C24:D24"/>
    <mergeCell ref="C25:D25"/>
    <mergeCell ref="C19:D19"/>
    <mergeCell ref="C28:D28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BF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24" customWidth="1" min="26" max="26"/>
    <col width="24" customWidth="1" min="27" max="27"/>
    <col width="24" customWidth="1" min="28" max="28"/>
    <col width="2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2" customWidth="1" min="39" max="39"/>
    <col width="12" customWidth="1" min="40" max="40"/>
    <col width="13" customWidth="1" min="41" max="41"/>
    <col width="12" customWidth="1" min="42" max="42"/>
    <col width="30" customWidth="1" min="43" max="43"/>
    <col width="2" customWidth="1" min="44" max="44"/>
    <col width="22" customWidth="1" min="45" max="45"/>
    <col width="14" customWidth="1" min="46" max="46"/>
    <col width="14" customWidth="1" min="47" max="47"/>
    <col width="14" customWidth="1" min="48" max="48"/>
    <col width="22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40" customWidth="1" min="55" max="55"/>
    <col width="14" customWidth="1" min="56" max="56"/>
    <col width="22" customWidth="1" min="57" max="57"/>
    <col width="22" customWidth="1" min="58" max="58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Your full name</t>
        </is>
      </c>
      <c r="E1" s="3" t="inlineStr">
        <is>
          <t>Group or organization (if any)</t>
        </is>
      </c>
      <c r="F1" s="3" t="inlineStr">
        <is>
          <t>Email</t>
        </is>
      </c>
      <c r="G1" s="3" t="inlineStr">
        <is>
          <t>Phone</t>
        </is>
      </c>
      <c r="H1" s="3" t="inlineStr">
        <is>
          <t>Do you live in [town]?</t>
        </is>
      </c>
      <c r="I1" s="3" t="inlineStr">
        <is>
          <t>space</t>
        </is>
      </c>
      <c r="J1" s="3" t="inlineStr">
        <is>
          <t>Which space?</t>
        </is>
      </c>
      <c r="K1" s="3" t="inlineStr">
        <is>
          <t>Which other space?</t>
        </is>
      </c>
      <c r="L1" s="3" t="inlineStr">
        <is>
          <t>Date you'd like</t>
        </is>
      </c>
      <c r="M1" s="3" t="inlineStr">
        <is>
          <t>Backup date (optional)</t>
        </is>
      </c>
      <c r="N1" s="3" t="inlineStr">
        <is>
          <t>Start time, including setup</t>
        </is>
      </c>
      <c r="O1" s="3" t="inlineStr">
        <is>
          <t>End time, including cleanup</t>
        </is>
      </c>
      <c r="P1" s="3" t="inlineStr">
        <is>
          <t>How many people do you expect?</t>
        </is>
      </c>
      <c r="Q1" s="3" t="inlineStr">
        <is>
          <t>What's the event?</t>
        </is>
      </c>
      <c r="R1" s="3" t="inlineStr">
        <is>
          <t>What will you need?</t>
        </is>
      </c>
      <c r="S1" s="3" t="inlineStr">
        <is>
          <t>Will there be food or drinks?</t>
        </is>
      </c>
      <c r="T1" s="3" t="inlineStr">
        <is>
          <t>Tell us about the food and drinks</t>
        </is>
      </c>
      <c r="U1" s="3" t="inlineStr">
        <is>
          <t>Will you charge admission or sell anything?</t>
        </is>
      </c>
      <c r="V1" s="3" t="inlineStr">
        <is>
          <t>What will you charge or sell?</t>
        </is>
      </c>
      <c r="W1" s="3" t="inlineStr">
        <is>
          <t>Do you have a certificate of liability insurance for this event?</t>
        </is>
      </c>
      <c r="X1" s="3" t="inlineStr">
        <is>
          <t>Upload your certificate</t>
        </is>
      </c>
      <c r="Y1" s="3" t="inlineStr">
        <is>
          <t>Rules</t>
        </is>
      </c>
      <c r="Z1" s="3" t="inlineStr">
        <is>
          <t>Full name of the person responsible</t>
        </is>
      </c>
      <c r="AA1" s="3" t="inlineStr">
        <is>
          <t>Signature</t>
        </is>
      </c>
      <c r="AB1" s="3" t="inlineStr">
        <is>
          <t>Date</t>
        </is>
      </c>
      <c r="AC1" s="3" t="inlineStr">
        <is>
          <t>Fee</t>
        </is>
      </c>
      <c r="AD1" s="3" t="inlineStr">
        <is>
          <t>Form version</t>
        </is>
      </c>
      <c r="AE1" s="3" t="n"/>
      <c r="AF1" s="3" t="n"/>
      <c r="AG1" s="3" t="n"/>
      <c r="AH1" s="3" t="n"/>
      <c r="AI1" s="3" t="n"/>
      <c r="AJ1" s="3" t="n"/>
      <c r="AK1" s="3" t="n"/>
      <c r="AL1" s="3" t="n"/>
      <c r="AM1" s="15" t="n"/>
      <c r="AN1" s="16" t="inlineStr">
        <is>
          <t>Status</t>
        </is>
      </c>
      <c r="AO1" s="16" t="inlineStr">
        <is>
          <t>Certificate received</t>
        </is>
      </c>
      <c r="AP1" s="16" t="inlineStr">
        <is>
          <t>Paid by hand</t>
        </is>
      </c>
      <c r="AQ1" s="16" t="inlineStr">
        <is>
          <t>Note</t>
        </is>
      </c>
      <c r="AR1" s="15" t="n"/>
      <c r="AS1" s="17" t="inlineStr">
        <is>
          <t>Space (worked out)</t>
        </is>
      </c>
      <c r="AT1" s="17" t="inlineStr">
        <is>
          <t>Date (worked out)</t>
        </is>
      </c>
      <c r="AU1" s="17" t="inlineStr">
        <is>
          <t>Start, minutes (worked out)</t>
        </is>
      </c>
      <c r="AV1" s="17" t="inlineStr">
        <is>
          <t>End, minutes (worked out)</t>
        </is>
      </c>
      <c r="AW1" s="17" t="inlineStr">
        <is>
          <t>Group or name (worked out)</t>
        </is>
      </c>
      <c r="AX1" s="17" t="inlineStr">
        <is>
          <t>People (worked out)</t>
        </is>
      </c>
      <c r="AY1" s="17" t="inlineStr">
        <is>
          <t>Status used (worked out)</t>
        </is>
      </c>
      <c r="AZ1" s="17" t="inlineStr">
        <is>
          <t>Paid (worked out)</t>
        </is>
      </c>
      <c r="BA1" s="17" t="inlineStr">
        <is>
          <t>Checkable? (worked out)</t>
        </is>
      </c>
      <c r="BB1" s="17" t="inlineStr">
        <is>
          <t>Clashes (worked out)</t>
        </is>
      </c>
      <c r="BC1" s="17" t="inlineStr">
        <is>
          <t>Clash with (worked out)</t>
        </is>
      </c>
      <c r="BD1" s="17" t="inlineStr">
        <is>
          <t>Sort key (worked out)</t>
        </is>
      </c>
      <c r="BE1" s="17" t="inlineStr">
        <is>
          <t>Event (worked out)</t>
        </is>
      </c>
      <c r="BF1" s="17" t="inlineStr">
        <is>
          <t>Insurance answer (worked out)</t>
        </is>
      </c>
    </row>
    <row r="2">
      <c r="A2" s="18" t="inlineStr">
        <is>
          <t>EXAMPLE-01 (delete me)</t>
        </is>
      </c>
      <c r="B2" s="18" t="inlineStr">
        <is>
          <t>2026-10-03T09:10:00.000Z</t>
        </is>
      </c>
      <c r="C2" s="18" t="inlineStr">
        <is>
          <t>2026-10-03T09:05:00.000Z</t>
        </is>
      </c>
      <c r="D2" s="18" t="inlineStr">
        <is>
          <t>Jane Doe</t>
        </is>
      </c>
      <c r="E2" s="18" t="inlineStr">
        <is>
          <t>Riverside Garden Club</t>
        </is>
      </c>
      <c r="F2" s="18" t="inlineStr">
        <is>
          <t>jane@example.com</t>
        </is>
      </c>
      <c r="G2" s="18" t="inlineStr">
        <is>
          <t>555-0100</t>
        </is>
      </c>
      <c r="H2" s="18" t="inlineStr">
        <is>
          <t>Yes</t>
        </is>
      </c>
      <c r="I2" s="18" t="inlineStr">
        <is>
          <t>pavilion-a</t>
        </is>
      </c>
      <c r="J2" s="18" t="inlineStr">
        <is>
          <t>Pavilion</t>
        </is>
      </c>
      <c r="K2" s="18" t="inlineStr"/>
      <c r="L2" s="18" t="inlineStr">
        <is>
          <t>2026-11-14</t>
        </is>
      </c>
      <c r="M2" s="18" t="inlineStr"/>
      <c r="N2" s="18" t="inlineStr">
        <is>
          <t>10:00</t>
        </is>
      </c>
      <c r="O2" s="18" t="inlineStr">
        <is>
          <t>14:00</t>
        </is>
      </c>
      <c r="P2" s="18" t="n">
        <v>40</v>
      </c>
      <c r="Q2" s="18" t="inlineStr">
        <is>
          <t>Plant swap</t>
        </is>
      </c>
      <c r="R2" s="18" t="inlineStr">
        <is>
          <t>Tables and chairs</t>
        </is>
      </c>
      <c r="S2" s="18" t="inlineStr">
        <is>
          <t>No</t>
        </is>
      </c>
      <c r="T2" s="18" t="inlineStr"/>
      <c r="U2" s="18" t="inlineStr">
        <is>
          <t>No</t>
        </is>
      </c>
      <c r="V2" s="18" t="inlineStr"/>
      <c r="W2" s="18" t="inlineStr">
        <is>
          <t>Yes, I'll upload it</t>
        </is>
      </c>
      <c r="X2" s="18" t="inlineStr">
        <is>
          <t>certificate.pdf</t>
        </is>
      </c>
      <c r="Y2" s="18" t="inlineStr">
        <is>
          <t>I have read the facility rules and agree to follow them</t>
        </is>
      </c>
      <c r="Z2" s="18" t="inlineStr">
        <is>
          <t>Jane Doe</t>
        </is>
      </c>
      <c r="AA2" s="18" t="inlineStr"/>
      <c r="AB2" s="18" t="inlineStr">
        <is>
          <t>2026-10-03</t>
        </is>
      </c>
      <c r="AC2" s="18" t="n">
        <v>30</v>
      </c>
      <c r="AD2" s="18" t="n">
        <v>1</v>
      </c>
      <c r="AM2" s="19" t="n"/>
      <c r="AN2" s="20" t="inlineStr">
        <is>
          <t>Confirmed</t>
        </is>
      </c>
      <c r="AO2" s="20" t="inlineStr">
        <is>
          <t>Yes</t>
        </is>
      </c>
      <c r="AP2" s="20" t="inlineStr">
        <is>
          <t>Yes</t>
        </is>
      </c>
      <c r="AQ2" s="20" t="inlineStr">
        <is>
          <t>Rules signed</t>
        </is>
      </c>
      <c r="AR2" s="19" t="n"/>
      <c r="AS2" s="21">
        <f>IF(IFERROR(TRIM(INDEX($A2:$AL2,MATCH(Lists!$F$2,$A$1:$AL$1,0))&amp;""),"")="","",IF(AND(IFERROR(TRIM(INDEX($A2:$AL2,MATCH(Lists!$F$3,$A$1:$AL$1,0))&amp;""),"")="Other",IFERROR(TRIM(INDEX($A2:$AL2,MATCH(Lists!$F$4,$A$1:$AL$1,0))&amp;""),"")&lt;&gt;""),IFERROR(TRIM(INDEX($A2:$AL2,MATCH(Lists!$F$4,$A$1:$AL$1,0))&amp;""),""),IF(IFERROR(TRIM(INDEX($A2:$AL2,MATCH(Lists!$F$3,$A$1:$AL$1,0))&amp;""),"")="","(no space)",IFERROR(TRIM(INDEX($A2:$AL2,MATCH(Lists!$F$3,$A$1:$AL$1,0))&amp;""),""))))</f>
        <v/>
      </c>
      <c r="AT2" s="22">
        <f>IF(IFERROR(TRIM(INDEX($A2:$AL2,MATCH(Lists!$F$2,$A$1:$AL$1,0))&amp;""),"")="",0,N(IFERROR(IF(TRIM(INDEX($A2:$AL2,MATCH(Lists!$F$5,$A$1:$AL$1,0))&amp;"")="","",IF(ISNUMBER(INDEX($A2:$AL2,MATCH(Lists!$F$5,$A$1:$AL$1,0))),INT(INDEX($A2:$AL2,MATCH(Lists!$F$5,$A$1:$AL$1,0))),DATE(VALUE(LEFT(INDEX($A2:$AL2,MATCH(Lists!$F$5,$A$1:$AL$1,0)),4)),VALUE(MID(INDEX($A2:$AL2,MATCH(Lists!$F$5,$A$1:$AL$1,0)),6,2)),VALUE(MID(INDEX($A2:$AL2,MATCH(Lists!$F$5,$A$1:$AL$1,0)),9,2))))),"")))</f>
        <v/>
      </c>
      <c r="AU2" s="21">
        <f>IF(IFERROR(TRIM(INDEX($A2:$AL2,MATCH(Lists!$F$2,$A$1:$AL$1,0))&amp;""),"")="",-1,IF(ISNUMBER(IFERROR(IF(TRIM(INDEX($A2:$AL2,MATCH(Lists!$F$6,$A$1:$AL$1,0))&amp;"")="","",IF(ISNUMBER(INDEX($A2:$AL2,MATCH(Lists!$F$6,$A$1:$AL$1,0))),ROUND(MOD(INDEX($A2:$AL2,MATCH(Lists!$F$6,$A$1:$AL$1,0)),1)*1440,0),VALUE(LEFT(INDEX($A2:$AL2,MATCH(Lists!$F$6,$A$1:$AL$1,0)),2))*60+VALUE(MID(INDEX($A2:$AL2,MATCH(Lists!$F$6,$A$1:$AL$1,0)),4,2)))),"")),IFERROR(IF(TRIM(INDEX($A2:$AL2,MATCH(Lists!$F$6,$A$1:$AL$1,0))&amp;"")="","",IF(ISNUMBER(INDEX($A2:$AL2,MATCH(Lists!$F$6,$A$1:$AL$1,0))),ROUND(MOD(INDEX($A2:$AL2,MATCH(Lists!$F$6,$A$1:$AL$1,0)),1)*1440,0),VALUE(LEFT(INDEX($A2:$AL2,MATCH(Lists!$F$6,$A$1:$AL$1,0)),2))*60+VALUE(MID(INDEX($A2:$AL2,MATCH(Lists!$F$6,$A$1:$AL$1,0)),4,2)))),""),-1))</f>
        <v/>
      </c>
      <c r="AV2" s="21">
        <f>IF(IFERROR(TRIM(INDEX($A2:$AL2,MATCH(Lists!$F$2,$A$1:$AL$1,0))&amp;""),"")="",-1,IF(ISNUMBER(IFERROR(IF(TRIM(INDEX($A2:$AL2,MATCH(Lists!$F$7,$A$1:$AL$1,0))&amp;"")="","",IF(ISNUMBER(INDEX($A2:$AL2,MATCH(Lists!$F$7,$A$1:$AL$1,0))),ROUND(MOD(INDEX($A2:$AL2,MATCH(Lists!$F$7,$A$1:$AL$1,0)),1)*1440,0),VALUE(LEFT(INDEX($A2:$AL2,MATCH(Lists!$F$7,$A$1:$AL$1,0)),2))*60+VALUE(MID(INDEX($A2:$AL2,MATCH(Lists!$F$7,$A$1:$AL$1,0)),4,2)))),"")),IFERROR(IF(TRIM(INDEX($A2:$AL2,MATCH(Lists!$F$7,$A$1:$AL$1,0))&amp;"")="","",IF(ISNUMBER(INDEX($A2:$AL2,MATCH(Lists!$F$7,$A$1:$AL$1,0))),ROUND(MOD(INDEX($A2:$AL2,MATCH(Lists!$F$7,$A$1:$AL$1,0)),1)*1440,0),VALUE(LEFT(INDEX($A2:$AL2,MATCH(Lists!$F$7,$A$1:$AL$1,0)),2))*60+VALUE(MID(INDEX($A2:$AL2,MATCH(Lists!$F$7,$A$1:$AL$1,0)),4,2)))),""),-1))</f>
        <v/>
      </c>
      <c r="AW2" s="21">
        <f>IF(IFERROR(TRIM(INDEX($A2:$AL2,MATCH(Lists!$F$2,$A$1:$AL$1,0))&amp;""),"")="","",IF(IFERROR(TRIM(INDEX($A2:$AL2,MATCH(Lists!$F$8,$A$1:$AL$1,0))&amp;""),"")&lt;&gt;"",IFERROR(TRIM(INDEX($A2:$AL2,MATCH(Lists!$F$8,$A$1:$AL$1,0))&amp;""),""),IFERROR(TRIM(INDEX($A2:$AL2,MATCH(Lists!$F$9,$A$1:$AL$1,0))&amp;""),"")))</f>
        <v/>
      </c>
      <c r="AX2" s="21">
        <f>IFERROR(IF(TRIM(INDEX($A2:$AL2,MATCH(Lists!$F$10,$A$1:$AL$1,0))&amp;"")="","",VALUE(TRIM(INDEX($A2:$AL2,MATCH(Lists!$F$10,$A$1:$AL$1,0))&amp;""))),"")</f>
        <v/>
      </c>
      <c r="AY2" s="21">
        <f>IF(IFERROR(TRIM(INDEX($A2:$AL2,MATCH(Lists!$F$2,$A$1:$AL$1,0))&amp;""),"")="","",IF(AN2="","New",AN2))</f>
        <v/>
      </c>
      <c r="AZ2" s="21">
        <f>IF(IFERROR(TRIM(INDEX($A2:$AL2,MATCH(Lists!$F$2,$A$1:$AL$1,0))&amp;""),"")="","",IF(OR(IFERROR(TRIM(INDEX($A2:$AL2,MATCH(Lists!$F$13,$A$1:$AL$1,0))&amp;""),"")="Paid",IFERROR(TRIM(INDEX($A2:$AL2,MATCH(Lists!$F$13,$A$1:$AL$1,0))&amp;""),"")="Partially refunded"),"Paid",IF(AP2="Yes","Paid (by hand)",IFERROR(TRIM(INDEX($A2:$AL2,MATCH(Lists!$F$13,$A$1:$AL$1,0))&amp;""),""))))</f>
        <v/>
      </c>
      <c r="BA2" s="21">
        <f>IF(AND(IFERROR(TRIM(INDEX($A2:$AL2,MATCH(Lists!$F$2,$A$1:$AL$1,0))&amp;""),"")&lt;&gt;"",AT2&gt;0,AU2&gt;=0,AV2&gt;AU2,AY2&lt;&gt;"Declined"),1,0)</f>
        <v/>
      </c>
      <c r="BB2" s="21">
        <f>IF(BA2=1,COUNTIFS($AS$2:$AS$501,AS2,$AT$2:$AT$501,AT2,$AU$2:$AU$501,"&lt;"&amp;AV2,$AV$2:$AV$501,"&gt;"&amp;AU2,$BA$2:$BA$501,1)-1,"")</f>
        <v/>
      </c>
      <c r="BC2" s="21">
        <f>IF(N(BB2)&gt;0,"Clashes with "&amp;INDEX($AW$2:$AW$501,SUMPRODUCT(MAX(($AS$2:$AS$501=AS2)*($AT$2:$AT$501=AT2)*($AU$2:$AU$501&lt;AV2)*($AV$2:$AV$501&gt;AU2)*($BA$2:$BA$501=1)*(ROW($AS$2:$AS$501)&lt;&gt;ROW())*ROW($AS$2:$AS$501)))-1)&amp;" ("&amp;INDEX($AY$2:$AY$501,SUMPRODUCT(MAX(($AS$2:$AS$501=AS2)*($AT$2:$AT$501=AT2)*($AU$2:$AU$501&lt;AV2)*($AV$2:$AV$501&gt;AU2)*($BA$2:$BA$501=1)*(ROW($AS$2:$AS$501)&lt;&gt;ROW())*ROW($AS$2:$AS$501)))-1)&amp;")"&amp;IF(BB2&gt;1," and "&amp;(BB2-1)&amp;" more",""),"")</f>
        <v/>
      </c>
      <c r="BD2" s="21">
        <f>IF(AND(BA2=1,AY2="Confirmed"),AT2*10000000+AU2*1000+ROW(),"")</f>
        <v/>
      </c>
      <c r="BE2" s="21">
        <f>IF(IFERROR(TRIM(INDEX($A2:$AL2,MATCH(Lists!$F$2,$A$1:$AL$1,0))&amp;""),"")="","",IFERROR(TRIM(INDEX($A2:$AL2,MATCH(Lists!$F$11,$A$1:$AL$1,0))&amp;""),""))</f>
        <v/>
      </c>
      <c r="BF2" s="21">
        <f>IF(IFERROR(TRIM(INDEX($A2:$AL2,MATCH(Lists!$F$2,$A$1:$AL$1,0))&amp;""),"")="","",IFERROR(TRIM(INDEX($A2:$AL2,MATCH(Lists!$F$12,$A$1:$AL$1,0))&amp;""),""))</f>
        <v/>
      </c>
    </row>
    <row r="3">
      <c r="A3" s="18" t="inlineStr">
        <is>
          <t>EXAMPLE-02 (delete me)</t>
        </is>
      </c>
      <c r="B3" s="18" t="inlineStr">
        <is>
          <t>2026-10-04T09:11:00.000Z</t>
        </is>
      </c>
      <c r="C3" s="18" t="inlineStr">
        <is>
          <t>2026-10-04T09:06:00.000Z</t>
        </is>
      </c>
      <c r="D3" s="18" t="inlineStr">
        <is>
          <t>Maria Santos</t>
        </is>
      </c>
      <c r="E3" s="18" t="inlineStr"/>
      <c r="F3" s="18" t="inlineStr">
        <is>
          <t>maria@example.com</t>
        </is>
      </c>
      <c r="G3" s="18" t="inlineStr">
        <is>
          <t>555-0100</t>
        </is>
      </c>
      <c r="H3" s="18" t="inlineStr">
        <is>
          <t>Yes</t>
        </is>
      </c>
      <c r="I3" s="18" t="inlineStr">
        <is>
          <t>pavilion-a</t>
        </is>
      </c>
      <c r="J3" s="18" t="inlineStr">
        <is>
          <t>Pavilion</t>
        </is>
      </c>
      <c r="K3" s="18" t="inlineStr"/>
      <c r="L3" s="18" t="inlineStr">
        <is>
          <t>2026-11-14</t>
        </is>
      </c>
      <c r="M3" s="18" t="inlineStr"/>
      <c r="N3" s="18" t="inlineStr">
        <is>
          <t>13:00</t>
        </is>
      </c>
      <c r="O3" s="18" t="inlineStr">
        <is>
          <t>17:00</t>
        </is>
      </c>
      <c r="P3" s="18" t="n">
        <v>30</v>
      </c>
      <c r="Q3" s="18" t="inlineStr">
        <is>
          <t>Birthday party</t>
        </is>
      </c>
      <c r="R3" s="18" t="inlineStr">
        <is>
          <t>Tables and chairs</t>
        </is>
      </c>
      <c r="S3" s="18" t="inlineStr">
        <is>
          <t>No</t>
        </is>
      </c>
      <c r="T3" s="18" t="inlineStr"/>
      <c r="U3" s="18" t="inlineStr">
        <is>
          <t>No</t>
        </is>
      </c>
      <c r="V3" s="18" t="inlineStr"/>
      <c r="W3" s="18" t="inlineStr">
        <is>
          <t>I'll send it later</t>
        </is>
      </c>
      <c r="X3" s="18" t="inlineStr"/>
      <c r="Y3" s="18" t="inlineStr">
        <is>
          <t>I have read the facility rules and agree to follow them</t>
        </is>
      </c>
      <c r="Z3" s="18" t="inlineStr">
        <is>
          <t>Maria Santos</t>
        </is>
      </c>
      <c r="AA3" s="18" t="inlineStr"/>
      <c r="AB3" s="18" t="inlineStr">
        <is>
          <t>2026-10-04</t>
        </is>
      </c>
      <c r="AC3" s="18" t="n">
        <v>30</v>
      </c>
      <c r="AD3" s="18" t="n">
        <v>1</v>
      </c>
      <c r="AM3" s="19" t="n"/>
      <c r="AN3" s="20" t="inlineStr">
        <is>
          <t>New</t>
        </is>
      </c>
      <c r="AO3" s="20" t="inlineStr">
        <is>
          <t>No</t>
        </is>
      </c>
      <c r="AP3" s="20" t="inlineStr"/>
      <c r="AQ3" s="20" t="inlineStr">
        <is>
          <t>Asked about tables</t>
        </is>
      </c>
      <c r="AR3" s="19" t="n"/>
      <c r="AS3" s="21">
        <f>IF(IFERROR(TRIM(INDEX($A3:$AL3,MATCH(Lists!$F$2,$A$1:$AL$1,0))&amp;""),"")="","",IF(AND(IFERROR(TRIM(INDEX($A3:$AL3,MATCH(Lists!$F$3,$A$1:$AL$1,0))&amp;""),"")="Other",IFERROR(TRIM(INDEX($A3:$AL3,MATCH(Lists!$F$4,$A$1:$AL$1,0))&amp;""),"")&lt;&gt;""),IFERROR(TRIM(INDEX($A3:$AL3,MATCH(Lists!$F$4,$A$1:$AL$1,0))&amp;""),""),IF(IFERROR(TRIM(INDEX($A3:$AL3,MATCH(Lists!$F$3,$A$1:$AL$1,0))&amp;""),"")="","(no space)",IFERROR(TRIM(INDEX($A3:$AL3,MATCH(Lists!$F$3,$A$1:$AL$1,0))&amp;""),""))))</f>
        <v/>
      </c>
      <c r="AT3" s="22">
        <f>IF(IFERROR(TRIM(INDEX($A3:$AL3,MATCH(Lists!$F$2,$A$1:$AL$1,0))&amp;""),"")="",0,N(IFERROR(IF(TRIM(INDEX($A3:$AL3,MATCH(Lists!$F$5,$A$1:$AL$1,0))&amp;"")="","",IF(ISNUMBER(INDEX($A3:$AL3,MATCH(Lists!$F$5,$A$1:$AL$1,0))),INT(INDEX($A3:$AL3,MATCH(Lists!$F$5,$A$1:$AL$1,0))),DATE(VALUE(LEFT(INDEX($A3:$AL3,MATCH(Lists!$F$5,$A$1:$AL$1,0)),4)),VALUE(MID(INDEX($A3:$AL3,MATCH(Lists!$F$5,$A$1:$AL$1,0)),6,2)),VALUE(MID(INDEX($A3:$AL3,MATCH(Lists!$F$5,$A$1:$AL$1,0)),9,2))))),"")))</f>
        <v/>
      </c>
      <c r="AU3" s="21">
        <f>IF(IFERROR(TRIM(INDEX($A3:$AL3,MATCH(Lists!$F$2,$A$1:$AL$1,0))&amp;""),"")="",-1,IF(ISNUMBER(IFERROR(IF(TRIM(INDEX($A3:$AL3,MATCH(Lists!$F$6,$A$1:$AL$1,0))&amp;"")="","",IF(ISNUMBER(INDEX($A3:$AL3,MATCH(Lists!$F$6,$A$1:$AL$1,0))),ROUND(MOD(INDEX($A3:$AL3,MATCH(Lists!$F$6,$A$1:$AL$1,0)),1)*1440,0),VALUE(LEFT(INDEX($A3:$AL3,MATCH(Lists!$F$6,$A$1:$AL$1,0)),2))*60+VALUE(MID(INDEX($A3:$AL3,MATCH(Lists!$F$6,$A$1:$AL$1,0)),4,2)))),"")),IFERROR(IF(TRIM(INDEX($A3:$AL3,MATCH(Lists!$F$6,$A$1:$AL$1,0))&amp;"")="","",IF(ISNUMBER(INDEX($A3:$AL3,MATCH(Lists!$F$6,$A$1:$AL$1,0))),ROUND(MOD(INDEX($A3:$AL3,MATCH(Lists!$F$6,$A$1:$AL$1,0)),1)*1440,0),VALUE(LEFT(INDEX($A3:$AL3,MATCH(Lists!$F$6,$A$1:$AL$1,0)),2))*60+VALUE(MID(INDEX($A3:$AL3,MATCH(Lists!$F$6,$A$1:$AL$1,0)),4,2)))),""),-1))</f>
        <v/>
      </c>
      <c r="AV3" s="21">
        <f>IF(IFERROR(TRIM(INDEX($A3:$AL3,MATCH(Lists!$F$2,$A$1:$AL$1,0))&amp;""),"")="",-1,IF(ISNUMBER(IFERROR(IF(TRIM(INDEX($A3:$AL3,MATCH(Lists!$F$7,$A$1:$AL$1,0))&amp;"")="","",IF(ISNUMBER(INDEX($A3:$AL3,MATCH(Lists!$F$7,$A$1:$AL$1,0))),ROUND(MOD(INDEX($A3:$AL3,MATCH(Lists!$F$7,$A$1:$AL$1,0)),1)*1440,0),VALUE(LEFT(INDEX($A3:$AL3,MATCH(Lists!$F$7,$A$1:$AL$1,0)),2))*60+VALUE(MID(INDEX($A3:$AL3,MATCH(Lists!$F$7,$A$1:$AL$1,0)),4,2)))),"")),IFERROR(IF(TRIM(INDEX($A3:$AL3,MATCH(Lists!$F$7,$A$1:$AL$1,0))&amp;"")="","",IF(ISNUMBER(INDEX($A3:$AL3,MATCH(Lists!$F$7,$A$1:$AL$1,0))),ROUND(MOD(INDEX($A3:$AL3,MATCH(Lists!$F$7,$A$1:$AL$1,0)),1)*1440,0),VALUE(LEFT(INDEX($A3:$AL3,MATCH(Lists!$F$7,$A$1:$AL$1,0)),2))*60+VALUE(MID(INDEX($A3:$AL3,MATCH(Lists!$F$7,$A$1:$AL$1,0)),4,2)))),""),-1))</f>
        <v/>
      </c>
      <c r="AW3" s="21">
        <f>IF(IFERROR(TRIM(INDEX($A3:$AL3,MATCH(Lists!$F$2,$A$1:$AL$1,0))&amp;""),"")="","",IF(IFERROR(TRIM(INDEX($A3:$AL3,MATCH(Lists!$F$8,$A$1:$AL$1,0))&amp;""),"")&lt;&gt;"",IFERROR(TRIM(INDEX($A3:$AL3,MATCH(Lists!$F$8,$A$1:$AL$1,0))&amp;""),""),IFERROR(TRIM(INDEX($A3:$AL3,MATCH(Lists!$F$9,$A$1:$AL$1,0))&amp;""),"")))</f>
        <v/>
      </c>
      <c r="AX3" s="21">
        <f>IFERROR(IF(TRIM(INDEX($A3:$AL3,MATCH(Lists!$F$10,$A$1:$AL$1,0))&amp;"")="","",VALUE(TRIM(INDEX($A3:$AL3,MATCH(Lists!$F$10,$A$1:$AL$1,0))&amp;""))),"")</f>
        <v/>
      </c>
      <c r="AY3" s="21">
        <f>IF(IFERROR(TRIM(INDEX($A3:$AL3,MATCH(Lists!$F$2,$A$1:$AL$1,0))&amp;""),"")="","",IF(AN3="","New",AN3))</f>
        <v/>
      </c>
      <c r="AZ3" s="21">
        <f>IF(IFERROR(TRIM(INDEX($A3:$AL3,MATCH(Lists!$F$2,$A$1:$AL$1,0))&amp;""),"")="","",IF(OR(IFERROR(TRIM(INDEX($A3:$AL3,MATCH(Lists!$F$13,$A$1:$AL$1,0))&amp;""),"")="Paid",IFERROR(TRIM(INDEX($A3:$AL3,MATCH(Lists!$F$13,$A$1:$AL$1,0))&amp;""),"")="Partially refunded"),"Paid",IF(AP3="Yes","Paid (by hand)",IFERROR(TRIM(INDEX($A3:$AL3,MATCH(Lists!$F$13,$A$1:$AL$1,0))&amp;""),""))))</f>
        <v/>
      </c>
      <c r="BA3" s="21">
        <f>IF(AND(IFERROR(TRIM(INDEX($A3:$AL3,MATCH(Lists!$F$2,$A$1:$AL$1,0))&amp;""),"")&lt;&gt;"",AT3&gt;0,AU3&gt;=0,AV3&gt;AU3,AY3&lt;&gt;"Declined"),1,0)</f>
        <v/>
      </c>
      <c r="BB3" s="21">
        <f>IF(BA3=1,COUNTIFS($AS$2:$AS$501,AS3,$AT$2:$AT$501,AT3,$AU$2:$AU$501,"&lt;"&amp;AV3,$AV$2:$AV$501,"&gt;"&amp;AU3,$BA$2:$BA$501,1)-1,"")</f>
        <v/>
      </c>
      <c r="BC3" s="21">
        <f>IF(N(BB3)&gt;0,"Clashes with "&amp;INDEX($AW$2:$AW$501,SUMPRODUCT(MAX(($AS$2:$AS$501=AS3)*($AT$2:$AT$501=AT3)*($AU$2:$AU$501&lt;AV3)*($AV$2:$AV$501&gt;AU3)*($BA$2:$BA$501=1)*(ROW($AS$2:$AS$501)&lt;&gt;ROW())*ROW($AS$2:$AS$501)))-1)&amp;" ("&amp;INDEX($AY$2:$AY$501,SUMPRODUCT(MAX(($AS$2:$AS$501=AS3)*($AT$2:$AT$501=AT3)*($AU$2:$AU$501&lt;AV3)*($AV$2:$AV$501&gt;AU3)*($BA$2:$BA$501=1)*(ROW($AS$2:$AS$501)&lt;&gt;ROW())*ROW($AS$2:$AS$501)))-1)&amp;")"&amp;IF(BB3&gt;1," and "&amp;(BB3-1)&amp;" more",""),"")</f>
        <v/>
      </c>
      <c r="BD3" s="21">
        <f>IF(AND(BA3=1,AY3="Confirmed"),AT3*10000000+AU3*1000+ROW(),"")</f>
        <v/>
      </c>
      <c r="BE3" s="21">
        <f>IF(IFERROR(TRIM(INDEX($A3:$AL3,MATCH(Lists!$F$2,$A$1:$AL$1,0))&amp;""),"")="","",IFERROR(TRIM(INDEX($A3:$AL3,MATCH(Lists!$F$11,$A$1:$AL$1,0))&amp;""),""))</f>
        <v/>
      </c>
      <c r="BF3" s="21">
        <f>IF(IFERROR(TRIM(INDEX($A3:$AL3,MATCH(Lists!$F$2,$A$1:$AL$1,0))&amp;""),"")="","",IFERROR(TRIM(INDEX($A3:$AL3,MATCH(Lists!$F$12,$A$1:$AL$1,0))&amp;""),""))</f>
        <v/>
      </c>
    </row>
    <row r="4">
      <c r="A4" s="18" t="inlineStr">
        <is>
          <t>EXAMPLE-03 (delete me)</t>
        </is>
      </c>
      <c r="B4" s="18" t="inlineStr">
        <is>
          <t>2026-10-05T09:12:00.000Z</t>
        </is>
      </c>
      <c r="C4" s="18" t="inlineStr">
        <is>
          <t>2026-10-05T09:07:00.000Z</t>
        </is>
      </c>
      <c r="D4" s="18" t="inlineStr">
        <is>
          <t>Tom Reyes</t>
        </is>
      </c>
      <c r="E4" s="18" t="inlineStr">
        <is>
          <t>Eastside Youth Choir</t>
        </is>
      </c>
      <c r="F4" s="18" t="inlineStr">
        <is>
          <t>tom@example.com</t>
        </is>
      </c>
      <c r="G4" s="18" t="inlineStr">
        <is>
          <t>555-0100</t>
        </is>
      </c>
      <c r="H4" s="18" t="inlineStr">
        <is>
          <t>Yes</t>
        </is>
      </c>
      <c r="I4" s="18" t="inlineStr">
        <is>
          <t>room-1</t>
        </is>
      </c>
      <c r="J4" s="18" t="inlineStr">
        <is>
          <t>Community room</t>
        </is>
      </c>
      <c r="K4" s="18" t="inlineStr"/>
      <c r="L4" s="18" t="inlineStr">
        <is>
          <t>2026-11-14</t>
        </is>
      </c>
      <c r="M4" s="18" t="inlineStr"/>
      <c r="N4" s="18" t="inlineStr">
        <is>
          <t>09:00</t>
        </is>
      </c>
      <c r="O4" s="18" t="inlineStr">
        <is>
          <t>12:00</t>
        </is>
      </c>
      <c r="P4" s="18" t="n">
        <v>35</v>
      </c>
      <c r="Q4" s="18" t="inlineStr">
        <is>
          <t>Rehearsal</t>
        </is>
      </c>
      <c r="R4" s="18" t="inlineStr">
        <is>
          <t>Tables and chairs</t>
        </is>
      </c>
      <c r="S4" s="18" t="inlineStr">
        <is>
          <t>No</t>
        </is>
      </c>
      <c r="T4" s="18" t="inlineStr"/>
      <c r="U4" s="18" t="inlineStr">
        <is>
          <t>No</t>
        </is>
      </c>
      <c r="V4" s="18" t="inlineStr"/>
      <c r="W4" s="18" t="inlineStr">
        <is>
          <t>Yes, I'll upload it</t>
        </is>
      </c>
      <c r="X4" s="18" t="inlineStr">
        <is>
          <t>certificate.pdf</t>
        </is>
      </c>
      <c r="Y4" s="18" t="inlineStr">
        <is>
          <t>I have read the facility rules and agree to follow them</t>
        </is>
      </c>
      <c r="Z4" s="18" t="inlineStr">
        <is>
          <t>Tom Reyes</t>
        </is>
      </c>
      <c r="AA4" s="18" t="inlineStr"/>
      <c r="AB4" s="18" t="inlineStr">
        <is>
          <t>2026-10-05</t>
        </is>
      </c>
      <c r="AC4" s="18" t="n">
        <v>30</v>
      </c>
      <c r="AD4" s="18" t="n">
        <v>1</v>
      </c>
      <c r="AM4" s="19" t="n"/>
      <c r="AN4" s="20" t="inlineStr">
        <is>
          <t>Confirmed</t>
        </is>
      </c>
      <c r="AO4" s="20" t="inlineStr">
        <is>
          <t>Yes</t>
        </is>
      </c>
      <c r="AP4" s="20" t="inlineStr"/>
      <c r="AQ4" s="20" t="inlineStr"/>
      <c r="AR4" s="19" t="n"/>
      <c r="AS4" s="21">
        <f>IF(IFERROR(TRIM(INDEX($A4:$AL4,MATCH(Lists!$F$2,$A$1:$AL$1,0))&amp;""),"")="","",IF(AND(IFERROR(TRIM(INDEX($A4:$AL4,MATCH(Lists!$F$3,$A$1:$AL$1,0))&amp;""),"")="Other",IFERROR(TRIM(INDEX($A4:$AL4,MATCH(Lists!$F$4,$A$1:$AL$1,0))&amp;""),"")&lt;&gt;""),IFERROR(TRIM(INDEX($A4:$AL4,MATCH(Lists!$F$4,$A$1:$AL$1,0))&amp;""),""),IF(IFERROR(TRIM(INDEX($A4:$AL4,MATCH(Lists!$F$3,$A$1:$AL$1,0))&amp;""),"")="","(no space)",IFERROR(TRIM(INDEX($A4:$AL4,MATCH(Lists!$F$3,$A$1:$AL$1,0))&amp;""),""))))</f>
        <v/>
      </c>
      <c r="AT4" s="22">
        <f>IF(IFERROR(TRIM(INDEX($A4:$AL4,MATCH(Lists!$F$2,$A$1:$AL$1,0))&amp;""),"")="",0,N(IFERROR(IF(TRIM(INDEX($A4:$AL4,MATCH(Lists!$F$5,$A$1:$AL$1,0))&amp;"")="","",IF(ISNUMBER(INDEX($A4:$AL4,MATCH(Lists!$F$5,$A$1:$AL$1,0))),INT(INDEX($A4:$AL4,MATCH(Lists!$F$5,$A$1:$AL$1,0))),DATE(VALUE(LEFT(INDEX($A4:$AL4,MATCH(Lists!$F$5,$A$1:$AL$1,0)),4)),VALUE(MID(INDEX($A4:$AL4,MATCH(Lists!$F$5,$A$1:$AL$1,0)),6,2)),VALUE(MID(INDEX($A4:$AL4,MATCH(Lists!$F$5,$A$1:$AL$1,0)),9,2))))),"")))</f>
        <v/>
      </c>
      <c r="AU4" s="21">
        <f>IF(IFERROR(TRIM(INDEX($A4:$AL4,MATCH(Lists!$F$2,$A$1:$AL$1,0))&amp;""),"")="",-1,IF(ISNUMBER(IFERROR(IF(TRIM(INDEX($A4:$AL4,MATCH(Lists!$F$6,$A$1:$AL$1,0))&amp;"")="","",IF(ISNUMBER(INDEX($A4:$AL4,MATCH(Lists!$F$6,$A$1:$AL$1,0))),ROUND(MOD(INDEX($A4:$AL4,MATCH(Lists!$F$6,$A$1:$AL$1,0)),1)*1440,0),VALUE(LEFT(INDEX($A4:$AL4,MATCH(Lists!$F$6,$A$1:$AL$1,0)),2))*60+VALUE(MID(INDEX($A4:$AL4,MATCH(Lists!$F$6,$A$1:$AL$1,0)),4,2)))),"")),IFERROR(IF(TRIM(INDEX($A4:$AL4,MATCH(Lists!$F$6,$A$1:$AL$1,0))&amp;"")="","",IF(ISNUMBER(INDEX($A4:$AL4,MATCH(Lists!$F$6,$A$1:$AL$1,0))),ROUND(MOD(INDEX($A4:$AL4,MATCH(Lists!$F$6,$A$1:$AL$1,0)),1)*1440,0),VALUE(LEFT(INDEX($A4:$AL4,MATCH(Lists!$F$6,$A$1:$AL$1,0)),2))*60+VALUE(MID(INDEX($A4:$AL4,MATCH(Lists!$F$6,$A$1:$AL$1,0)),4,2)))),""),-1))</f>
        <v/>
      </c>
      <c r="AV4" s="21">
        <f>IF(IFERROR(TRIM(INDEX($A4:$AL4,MATCH(Lists!$F$2,$A$1:$AL$1,0))&amp;""),"")="",-1,IF(ISNUMBER(IFERROR(IF(TRIM(INDEX($A4:$AL4,MATCH(Lists!$F$7,$A$1:$AL$1,0))&amp;"")="","",IF(ISNUMBER(INDEX($A4:$AL4,MATCH(Lists!$F$7,$A$1:$AL$1,0))),ROUND(MOD(INDEX($A4:$AL4,MATCH(Lists!$F$7,$A$1:$AL$1,0)),1)*1440,0),VALUE(LEFT(INDEX($A4:$AL4,MATCH(Lists!$F$7,$A$1:$AL$1,0)),2))*60+VALUE(MID(INDEX($A4:$AL4,MATCH(Lists!$F$7,$A$1:$AL$1,0)),4,2)))),"")),IFERROR(IF(TRIM(INDEX($A4:$AL4,MATCH(Lists!$F$7,$A$1:$AL$1,0))&amp;"")="","",IF(ISNUMBER(INDEX($A4:$AL4,MATCH(Lists!$F$7,$A$1:$AL$1,0))),ROUND(MOD(INDEX($A4:$AL4,MATCH(Lists!$F$7,$A$1:$AL$1,0)),1)*1440,0),VALUE(LEFT(INDEX($A4:$AL4,MATCH(Lists!$F$7,$A$1:$AL$1,0)),2))*60+VALUE(MID(INDEX($A4:$AL4,MATCH(Lists!$F$7,$A$1:$AL$1,0)),4,2)))),""),-1))</f>
        <v/>
      </c>
      <c r="AW4" s="21">
        <f>IF(IFERROR(TRIM(INDEX($A4:$AL4,MATCH(Lists!$F$2,$A$1:$AL$1,0))&amp;""),"")="","",IF(IFERROR(TRIM(INDEX($A4:$AL4,MATCH(Lists!$F$8,$A$1:$AL$1,0))&amp;""),"")&lt;&gt;"",IFERROR(TRIM(INDEX($A4:$AL4,MATCH(Lists!$F$8,$A$1:$AL$1,0))&amp;""),""),IFERROR(TRIM(INDEX($A4:$AL4,MATCH(Lists!$F$9,$A$1:$AL$1,0))&amp;""),"")))</f>
        <v/>
      </c>
      <c r="AX4" s="21">
        <f>IFERROR(IF(TRIM(INDEX($A4:$AL4,MATCH(Lists!$F$10,$A$1:$AL$1,0))&amp;"")="","",VALUE(TRIM(INDEX($A4:$AL4,MATCH(Lists!$F$10,$A$1:$AL$1,0))&amp;""))),"")</f>
        <v/>
      </c>
      <c r="AY4" s="21">
        <f>IF(IFERROR(TRIM(INDEX($A4:$AL4,MATCH(Lists!$F$2,$A$1:$AL$1,0))&amp;""),"")="","",IF(AN4="","New",AN4))</f>
        <v/>
      </c>
      <c r="AZ4" s="21">
        <f>IF(IFERROR(TRIM(INDEX($A4:$AL4,MATCH(Lists!$F$2,$A$1:$AL$1,0))&amp;""),"")="","",IF(OR(IFERROR(TRIM(INDEX($A4:$AL4,MATCH(Lists!$F$13,$A$1:$AL$1,0))&amp;""),"")="Paid",IFERROR(TRIM(INDEX($A4:$AL4,MATCH(Lists!$F$13,$A$1:$AL$1,0))&amp;""),"")="Partially refunded"),"Paid",IF(AP4="Yes","Paid (by hand)",IFERROR(TRIM(INDEX($A4:$AL4,MATCH(Lists!$F$13,$A$1:$AL$1,0))&amp;""),""))))</f>
        <v/>
      </c>
      <c r="BA4" s="21">
        <f>IF(AND(IFERROR(TRIM(INDEX($A4:$AL4,MATCH(Lists!$F$2,$A$1:$AL$1,0))&amp;""),"")&lt;&gt;"",AT4&gt;0,AU4&gt;=0,AV4&gt;AU4,AY4&lt;&gt;"Declined"),1,0)</f>
        <v/>
      </c>
      <c r="BB4" s="21">
        <f>IF(BA4=1,COUNTIFS($AS$2:$AS$501,AS4,$AT$2:$AT$501,AT4,$AU$2:$AU$501,"&lt;"&amp;AV4,$AV$2:$AV$501,"&gt;"&amp;AU4,$BA$2:$BA$501,1)-1,"")</f>
        <v/>
      </c>
      <c r="BC4" s="21">
        <f>IF(N(BB4)&gt;0,"Clashes with "&amp;INDEX($AW$2:$AW$501,SUMPRODUCT(MAX(($AS$2:$AS$501=AS4)*($AT$2:$AT$501=AT4)*($AU$2:$AU$501&lt;AV4)*($AV$2:$AV$501&gt;AU4)*($BA$2:$BA$501=1)*(ROW($AS$2:$AS$501)&lt;&gt;ROW())*ROW($AS$2:$AS$501)))-1)&amp;" ("&amp;INDEX($AY$2:$AY$501,SUMPRODUCT(MAX(($AS$2:$AS$501=AS4)*($AT$2:$AT$501=AT4)*($AU$2:$AU$501&lt;AV4)*($AV$2:$AV$501&gt;AU4)*($BA$2:$BA$501=1)*(ROW($AS$2:$AS$501)&lt;&gt;ROW())*ROW($AS$2:$AS$501)))-1)&amp;")"&amp;IF(BB4&gt;1," and "&amp;(BB4-1)&amp;" more",""),"")</f>
        <v/>
      </c>
      <c r="BD4" s="21">
        <f>IF(AND(BA4=1,AY4="Confirmed"),AT4*10000000+AU4*1000+ROW(),"")</f>
        <v/>
      </c>
      <c r="BE4" s="21">
        <f>IF(IFERROR(TRIM(INDEX($A4:$AL4,MATCH(Lists!$F$2,$A$1:$AL$1,0))&amp;""),"")="","",IFERROR(TRIM(INDEX($A4:$AL4,MATCH(Lists!$F$11,$A$1:$AL$1,0))&amp;""),""))</f>
        <v/>
      </c>
      <c r="BF4" s="21">
        <f>IF(IFERROR(TRIM(INDEX($A4:$AL4,MATCH(Lists!$F$2,$A$1:$AL$1,0))&amp;""),"")="","",IFERROR(TRIM(INDEX($A4:$AL4,MATCH(Lists!$F$12,$A$1:$AL$1,0))&amp;""),""))</f>
        <v/>
      </c>
    </row>
    <row r="5">
      <c r="A5" s="18" t="inlineStr">
        <is>
          <t>EXAMPLE-04 (delete me)</t>
        </is>
      </c>
      <c r="B5" s="18" t="inlineStr">
        <is>
          <t>2026-10-06T09:13:00.000Z</t>
        </is>
      </c>
      <c r="C5" s="18" t="inlineStr">
        <is>
          <t>2026-10-06T09:08:00.000Z</t>
        </is>
      </c>
      <c r="D5" s="18" t="inlineStr">
        <is>
          <t>Dana Whitfield</t>
        </is>
      </c>
      <c r="E5" s="18" t="inlineStr"/>
      <c r="F5" s="18" t="inlineStr">
        <is>
          <t>dana@example.com</t>
        </is>
      </c>
      <c r="G5" s="18" t="inlineStr">
        <is>
          <t>555-0100</t>
        </is>
      </c>
      <c r="H5" s="18" t="inlineStr">
        <is>
          <t>Yes</t>
        </is>
      </c>
      <c r="I5" s="18" t="inlineStr">
        <is>
          <t>room-1</t>
        </is>
      </c>
      <c r="J5" s="18" t="inlineStr">
        <is>
          <t>Community room</t>
        </is>
      </c>
      <c r="K5" s="18" t="inlineStr"/>
      <c r="L5" s="18" t="inlineStr">
        <is>
          <t>2026-11-14</t>
        </is>
      </c>
      <c r="M5" s="18" t="inlineStr"/>
      <c r="N5" s="18" t="inlineStr">
        <is>
          <t>12:00</t>
        </is>
      </c>
      <c r="O5" s="18" t="inlineStr">
        <is>
          <t>15:00</t>
        </is>
      </c>
      <c r="P5" s="18" t="n">
        <v>20</v>
      </c>
      <c r="Q5" s="18" t="inlineStr">
        <is>
          <t>Baby shower</t>
        </is>
      </c>
      <c r="R5" s="18" t="inlineStr">
        <is>
          <t>Tables and chairs</t>
        </is>
      </c>
      <c r="S5" s="18" t="inlineStr">
        <is>
          <t>No</t>
        </is>
      </c>
      <c r="T5" s="18" t="inlineStr"/>
      <c r="U5" s="18" t="inlineStr">
        <is>
          <t>No</t>
        </is>
      </c>
      <c r="V5" s="18" t="inlineStr"/>
      <c r="W5" s="18" t="inlineStr">
        <is>
          <t>I'm not sure if I need one</t>
        </is>
      </c>
      <c r="X5" s="18" t="inlineStr"/>
      <c r="Y5" s="18" t="inlineStr">
        <is>
          <t>I have read the facility rules and agree to follow them</t>
        </is>
      </c>
      <c r="Z5" s="18" t="inlineStr">
        <is>
          <t>Dana Whitfield</t>
        </is>
      </c>
      <c r="AA5" s="18" t="inlineStr"/>
      <c r="AB5" s="18" t="inlineStr">
        <is>
          <t>2026-10-06</t>
        </is>
      </c>
      <c r="AC5" s="18" t="n">
        <v>30</v>
      </c>
      <c r="AD5" s="18" t="n">
        <v>1</v>
      </c>
      <c r="AM5" s="19" t="n"/>
      <c r="AN5" s="20" t="inlineStr">
        <is>
          <t>New</t>
        </is>
      </c>
      <c r="AO5" s="20" t="inlineStr"/>
      <c r="AP5" s="20" t="inlineStr"/>
      <c r="AQ5" s="20" t="inlineStr">
        <is>
          <t>Back to back with the choir</t>
        </is>
      </c>
      <c r="AR5" s="19" t="n"/>
      <c r="AS5" s="21">
        <f>IF(IFERROR(TRIM(INDEX($A5:$AL5,MATCH(Lists!$F$2,$A$1:$AL$1,0))&amp;""),"")="","",IF(AND(IFERROR(TRIM(INDEX($A5:$AL5,MATCH(Lists!$F$3,$A$1:$AL$1,0))&amp;""),"")="Other",IFERROR(TRIM(INDEX($A5:$AL5,MATCH(Lists!$F$4,$A$1:$AL$1,0))&amp;""),"")&lt;&gt;""),IFERROR(TRIM(INDEX($A5:$AL5,MATCH(Lists!$F$4,$A$1:$AL$1,0))&amp;""),""),IF(IFERROR(TRIM(INDEX($A5:$AL5,MATCH(Lists!$F$3,$A$1:$AL$1,0))&amp;""),"")="","(no space)",IFERROR(TRIM(INDEX($A5:$AL5,MATCH(Lists!$F$3,$A$1:$AL$1,0))&amp;""),""))))</f>
        <v/>
      </c>
      <c r="AT5" s="22">
        <f>IF(IFERROR(TRIM(INDEX($A5:$AL5,MATCH(Lists!$F$2,$A$1:$AL$1,0))&amp;""),"")="",0,N(IFERROR(IF(TRIM(INDEX($A5:$AL5,MATCH(Lists!$F$5,$A$1:$AL$1,0))&amp;"")="","",IF(ISNUMBER(INDEX($A5:$AL5,MATCH(Lists!$F$5,$A$1:$AL$1,0))),INT(INDEX($A5:$AL5,MATCH(Lists!$F$5,$A$1:$AL$1,0))),DATE(VALUE(LEFT(INDEX($A5:$AL5,MATCH(Lists!$F$5,$A$1:$AL$1,0)),4)),VALUE(MID(INDEX($A5:$AL5,MATCH(Lists!$F$5,$A$1:$AL$1,0)),6,2)),VALUE(MID(INDEX($A5:$AL5,MATCH(Lists!$F$5,$A$1:$AL$1,0)),9,2))))),"")))</f>
        <v/>
      </c>
      <c r="AU5" s="21">
        <f>IF(IFERROR(TRIM(INDEX($A5:$AL5,MATCH(Lists!$F$2,$A$1:$AL$1,0))&amp;""),"")="",-1,IF(ISNUMBER(IFERROR(IF(TRIM(INDEX($A5:$AL5,MATCH(Lists!$F$6,$A$1:$AL$1,0))&amp;"")="","",IF(ISNUMBER(INDEX($A5:$AL5,MATCH(Lists!$F$6,$A$1:$AL$1,0))),ROUND(MOD(INDEX($A5:$AL5,MATCH(Lists!$F$6,$A$1:$AL$1,0)),1)*1440,0),VALUE(LEFT(INDEX($A5:$AL5,MATCH(Lists!$F$6,$A$1:$AL$1,0)),2))*60+VALUE(MID(INDEX($A5:$AL5,MATCH(Lists!$F$6,$A$1:$AL$1,0)),4,2)))),"")),IFERROR(IF(TRIM(INDEX($A5:$AL5,MATCH(Lists!$F$6,$A$1:$AL$1,0))&amp;"")="","",IF(ISNUMBER(INDEX($A5:$AL5,MATCH(Lists!$F$6,$A$1:$AL$1,0))),ROUND(MOD(INDEX($A5:$AL5,MATCH(Lists!$F$6,$A$1:$AL$1,0)),1)*1440,0),VALUE(LEFT(INDEX($A5:$AL5,MATCH(Lists!$F$6,$A$1:$AL$1,0)),2))*60+VALUE(MID(INDEX($A5:$AL5,MATCH(Lists!$F$6,$A$1:$AL$1,0)),4,2)))),""),-1))</f>
        <v/>
      </c>
      <c r="AV5" s="21">
        <f>IF(IFERROR(TRIM(INDEX($A5:$AL5,MATCH(Lists!$F$2,$A$1:$AL$1,0))&amp;""),"")="",-1,IF(ISNUMBER(IFERROR(IF(TRIM(INDEX($A5:$AL5,MATCH(Lists!$F$7,$A$1:$AL$1,0))&amp;"")="","",IF(ISNUMBER(INDEX($A5:$AL5,MATCH(Lists!$F$7,$A$1:$AL$1,0))),ROUND(MOD(INDEX($A5:$AL5,MATCH(Lists!$F$7,$A$1:$AL$1,0)),1)*1440,0),VALUE(LEFT(INDEX($A5:$AL5,MATCH(Lists!$F$7,$A$1:$AL$1,0)),2))*60+VALUE(MID(INDEX($A5:$AL5,MATCH(Lists!$F$7,$A$1:$AL$1,0)),4,2)))),"")),IFERROR(IF(TRIM(INDEX($A5:$AL5,MATCH(Lists!$F$7,$A$1:$AL$1,0))&amp;"")="","",IF(ISNUMBER(INDEX($A5:$AL5,MATCH(Lists!$F$7,$A$1:$AL$1,0))),ROUND(MOD(INDEX($A5:$AL5,MATCH(Lists!$F$7,$A$1:$AL$1,0)),1)*1440,0),VALUE(LEFT(INDEX($A5:$AL5,MATCH(Lists!$F$7,$A$1:$AL$1,0)),2))*60+VALUE(MID(INDEX($A5:$AL5,MATCH(Lists!$F$7,$A$1:$AL$1,0)),4,2)))),""),-1))</f>
        <v/>
      </c>
      <c r="AW5" s="21">
        <f>IF(IFERROR(TRIM(INDEX($A5:$AL5,MATCH(Lists!$F$2,$A$1:$AL$1,0))&amp;""),"")="","",IF(IFERROR(TRIM(INDEX($A5:$AL5,MATCH(Lists!$F$8,$A$1:$AL$1,0))&amp;""),"")&lt;&gt;"",IFERROR(TRIM(INDEX($A5:$AL5,MATCH(Lists!$F$8,$A$1:$AL$1,0))&amp;""),""),IFERROR(TRIM(INDEX($A5:$AL5,MATCH(Lists!$F$9,$A$1:$AL$1,0))&amp;""),"")))</f>
        <v/>
      </c>
      <c r="AX5" s="21">
        <f>IFERROR(IF(TRIM(INDEX($A5:$AL5,MATCH(Lists!$F$10,$A$1:$AL$1,0))&amp;"")="","",VALUE(TRIM(INDEX($A5:$AL5,MATCH(Lists!$F$10,$A$1:$AL$1,0))&amp;""))),"")</f>
        <v/>
      </c>
      <c r="AY5" s="21">
        <f>IF(IFERROR(TRIM(INDEX($A5:$AL5,MATCH(Lists!$F$2,$A$1:$AL$1,0))&amp;""),"")="","",IF(AN5="","New",AN5))</f>
        <v/>
      </c>
      <c r="AZ5" s="21">
        <f>IF(IFERROR(TRIM(INDEX($A5:$AL5,MATCH(Lists!$F$2,$A$1:$AL$1,0))&amp;""),"")="","",IF(OR(IFERROR(TRIM(INDEX($A5:$AL5,MATCH(Lists!$F$13,$A$1:$AL$1,0))&amp;""),"")="Paid",IFERROR(TRIM(INDEX($A5:$AL5,MATCH(Lists!$F$13,$A$1:$AL$1,0))&amp;""),"")="Partially refunded"),"Paid",IF(AP5="Yes","Paid (by hand)",IFERROR(TRIM(INDEX($A5:$AL5,MATCH(Lists!$F$13,$A$1:$AL$1,0))&amp;""),""))))</f>
        <v/>
      </c>
      <c r="BA5" s="21">
        <f>IF(AND(IFERROR(TRIM(INDEX($A5:$AL5,MATCH(Lists!$F$2,$A$1:$AL$1,0))&amp;""),"")&lt;&gt;"",AT5&gt;0,AU5&gt;=0,AV5&gt;AU5,AY5&lt;&gt;"Declined"),1,0)</f>
        <v/>
      </c>
      <c r="BB5" s="21">
        <f>IF(BA5=1,COUNTIFS($AS$2:$AS$501,AS5,$AT$2:$AT$501,AT5,$AU$2:$AU$501,"&lt;"&amp;AV5,$AV$2:$AV$501,"&gt;"&amp;AU5,$BA$2:$BA$501,1)-1,"")</f>
        <v/>
      </c>
      <c r="BC5" s="21">
        <f>IF(N(BB5)&gt;0,"Clashes with "&amp;INDEX($AW$2:$AW$501,SUMPRODUCT(MAX(($AS$2:$AS$501=AS5)*($AT$2:$AT$501=AT5)*($AU$2:$AU$501&lt;AV5)*($AV$2:$AV$501&gt;AU5)*($BA$2:$BA$501=1)*(ROW($AS$2:$AS$501)&lt;&gt;ROW())*ROW($AS$2:$AS$501)))-1)&amp;" ("&amp;INDEX($AY$2:$AY$501,SUMPRODUCT(MAX(($AS$2:$AS$501=AS5)*($AT$2:$AT$501=AT5)*($AU$2:$AU$501&lt;AV5)*($AV$2:$AV$501&gt;AU5)*($BA$2:$BA$501=1)*(ROW($AS$2:$AS$501)&lt;&gt;ROW())*ROW($AS$2:$AS$501)))-1)&amp;")"&amp;IF(BB5&gt;1," and "&amp;(BB5-1)&amp;" more",""),"")</f>
        <v/>
      </c>
      <c r="BD5" s="21">
        <f>IF(AND(BA5=1,AY5="Confirmed"),AT5*10000000+AU5*1000+ROW(),"")</f>
        <v/>
      </c>
      <c r="BE5" s="21">
        <f>IF(IFERROR(TRIM(INDEX($A5:$AL5,MATCH(Lists!$F$2,$A$1:$AL$1,0))&amp;""),"")="","",IFERROR(TRIM(INDEX($A5:$AL5,MATCH(Lists!$F$11,$A$1:$AL$1,0))&amp;""),""))</f>
        <v/>
      </c>
      <c r="BF5" s="21">
        <f>IF(IFERROR(TRIM(INDEX($A5:$AL5,MATCH(Lists!$F$2,$A$1:$AL$1,0))&amp;""),"")="","",IFERROR(TRIM(INDEX($A5:$AL5,MATCH(Lists!$F$12,$A$1:$AL$1,0))&amp;""),""))</f>
        <v/>
      </c>
    </row>
    <row r="6">
      <c r="A6" s="18" t="inlineStr">
        <is>
          <t>EXAMPLE-05 (delete me)</t>
        </is>
      </c>
      <c r="B6" s="18" t="inlineStr">
        <is>
          <t>2026-10-07T09:14:00.000Z</t>
        </is>
      </c>
      <c r="C6" s="18" t="inlineStr">
        <is>
          <t>2026-10-07T09:09:00.000Z</t>
        </is>
      </c>
      <c r="D6" s="18" t="inlineStr">
        <is>
          <t>Priya Nair</t>
        </is>
      </c>
      <c r="E6" s="18" t="inlineStr">
        <is>
          <t>Book Swap Group</t>
        </is>
      </c>
      <c r="F6" s="18" t="inlineStr">
        <is>
          <t>priya@example.com</t>
        </is>
      </c>
      <c r="G6" s="18" t="inlineStr">
        <is>
          <t>555-0100</t>
        </is>
      </c>
      <c r="H6" s="18" t="inlineStr">
        <is>
          <t>Yes</t>
        </is>
      </c>
      <c r="I6" s="18" t="inlineStr">
        <is>
          <t>room-1</t>
        </is>
      </c>
      <c r="J6" s="18" t="inlineStr">
        <is>
          <t>Community room</t>
        </is>
      </c>
      <c r="K6" s="18" t="inlineStr"/>
      <c r="L6" s="18" t="inlineStr">
        <is>
          <t>2026-11-14</t>
        </is>
      </c>
      <c r="M6" s="18" t="inlineStr"/>
      <c r="N6" s="18" t="inlineStr">
        <is>
          <t>11:00</t>
        </is>
      </c>
      <c r="O6" s="18" t="inlineStr">
        <is>
          <t>13:00</t>
        </is>
      </c>
      <c r="P6" s="18" t="n">
        <v>25</v>
      </c>
      <c r="Q6" s="18" t="inlineStr">
        <is>
          <t>Book swap</t>
        </is>
      </c>
      <c r="R6" s="18" t="inlineStr">
        <is>
          <t>Tables and chairs</t>
        </is>
      </c>
      <c r="S6" s="18" t="inlineStr">
        <is>
          <t>No</t>
        </is>
      </c>
      <c r="T6" s="18" t="inlineStr"/>
      <c r="U6" s="18" t="inlineStr">
        <is>
          <t>No</t>
        </is>
      </c>
      <c r="V6" s="18" t="inlineStr"/>
      <c r="W6" s="18" t="inlineStr">
        <is>
          <t>I'll send it later</t>
        </is>
      </c>
      <c r="X6" s="18" t="inlineStr"/>
      <c r="Y6" s="18" t="inlineStr">
        <is>
          <t>I have read the facility rules and agree to follow them</t>
        </is>
      </c>
      <c r="Z6" s="18" t="inlineStr">
        <is>
          <t>Priya Nair</t>
        </is>
      </c>
      <c r="AA6" s="18" t="inlineStr"/>
      <c r="AB6" s="18" t="inlineStr">
        <is>
          <t>2026-10-07</t>
        </is>
      </c>
      <c r="AC6" s="18" t="n">
        <v>30</v>
      </c>
      <c r="AD6" s="18" t="n">
        <v>1</v>
      </c>
      <c r="AM6" s="19" t="n"/>
      <c r="AN6" s="20" t="inlineStr">
        <is>
          <t>New</t>
        </is>
      </c>
      <c r="AO6" s="20" t="inlineStr"/>
      <c r="AP6" s="20" t="inlineStr"/>
      <c r="AQ6" s="20" t="inlineStr"/>
      <c r="AR6" s="19" t="n"/>
      <c r="AS6" s="21">
        <f>IF(IFERROR(TRIM(INDEX($A6:$AL6,MATCH(Lists!$F$2,$A$1:$AL$1,0))&amp;""),"")="","",IF(AND(IFERROR(TRIM(INDEX($A6:$AL6,MATCH(Lists!$F$3,$A$1:$AL$1,0))&amp;""),"")="Other",IFERROR(TRIM(INDEX($A6:$AL6,MATCH(Lists!$F$4,$A$1:$AL$1,0))&amp;""),"")&lt;&gt;""),IFERROR(TRIM(INDEX($A6:$AL6,MATCH(Lists!$F$4,$A$1:$AL$1,0))&amp;""),""),IF(IFERROR(TRIM(INDEX($A6:$AL6,MATCH(Lists!$F$3,$A$1:$AL$1,0))&amp;""),"")="","(no space)",IFERROR(TRIM(INDEX($A6:$AL6,MATCH(Lists!$F$3,$A$1:$AL$1,0))&amp;""),""))))</f>
        <v/>
      </c>
      <c r="AT6" s="22">
        <f>IF(IFERROR(TRIM(INDEX($A6:$AL6,MATCH(Lists!$F$2,$A$1:$AL$1,0))&amp;""),"")="",0,N(IFERROR(IF(TRIM(INDEX($A6:$AL6,MATCH(Lists!$F$5,$A$1:$AL$1,0))&amp;"")="","",IF(ISNUMBER(INDEX($A6:$AL6,MATCH(Lists!$F$5,$A$1:$AL$1,0))),INT(INDEX($A6:$AL6,MATCH(Lists!$F$5,$A$1:$AL$1,0))),DATE(VALUE(LEFT(INDEX($A6:$AL6,MATCH(Lists!$F$5,$A$1:$AL$1,0)),4)),VALUE(MID(INDEX($A6:$AL6,MATCH(Lists!$F$5,$A$1:$AL$1,0)),6,2)),VALUE(MID(INDEX($A6:$AL6,MATCH(Lists!$F$5,$A$1:$AL$1,0)),9,2))))),"")))</f>
        <v/>
      </c>
      <c r="AU6" s="21">
        <f>IF(IFERROR(TRIM(INDEX($A6:$AL6,MATCH(Lists!$F$2,$A$1:$AL$1,0))&amp;""),"")="",-1,IF(ISNUMBER(IFERROR(IF(TRIM(INDEX($A6:$AL6,MATCH(Lists!$F$6,$A$1:$AL$1,0))&amp;"")="","",IF(ISNUMBER(INDEX($A6:$AL6,MATCH(Lists!$F$6,$A$1:$AL$1,0))),ROUND(MOD(INDEX($A6:$AL6,MATCH(Lists!$F$6,$A$1:$AL$1,0)),1)*1440,0),VALUE(LEFT(INDEX($A6:$AL6,MATCH(Lists!$F$6,$A$1:$AL$1,0)),2))*60+VALUE(MID(INDEX($A6:$AL6,MATCH(Lists!$F$6,$A$1:$AL$1,0)),4,2)))),"")),IFERROR(IF(TRIM(INDEX($A6:$AL6,MATCH(Lists!$F$6,$A$1:$AL$1,0))&amp;"")="","",IF(ISNUMBER(INDEX($A6:$AL6,MATCH(Lists!$F$6,$A$1:$AL$1,0))),ROUND(MOD(INDEX($A6:$AL6,MATCH(Lists!$F$6,$A$1:$AL$1,0)),1)*1440,0),VALUE(LEFT(INDEX($A6:$AL6,MATCH(Lists!$F$6,$A$1:$AL$1,0)),2))*60+VALUE(MID(INDEX($A6:$AL6,MATCH(Lists!$F$6,$A$1:$AL$1,0)),4,2)))),""),-1))</f>
        <v/>
      </c>
      <c r="AV6" s="21">
        <f>IF(IFERROR(TRIM(INDEX($A6:$AL6,MATCH(Lists!$F$2,$A$1:$AL$1,0))&amp;""),"")="",-1,IF(ISNUMBER(IFERROR(IF(TRIM(INDEX($A6:$AL6,MATCH(Lists!$F$7,$A$1:$AL$1,0))&amp;"")="","",IF(ISNUMBER(INDEX($A6:$AL6,MATCH(Lists!$F$7,$A$1:$AL$1,0))),ROUND(MOD(INDEX($A6:$AL6,MATCH(Lists!$F$7,$A$1:$AL$1,0)),1)*1440,0),VALUE(LEFT(INDEX($A6:$AL6,MATCH(Lists!$F$7,$A$1:$AL$1,0)),2))*60+VALUE(MID(INDEX($A6:$AL6,MATCH(Lists!$F$7,$A$1:$AL$1,0)),4,2)))),"")),IFERROR(IF(TRIM(INDEX($A6:$AL6,MATCH(Lists!$F$7,$A$1:$AL$1,0))&amp;"")="","",IF(ISNUMBER(INDEX($A6:$AL6,MATCH(Lists!$F$7,$A$1:$AL$1,0))),ROUND(MOD(INDEX($A6:$AL6,MATCH(Lists!$F$7,$A$1:$AL$1,0)),1)*1440,0),VALUE(LEFT(INDEX($A6:$AL6,MATCH(Lists!$F$7,$A$1:$AL$1,0)),2))*60+VALUE(MID(INDEX($A6:$AL6,MATCH(Lists!$F$7,$A$1:$AL$1,0)),4,2)))),""),-1))</f>
        <v/>
      </c>
      <c r="AW6" s="21">
        <f>IF(IFERROR(TRIM(INDEX($A6:$AL6,MATCH(Lists!$F$2,$A$1:$AL$1,0))&amp;""),"")="","",IF(IFERROR(TRIM(INDEX($A6:$AL6,MATCH(Lists!$F$8,$A$1:$AL$1,0))&amp;""),"")&lt;&gt;"",IFERROR(TRIM(INDEX($A6:$AL6,MATCH(Lists!$F$8,$A$1:$AL$1,0))&amp;""),""),IFERROR(TRIM(INDEX($A6:$AL6,MATCH(Lists!$F$9,$A$1:$AL$1,0))&amp;""),"")))</f>
        <v/>
      </c>
      <c r="AX6" s="21">
        <f>IFERROR(IF(TRIM(INDEX($A6:$AL6,MATCH(Lists!$F$10,$A$1:$AL$1,0))&amp;"")="","",VALUE(TRIM(INDEX($A6:$AL6,MATCH(Lists!$F$10,$A$1:$AL$1,0))&amp;""))),"")</f>
        <v/>
      </c>
      <c r="AY6" s="21">
        <f>IF(IFERROR(TRIM(INDEX($A6:$AL6,MATCH(Lists!$F$2,$A$1:$AL$1,0))&amp;""),"")="","",IF(AN6="","New",AN6))</f>
        <v/>
      </c>
      <c r="AZ6" s="21">
        <f>IF(IFERROR(TRIM(INDEX($A6:$AL6,MATCH(Lists!$F$2,$A$1:$AL$1,0))&amp;""),"")="","",IF(OR(IFERROR(TRIM(INDEX($A6:$AL6,MATCH(Lists!$F$13,$A$1:$AL$1,0))&amp;""),"")="Paid",IFERROR(TRIM(INDEX($A6:$AL6,MATCH(Lists!$F$13,$A$1:$AL$1,0))&amp;""),"")="Partially refunded"),"Paid",IF(AP6="Yes","Paid (by hand)",IFERROR(TRIM(INDEX($A6:$AL6,MATCH(Lists!$F$13,$A$1:$AL$1,0))&amp;""),""))))</f>
        <v/>
      </c>
      <c r="BA6" s="21">
        <f>IF(AND(IFERROR(TRIM(INDEX($A6:$AL6,MATCH(Lists!$F$2,$A$1:$AL$1,0))&amp;""),"")&lt;&gt;"",AT6&gt;0,AU6&gt;=0,AV6&gt;AU6,AY6&lt;&gt;"Declined"),1,0)</f>
        <v/>
      </c>
      <c r="BB6" s="21">
        <f>IF(BA6=1,COUNTIFS($AS$2:$AS$501,AS6,$AT$2:$AT$501,AT6,$AU$2:$AU$501,"&lt;"&amp;AV6,$AV$2:$AV$501,"&gt;"&amp;AU6,$BA$2:$BA$501,1)-1,"")</f>
        <v/>
      </c>
      <c r="BC6" s="21">
        <f>IF(N(BB6)&gt;0,"Clashes with "&amp;INDEX($AW$2:$AW$501,SUMPRODUCT(MAX(($AS$2:$AS$501=AS6)*($AT$2:$AT$501=AT6)*($AU$2:$AU$501&lt;AV6)*($AV$2:$AV$501&gt;AU6)*($BA$2:$BA$501=1)*(ROW($AS$2:$AS$501)&lt;&gt;ROW())*ROW($AS$2:$AS$501)))-1)&amp;" ("&amp;INDEX($AY$2:$AY$501,SUMPRODUCT(MAX(($AS$2:$AS$501=AS6)*($AT$2:$AT$501=AT6)*($AU$2:$AU$501&lt;AV6)*($AV$2:$AV$501&gt;AU6)*($BA$2:$BA$501=1)*(ROW($AS$2:$AS$501)&lt;&gt;ROW())*ROW($AS$2:$AS$501)))-1)&amp;")"&amp;IF(BB6&gt;1," and "&amp;(BB6-1)&amp;" more",""),"")</f>
        <v/>
      </c>
      <c r="BD6" s="21">
        <f>IF(AND(BA6=1,AY6="Confirmed"),AT6*10000000+AU6*1000+ROW(),"")</f>
        <v/>
      </c>
      <c r="BE6" s="21">
        <f>IF(IFERROR(TRIM(INDEX($A6:$AL6,MATCH(Lists!$F$2,$A$1:$AL$1,0))&amp;""),"")="","",IFERROR(TRIM(INDEX($A6:$AL6,MATCH(Lists!$F$11,$A$1:$AL$1,0))&amp;""),""))</f>
        <v/>
      </c>
      <c r="BF6" s="21">
        <f>IF(IFERROR(TRIM(INDEX($A6:$AL6,MATCH(Lists!$F$2,$A$1:$AL$1,0))&amp;""),"")="","",IFERROR(TRIM(INDEX($A6:$AL6,MATCH(Lists!$F$12,$A$1:$AL$1,0))&amp;""),""))</f>
        <v/>
      </c>
    </row>
    <row r="7">
      <c r="A7" s="18" t="inlineStr">
        <is>
          <t>EXAMPLE-06 (delete me)</t>
        </is>
      </c>
      <c r="B7" s="18" t="inlineStr">
        <is>
          <t>2026-10-08T09:15:00.000Z</t>
        </is>
      </c>
      <c r="C7" s="18" t="inlineStr">
        <is>
          <t>2026-10-08T09:10:00.000Z</t>
        </is>
      </c>
      <c r="D7" s="18" t="inlineStr">
        <is>
          <t>Lee Parker</t>
        </is>
      </c>
      <c r="E7" s="18" t="inlineStr">
        <is>
          <t>Hillside Hoops</t>
        </is>
      </c>
      <c r="F7" s="18" t="inlineStr">
        <is>
          <t>lee@example.com</t>
        </is>
      </c>
      <c r="G7" s="18" t="inlineStr">
        <is>
          <t>555-0100</t>
        </is>
      </c>
      <c r="H7" s="18" t="inlineStr">
        <is>
          <t>Yes</t>
        </is>
      </c>
      <c r="I7" s="18" t="inlineStr">
        <is>
          <t>gym</t>
        </is>
      </c>
      <c r="J7" s="18" t="inlineStr">
        <is>
          <t>Gym</t>
        </is>
      </c>
      <c r="K7" s="18" t="inlineStr"/>
      <c r="L7" s="18" t="inlineStr">
        <is>
          <t>2026-11-20</t>
        </is>
      </c>
      <c r="M7" s="18" t="inlineStr"/>
      <c r="N7" s="18" t="inlineStr">
        <is>
          <t>18:00</t>
        </is>
      </c>
      <c r="O7" s="18" t="inlineStr">
        <is>
          <t>21:00</t>
        </is>
      </c>
      <c r="P7" s="18" t="n">
        <v>120</v>
      </c>
      <c r="Q7" s="18" t="inlineStr">
        <is>
          <t>Charity game</t>
        </is>
      </c>
      <c r="R7" s="18" t="inlineStr">
        <is>
          <t>Tables and chairs</t>
        </is>
      </c>
      <c r="S7" s="18" t="inlineStr">
        <is>
          <t>No</t>
        </is>
      </c>
      <c r="T7" s="18" t="inlineStr"/>
      <c r="U7" s="18" t="inlineStr">
        <is>
          <t>No</t>
        </is>
      </c>
      <c r="V7" s="18" t="inlineStr"/>
      <c r="W7" s="18" t="inlineStr">
        <is>
          <t>Yes, I'll upload it</t>
        </is>
      </c>
      <c r="X7" s="18" t="inlineStr">
        <is>
          <t>certificate.pdf</t>
        </is>
      </c>
      <c r="Y7" s="18" t="inlineStr">
        <is>
          <t>I have read the facility rules and agree to follow them</t>
        </is>
      </c>
      <c r="Z7" s="18" t="inlineStr">
        <is>
          <t>Lee Parker</t>
        </is>
      </c>
      <c r="AA7" s="18" t="inlineStr"/>
      <c r="AB7" s="18" t="inlineStr">
        <is>
          <t>2026-10-08</t>
        </is>
      </c>
      <c r="AC7" s="18" t="n">
        <v>30</v>
      </c>
      <c r="AD7" s="18" t="n">
        <v>1</v>
      </c>
      <c r="AM7" s="19" t="n"/>
      <c r="AN7" s="20" t="inlineStr">
        <is>
          <t>Confirmed</t>
        </is>
      </c>
      <c r="AO7" s="20" t="inlineStr">
        <is>
          <t>Yes</t>
        </is>
      </c>
      <c r="AP7" s="20" t="inlineStr"/>
      <c r="AQ7" s="20" t="inlineStr">
        <is>
          <t>Check the headcount</t>
        </is>
      </c>
      <c r="AR7" s="19" t="n"/>
      <c r="AS7" s="21">
        <f>IF(IFERROR(TRIM(INDEX($A7:$AL7,MATCH(Lists!$F$2,$A$1:$AL$1,0))&amp;""),"")="","",IF(AND(IFERROR(TRIM(INDEX($A7:$AL7,MATCH(Lists!$F$3,$A$1:$AL$1,0))&amp;""),"")="Other",IFERROR(TRIM(INDEX($A7:$AL7,MATCH(Lists!$F$4,$A$1:$AL$1,0))&amp;""),"")&lt;&gt;""),IFERROR(TRIM(INDEX($A7:$AL7,MATCH(Lists!$F$4,$A$1:$AL$1,0))&amp;""),""),IF(IFERROR(TRIM(INDEX($A7:$AL7,MATCH(Lists!$F$3,$A$1:$AL$1,0))&amp;""),"")="","(no space)",IFERROR(TRIM(INDEX($A7:$AL7,MATCH(Lists!$F$3,$A$1:$AL$1,0))&amp;""),""))))</f>
        <v/>
      </c>
      <c r="AT7" s="22">
        <f>IF(IFERROR(TRIM(INDEX($A7:$AL7,MATCH(Lists!$F$2,$A$1:$AL$1,0))&amp;""),"")="",0,N(IFERROR(IF(TRIM(INDEX($A7:$AL7,MATCH(Lists!$F$5,$A$1:$AL$1,0))&amp;"")="","",IF(ISNUMBER(INDEX($A7:$AL7,MATCH(Lists!$F$5,$A$1:$AL$1,0))),INT(INDEX($A7:$AL7,MATCH(Lists!$F$5,$A$1:$AL$1,0))),DATE(VALUE(LEFT(INDEX($A7:$AL7,MATCH(Lists!$F$5,$A$1:$AL$1,0)),4)),VALUE(MID(INDEX($A7:$AL7,MATCH(Lists!$F$5,$A$1:$AL$1,0)),6,2)),VALUE(MID(INDEX($A7:$AL7,MATCH(Lists!$F$5,$A$1:$AL$1,0)),9,2))))),"")))</f>
        <v/>
      </c>
      <c r="AU7" s="21">
        <f>IF(IFERROR(TRIM(INDEX($A7:$AL7,MATCH(Lists!$F$2,$A$1:$AL$1,0))&amp;""),"")="",-1,IF(ISNUMBER(IFERROR(IF(TRIM(INDEX($A7:$AL7,MATCH(Lists!$F$6,$A$1:$AL$1,0))&amp;"")="","",IF(ISNUMBER(INDEX($A7:$AL7,MATCH(Lists!$F$6,$A$1:$AL$1,0))),ROUND(MOD(INDEX($A7:$AL7,MATCH(Lists!$F$6,$A$1:$AL$1,0)),1)*1440,0),VALUE(LEFT(INDEX($A7:$AL7,MATCH(Lists!$F$6,$A$1:$AL$1,0)),2))*60+VALUE(MID(INDEX($A7:$AL7,MATCH(Lists!$F$6,$A$1:$AL$1,0)),4,2)))),"")),IFERROR(IF(TRIM(INDEX($A7:$AL7,MATCH(Lists!$F$6,$A$1:$AL$1,0))&amp;"")="","",IF(ISNUMBER(INDEX($A7:$AL7,MATCH(Lists!$F$6,$A$1:$AL$1,0))),ROUND(MOD(INDEX($A7:$AL7,MATCH(Lists!$F$6,$A$1:$AL$1,0)),1)*1440,0),VALUE(LEFT(INDEX($A7:$AL7,MATCH(Lists!$F$6,$A$1:$AL$1,0)),2))*60+VALUE(MID(INDEX($A7:$AL7,MATCH(Lists!$F$6,$A$1:$AL$1,0)),4,2)))),""),-1))</f>
        <v/>
      </c>
      <c r="AV7" s="21">
        <f>IF(IFERROR(TRIM(INDEX($A7:$AL7,MATCH(Lists!$F$2,$A$1:$AL$1,0))&amp;""),"")="",-1,IF(ISNUMBER(IFERROR(IF(TRIM(INDEX($A7:$AL7,MATCH(Lists!$F$7,$A$1:$AL$1,0))&amp;"")="","",IF(ISNUMBER(INDEX($A7:$AL7,MATCH(Lists!$F$7,$A$1:$AL$1,0))),ROUND(MOD(INDEX($A7:$AL7,MATCH(Lists!$F$7,$A$1:$AL$1,0)),1)*1440,0),VALUE(LEFT(INDEX($A7:$AL7,MATCH(Lists!$F$7,$A$1:$AL$1,0)),2))*60+VALUE(MID(INDEX($A7:$AL7,MATCH(Lists!$F$7,$A$1:$AL$1,0)),4,2)))),"")),IFERROR(IF(TRIM(INDEX($A7:$AL7,MATCH(Lists!$F$7,$A$1:$AL$1,0))&amp;"")="","",IF(ISNUMBER(INDEX($A7:$AL7,MATCH(Lists!$F$7,$A$1:$AL$1,0))),ROUND(MOD(INDEX($A7:$AL7,MATCH(Lists!$F$7,$A$1:$AL$1,0)),1)*1440,0),VALUE(LEFT(INDEX($A7:$AL7,MATCH(Lists!$F$7,$A$1:$AL$1,0)),2))*60+VALUE(MID(INDEX($A7:$AL7,MATCH(Lists!$F$7,$A$1:$AL$1,0)),4,2)))),""),-1))</f>
        <v/>
      </c>
      <c r="AW7" s="21">
        <f>IF(IFERROR(TRIM(INDEX($A7:$AL7,MATCH(Lists!$F$2,$A$1:$AL$1,0))&amp;""),"")="","",IF(IFERROR(TRIM(INDEX($A7:$AL7,MATCH(Lists!$F$8,$A$1:$AL$1,0))&amp;""),"")&lt;&gt;"",IFERROR(TRIM(INDEX($A7:$AL7,MATCH(Lists!$F$8,$A$1:$AL$1,0))&amp;""),""),IFERROR(TRIM(INDEX($A7:$AL7,MATCH(Lists!$F$9,$A$1:$AL$1,0))&amp;""),"")))</f>
        <v/>
      </c>
      <c r="AX7" s="21">
        <f>IFERROR(IF(TRIM(INDEX($A7:$AL7,MATCH(Lists!$F$10,$A$1:$AL$1,0))&amp;"")="","",VALUE(TRIM(INDEX($A7:$AL7,MATCH(Lists!$F$10,$A$1:$AL$1,0))&amp;""))),"")</f>
        <v/>
      </c>
      <c r="AY7" s="21">
        <f>IF(IFERROR(TRIM(INDEX($A7:$AL7,MATCH(Lists!$F$2,$A$1:$AL$1,0))&amp;""),"")="","",IF(AN7="","New",AN7))</f>
        <v/>
      </c>
      <c r="AZ7" s="21">
        <f>IF(IFERROR(TRIM(INDEX($A7:$AL7,MATCH(Lists!$F$2,$A$1:$AL$1,0))&amp;""),"")="","",IF(OR(IFERROR(TRIM(INDEX($A7:$AL7,MATCH(Lists!$F$13,$A$1:$AL$1,0))&amp;""),"")="Paid",IFERROR(TRIM(INDEX($A7:$AL7,MATCH(Lists!$F$13,$A$1:$AL$1,0))&amp;""),"")="Partially refunded"),"Paid",IF(AP7="Yes","Paid (by hand)",IFERROR(TRIM(INDEX($A7:$AL7,MATCH(Lists!$F$13,$A$1:$AL$1,0))&amp;""),""))))</f>
        <v/>
      </c>
      <c r="BA7" s="21">
        <f>IF(AND(IFERROR(TRIM(INDEX($A7:$AL7,MATCH(Lists!$F$2,$A$1:$AL$1,0))&amp;""),"")&lt;&gt;"",AT7&gt;0,AU7&gt;=0,AV7&gt;AU7,AY7&lt;&gt;"Declined"),1,0)</f>
        <v/>
      </c>
      <c r="BB7" s="21">
        <f>IF(BA7=1,COUNTIFS($AS$2:$AS$501,AS7,$AT$2:$AT$501,AT7,$AU$2:$AU$501,"&lt;"&amp;AV7,$AV$2:$AV$501,"&gt;"&amp;AU7,$BA$2:$BA$501,1)-1,"")</f>
        <v/>
      </c>
      <c r="BC7" s="21">
        <f>IF(N(BB7)&gt;0,"Clashes with "&amp;INDEX($AW$2:$AW$501,SUMPRODUCT(MAX(($AS$2:$AS$501=AS7)*($AT$2:$AT$501=AT7)*($AU$2:$AU$501&lt;AV7)*($AV$2:$AV$501&gt;AU7)*($BA$2:$BA$501=1)*(ROW($AS$2:$AS$501)&lt;&gt;ROW())*ROW($AS$2:$AS$501)))-1)&amp;" ("&amp;INDEX($AY$2:$AY$501,SUMPRODUCT(MAX(($AS$2:$AS$501=AS7)*($AT$2:$AT$501=AT7)*($AU$2:$AU$501&lt;AV7)*($AV$2:$AV$501&gt;AU7)*($BA$2:$BA$501=1)*(ROW($AS$2:$AS$501)&lt;&gt;ROW())*ROW($AS$2:$AS$501)))-1)&amp;")"&amp;IF(BB7&gt;1," and "&amp;(BB7-1)&amp;" more",""),"")</f>
        <v/>
      </c>
      <c r="BD7" s="21">
        <f>IF(AND(BA7=1,AY7="Confirmed"),AT7*10000000+AU7*1000+ROW(),"")</f>
        <v/>
      </c>
      <c r="BE7" s="21">
        <f>IF(IFERROR(TRIM(INDEX($A7:$AL7,MATCH(Lists!$F$2,$A$1:$AL$1,0))&amp;""),"")="","",IFERROR(TRIM(INDEX($A7:$AL7,MATCH(Lists!$F$11,$A$1:$AL$1,0))&amp;""),""))</f>
        <v/>
      </c>
      <c r="BF7" s="21">
        <f>IF(IFERROR(TRIM(INDEX($A7:$AL7,MATCH(Lists!$F$2,$A$1:$AL$1,0))&amp;""),"")="","",IFERROR(TRIM(INDEX($A7:$AL7,MATCH(Lists!$F$12,$A$1:$AL$1,0))&amp;""),""))</f>
        <v/>
      </c>
    </row>
    <row r="8">
      <c r="A8" s="18" t="inlineStr">
        <is>
          <t>EXAMPLE-07 (delete me)</t>
        </is>
      </c>
      <c r="B8" s="18" t="inlineStr">
        <is>
          <t>2026-10-09T09:16:00.000Z</t>
        </is>
      </c>
      <c r="C8" s="18" t="inlineStr">
        <is>
          <t>2026-10-09T09:11:00.000Z</t>
        </is>
      </c>
      <c r="D8" s="18" t="inlineStr">
        <is>
          <t>Sam Okafor</t>
        </is>
      </c>
      <c r="E8" s="18" t="inlineStr">
        <is>
          <t>Oak Street Association</t>
        </is>
      </c>
      <c r="F8" s="18" t="inlineStr">
        <is>
          <t>sam@example.com</t>
        </is>
      </c>
      <c r="G8" s="18" t="inlineStr">
        <is>
          <t>555-0100</t>
        </is>
      </c>
      <c r="H8" s="18" t="inlineStr">
        <is>
          <t>Yes</t>
        </is>
      </c>
      <c r="I8" s="18" t="inlineStr"/>
      <c r="J8" s="18" t="inlineStr">
        <is>
          <t>Other</t>
        </is>
      </c>
      <c r="K8" s="18" t="inlineStr">
        <is>
          <t>Front lawn</t>
        </is>
      </c>
      <c r="L8" s="18" t="inlineStr">
        <is>
          <t>2026-11-21</t>
        </is>
      </c>
      <c r="M8" s="18" t="inlineStr"/>
      <c r="N8" s="18" t="inlineStr">
        <is>
          <t>12:00</t>
        </is>
      </c>
      <c r="O8" s="18" t="inlineStr">
        <is>
          <t>16:00</t>
        </is>
      </c>
      <c r="P8" s="18" t="n">
        <v>60</v>
      </c>
      <c r="Q8" s="18" t="inlineStr">
        <is>
          <t>Block party</t>
        </is>
      </c>
      <c r="R8" s="18" t="inlineStr">
        <is>
          <t>Tables and chairs</t>
        </is>
      </c>
      <c r="S8" s="18" t="inlineStr">
        <is>
          <t>No</t>
        </is>
      </c>
      <c r="T8" s="18" t="inlineStr"/>
      <c r="U8" s="18" t="inlineStr">
        <is>
          <t>No</t>
        </is>
      </c>
      <c r="V8" s="18" t="inlineStr"/>
      <c r="W8" s="18" t="inlineStr">
        <is>
          <t>I'll send it later</t>
        </is>
      </c>
      <c r="X8" s="18" t="inlineStr"/>
      <c r="Y8" s="18" t="inlineStr">
        <is>
          <t>I have read the facility rules and agree to follow them</t>
        </is>
      </c>
      <c r="Z8" s="18" t="inlineStr">
        <is>
          <t>Sam Okafor</t>
        </is>
      </c>
      <c r="AA8" s="18" t="inlineStr"/>
      <c r="AB8" s="18" t="inlineStr">
        <is>
          <t>2026-10-09</t>
        </is>
      </c>
      <c r="AC8" s="18" t="n">
        <v>30</v>
      </c>
      <c r="AD8" s="18" t="n">
        <v>1</v>
      </c>
      <c r="AM8" s="19" t="n"/>
      <c r="AN8" s="20" t="inlineStr">
        <is>
          <t>Declined</t>
        </is>
      </c>
      <c r="AO8" s="20" t="inlineStr"/>
      <c r="AP8" s="20" t="inlineStr"/>
      <c r="AQ8" s="20" t="inlineStr">
        <is>
          <t>Suggested the pavilion</t>
        </is>
      </c>
      <c r="AR8" s="19" t="n"/>
      <c r="AS8" s="21">
        <f>IF(IFERROR(TRIM(INDEX($A8:$AL8,MATCH(Lists!$F$2,$A$1:$AL$1,0))&amp;""),"")="","",IF(AND(IFERROR(TRIM(INDEX($A8:$AL8,MATCH(Lists!$F$3,$A$1:$AL$1,0))&amp;""),"")="Other",IFERROR(TRIM(INDEX($A8:$AL8,MATCH(Lists!$F$4,$A$1:$AL$1,0))&amp;""),"")&lt;&gt;""),IFERROR(TRIM(INDEX($A8:$AL8,MATCH(Lists!$F$4,$A$1:$AL$1,0))&amp;""),""),IF(IFERROR(TRIM(INDEX($A8:$AL8,MATCH(Lists!$F$3,$A$1:$AL$1,0))&amp;""),"")="","(no space)",IFERROR(TRIM(INDEX($A8:$AL8,MATCH(Lists!$F$3,$A$1:$AL$1,0))&amp;""),""))))</f>
        <v/>
      </c>
      <c r="AT8" s="22">
        <f>IF(IFERROR(TRIM(INDEX($A8:$AL8,MATCH(Lists!$F$2,$A$1:$AL$1,0))&amp;""),"")="",0,N(IFERROR(IF(TRIM(INDEX($A8:$AL8,MATCH(Lists!$F$5,$A$1:$AL$1,0))&amp;"")="","",IF(ISNUMBER(INDEX($A8:$AL8,MATCH(Lists!$F$5,$A$1:$AL$1,0))),INT(INDEX($A8:$AL8,MATCH(Lists!$F$5,$A$1:$AL$1,0))),DATE(VALUE(LEFT(INDEX($A8:$AL8,MATCH(Lists!$F$5,$A$1:$AL$1,0)),4)),VALUE(MID(INDEX($A8:$AL8,MATCH(Lists!$F$5,$A$1:$AL$1,0)),6,2)),VALUE(MID(INDEX($A8:$AL8,MATCH(Lists!$F$5,$A$1:$AL$1,0)),9,2))))),"")))</f>
        <v/>
      </c>
      <c r="AU8" s="21">
        <f>IF(IFERROR(TRIM(INDEX($A8:$AL8,MATCH(Lists!$F$2,$A$1:$AL$1,0))&amp;""),"")="",-1,IF(ISNUMBER(IFERROR(IF(TRIM(INDEX($A8:$AL8,MATCH(Lists!$F$6,$A$1:$AL$1,0))&amp;"")="","",IF(ISNUMBER(INDEX($A8:$AL8,MATCH(Lists!$F$6,$A$1:$AL$1,0))),ROUND(MOD(INDEX($A8:$AL8,MATCH(Lists!$F$6,$A$1:$AL$1,0)),1)*1440,0),VALUE(LEFT(INDEX($A8:$AL8,MATCH(Lists!$F$6,$A$1:$AL$1,0)),2))*60+VALUE(MID(INDEX($A8:$AL8,MATCH(Lists!$F$6,$A$1:$AL$1,0)),4,2)))),"")),IFERROR(IF(TRIM(INDEX($A8:$AL8,MATCH(Lists!$F$6,$A$1:$AL$1,0))&amp;"")="","",IF(ISNUMBER(INDEX($A8:$AL8,MATCH(Lists!$F$6,$A$1:$AL$1,0))),ROUND(MOD(INDEX($A8:$AL8,MATCH(Lists!$F$6,$A$1:$AL$1,0)),1)*1440,0),VALUE(LEFT(INDEX($A8:$AL8,MATCH(Lists!$F$6,$A$1:$AL$1,0)),2))*60+VALUE(MID(INDEX($A8:$AL8,MATCH(Lists!$F$6,$A$1:$AL$1,0)),4,2)))),""),-1))</f>
        <v/>
      </c>
      <c r="AV8" s="21">
        <f>IF(IFERROR(TRIM(INDEX($A8:$AL8,MATCH(Lists!$F$2,$A$1:$AL$1,0))&amp;""),"")="",-1,IF(ISNUMBER(IFERROR(IF(TRIM(INDEX($A8:$AL8,MATCH(Lists!$F$7,$A$1:$AL$1,0))&amp;"")="","",IF(ISNUMBER(INDEX($A8:$AL8,MATCH(Lists!$F$7,$A$1:$AL$1,0))),ROUND(MOD(INDEX($A8:$AL8,MATCH(Lists!$F$7,$A$1:$AL$1,0)),1)*1440,0),VALUE(LEFT(INDEX($A8:$AL8,MATCH(Lists!$F$7,$A$1:$AL$1,0)),2))*60+VALUE(MID(INDEX($A8:$AL8,MATCH(Lists!$F$7,$A$1:$AL$1,0)),4,2)))),"")),IFERROR(IF(TRIM(INDEX($A8:$AL8,MATCH(Lists!$F$7,$A$1:$AL$1,0))&amp;"")="","",IF(ISNUMBER(INDEX($A8:$AL8,MATCH(Lists!$F$7,$A$1:$AL$1,0))),ROUND(MOD(INDEX($A8:$AL8,MATCH(Lists!$F$7,$A$1:$AL$1,0)),1)*1440,0),VALUE(LEFT(INDEX($A8:$AL8,MATCH(Lists!$F$7,$A$1:$AL$1,0)),2))*60+VALUE(MID(INDEX($A8:$AL8,MATCH(Lists!$F$7,$A$1:$AL$1,0)),4,2)))),""),-1))</f>
        <v/>
      </c>
      <c r="AW8" s="21">
        <f>IF(IFERROR(TRIM(INDEX($A8:$AL8,MATCH(Lists!$F$2,$A$1:$AL$1,0))&amp;""),"")="","",IF(IFERROR(TRIM(INDEX($A8:$AL8,MATCH(Lists!$F$8,$A$1:$AL$1,0))&amp;""),"")&lt;&gt;"",IFERROR(TRIM(INDEX($A8:$AL8,MATCH(Lists!$F$8,$A$1:$AL$1,0))&amp;""),""),IFERROR(TRIM(INDEX($A8:$AL8,MATCH(Lists!$F$9,$A$1:$AL$1,0))&amp;""),"")))</f>
        <v/>
      </c>
      <c r="AX8" s="21">
        <f>IFERROR(IF(TRIM(INDEX($A8:$AL8,MATCH(Lists!$F$10,$A$1:$AL$1,0))&amp;"")="","",VALUE(TRIM(INDEX($A8:$AL8,MATCH(Lists!$F$10,$A$1:$AL$1,0))&amp;""))),"")</f>
        <v/>
      </c>
      <c r="AY8" s="21">
        <f>IF(IFERROR(TRIM(INDEX($A8:$AL8,MATCH(Lists!$F$2,$A$1:$AL$1,0))&amp;""),"")="","",IF(AN8="","New",AN8))</f>
        <v/>
      </c>
      <c r="AZ8" s="21">
        <f>IF(IFERROR(TRIM(INDEX($A8:$AL8,MATCH(Lists!$F$2,$A$1:$AL$1,0))&amp;""),"")="","",IF(OR(IFERROR(TRIM(INDEX($A8:$AL8,MATCH(Lists!$F$13,$A$1:$AL$1,0))&amp;""),"")="Paid",IFERROR(TRIM(INDEX($A8:$AL8,MATCH(Lists!$F$13,$A$1:$AL$1,0))&amp;""),"")="Partially refunded"),"Paid",IF(AP8="Yes","Paid (by hand)",IFERROR(TRIM(INDEX($A8:$AL8,MATCH(Lists!$F$13,$A$1:$AL$1,0))&amp;""),""))))</f>
        <v/>
      </c>
      <c r="BA8" s="21">
        <f>IF(AND(IFERROR(TRIM(INDEX($A8:$AL8,MATCH(Lists!$F$2,$A$1:$AL$1,0))&amp;""),"")&lt;&gt;"",AT8&gt;0,AU8&gt;=0,AV8&gt;AU8,AY8&lt;&gt;"Declined"),1,0)</f>
        <v/>
      </c>
      <c r="BB8" s="21">
        <f>IF(BA8=1,COUNTIFS($AS$2:$AS$501,AS8,$AT$2:$AT$501,AT8,$AU$2:$AU$501,"&lt;"&amp;AV8,$AV$2:$AV$501,"&gt;"&amp;AU8,$BA$2:$BA$501,1)-1,"")</f>
        <v/>
      </c>
      <c r="BC8" s="21">
        <f>IF(N(BB8)&gt;0,"Clashes with "&amp;INDEX($AW$2:$AW$501,SUMPRODUCT(MAX(($AS$2:$AS$501=AS8)*($AT$2:$AT$501=AT8)*($AU$2:$AU$501&lt;AV8)*($AV$2:$AV$501&gt;AU8)*($BA$2:$BA$501=1)*(ROW($AS$2:$AS$501)&lt;&gt;ROW())*ROW($AS$2:$AS$501)))-1)&amp;" ("&amp;INDEX($AY$2:$AY$501,SUMPRODUCT(MAX(($AS$2:$AS$501=AS8)*($AT$2:$AT$501=AT8)*($AU$2:$AU$501&lt;AV8)*($AV$2:$AV$501&gt;AU8)*($BA$2:$BA$501=1)*(ROW($AS$2:$AS$501)&lt;&gt;ROW())*ROW($AS$2:$AS$501)))-1)&amp;")"&amp;IF(BB8&gt;1," and "&amp;(BB8-1)&amp;" more",""),"")</f>
        <v/>
      </c>
      <c r="BD8" s="21">
        <f>IF(AND(BA8=1,AY8="Confirmed"),AT8*10000000+AU8*1000+ROW(),"")</f>
        <v/>
      </c>
      <c r="BE8" s="21">
        <f>IF(IFERROR(TRIM(INDEX($A8:$AL8,MATCH(Lists!$F$2,$A$1:$AL$1,0))&amp;""),"")="","",IFERROR(TRIM(INDEX($A8:$AL8,MATCH(Lists!$F$11,$A$1:$AL$1,0))&amp;""),""))</f>
        <v/>
      </c>
      <c r="BF8" s="21">
        <f>IF(IFERROR(TRIM(INDEX($A8:$AL8,MATCH(Lists!$F$2,$A$1:$AL$1,0))&amp;""),"")="","",IFERROR(TRIM(INDEX($A8:$AL8,MATCH(Lists!$F$12,$A$1:$AL$1,0))&amp;""),""))</f>
        <v/>
      </c>
    </row>
    <row r="9">
      <c r="A9" s="18" t="inlineStr">
        <is>
          <t>EXAMPLE-08 (delete me)</t>
        </is>
      </c>
      <c r="B9" s="18" t="inlineStr">
        <is>
          <t>2026-10-10T09:17:00.000Z</t>
        </is>
      </c>
      <c r="C9" s="18" t="inlineStr">
        <is>
          <t>2026-10-10T09:12:00.000Z</t>
        </is>
      </c>
      <c r="D9" s="18" t="inlineStr">
        <is>
          <t>Jane Doe</t>
        </is>
      </c>
      <c r="E9" s="18" t="inlineStr">
        <is>
          <t>Riverside Garden Club</t>
        </is>
      </c>
      <c r="F9" s="18" t="inlineStr">
        <is>
          <t>jane@example.com</t>
        </is>
      </c>
      <c r="G9" s="18" t="inlineStr">
        <is>
          <t>555-0100</t>
        </is>
      </c>
      <c r="H9" s="18" t="inlineStr">
        <is>
          <t>Yes</t>
        </is>
      </c>
      <c r="I9" s="18" t="inlineStr">
        <is>
          <t>pavilion-a</t>
        </is>
      </c>
      <c r="J9" s="18" t="inlineStr">
        <is>
          <t>Pavilion</t>
        </is>
      </c>
      <c r="K9" s="18" t="inlineStr"/>
      <c r="L9" s="18" t="inlineStr">
        <is>
          <t>2026-11-14</t>
        </is>
      </c>
      <c r="M9" s="18" t="inlineStr"/>
      <c r="N9" s="18" t="inlineStr">
        <is>
          <t>10:00</t>
        </is>
      </c>
      <c r="O9" s="18" t="inlineStr">
        <is>
          <t>12:00</t>
        </is>
      </c>
      <c r="P9" s="18" t="n">
        <v>15</v>
      </c>
      <c r="Q9" s="18" t="inlineStr">
        <is>
          <t>Seed packing</t>
        </is>
      </c>
      <c r="R9" s="18" t="inlineStr">
        <is>
          <t>Tables and chairs</t>
        </is>
      </c>
      <c r="S9" s="18" t="inlineStr">
        <is>
          <t>No</t>
        </is>
      </c>
      <c r="T9" s="18" t="inlineStr"/>
      <c r="U9" s="18" t="inlineStr">
        <is>
          <t>No</t>
        </is>
      </c>
      <c r="V9" s="18" t="inlineStr"/>
      <c r="W9" s="18" t="inlineStr">
        <is>
          <t>I'll send it later</t>
        </is>
      </c>
      <c r="X9" s="18" t="inlineStr"/>
      <c r="Y9" s="18" t="inlineStr">
        <is>
          <t>I have read the facility rules and agree to follow them</t>
        </is>
      </c>
      <c r="Z9" s="18" t="inlineStr">
        <is>
          <t>Jane Doe</t>
        </is>
      </c>
      <c r="AA9" s="18" t="inlineStr"/>
      <c r="AB9" s="18" t="inlineStr">
        <is>
          <t>2026-10-10</t>
        </is>
      </c>
      <c r="AC9" s="18" t="n">
        <v>30</v>
      </c>
      <c r="AD9" s="18" t="n">
        <v>1</v>
      </c>
      <c r="AM9" s="19" t="n"/>
      <c r="AN9" s="20" t="inlineStr">
        <is>
          <t>Declined</t>
        </is>
      </c>
      <c r="AO9" s="20" t="inlineStr"/>
      <c r="AP9" s="20" t="inlineStr"/>
      <c r="AQ9" s="20" t="inlineStr">
        <is>
          <t>Duplicate request</t>
        </is>
      </c>
      <c r="AR9" s="19" t="n"/>
      <c r="AS9" s="21">
        <f>IF(IFERROR(TRIM(INDEX($A9:$AL9,MATCH(Lists!$F$2,$A$1:$AL$1,0))&amp;""),"")="","",IF(AND(IFERROR(TRIM(INDEX($A9:$AL9,MATCH(Lists!$F$3,$A$1:$AL$1,0))&amp;""),"")="Other",IFERROR(TRIM(INDEX($A9:$AL9,MATCH(Lists!$F$4,$A$1:$AL$1,0))&amp;""),"")&lt;&gt;""),IFERROR(TRIM(INDEX($A9:$AL9,MATCH(Lists!$F$4,$A$1:$AL$1,0))&amp;""),""),IF(IFERROR(TRIM(INDEX($A9:$AL9,MATCH(Lists!$F$3,$A$1:$AL$1,0))&amp;""),"")="","(no space)",IFERROR(TRIM(INDEX($A9:$AL9,MATCH(Lists!$F$3,$A$1:$AL$1,0))&amp;""),""))))</f>
        <v/>
      </c>
      <c r="AT9" s="22">
        <f>IF(IFERROR(TRIM(INDEX($A9:$AL9,MATCH(Lists!$F$2,$A$1:$AL$1,0))&amp;""),"")="",0,N(IFERROR(IF(TRIM(INDEX($A9:$AL9,MATCH(Lists!$F$5,$A$1:$AL$1,0))&amp;"")="","",IF(ISNUMBER(INDEX($A9:$AL9,MATCH(Lists!$F$5,$A$1:$AL$1,0))),INT(INDEX($A9:$AL9,MATCH(Lists!$F$5,$A$1:$AL$1,0))),DATE(VALUE(LEFT(INDEX($A9:$AL9,MATCH(Lists!$F$5,$A$1:$AL$1,0)),4)),VALUE(MID(INDEX($A9:$AL9,MATCH(Lists!$F$5,$A$1:$AL$1,0)),6,2)),VALUE(MID(INDEX($A9:$AL9,MATCH(Lists!$F$5,$A$1:$AL$1,0)),9,2))))),"")))</f>
        <v/>
      </c>
      <c r="AU9" s="21">
        <f>IF(IFERROR(TRIM(INDEX($A9:$AL9,MATCH(Lists!$F$2,$A$1:$AL$1,0))&amp;""),"")="",-1,IF(ISNUMBER(IFERROR(IF(TRIM(INDEX($A9:$AL9,MATCH(Lists!$F$6,$A$1:$AL$1,0))&amp;"")="","",IF(ISNUMBER(INDEX($A9:$AL9,MATCH(Lists!$F$6,$A$1:$AL$1,0))),ROUND(MOD(INDEX($A9:$AL9,MATCH(Lists!$F$6,$A$1:$AL$1,0)),1)*1440,0),VALUE(LEFT(INDEX($A9:$AL9,MATCH(Lists!$F$6,$A$1:$AL$1,0)),2))*60+VALUE(MID(INDEX($A9:$AL9,MATCH(Lists!$F$6,$A$1:$AL$1,0)),4,2)))),"")),IFERROR(IF(TRIM(INDEX($A9:$AL9,MATCH(Lists!$F$6,$A$1:$AL$1,0))&amp;"")="","",IF(ISNUMBER(INDEX($A9:$AL9,MATCH(Lists!$F$6,$A$1:$AL$1,0))),ROUND(MOD(INDEX($A9:$AL9,MATCH(Lists!$F$6,$A$1:$AL$1,0)),1)*1440,0),VALUE(LEFT(INDEX($A9:$AL9,MATCH(Lists!$F$6,$A$1:$AL$1,0)),2))*60+VALUE(MID(INDEX($A9:$AL9,MATCH(Lists!$F$6,$A$1:$AL$1,0)),4,2)))),""),-1))</f>
        <v/>
      </c>
      <c r="AV9" s="21">
        <f>IF(IFERROR(TRIM(INDEX($A9:$AL9,MATCH(Lists!$F$2,$A$1:$AL$1,0))&amp;""),"")="",-1,IF(ISNUMBER(IFERROR(IF(TRIM(INDEX($A9:$AL9,MATCH(Lists!$F$7,$A$1:$AL$1,0))&amp;"")="","",IF(ISNUMBER(INDEX($A9:$AL9,MATCH(Lists!$F$7,$A$1:$AL$1,0))),ROUND(MOD(INDEX($A9:$AL9,MATCH(Lists!$F$7,$A$1:$AL$1,0)),1)*1440,0),VALUE(LEFT(INDEX($A9:$AL9,MATCH(Lists!$F$7,$A$1:$AL$1,0)),2))*60+VALUE(MID(INDEX($A9:$AL9,MATCH(Lists!$F$7,$A$1:$AL$1,0)),4,2)))),"")),IFERROR(IF(TRIM(INDEX($A9:$AL9,MATCH(Lists!$F$7,$A$1:$AL$1,0))&amp;"")="","",IF(ISNUMBER(INDEX($A9:$AL9,MATCH(Lists!$F$7,$A$1:$AL$1,0))),ROUND(MOD(INDEX($A9:$AL9,MATCH(Lists!$F$7,$A$1:$AL$1,0)),1)*1440,0),VALUE(LEFT(INDEX($A9:$AL9,MATCH(Lists!$F$7,$A$1:$AL$1,0)),2))*60+VALUE(MID(INDEX($A9:$AL9,MATCH(Lists!$F$7,$A$1:$AL$1,0)),4,2)))),""),-1))</f>
        <v/>
      </c>
      <c r="AW9" s="21">
        <f>IF(IFERROR(TRIM(INDEX($A9:$AL9,MATCH(Lists!$F$2,$A$1:$AL$1,0))&amp;""),"")="","",IF(IFERROR(TRIM(INDEX($A9:$AL9,MATCH(Lists!$F$8,$A$1:$AL$1,0))&amp;""),"")&lt;&gt;"",IFERROR(TRIM(INDEX($A9:$AL9,MATCH(Lists!$F$8,$A$1:$AL$1,0))&amp;""),""),IFERROR(TRIM(INDEX($A9:$AL9,MATCH(Lists!$F$9,$A$1:$AL$1,0))&amp;""),"")))</f>
        <v/>
      </c>
      <c r="AX9" s="21">
        <f>IFERROR(IF(TRIM(INDEX($A9:$AL9,MATCH(Lists!$F$10,$A$1:$AL$1,0))&amp;"")="","",VALUE(TRIM(INDEX($A9:$AL9,MATCH(Lists!$F$10,$A$1:$AL$1,0))&amp;""))),"")</f>
        <v/>
      </c>
      <c r="AY9" s="21">
        <f>IF(IFERROR(TRIM(INDEX($A9:$AL9,MATCH(Lists!$F$2,$A$1:$AL$1,0))&amp;""),"")="","",IF(AN9="","New",AN9))</f>
        <v/>
      </c>
      <c r="AZ9" s="21">
        <f>IF(IFERROR(TRIM(INDEX($A9:$AL9,MATCH(Lists!$F$2,$A$1:$AL$1,0))&amp;""),"")="","",IF(OR(IFERROR(TRIM(INDEX($A9:$AL9,MATCH(Lists!$F$13,$A$1:$AL$1,0))&amp;""),"")="Paid",IFERROR(TRIM(INDEX($A9:$AL9,MATCH(Lists!$F$13,$A$1:$AL$1,0))&amp;""),"")="Partially refunded"),"Paid",IF(AP9="Yes","Paid (by hand)",IFERROR(TRIM(INDEX($A9:$AL9,MATCH(Lists!$F$13,$A$1:$AL$1,0))&amp;""),""))))</f>
        <v/>
      </c>
      <c r="BA9" s="21">
        <f>IF(AND(IFERROR(TRIM(INDEX($A9:$AL9,MATCH(Lists!$F$2,$A$1:$AL$1,0))&amp;""),"")&lt;&gt;"",AT9&gt;0,AU9&gt;=0,AV9&gt;AU9,AY9&lt;&gt;"Declined"),1,0)</f>
        <v/>
      </c>
      <c r="BB9" s="21">
        <f>IF(BA9=1,COUNTIFS($AS$2:$AS$501,AS9,$AT$2:$AT$501,AT9,$AU$2:$AU$501,"&lt;"&amp;AV9,$AV$2:$AV$501,"&gt;"&amp;AU9,$BA$2:$BA$501,1)-1,"")</f>
        <v/>
      </c>
      <c r="BC9" s="21">
        <f>IF(N(BB9)&gt;0,"Clashes with "&amp;INDEX($AW$2:$AW$501,SUMPRODUCT(MAX(($AS$2:$AS$501=AS9)*($AT$2:$AT$501=AT9)*($AU$2:$AU$501&lt;AV9)*($AV$2:$AV$501&gt;AU9)*($BA$2:$BA$501=1)*(ROW($AS$2:$AS$501)&lt;&gt;ROW())*ROW($AS$2:$AS$501)))-1)&amp;" ("&amp;INDEX($AY$2:$AY$501,SUMPRODUCT(MAX(($AS$2:$AS$501=AS9)*($AT$2:$AT$501=AT9)*($AU$2:$AU$501&lt;AV9)*($AV$2:$AV$501&gt;AU9)*($BA$2:$BA$501=1)*(ROW($AS$2:$AS$501)&lt;&gt;ROW())*ROW($AS$2:$AS$501)))-1)&amp;")"&amp;IF(BB9&gt;1," and "&amp;(BB9-1)&amp;" more",""),"")</f>
        <v/>
      </c>
      <c r="BD9" s="21">
        <f>IF(AND(BA9=1,AY9="Confirmed"),AT9*10000000+AU9*1000+ROW(),"")</f>
        <v/>
      </c>
      <c r="BE9" s="21">
        <f>IF(IFERROR(TRIM(INDEX($A9:$AL9,MATCH(Lists!$F$2,$A$1:$AL$1,0))&amp;""),"")="","",IFERROR(TRIM(INDEX($A9:$AL9,MATCH(Lists!$F$11,$A$1:$AL$1,0))&amp;""),""))</f>
        <v/>
      </c>
      <c r="BF9" s="21">
        <f>IF(IFERROR(TRIM(INDEX($A9:$AL9,MATCH(Lists!$F$2,$A$1:$AL$1,0))&amp;""),"")="","",IFERROR(TRIM(INDEX($A9:$AL9,MATCH(Lists!$F$12,$A$1:$AL$1,0))&amp;""),""))</f>
        <v/>
      </c>
    </row>
    <row r="10">
      <c r="AM10" s="19" t="n"/>
      <c r="AN10" s="23" t="n"/>
      <c r="AO10" s="23" t="n"/>
      <c r="AP10" s="23" t="n"/>
      <c r="AQ10" s="23" t="n"/>
      <c r="AR10" s="19" t="n"/>
      <c r="AS10" s="21">
        <f>IF(IFERROR(TRIM(INDEX($A10:$AL10,MATCH(Lists!$F$2,$A$1:$AL$1,0))&amp;""),"")="","",IF(AND(IFERROR(TRIM(INDEX($A10:$AL10,MATCH(Lists!$F$3,$A$1:$AL$1,0))&amp;""),"")="Other",IFERROR(TRIM(INDEX($A10:$AL10,MATCH(Lists!$F$4,$A$1:$AL$1,0))&amp;""),"")&lt;&gt;""),IFERROR(TRIM(INDEX($A10:$AL10,MATCH(Lists!$F$4,$A$1:$AL$1,0))&amp;""),""),IF(IFERROR(TRIM(INDEX($A10:$AL10,MATCH(Lists!$F$3,$A$1:$AL$1,0))&amp;""),"")="","(no space)",IFERROR(TRIM(INDEX($A10:$AL10,MATCH(Lists!$F$3,$A$1:$AL$1,0))&amp;""),""))))</f>
        <v/>
      </c>
      <c r="AT10" s="22">
        <f>IF(IFERROR(TRIM(INDEX($A10:$AL10,MATCH(Lists!$F$2,$A$1:$AL$1,0))&amp;""),"")="",0,N(IFERROR(IF(TRIM(INDEX($A10:$AL10,MATCH(Lists!$F$5,$A$1:$AL$1,0))&amp;"")="","",IF(ISNUMBER(INDEX($A10:$AL10,MATCH(Lists!$F$5,$A$1:$AL$1,0))),INT(INDEX($A10:$AL10,MATCH(Lists!$F$5,$A$1:$AL$1,0))),DATE(VALUE(LEFT(INDEX($A10:$AL10,MATCH(Lists!$F$5,$A$1:$AL$1,0)),4)),VALUE(MID(INDEX($A10:$AL10,MATCH(Lists!$F$5,$A$1:$AL$1,0)),6,2)),VALUE(MID(INDEX($A10:$AL10,MATCH(Lists!$F$5,$A$1:$AL$1,0)),9,2))))),"")))</f>
        <v/>
      </c>
      <c r="AU10" s="21">
        <f>IF(IFERROR(TRIM(INDEX($A10:$AL10,MATCH(Lists!$F$2,$A$1:$AL$1,0))&amp;""),"")="",-1,IF(ISNUMBER(IFERROR(IF(TRIM(INDEX($A10:$AL10,MATCH(Lists!$F$6,$A$1:$AL$1,0))&amp;"")="","",IF(ISNUMBER(INDEX($A10:$AL10,MATCH(Lists!$F$6,$A$1:$AL$1,0))),ROUND(MOD(INDEX($A10:$AL10,MATCH(Lists!$F$6,$A$1:$AL$1,0)),1)*1440,0),VALUE(LEFT(INDEX($A10:$AL10,MATCH(Lists!$F$6,$A$1:$AL$1,0)),2))*60+VALUE(MID(INDEX($A10:$AL10,MATCH(Lists!$F$6,$A$1:$AL$1,0)),4,2)))),"")),IFERROR(IF(TRIM(INDEX($A10:$AL10,MATCH(Lists!$F$6,$A$1:$AL$1,0))&amp;"")="","",IF(ISNUMBER(INDEX($A10:$AL10,MATCH(Lists!$F$6,$A$1:$AL$1,0))),ROUND(MOD(INDEX($A10:$AL10,MATCH(Lists!$F$6,$A$1:$AL$1,0)),1)*1440,0),VALUE(LEFT(INDEX($A10:$AL10,MATCH(Lists!$F$6,$A$1:$AL$1,0)),2))*60+VALUE(MID(INDEX($A10:$AL10,MATCH(Lists!$F$6,$A$1:$AL$1,0)),4,2)))),""),-1))</f>
        <v/>
      </c>
      <c r="AV10" s="21">
        <f>IF(IFERROR(TRIM(INDEX($A10:$AL10,MATCH(Lists!$F$2,$A$1:$AL$1,0))&amp;""),"")="",-1,IF(ISNUMBER(IFERROR(IF(TRIM(INDEX($A10:$AL10,MATCH(Lists!$F$7,$A$1:$AL$1,0))&amp;"")="","",IF(ISNUMBER(INDEX($A10:$AL10,MATCH(Lists!$F$7,$A$1:$AL$1,0))),ROUND(MOD(INDEX($A10:$AL10,MATCH(Lists!$F$7,$A$1:$AL$1,0)),1)*1440,0),VALUE(LEFT(INDEX($A10:$AL10,MATCH(Lists!$F$7,$A$1:$AL$1,0)),2))*60+VALUE(MID(INDEX($A10:$AL10,MATCH(Lists!$F$7,$A$1:$AL$1,0)),4,2)))),"")),IFERROR(IF(TRIM(INDEX($A10:$AL10,MATCH(Lists!$F$7,$A$1:$AL$1,0))&amp;"")="","",IF(ISNUMBER(INDEX($A10:$AL10,MATCH(Lists!$F$7,$A$1:$AL$1,0))),ROUND(MOD(INDEX($A10:$AL10,MATCH(Lists!$F$7,$A$1:$AL$1,0)),1)*1440,0),VALUE(LEFT(INDEX($A10:$AL10,MATCH(Lists!$F$7,$A$1:$AL$1,0)),2))*60+VALUE(MID(INDEX($A10:$AL10,MATCH(Lists!$F$7,$A$1:$AL$1,0)),4,2)))),""),-1))</f>
        <v/>
      </c>
      <c r="AW10" s="21">
        <f>IF(IFERROR(TRIM(INDEX($A10:$AL10,MATCH(Lists!$F$2,$A$1:$AL$1,0))&amp;""),"")="","",IF(IFERROR(TRIM(INDEX($A10:$AL10,MATCH(Lists!$F$8,$A$1:$AL$1,0))&amp;""),"")&lt;&gt;"",IFERROR(TRIM(INDEX($A10:$AL10,MATCH(Lists!$F$8,$A$1:$AL$1,0))&amp;""),""),IFERROR(TRIM(INDEX($A10:$AL10,MATCH(Lists!$F$9,$A$1:$AL$1,0))&amp;""),"")))</f>
        <v/>
      </c>
      <c r="AX10" s="21">
        <f>IFERROR(IF(TRIM(INDEX($A10:$AL10,MATCH(Lists!$F$10,$A$1:$AL$1,0))&amp;"")="","",VALUE(TRIM(INDEX($A10:$AL10,MATCH(Lists!$F$10,$A$1:$AL$1,0))&amp;""))),"")</f>
        <v/>
      </c>
      <c r="AY10" s="21">
        <f>IF(IFERROR(TRIM(INDEX($A10:$AL10,MATCH(Lists!$F$2,$A$1:$AL$1,0))&amp;""),"")="","",IF(AN10="","New",AN10))</f>
        <v/>
      </c>
      <c r="AZ10" s="21">
        <f>IF(IFERROR(TRIM(INDEX($A10:$AL10,MATCH(Lists!$F$2,$A$1:$AL$1,0))&amp;""),"")="","",IF(OR(IFERROR(TRIM(INDEX($A10:$AL10,MATCH(Lists!$F$13,$A$1:$AL$1,0))&amp;""),"")="Paid",IFERROR(TRIM(INDEX($A10:$AL10,MATCH(Lists!$F$13,$A$1:$AL$1,0))&amp;""),"")="Partially refunded"),"Paid",IF(AP10="Yes","Paid (by hand)",IFERROR(TRIM(INDEX($A10:$AL10,MATCH(Lists!$F$13,$A$1:$AL$1,0))&amp;""),""))))</f>
        <v/>
      </c>
      <c r="BA10" s="21">
        <f>IF(AND(IFERROR(TRIM(INDEX($A10:$AL10,MATCH(Lists!$F$2,$A$1:$AL$1,0))&amp;""),"")&lt;&gt;"",AT10&gt;0,AU10&gt;=0,AV10&gt;AU10,AY10&lt;&gt;"Declined"),1,0)</f>
        <v/>
      </c>
      <c r="BB10" s="21">
        <f>IF(BA10=1,COUNTIFS($AS$2:$AS$501,AS10,$AT$2:$AT$501,AT10,$AU$2:$AU$501,"&lt;"&amp;AV10,$AV$2:$AV$501,"&gt;"&amp;AU10,$BA$2:$BA$501,1)-1,"")</f>
        <v/>
      </c>
      <c r="BC10" s="21">
        <f>IF(N(BB10)&gt;0,"Clashes with "&amp;INDEX($AW$2:$AW$501,SUMPRODUCT(MAX(($AS$2:$AS$501=AS10)*($AT$2:$AT$501=AT10)*($AU$2:$AU$501&lt;AV10)*($AV$2:$AV$501&gt;AU10)*($BA$2:$BA$501=1)*(ROW($AS$2:$AS$501)&lt;&gt;ROW())*ROW($AS$2:$AS$501)))-1)&amp;" ("&amp;INDEX($AY$2:$AY$501,SUMPRODUCT(MAX(($AS$2:$AS$501=AS10)*($AT$2:$AT$501=AT10)*($AU$2:$AU$501&lt;AV10)*($AV$2:$AV$501&gt;AU10)*($BA$2:$BA$501=1)*(ROW($AS$2:$AS$501)&lt;&gt;ROW())*ROW($AS$2:$AS$501)))-1)&amp;")"&amp;IF(BB10&gt;1," and "&amp;(BB10-1)&amp;" more",""),"")</f>
        <v/>
      </c>
      <c r="BD10" s="21">
        <f>IF(AND(BA10=1,AY10="Confirmed"),AT10*10000000+AU10*1000+ROW(),"")</f>
        <v/>
      </c>
      <c r="BE10" s="21">
        <f>IF(IFERROR(TRIM(INDEX($A10:$AL10,MATCH(Lists!$F$2,$A$1:$AL$1,0))&amp;""),"")="","",IFERROR(TRIM(INDEX($A10:$AL10,MATCH(Lists!$F$11,$A$1:$AL$1,0))&amp;""),""))</f>
        <v/>
      </c>
      <c r="BF10" s="21">
        <f>IF(IFERROR(TRIM(INDEX($A10:$AL10,MATCH(Lists!$F$2,$A$1:$AL$1,0))&amp;""),"")="","",IFERROR(TRIM(INDEX($A10:$AL10,MATCH(Lists!$F$12,$A$1:$AL$1,0))&amp;""),""))</f>
        <v/>
      </c>
    </row>
    <row r="11">
      <c r="AM11" s="19" t="n"/>
      <c r="AN11" s="23" t="n"/>
      <c r="AO11" s="23" t="n"/>
      <c r="AP11" s="23" t="n"/>
      <c r="AQ11" s="23" t="n"/>
      <c r="AR11" s="19" t="n"/>
      <c r="AS11" s="21">
        <f>IF(IFERROR(TRIM(INDEX($A11:$AL11,MATCH(Lists!$F$2,$A$1:$AL$1,0))&amp;""),"")="","",IF(AND(IFERROR(TRIM(INDEX($A11:$AL11,MATCH(Lists!$F$3,$A$1:$AL$1,0))&amp;""),"")="Other",IFERROR(TRIM(INDEX($A11:$AL11,MATCH(Lists!$F$4,$A$1:$AL$1,0))&amp;""),"")&lt;&gt;""),IFERROR(TRIM(INDEX($A11:$AL11,MATCH(Lists!$F$4,$A$1:$AL$1,0))&amp;""),""),IF(IFERROR(TRIM(INDEX($A11:$AL11,MATCH(Lists!$F$3,$A$1:$AL$1,0))&amp;""),"")="","(no space)",IFERROR(TRIM(INDEX($A11:$AL11,MATCH(Lists!$F$3,$A$1:$AL$1,0))&amp;""),""))))</f>
        <v/>
      </c>
      <c r="AT11" s="22">
        <f>IF(IFERROR(TRIM(INDEX($A11:$AL11,MATCH(Lists!$F$2,$A$1:$AL$1,0))&amp;""),"")="",0,N(IFERROR(IF(TRIM(INDEX($A11:$AL11,MATCH(Lists!$F$5,$A$1:$AL$1,0))&amp;"")="","",IF(ISNUMBER(INDEX($A11:$AL11,MATCH(Lists!$F$5,$A$1:$AL$1,0))),INT(INDEX($A11:$AL11,MATCH(Lists!$F$5,$A$1:$AL$1,0))),DATE(VALUE(LEFT(INDEX($A11:$AL11,MATCH(Lists!$F$5,$A$1:$AL$1,0)),4)),VALUE(MID(INDEX($A11:$AL11,MATCH(Lists!$F$5,$A$1:$AL$1,0)),6,2)),VALUE(MID(INDEX($A11:$AL11,MATCH(Lists!$F$5,$A$1:$AL$1,0)),9,2))))),"")))</f>
        <v/>
      </c>
      <c r="AU11" s="21">
        <f>IF(IFERROR(TRIM(INDEX($A11:$AL11,MATCH(Lists!$F$2,$A$1:$AL$1,0))&amp;""),"")="",-1,IF(ISNUMBER(IFERROR(IF(TRIM(INDEX($A11:$AL11,MATCH(Lists!$F$6,$A$1:$AL$1,0))&amp;"")="","",IF(ISNUMBER(INDEX($A11:$AL11,MATCH(Lists!$F$6,$A$1:$AL$1,0))),ROUND(MOD(INDEX($A11:$AL11,MATCH(Lists!$F$6,$A$1:$AL$1,0)),1)*1440,0),VALUE(LEFT(INDEX($A11:$AL11,MATCH(Lists!$F$6,$A$1:$AL$1,0)),2))*60+VALUE(MID(INDEX($A11:$AL11,MATCH(Lists!$F$6,$A$1:$AL$1,0)),4,2)))),"")),IFERROR(IF(TRIM(INDEX($A11:$AL11,MATCH(Lists!$F$6,$A$1:$AL$1,0))&amp;"")="","",IF(ISNUMBER(INDEX($A11:$AL11,MATCH(Lists!$F$6,$A$1:$AL$1,0))),ROUND(MOD(INDEX($A11:$AL11,MATCH(Lists!$F$6,$A$1:$AL$1,0)),1)*1440,0),VALUE(LEFT(INDEX($A11:$AL11,MATCH(Lists!$F$6,$A$1:$AL$1,0)),2))*60+VALUE(MID(INDEX($A11:$AL11,MATCH(Lists!$F$6,$A$1:$AL$1,0)),4,2)))),""),-1))</f>
        <v/>
      </c>
      <c r="AV11" s="21">
        <f>IF(IFERROR(TRIM(INDEX($A11:$AL11,MATCH(Lists!$F$2,$A$1:$AL$1,0))&amp;""),"")="",-1,IF(ISNUMBER(IFERROR(IF(TRIM(INDEX($A11:$AL11,MATCH(Lists!$F$7,$A$1:$AL$1,0))&amp;"")="","",IF(ISNUMBER(INDEX($A11:$AL11,MATCH(Lists!$F$7,$A$1:$AL$1,0))),ROUND(MOD(INDEX($A11:$AL11,MATCH(Lists!$F$7,$A$1:$AL$1,0)),1)*1440,0),VALUE(LEFT(INDEX($A11:$AL11,MATCH(Lists!$F$7,$A$1:$AL$1,0)),2))*60+VALUE(MID(INDEX($A11:$AL11,MATCH(Lists!$F$7,$A$1:$AL$1,0)),4,2)))),"")),IFERROR(IF(TRIM(INDEX($A11:$AL11,MATCH(Lists!$F$7,$A$1:$AL$1,0))&amp;"")="","",IF(ISNUMBER(INDEX($A11:$AL11,MATCH(Lists!$F$7,$A$1:$AL$1,0))),ROUND(MOD(INDEX($A11:$AL11,MATCH(Lists!$F$7,$A$1:$AL$1,0)),1)*1440,0),VALUE(LEFT(INDEX($A11:$AL11,MATCH(Lists!$F$7,$A$1:$AL$1,0)),2))*60+VALUE(MID(INDEX($A11:$AL11,MATCH(Lists!$F$7,$A$1:$AL$1,0)),4,2)))),""),-1))</f>
        <v/>
      </c>
      <c r="AW11" s="21">
        <f>IF(IFERROR(TRIM(INDEX($A11:$AL11,MATCH(Lists!$F$2,$A$1:$AL$1,0))&amp;""),"")="","",IF(IFERROR(TRIM(INDEX($A11:$AL11,MATCH(Lists!$F$8,$A$1:$AL$1,0))&amp;""),"")&lt;&gt;"",IFERROR(TRIM(INDEX($A11:$AL11,MATCH(Lists!$F$8,$A$1:$AL$1,0))&amp;""),""),IFERROR(TRIM(INDEX($A11:$AL11,MATCH(Lists!$F$9,$A$1:$AL$1,0))&amp;""),"")))</f>
        <v/>
      </c>
      <c r="AX11" s="21">
        <f>IFERROR(IF(TRIM(INDEX($A11:$AL11,MATCH(Lists!$F$10,$A$1:$AL$1,0))&amp;"")="","",VALUE(TRIM(INDEX($A11:$AL11,MATCH(Lists!$F$10,$A$1:$AL$1,0))&amp;""))),"")</f>
        <v/>
      </c>
      <c r="AY11" s="21">
        <f>IF(IFERROR(TRIM(INDEX($A11:$AL11,MATCH(Lists!$F$2,$A$1:$AL$1,0))&amp;""),"")="","",IF(AN11="","New",AN11))</f>
        <v/>
      </c>
      <c r="AZ11" s="21">
        <f>IF(IFERROR(TRIM(INDEX($A11:$AL11,MATCH(Lists!$F$2,$A$1:$AL$1,0))&amp;""),"")="","",IF(OR(IFERROR(TRIM(INDEX($A11:$AL11,MATCH(Lists!$F$13,$A$1:$AL$1,0))&amp;""),"")="Paid",IFERROR(TRIM(INDEX($A11:$AL11,MATCH(Lists!$F$13,$A$1:$AL$1,0))&amp;""),"")="Partially refunded"),"Paid",IF(AP11="Yes","Paid (by hand)",IFERROR(TRIM(INDEX($A11:$AL11,MATCH(Lists!$F$13,$A$1:$AL$1,0))&amp;""),""))))</f>
        <v/>
      </c>
      <c r="BA11" s="21">
        <f>IF(AND(IFERROR(TRIM(INDEX($A11:$AL11,MATCH(Lists!$F$2,$A$1:$AL$1,0))&amp;""),"")&lt;&gt;"",AT11&gt;0,AU11&gt;=0,AV11&gt;AU11,AY11&lt;&gt;"Declined"),1,0)</f>
        <v/>
      </c>
      <c r="BB11" s="21">
        <f>IF(BA11=1,COUNTIFS($AS$2:$AS$501,AS11,$AT$2:$AT$501,AT11,$AU$2:$AU$501,"&lt;"&amp;AV11,$AV$2:$AV$501,"&gt;"&amp;AU11,$BA$2:$BA$501,1)-1,"")</f>
        <v/>
      </c>
      <c r="BC11" s="21">
        <f>IF(N(BB11)&gt;0,"Clashes with "&amp;INDEX($AW$2:$AW$501,SUMPRODUCT(MAX(($AS$2:$AS$501=AS11)*($AT$2:$AT$501=AT11)*($AU$2:$AU$501&lt;AV11)*($AV$2:$AV$501&gt;AU11)*($BA$2:$BA$501=1)*(ROW($AS$2:$AS$501)&lt;&gt;ROW())*ROW($AS$2:$AS$501)))-1)&amp;" ("&amp;INDEX($AY$2:$AY$501,SUMPRODUCT(MAX(($AS$2:$AS$501=AS11)*($AT$2:$AT$501=AT11)*($AU$2:$AU$501&lt;AV11)*($AV$2:$AV$501&gt;AU11)*($BA$2:$BA$501=1)*(ROW($AS$2:$AS$501)&lt;&gt;ROW())*ROW($AS$2:$AS$501)))-1)&amp;")"&amp;IF(BB11&gt;1," and "&amp;(BB11-1)&amp;" more",""),"")</f>
        <v/>
      </c>
      <c r="BD11" s="21">
        <f>IF(AND(BA11=1,AY11="Confirmed"),AT11*10000000+AU11*1000+ROW(),"")</f>
        <v/>
      </c>
      <c r="BE11" s="21">
        <f>IF(IFERROR(TRIM(INDEX($A11:$AL11,MATCH(Lists!$F$2,$A$1:$AL$1,0))&amp;""),"")="","",IFERROR(TRIM(INDEX($A11:$AL11,MATCH(Lists!$F$11,$A$1:$AL$1,0))&amp;""),""))</f>
        <v/>
      </c>
      <c r="BF11" s="21">
        <f>IF(IFERROR(TRIM(INDEX($A11:$AL11,MATCH(Lists!$F$2,$A$1:$AL$1,0))&amp;""),"")="","",IFERROR(TRIM(INDEX($A11:$AL11,MATCH(Lists!$F$12,$A$1:$AL$1,0))&amp;""),""))</f>
        <v/>
      </c>
    </row>
    <row r="12">
      <c r="AM12" s="19" t="n"/>
      <c r="AN12" s="23" t="n"/>
      <c r="AO12" s="23" t="n"/>
      <c r="AP12" s="23" t="n"/>
      <c r="AQ12" s="23" t="n"/>
      <c r="AR12" s="19" t="n"/>
      <c r="AS12" s="21">
        <f>IF(IFERROR(TRIM(INDEX($A12:$AL12,MATCH(Lists!$F$2,$A$1:$AL$1,0))&amp;""),"")="","",IF(AND(IFERROR(TRIM(INDEX($A12:$AL12,MATCH(Lists!$F$3,$A$1:$AL$1,0))&amp;""),"")="Other",IFERROR(TRIM(INDEX($A12:$AL12,MATCH(Lists!$F$4,$A$1:$AL$1,0))&amp;""),"")&lt;&gt;""),IFERROR(TRIM(INDEX($A12:$AL12,MATCH(Lists!$F$4,$A$1:$AL$1,0))&amp;""),""),IF(IFERROR(TRIM(INDEX($A12:$AL12,MATCH(Lists!$F$3,$A$1:$AL$1,0))&amp;""),"")="","(no space)",IFERROR(TRIM(INDEX($A12:$AL12,MATCH(Lists!$F$3,$A$1:$AL$1,0))&amp;""),""))))</f>
        <v/>
      </c>
      <c r="AT12" s="22">
        <f>IF(IFERROR(TRIM(INDEX($A12:$AL12,MATCH(Lists!$F$2,$A$1:$AL$1,0))&amp;""),"")="",0,N(IFERROR(IF(TRIM(INDEX($A12:$AL12,MATCH(Lists!$F$5,$A$1:$AL$1,0))&amp;"")="","",IF(ISNUMBER(INDEX($A12:$AL12,MATCH(Lists!$F$5,$A$1:$AL$1,0))),INT(INDEX($A12:$AL12,MATCH(Lists!$F$5,$A$1:$AL$1,0))),DATE(VALUE(LEFT(INDEX($A12:$AL12,MATCH(Lists!$F$5,$A$1:$AL$1,0)),4)),VALUE(MID(INDEX($A12:$AL12,MATCH(Lists!$F$5,$A$1:$AL$1,0)),6,2)),VALUE(MID(INDEX($A12:$AL12,MATCH(Lists!$F$5,$A$1:$AL$1,0)),9,2))))),"")))</f>
        <v/>
      </c>
      <c r="AU12" s="21">
        <f>IF(IFERROR(TRIM(INDEX($A12:$AL12,MATCH(Lists!$F$2,$A$1:$AL$1,0))&amp;""),"")="",-1,IF(ISNUMBER(IFERROR(IF(TRIM(INDEX($A12:$AL12,MATCH(Lists!$F$6,$A$1:$AL$1,0))&amp;"")="","",IF(ISNUMBER(INDEX($A12:$AL12,MATCH(Lists!$F$6,$A$1:$AL$1,0))),ROUND(MOD(INDEX($A12:$AL12,MATCH(Lists!$F$6,$A$1:$AL$1,0)),1)*1440,0),VALUE(LEFT(INDEX($A12:$AL12,MATCH(Lists!$F$6,$A$1:$AL$1,0)),2))*60+VALUE(MID(INDEX($A12:$AL12,MATCH(Lists!$F$6,$A$1:$AL$1,0)),4,2)))),"")),IFERROR(IF(TRIM(INDEX($A12:$AL12,MATCH(Lists!$F$6,$A$1:$AL$1,0))&amp;"")="","",IF(ISNUMBER(INDEX($A12:$AL12,MATCH(Lists!$F$6,$A$1:$AL$1,0))),ROUND(MOD(INDEX($A12:$AL12,MATCH(Lists!$F$6,$A$1:$AL$1,0)),1)*1440,0),VALUE(LEFT(INDEX($A12:$AL12,MATCH(Lists!$F$6,$A$1:$AL$1,0)),2))*60+VALUE(MID(INDEX($A12:$AL12,MATCH(Lists!$F$6,$A$1:$AL$1,0)),4,2)))),""),-1))</f>
        <v/>
      </c>
      <c r="AV12" s="21">
        <f>IF(IFERROR(TRIM(INDEX($A12:$AL12,MATCH(Lists!$F$2,$A$1:$AL$1,0))&amp;""),"")="",-1,IF(ISNUMBER(IFERROR(IF(TRIM(INDEX($A12:$AL12,MATCH(Lists!$F$7,$A$1:$AL$1,0))&amp;"")="","",IF(ISNUMBER(INDEX($A12:$AL12,MATCH(Lists!$F$7,$A$1:$AL$1,0))),ROUND(MOD(INDEX($A12:$AL12,MATCH(Lists!$F$7,$A$1:$AL$1,0)),1)*1440,0),VALUE(LEFT(INDEX($A12:$AL12,MATCH(Lists!$F$7,$A$1:$AL$1,0)),2))*60+VALUE(MID(INDEX($A12:$AL12,MATCH(Lists!$F$7,$A$1:$AL$1,0)),4,2)))),"")),IFERROR(IF(TRIM(INDEX($A12:$AL12,MATCH(Lists!$F$7,$A$1:$AL$1,0))&amp;"")="","",IF(ISNUMBER(INDEX($A12:$AL12,MATCH(Lists!$F$7,$A$1:$AL$1,0))),ROUND(MOD(INDEX($A12:$AL12,MATCH(Lists!$F$7,$A$1:$AL$1,0)),1)*1440,0),VALUE(LEFT(INDEX($A12:$AL12,MATCH(Lists!$F$7,$A$1:$AL$1,0)),2))*60+VALUE(MID(INDEX($A12:$AL12,MATCH(Lists!$F$7,$A$1:$AL$1,0)),4,2)))),""),-1))</f>
        <v/>
      </c>
      <c r="AW12" s="21">
        <f>IF(IFERROR(TRIM(INDEX($A12:$AL12,MATCH(Lists!$F$2,$A$1:$AL$1,0))&amp;""),"")="","",IF(IFERROR(TRIM(INDEX($A12:$AL12,MATCH(Lists!$F$8,$A$1:$AL$1,0))&amp;""),"")&lt;&gt;"",IFERROR(TRIM(INDEX($A12:$AL12,MATCH(Lists!$F$8,$A$1:$AL$1,0))&amp;""),""),IFERROR(TRIM(INDEX($A12:$AL12,MATCH(Lists!$F$9,$A$1:$AL$1,0))&amp;""),"")))</f>
        <v/>
      </c>
      <c r="AX12" s="21">
        <f>IFERROR(IF(TRIM(INDEX($A12:$AL12,MATCH(Lists!$F$10,$A$1:$AL$1,0))&amp;"")="","",VALUE(TRIM(INDEX($A12:$AL12,MATCH(Lists!$F$10,$A$1:$AL$1,0))&amp;""))),"")</f>
        <v/>
      </c>
      <c r="AY12" s="21">
        <f>IF(IFERROR(TRIM(INDEX($A12:$AL12,MATCH(Lists!$F$2,$A$1:$AL$1,0))&amp;""),"")="","",IF(AN12="","New",AN12))</f>
        <v/>
      </c>
      <c r="AZ12" s="21">
        <f>IF(IFERROR(TRIM(INDEX($A12:$AL12,MATCH(Lists!$F$2,$A$1:$AL$1,0))&amp;""),"")="","",IF(OR(IFERROR(TRIM(INDEX($A12:$AL12,MATCH(Lists!$F$13,$A$1:$AL$1,0))&amp;""),"")="Paid",IFERROR(TRIM(INDEX($A12:$AL12,MATCH(Lists!$F$13,$A$1:$AL$1,0))&amp;""),"")="Partially refunded"),"Paid",IF(AP12="Yes","Paid (by hand)",IFERROR(TRIM(INDEX($A12:$AL12,MATCH(Lists!$F$13,$A$1:$AL$1,0))&amp;""),""))))</f>
        <v/>
      </c>
      <c r="BA12" s="21">
        <f>IF(AND(IFERROR(TRIM(INDEX($A12:$AL12,MATCH(Lists!$F$2,$A$1:$AL$1,0))&amp;""),"")&lt;&gt;"",AT12&gt;0,AU12&gt;=0,AV12&gt;AU12,AY12&lt;&gt;"Declined"),1,0)</f>
        <v/>
      </c>
      <c r="BB12" s="21">
        <f>IF(BA12=1,COUNTIFS($AS$2:$AS$501,AS12,$AT$2:$AT$501,AT12,$AU$2:$AU$501,"&lt;"&amp;AV12,$AV$2:$AV$501,"&gt;"&amp;AU12,$BA$2:$BA$501,1)-1,"")</f>
        <v/>
      </c>
      <c r="BC12" s="21">
        <f>IF(N(BB12)&gt;0,"Clashes with "&amp;INDEX($AW$2:$AW$501,SUMPRODUCT(MAX(($AS$2:$AS$501=AS12)*($AT$2:$AT$501=AT12)*($AU$2:$AU$501&lt;AV12)*($AV$2:$AV$501&gt;AU12)*($BA$2:$BA$501=1)*(ROW($AS$2:$AS$501)&lt;&gt;ROW())*ROW($AS$2:$AS$501)))-1)&amp;" ("&amp;INDEX($AY$2:$AY$501,SUMPRODUCT(MAX(($AS$2:$AS$501=AS12)*($AT$2:$AT$501=AT12)*($AU$2:$AU$501&lt;AV12)*($AV$2:$AV$501&gt;AU12)*($BA$2:$BA$501=1)*(ROW($AS$2:$AS$501)&lt;&gt;ROW())*ROW($AS$2:$AS$501)))-1)&amp;")"&amp;IF(BB12&gt;1," and "&amp;(BB12-1)&amp;" more",""),"")</f>
        <v/>
      </c>
      <c r="BD12" s="21">
        <f>IF(AND(BA12=1,AY12="Confirmed"),AT12*10000000+AU12*1000+ROW(),"")</f>
        <v/>
      </c>
      <c r="BE12" s="21">
        <f>IF(IFERROR(TRIM(INDEX($A12:$AL12,MATCH(Lists!$F$2,$A$1:$AL$1,0))&amp;""),"")="","",IFERROR(TRIM(INDEX($A12:$AL12,MATCH(Lists!$F$11,$A$1:$AL$1,0))&amp;""),""))</f>
        <v/>
      </c>
      <c r="BF12" s="21">
        <f>IF(IFERROR(TRIM(INDEX($A12:$AL12,MATCH(Lists!$F$2,$A$1:$AL$1,0))&amp;""),"")="","",IFERROR(TRIM(INDEX($A12:$AL12,MATCH(Lists!$F$12,$A$1:$AL$1,0))&amp;""),""))</f>
        <v/>
      </c>
    </row>
    <row r="13">
      <c r="AM13" s="19" t="n"/>
      <c r="AN13" s="23" t="n"/>
      <c r="AO13" s="23" t="n"/>
      <c r="AP13" s="23" t="n"/>
      <c r="AQ13" s="23" t="n"/>
      <c r="AR13" s="19" t="n"/>
      <c r="AS13" s="21">
        <f>IF(IFERROR(TRIM(INDEX($A13:$AL13,MATCH(Lists!$F$2,$A$1:$AL$1,0))&amp;""),"")="","",IF(AND(IFERROR(TRIM(INDEX($A13:$AL13,MATCH(Lists!$F$3,$A$1:$AL$1,0))&amp;""),"")="Other",IFERROR(TRIM(INDEX($A13:$AL13,MATCH(Lists!$F$4,$A$1:$AL$1,0))&amp;""),"")&lt;&gt;""),IFERROR(TRIM(INDEX($A13:$AL13,MATCH(Lists!$F$4,$A$1:$AL$1,0))&amp;""),""),IF(IFERROR(TRIM(INDEX($A13:$AL13,MATCH(Lists!$F$3,$A$1:$AL$1,0))&amp;""),"")="","(no space)",IFERROR(TRIM(INDEX($A13:$AL13,MATCH(Lists!$F$3,$A$1:$AL$1,0))&amp;""),""))))</f>
        <v/>
      </c>
      <c r="AT13" s="22">
        <f>IF(IFERROR(TRIM(INDEX($A13:$AL13,MATCH(Lists!$F$2,$A$1:$AL$1,0))&amp;""),"")="",0,N(IFERROR(IF(TRIM(INDEX($A13:$AL13,MATCH(Lists!$F$5,$A$1:$AL$1,0))&amp;"")="","",IF(ISNUMBER(INDEX($A13:$AL13,MATCH(Lists!$F$5,$A$1:$AL$1,0))),INT(INDEX($A13:$AL13,MATCH(Lists!$F$5,$A$1:$AL$1,0))),DATE(VALUE(LEFT(INDEX($A13:$AL13,MATCH(Lists!$F$5,$A$1:$AL$1,0)),4)),VALUE(MID(INDEX($A13:$AL13,MATCH(Lists!$F$5,$A$1:$AL$1,0)),6,2)),VALUE(MID(INDEX($A13:$AL13,MATCH(Lists!$F$5,$A$1:$AL$1,0)),9,2))))),"")))</f>
        <v/>
      </c>
      <c r="AU13" s="21">
        <f>IF(IFERROR(TRIM(INDEX($A13:$AL13,MATCH(Lists!$F$2,$A$1:$AL$1,0))&amp;""),"")="",-1,IF(ISNUMBER(IFERROR(IF(TRIM(INDEX($A13:$AL13,MATCH(Lists!$F$6,$A$1:$AL$1,0))&amp;"")="","",IF(ISNUMBER(INDEX($A13:$AL13,MATCH(Lists!$F$6,$A$1:$AL$1,0))),ROUND(MOD(INDEX($A13:$AL13,MATCH(Lists!$F$6,$A$1:$AL$1,0)),1)*1440,0),VALUE(LEFT(INDEX($A13:$AL13,MATCH(Lists!$F$6,$A$1:$AL$1,0)),2))*60+VALUE(MID(INDEX($A13:$AL13,MATCH(Lists!$F$6,$A$1:$AL$1,0)),4,2)))),"")),IFERROR(IF(TRIM(INDEX($A13:$AL13,MATCH(Lists!$F$6,$A$1:$AL$1,0))&amp;"")="","",IF(ISNUMBER(INDEX($A13:$AL13,MATCH(Lists!$F$6,$A$1:$AL$1,0))),ROUND(MOD(INDEX($A13:$AL13,MATCH(Lists!$F$6,$A$1:$AL$1,0)),1)*1440,0),VALUE(LEFT(INDEX($A13:$AL13,MATCH(Lists!$F$6,$A$1:$AL$1,0)),2))*60+VALUE(MID(INDEX($A13:$AL13,MATCH(Lists!$F$6,$A$1:$AL$1,0)),4,2)))),""),-1))</f>
        <v/>
      </c>
      <c r="AV13" s="21">
        <f>IF(IFERROR(TRIM(INDEX($A13:$AL13,MATCH(Lists!$F$2,$A$1:$AL$1,0))&amp;""),"")="",-1,IF(ISNUMBER(IFERROR(IF(TRIM(INDEX($A13:$AL13,MATCH(Lists!$F$7,$A$1:$AL$1,0))&amp;"")="","",IF(ISNUMBER(INDEX($A13:$AL13,MATCH(Lists!$F$7,$A$1:$AL$1,0))),ROUND(MOD(INDEX($A13:$AL13,MATCH(Lists!$F$7,$A$1:$AL$1,0)),1)*1440,0),VALUE(LEFT(INDEX($A13:$AL13,MATCH(Lists!$F$7,$A$1:$AL$1,0)),2))*60+VALUE(MID(INDEX($A13:$AL13,MATCH(Lists!$F$7,$A$1:$AL$1,0)),4,2)))),"")),IFERROR(IF(TRIM(INDEX($A13:$AL13,MATCH(Lists!$F$7,$A$1:$AL$1,0))&amp;"")="","",IF(ISNUMBER(INDEX($A13:$AL13,MATCH(Lists!$F$7,$A$1:$AL$1,0))),ROUND(MOD(INDEX($A13:$AL13,MATCH(Lists!$F$7,$A$1:$AL$1,0)),1)*1440,0),VALUE(LEFT(INDEX($A13:$AL13,MATCH(Lists!$F$7,$A$1:$AL$1,0)),2))*60+VALUE(MID(INDEX($A13:$AL13,MATCH(Lists!$F$7,$A$1:$AL$1,0)),4,2)))),""),-1))</f>
        <v/>
      </c>
      <c r="AW13" s="21">
        <f>IF(IFERROR(TRIM(INDEX($A13:$AL13,MATCH(Lists!$F$2,$A$1:$AL$1,0))&amp;""),"")="","",IF(IFERROR(TRIM(INDEX($A13:$AL13,MATCH(Lists!$F$8,$A$1:$AL$1,0))&amp;""),"")&lt;&gt;"",IFERROR(TRIM(INDEX($A13:$AL13,MATCH(Lists!$F$8,$A$1:$AL$1,0))&amp;""),""),IFERROR(TRIM(INDEX($A13:$AL13,MATCH(Lists!$F$9,$A$1:$AL$1,0))&amp;""),"")))</f>
        <v/>
      </c>
      <c r="AX13" s="21">
        <f>IFERROR(IF(TRIM(INDEX($A13:$AL13,MATCH(Lists!$F$10,$A$1:$AL$1,0))&amp;"")="","",VALUE(TRIM(INDEX($A13:$AL13,MATCH(Lists!$F$10,$A$1:$AL$1,0))&amp;""))),"")</f>
        <v/>
      </c>
      <c r="AY13" s="21">
        <f>IF(IFERROR(TRIM(INDEX($A13:$AL13,MATCH(Lists!$F$2,$A$1:$AL$1,0))&amp;""),"")="","",IF(AN13="","New",AN13))</f>
        <v/>
      </c>
      <c r="AZ13" s="21">
        <f>IF(IFERROR(TRIM(INDEX($A13:$AL13,MATCH(Lists!$F$2,$A$1:$AL$1,0))&amp;""),"")="","",IF(OR(IFERROR(TRIM(INDEX($A13:$AL13,MATCH(Lists!$F$13,$A$1:$AL$1,0))&amp;""),"")="Paid",IFERROR(TRIM(INDEX($A13:$AL13,MATCH(Lists!$F$13,$A$1:$AL$1,0))&amp;""),"")="Partially refunded"),"Paid",IF(AP13="Yes","Paid (by hand)",IFERROR(TRIM(INDEX($A13:$AL13,MATCH(Lists!$F$13,$A$1:$AL$1,0))&amp;""),""))))</f>
        <v/>
      </c>
      <c r="BA13" s="21">
        <f>IF(AND(IFERROR(TRIM(INDEX($A13:$AL13,MATCH(Lists!$F$2,$A$1:$AL$1,0))&amp;""),"")&lt;&gt;"",AT13&gt;0,AU13&gt;=0,AV13&gt;AU13,AY13&lt;&gt;"Declined"),1,0)</f>
        <v/>
      </c>
      <c r="BB13" s="21">
        <f>IF(BA13=1,COUNTIFS($AS$2:$AS$501,AS13,$AT$2:$AT$501,AT13,$AU$2:$AU$501,"&lt;"&amp;AV13,$AV$2:$AV$501,"&gt;"&amp;AU13,$BA$2:$BA$501,1)-1,"")</f>
        <v/>
      </c>
      <c r="BC13" s="21">
        <f>IF(N(BB13)&gt;0,"Clashes with "&amp;INDEX($AW$2:$AW$501,SUMPRODUCT(MAX(($AS$2:$AS$501=AS13)*($AT$2:$AT$501=AT13)*($AU$2:$AU$501&lt;AV13)*($AV$2:$AV$501&gt;AU13)*($BA$2:$BA$501=1)*(ROW($AS$2:$AS$501)&lt;&gt;ROW())*ROW($AS$2:$AS$501)))-1)&amp;" ("&amp;INDEX($AY$2:$AY$501,SUMPRODUCT(MAX(($AS$2:$AS$501=AS13)*($AT$2:$AT$501=AT13)*($AU$2:$AU$501&lt;AV13)*($AV$2:$AV$501&gt;AU13)*($BA$2:$BA$501=1)*(ROW($AS$2:$AS$501)&lt;&gt;ROW())*ROW($AS$2:$AS$501)))-1)&amp;")"&amp;IF(BB13&gt;1," and "&amp;(BB13-1)&amp;" more",""),"")</f>
        <v/>
      </c>
      <c r="BD13" s="21">
        <f>IF(AND(BA13=1,AY13="Confirmed"),AT13*10000000+AU13*1000+ROW(),"")</f>
        <v/>
      </c>
      <c r="BE13" s="21">
        <f>IF(IFERROR(TRIM(INDEX($A13:$AL13,MATCH(Lists!$F$2,$A$1:$AL$1,0))&amp;""),"")="","",IFERROR(TRIM(INDEX($A13:$AL13,MATCH(Lists!$F$11,$A$1:$AL$1,0))&amp;""),""))</f>
        <v/>
      </c>
      <c r="BF13" s="21">
        <f>IF(IFERROR(TRIM(INDEX($A13:$AL13,MATCH(Lists!$F$2,$A$1:$AL$1,0))&amp;""),"")="","",IFERROR(TRIM(INDEX($A13:$AL13,MATCH(Lists!$F$12,$A$1:$AL$1,0))&amp;""),""))</f>
        <v/>
      </c>
    </row>
    <row r="14">
      <c r="AM14" s="19" t="n"/>
      <c r="AN14" s="23" t="n"/>
      <c r="AO14" s="23" t="n"/>
      <c r="AP14" s="23" t="n"/>
      <c r="AQ14" s="23" t="n"/>
      <c r="AR14" s="19" t="n"/>
      <c r="AS14" s="21">
        <f>IF(IFERROR(TRIM(INDEX($A14:$AL14,MATCH(Lists!$F$2,$A$1:$AL$1,0))&amp;""),"")="","",IF(AND(IFERROR(TRIM(INDEX($A14:$AL14,MATCH(Lists!$F$3,$A$1:$AL$1,0))&amp;""),"")="Other",IFERROR(TRIM(INDEX($A14:$AL14,MATCH(Lists!$F$4,$A$1:$AL$1,0))&amp;""),"")&lt;&gt;""),IFERROR(TRIM(INDEX($A14:$AL14,MATCH(Lists!$F$4,$A$1:$AL$1,0))&amp;""),""),IF(IFERROR(TRIM(INDEX($A14:$AL14,MATCH(Lists!$F$3,$A$1:$AL$1,0))&amp;""),"")="","(no space)",IFERROR(TRIM(INDEX($A14:$AL14,MATCH(Lists!$F$3,$A$1:$AL$1,0))&amp;""),""))))</f>
        <v/>
      </c>
      <c r="AT14" s="22">
        <f>IF(IFERROR(TRIM(INDEX($A14:$AL14,MATCH(Lists!$F$2,$A$1:$AL$1,0))&amp;""),"")="",0,N(IFERROR(IF(TRIM(INDEX($A14:$AL14,MATCH(Lists!$F$5,$A$1:$AL$1,0))&amp;"")="","",IF(ISNUMBER(INDEX($A14:$AL14,MATCH(Lists!$F$5,$A$1:$AL$1,0))),INT(INDEX($A14:$AL14,MATCH(Lists!$F$5,$A$1:$AL$1,0))),DATE(VALUE(LEFT(INDEX($A14:$AL14,MATCH(Lists!$F$5,$A$1:$AL$1,0)),4)),VALUE(MID(INDEX($A14:$AL14,MATCH(Lists!$F$5,$A$1:$AL$1,0)),6,2)),VALUE(MID(INDEX($A14:$AL14,MATCH(Lists!$F$5,$A$1:$AL$1,0)),9,2))))),"")))</f>
        <v/>
      </c>
      <c r="AU14" s="21">
        <f>IF(IFERROR(TRIM(INDEX($A14:$AL14,MATCH(Lists!$F$2,$A$1:$AL$1,0))&amp;""),"")="",-1,IF(ISNUMBER(IFERROR(IF(TRIM(INDEX($A14:$AL14,MATCH(Lists!$F$6,$A$1:$AL$1,0))&amp;"")="","",IF(ISNUMBER(INDEX($A14:$AL14,MATCH(Lists!$F$6,$A$1:$AL$1,0))),ROUND(MOD(INDEX($A14:$AL14,MATCH(Lists!$F$6,$A$1:$AL$1,0)),1)*1440,0),VALUE(LEFT(INDEX($A14:$AL14,MATCH(Lists!$F$6,$A$1:$AL$1,0)),2))*60+VALUE(MID(INDEX($A14:$AL14,MATCH(Lists!$F$6,$A$1:$AL$1,0)),4,2)))),"")),IFERROR(IF(TRIM(INDEX($A14:$AL14,MATCH(Lists!$F$6,$A$1:$AL$1,0))&amp;"")="","",IF(ISNUMBER(INDEX($A14:$AL14,MATCH(Lists!$F$6,$A$1:$AL$1,0))),ROUND(MOD(INDEX($A14:$AL14,MATCH(Lists!$F$6,$A$1:$AL$1,0)),1)*1440,0),VALUE(LEFT(INDEX($A14:$AL14,MATCH(Lists!$F$6,$A$1:$AL$1,0)),2))*60+VALUE(MID(INDEX($A14:$AL14,MATCH(Lists!$F$6,$A$1:$AL$1,0)),4,2)))),""),-1))</f>
        <v/>
      </c>
      <c r="AV14" s="21">
        <f>IF(IFERROR(TRIM(INDEX($A14:$AL14,MATCH(Lists!$F$2,$A$1:$AL$1,0))&amp;""),"")="",-1,IF(ISNUMBER(IFERROR(IF(TRIM(INDEX($A14:$AL14,MATCH(Lists!$F$7,$A$1:$AL$1,0))&amp;"")="","",IF(ISNUMBER(INDEX($A14:$AL14,MATCH(Lists!$F$7,$A$1:$AL$1,0))),ROUND(MOD(INDEX($A14:$AL14,MATCH(Lists!$F$7,$A$1:$AL$1,0)),1)*1440,0),VALUE(LEFT(INDEX($A14:$AL14,MATCH(Lists!$F$7,$A$1:$AL$1,0)),2))*60+VALUE(MID(INDEX($A14:$AL14,MATCH(Lists!$F$7,$A$1:$AL$1,0)),4,2)))),"")),IFERROR(IF(TRIM(INDEX($A14:$AL14,MATCH(Lists!$F$7,$A$1:$AL$1,0))&amp;"")="","",IF(ISNUMBER(INDEX($A14:$AL14,MATCH(Lists!$F$7,$A$1:$AL$1,0))),ROUND(MOD(INDEX($A14:$AL14,MATCH(Lists!$F$7,$A$1:$AL$1,0)),1)*1440,0),VALUE(LEFT(INDEX($A14:$AL14,MATCH(Lists!$F$7,$A$1:$AL$1,0)),2))*60+VALUE(MID(INDEX($A14:$AL14,MATCH(Lists!$F$7,$A$1:$AL$1,0)),4,2)))),""),-1))</f>
        <v/>
      </c>
      <c r="AW14" s="21">
        <f>IF(IFERROR(TRIM(INDEX($A14:$AL14,MATCH(Lists!$F$2,$A$1:$AL$1,0))&amp;""),"")="","",IF(IFERROR(TRIM(INDEX($A14:$AL14,MATCH(Lists!$F$8,$A$1:$AL$1,0))&amp;""),"")&lt;&gt;"",IFERROR(TRIM(INDEX($A14:$AL14,MATCH(Lists!$F$8,$A$1:$AL$1,0))&amp;""),""),IFERROR(TRIM(INDEX($A14:$AL14,MATCH(Lists!$F$9,$A$1:$AL$1,0))&amp;""),"")))</f>
        <v/>
      </c>
      <c r="AX14" s="21">
        <f>IFERROR(IF(TRIM(INDEX($A14:$AL14,MATCH(Lists!$F$10,$A$1:$AL$1,0))&amp;"")="","",VALUE(TRIM(INDEX($A14:$AL14,MATCH(Lists!$F$10,$A$1:$AL$1,0))&amp;""))),"")</f>
        <v/>
      </c>
      <c r="AY14" s="21">
        <f>IF(IFERROR(TRIM(INDEX($A14:$AL14,MATCH(Lists!$F$2,$A$1:$AL$1,0))&amp;""),"")="","",IF(AN14="","New",AN14))</f>
        <v/>
      </c>
      <c r="AZ14" s="21">
        <f>IF(IFERROR(TRIM(INDEX($A14:$AL14,MATCH(Lists!$F$2,$A$1:$AL$1,0))&amp;""),"")="","",IF(OR(IFERROR(TRIM(INDEX($A14:$AL14,MATCH(Lists!$F$13,$A$1:$AL$1,0))&amp;""),"")="Paid",IFERROR(TRIM(INDEX($A14:$AL14,MATCH(Lists!$F$13,$A$1:$AL$1,0))&amp;""),"")="Partially refunded"),"Paid",IF(AP14="Yes","Paid (by hand)",IFERROR(TRIM(INDEX($A14:$AL14,MATCH(Lists!$F$13,$A$1:$AL$1,0))&amp;""),""))))</f>
        <v/>
      </c>
      <c r="BA14" s="21">
        <f>IF(AND(IFERROR(TRIM(INDEX($A14:$AL14,MATCH(Lists!$F$2,$A$1:$AL$1,0))&amp;""),"")&lt;&gt;"",AT14&gt;0,AU14&gt;=0,AV14&gt;AU14,AY14&lt;&gt;"Declined"),1,0)</f>
        <v/>
      </c>
      <c r="BB14" s="21">
        <f>IF(BA14=1,COUNTIFS($AS$2:$AS$501,AS14,$AT$2:$AT$501,AT14,$AU$2:$AU$501,"&lt;"&amp;AV14,$AV$2:$AV$501,"&gt;"&amp;AU14,$BA$2:$BA$501,1)-1,"")</f>
        <v/>
      </c>
      <c r="BC14" s="21">
        <f>IF(N(BB14)&gt;0,"Clashes with "&amp;INDEX($AW$2:$AW$501,SUMPRODUCT(MAX(($AS$2:$AS$501=AS14)*($AT$2:$AT$501=AT14)*($AU$2:$AU$501&lt;AV14)*($AV$2:$AV$501&gt;AU14)*($BA$2:$BA$501=1)*(ROW($AS$2:$AS$501)&lt;&gt;ROW())*ROW($AS$2:$AS$501)))-1)&amp;" ("&amp;INDEX($AY$2:$AY$501,SUMPRODUCT(MAX(($AS$2:$AS$501=AS14)*($AT$2:$AT$501=AT14)*($AU$2:$AU$501&lt;AV14)*($AV$2:$AV$501&gt;AU14)*($BA$2:$BA$501=1)*(ROW($AS$2:$AS$501)&lt;&gt;ROW())*ROW($AS$2:$AS$501)))-1)&amp;")"&amp;IF(BB14&gt;1," and "&amp;(BB14-1)&amp;" more",""),"")</f>
        <v/>
      </c>
      <c r="BD14" s="21">
        <f>IF(AND(BA14=1,AY14="Confirmed"),AT14*10000000+AU14*1000+ROW(),"")</f>
        <v/>
      </c>
      <c r="BE14" s="21">
        <f>IF(IFERROR(TRIM(INDEX($A14:$AL14,MATCH(Lists!$F$2,$A$1:$AL$1,0))&amp;""),"")="","",IFERROR(TRIM(INDEX($A14:$AL14,MATCH(Lists!$F$11,$A$1:$AL$1,0))&amp;""),""))</f>
        <v/>
      </c>
      <c r="BF14" s="21">
        <f>IF(IFERROR(TRIM(INDEX($A14:$AL14,MATCH(Lists!$F$2,$A$1:$AL$1,0))&amp;""),"")="","",IFERROR(TRIM(INDEX($A14:$AL14,MATCH(Lists!$F$12,$A$1:$AL$1,0))&amp;""),""))</f>
        <v/>
      </c>
    </row>
    <row r="15">
      <c r="AM15" s="19" t="n"/>
      <c r="AN15" s="23" t="n"/>
      <c r="AO15" s="23" t="n"/>
      <c r="AP15" s="23" t="n"/>
      <c r="AQ15" s="23" t="n"/>
      <c r="AR15" s="19" t="n"/>
      <c r="AS15" s="21">
        <f>IF(IFERROR(TRIM(INDEX($A15:$AL15,MATCH(Lists!$F$2,$A$1:$AL$1,0))&amp;""),"")="","",IF(AND(IFERROR(TRIM(INDEX($A15:$AL15,MATCH(Lists!$F$3,$A$1:$AL$1,0))&amp;""),"")="Other",IFERROR(TRIM(INDEX($A15:$AL15,MATCH(Lists!$F$4,$A$1:$AL$1,0))&amp;""),"")&lt;&gt;""),IFERROR(TRIM(INDEX($A15:$AL15,MATCH(Lists!$F$4,$A$1:$AL$1,0))&amp;""),""),IF(IFERROR(TRIM(INDEX($A15:$AL15,MATCH(Lists!$F$3,$A$1:$AL$1,0))&amp;""),"")="","(no space)",IFERROR(TRIM(INDEX($A15:$AL15,MATCH(Lists!$F$3,$A$1:$AL$1,0))&amp;""),""))))</f>
        <v/>
      </c>
      <c r="AT15" s="22">
        <f>IF(IFERROR(TRIM(INDEX($A15:$AL15,MATCH(Lists!$F$2,$A$1:$AL$1,0))&amp;""),"")="",0,N(IFERROR(IF(TRIM(INDEX($A15:$AL15,MATCH(Lists!$F$5,$A$1:$AL$1,0))&amp;"")="","",IF(ISNUMBER(INDEX($A15:$AL15,MATCH(Lists!$F$5,$A$1:$AL$1,0))),INT(INDEX($A15:$AL15,MATCH(Lists!$F$5,$A$1:$AL$1,0))),DATE(VALUE(LEFT(INDEX($A15:$AL15,MATCH(Lists!$F$5,$A$1:$AL$1,0)),4)),VALUE(MID(INDEX($A15:$AL15,MATCH(Lists!$F$5,$A$1:$AL$1,0)),6,2)),VALUE(MID(INDEX($A15:$AL15,MATCH(Lists!$F$5,$A$1:$AL$1,0)),9,2))))),"")))</f>
        <v/>
      </c>
      <c r="AU15" s="21">
        <f>IF(IFERROR(TRIM(INDEX($A15:$AL15,MATCH(Lists!$F$2,$A$1:$AL$1,0))&amp;""),"")="",-1,IF(ISNUMBER(IFERROR(IF(TRIM(INDEX($A15:$AL15,MATCH(Lists!$F$6,$A$1:$AL$1,0))&amp;"")="","",IF(ISNUMBER(INDEX($A15:$AL15,MATCH(Lists!$F$6,$A$1:$AL$1,0))),ROUND(MOD(INDEX($A15:$AL15,MATCH(Lists!$F$6,$A$1:$AL$1,0)),1)*1440,0),VALUE(LEFT(INDEX($A15:$AL15,MATCH(Lists!$F$6,$A$1:$AL$1,0)),2))*60+VALUE(MID(INDEX($A15:$AL15,MATCH(Lists!$F$6,$A$1:$AL$1,0)),4,2)))),"")),IFERROR(IF(TRIM(INDEX($A15:$AL15,MATCH(Lists!$F$6,$A$1:$AL$1,0))&amp;"")="","",IF(ISNUMBER(INDEX($A15:$AL15,MATCH(Lists!$F$6,$A$1:$AL$1,0))),ROUND(MOD(INDEX($A15:$AL15,MATCH(Lists!$F$6,$A$1:$AL$1,0)),1)*1440,0),VALUE(LEFT(INDEX($A15:$AL15,MATCH(Lists!$F$6,$A$1:$AL$1,0)),2))*60+VALUE(MID(INDEX($A15:$AL15,MATCH(Lists!$F$6,$A$1:$AL$1,0)),4,2)))),""),-1))</f>
        <v/>
      </c>
      <c r="AV15" s="21">
        <f>IF(IFERROR(TRIM(INDEX($A15:$AL15,MATCH(Lists!$F$2,$A$1:$AL$1,0))&amp;""),"")="",-1,IF(ISNUMBER(IFERROR(IF(TRIM(INDEX($A15:$AL15,MATCH(Lists!$F$7,$A$1:$AL$1,0))&amp;"")="","",IF(ISNUMBER(INDEX($A15:$AL15,MATCH(Lists!$F$7,$A$1:$AL$1,0))),ROUND(MOD(INDEX($A15:$AL15,MATCH(Lists!$F$7,$A$1:$AL$1,0)),1)*1440,0),VALUE(LEFT(INDEX($A15:$AL15,MATCH(Lists!$F$7,$A$1:$AL$1,0)),2))*60+VALUE(MID(INDEX($A15:$AL15,MATCH(Lists!$F$7,$A$1:$AL$1,0)),4,2)))),"")),IFERROR(IF(TRIM(INDEX($A15:$AL15,MATCH(Lists!$F$7,$A$1:$AL$1,0))&amp;"")="","",IF(ISNUMBER(INDEX($A15:$AL15,MATCH(Lists!$F$7,$A$1:$AL$1,0))),ROUND(MOD(INDEX($A15:$AL15,MATCH(Lists!$F$7,$A$1:$AL$1,0)),1)*1440,0),VALUE(LEFT(INDEX($A15:$AL15,MATCH(Lists!$F$7,$A$1:$AL$1,0)),2))*60+VALUE(MID(INDEX($A15:$AL15,MATCH(Lists!$F$7,$A$1:$AL$1,0)),4,2)))),""),-1))</f>
        <v/>
      </c>
      <c r="AW15" s="21">
        <f>IF(IFERROR(TRIM(INDEX($A15:$AL15,MATCH(Lists!$F$2,$A$1:$AL$1,0))&amp;""),"")="","",IF(IFERROR(TRIM(INDEX($A15:$AL15,MATCH(Lists!$F$8,$A$1:$AL$1,0))&amp;""),"")&lt;&gt;"",IFERROR(TRIM(INDEX($A15:$AL15,MATCH(Lists!$F$8,$A$1:$AL$1,0))&amp;""),""),IFERROR(TRIM(INDEX($A15:$AL15,MATCH(Lists!$F$9,$A$1:$AL$1,0))&amp;""),"")))</f>
        <v/>
      </c>
      <c r="AX15" s="21">
        <f>IFERROR(IF(TRIM(INDEX($A15:$AL15,MATCH(Lists!$F$10,$A$1:$AL$1,0))&amp;"")="","",VALUE(TRIM(INDEX($A15:$AL15,MATCH(Lists!$F$10,$A$1:$AL$1,0))&amp;""))),"")</f>
        <v/>
      </c>
      <c r="AY15" s="21">
        <f>IF(IFERROR(TRIM(INDEX($A15:$AL15,MATCH(Lists!$F$2,$A$1:$AL$1,0))&amp;""),"")="","",IF(AN15="","New",AN15))</f>
        <v/>
      </c>
      <c r="AZ15" s="21">
        <f>IF(IFERROR(TRIM(INDEX($A15:$AL15,MATCH(Lists!$F$2,$A$1:$AL$1,0))&amp;""),"")="","",IF(OR(IFERROR(TRIM(INDEX($A15:$AL15,MATCH(Lists!$F$13,$A$1:$AL$1,0))&amp;""),"")="Paid",IFERROR(TRIM(INDEX($A15:$AL15,MATCH(Lists!$F$13,$A$1:$AL$1,0))&amp;""),"")="Partially refunded"),"Paid",IF(AP15="Yes","Paid (by hand)",IFERROR(TRIM(INDEX($A15:$AL15,MATCH(Lists!$F$13,$A$1:$AL$1,0))&amp;""),""))))</f>
        <v/>
      </c>
      <c r="BA15" s="21">
        <f>IF(AND(IFERROR(TRIM(INDEX($A15:$AL15,MATCH(Lists!$F$2,$A$1:$AL$1,0))&amp;""),"")&lt;&gt;"",AT15&gt;0,AU15&gt;=0,AV15&gt;AU15,AY15&lt;&gt;"Declined"),1,0)</f>
        <v/>
      </c>
      <c r="BB15" s="21">
        <f>IF(BA15=1,COUNTIFS($AS$2:$AS$501,AS15,$AT$2:$AT$501,AT15,$AU$2:$AU$501,"&lt;"&amp;AV15,$AV$2:$AV$501,"&gt;"&amp;AU15,$BA$2:$BA$501,1)-1,"")</f>
        <v/>
      </c>
      <c r="BC15" s="21">
        <f>IF(N(BB15)&gt;0,"Clashes with "&amp;INDEX($AW$2:$AW$501,SUMPRODUCT(MAX(($AS$2:$AS$501=AS15)*($AT$2:$AT$501=AT15)*($AU$2:$AU$501&lt;AV15)*($AV$2:$AV$501&gt;AU15)*($BA$2:$BA$501=1)*(ROW($AS$2:$AS$501)&lt;&gt;ROW())*ROW($AS$2:$AS$501)))-1)&amp;" ("&amp;INDEX($AY$2:$AY$501,SUMPRODUCT(MAX(($AS$2:$AS$501=AS15)*($AT$2:$AT$501=AT15)*($AU$2:$AU$501&lt;AV15)*($AV$2:$AV$501&gt;AU15)*($BA$2:$BA$501=1)*(ROW($AS$2:$AS$501)&lt;&gt;ROW())*ROW($AS$2:$AS$501)))-1)&amp;")"&amp;IF(BB15&gt;1," and "&amp;(BB15-1)&amp;" more",""),"")</f>
        <v/>
      </c>
      <c r="BD15" s="21">
        <f>IF(AND(BA15=1,AY15="Confirmed"),AT15*10000000+AU15*1000+ROW(),"")</f>
        <v/>
      </c>
      <c r="BE15" s="21">
        <f>IF(IFERROR(TRIM(INDEX($A15:$AL15,MATCH(Lists!$F$2,$A$1:$AL$1,0))&amp;""),"")="","",IFERROR(TRIM(INDEX($A15:$AL15,MATCH(Lists!$F$11,$A$1:$AL$1,0))&amp;""),""))</f>
        <v/>
      </c>
      <c r="BF15" s="21">
        <f>IF(IFERROR(TRIM(INDEX($A15:$AL15,MATCH(Lists!$F$2,$A$1:$AL$1,0))&amp;""),"")="","",IFERROR(TRIM(INDEX($A15:$AL15,MATCH(Lists!$F$12,$A$1:$AL$1,0))&amp;""),""))</f>
        <v/>
      </c>
    </row>
    <row r="16">
      <c r="AM16" s="19" t="n"/>
      <c r="AN16" s="23" t="n"/>
      <c r="AO16" s="23" t="n"/>
      <c r="AP16" s="23" t="n"/>
      <c r="AQ16" s="23" t="n"/>
      <c r="AR16" s="19" t="n"/>
      <c r="AS16" s="21">
        <f>IF(IFERROR(TRIM(INDEX($A16:$AL16,MATCH(Lists!$F$2,$A$1:$AL$1,0))&amp;""),"")="","",IF(AND(IFERROR(TRIM(INDEX($A16:$AL16,MATCH(Lists!$F$3,$A$1:$AL$1,0))&amp;""),"")="Other",IFERROR(TRIM(INDEX($A16:$AL16,MATCH(Lists!$F$4,$A$1:$AL$1,0))&amp;""),"")&lt;&gt;""),IFERROR(TRIM(INDEX($A16:$AL16,MATCH(Lists!$F$4,$A$1:$AL$1,0))&amp;""),""),IF(IFERROR(TRIM(INDEX($A16:$AL16,MATCH(Lists!$F$3,$A$1:$AL$1,0))&amp;""),"")="","(no space)",IFERROR(TRIM(INDEX($A16:$AL16,MATCH(Lists!$F$3,$A$1:$AL$1,0))&amp;""),""))))</f>
        <v/>
      </c>
      <c r="AT16" s="22">
        <f>IF(IFERROR(TRIM(INDEX($A16:$AL16,MATCH(Lists!$F$2,$A$1:$AL$1,0))&amp;""),"")="",0,N(IFERROR(IF(TRIM(INDEX($A16:$AL16,MATCH(Lists!$F$5,$A$1:$AL$1,0))&amp;"")="","",IF(ISNUMBER(INDEX($A16:$AL16,MATCH(Lists!$F$5,$A$1:$AL$1,0))),INT(INDEX($A16:$AL16,MATCH(Lists!$F$5,$A$1:$AL$1,0))),DATE(VALUE(LEFT(INDEX($A16:$AL16,MATCH(Lists!$F$5,$A$1:$AL$1,0)),4)),VALUE(MID(INDEX($A16:$AL16,MATCH(Lists!$F$5,$A$1:$AL$1,0)),6,2)),VALUE(MID(INDEX($A16:$AL16,MATCH(Lists!$F$5,$A$1:$AL$1,0)),9,2))))),"")))</f>
        <v/>
      </c>
      <c r="AU16" s="21">
        <f>IF(IFERROR(TRIM(INDEX($A16:$AL16,MATCH(Lists!$F$2,$A$1:$AL$1,0))&amp;""),"")="",-1,IF(ISNUMBER(IFERROR(IF(TRIM(INDEX($A16:$AL16,MATCH(Lists!$F$6,$A$1:$AL$1,0))&amp;"")="","",IF(ISNUMBER(INDEX($A16:$AL16,MATCH(Lists!$F$6,$A$1:$AL$1,0))),ROUND(MOD(INDEX($A16:$AL16,MATCH(Lists!$F$6,$A$1:$AL$1,0)),1)*1440,0),VALUE(LEFT(INDEX($A16:$AL16,MATCH(Lists!$F$6,$A$1:$AL$1,0)),2))*60+VALUE(MID(INDEX($A16:$AL16,MATCH(Lists!$F$6,$A$1:$AL$1,0)),4,2)))),"")),IFERROR(IF(TRIM(INDEX($A16:$AL16,MATCH(Lists!$F$6,$A$1:$AL$1,0))&amp;"")="","",IF(ISNUMBER(INDEX($A16:$AL16,MATCH(Lists!$F$6,$A$1:$AL$1,0))),ROUND(MOD(INDEX($A16:$AL16,MATCH(Lists!$F$6,$A$1:$AL$1,0)),1)*1440,0),VALUE(LEFT(INDEX($A16:$AL16,MATCH(Lists!$F$6,$A$1:$AL$1,0)),2))*60+VALUE(MID(INDEX($A16:$AL16,MATCH(Lists!$F$6,$A$1:$AL$1,0)),4,2)))),""),-1))</f>
        <v/>
      </c>
      <c r="AV16" s="21">
        <f>IF(IFERROR(TRIM(INDEX($A16:$AL16,MATCH(Lists!$F$2,$A$1:$AL$1,0))&amp;""),"")="",-1,IF(ISNUMBER(IFERROR(IF(TRIM(INDEX($A16:$AL16,MATCH(Lists!$F$7,$A$1:$AL$1,0))&amp;"")="","",IF(ISNUMBER(INDEX($A16:$AL16,MATCH(Lists!$F$7,$A$1:$AL$1,0))),ROUND(MOD(INDEX($A16:$AL16,MATCH(Lists!$F$7,$A$1:$AL$1,0)),1)*1440,0),VALUE(LEFT(INDEX($A16:$AL16,MATCH(Lists!$F$7,$A$1:$AL$1,0)),2))*60+VALUE(MID(INDEX($A16:$AL16,MATCH(Lists!$F$7,$A$1:$AL$1,0)),4,2)))),"")),IFERROR(IF(TRIM(INDEX($A16:$AL16,MATCH(Lists!$F$7,$A$1:$AL$1,0))&amp;"")="","",IF(ISNUMBER(INDEX($A16:$AL16,MATCH(Lists!$F$7,$A$1:$AL$1,0))),ROUND(MOD(INDEX($A16:$AL16,MATCH(Lists!$F$7,$A$1:$AL$1,0)),1)*1440,0),VALUE(LEFT(INDEX($A16:$AL16,MATCH(Lists!$F$7,$A$1:$AL$1,0)),2))*60+VALUE(MID(INDEX($A16:$AL16,MATCH(Lists!$F$7,$A$1:$AL$1,0)),4,2)))),""),-1))</f>
        <v/>
      </c>
      <c r="AW16" s="21">
        <f>IF(IFERROR(TRIM(INDEX($A16:$AL16,MATCH(Lists!$F$2,$A$1:$AL$1,0))&amp;""),"")="","",IF(IFERROR(TRIM(INDEX($A16:$AL16,MATCH(Lists!$F$8,$A$1:$AL$1,0))&amp;""),"")&lt;&gt;"",IFERROR(TRIM(INDEX($A16:$AL16,MATCH(Lists!$F$8,$A$1:$AL$1,0))&amp;""),""),IFERROR(TRIM(INDEX($A16:$AL16,MATCH(Lists!$F$9,$A$1:$AL$1,0))&amp;""),"")))</f>
        <v/>
      </c>
      <c r="AX16" s="21">
        <f>IFERROR(IF(TRIM(INDEX($A16:$AL16,MATCH(Lists!$F$10,$A$1:$AL$1,0))&amp;"")="","",VALUE(TRIM(INDEX($A16:$AL16,MATCH(Lists!$F$10,$A$1:$AL$1,0))&amp;""))),"")</f>
        <v/>
      </c>
      <c r="AY16" s="21">
        <f>IF(IFERROR(TRIM(INDEX($A16:$AL16,MATCH(Lists!$F$2,$A$1:$AL$1,0))&amp;""),"")="","",IF(AN16="","New",AN16))</f>
        <v/>
      </c>
      <c r="AZ16" s="21">
        <f>IF(IFERROR(TRIM(INDEX($A16:$AL16,MATCH(Lists!$F$2,$A$1:$AL$1,0))&amp;""),"")="","",IF(OR(IFERROR(TRIM(INDEX($A16:$AL16,MATCH(Lists!$F$13,$A$1:$AL$1,0))&amp;""),"")="Paid",IFERROR(TRIM(INDEX($A16:$AL16,MATCH(Lists!$F$13,$A$1:$AL$1,0))&amp;""),"")="Partially refunded"),"Paid",IF(AP16="Yes","Paid (by hand)",IFERROR(TRIM(INDEX($A16:$AL16,MATCH(Lists!$F$13,$A$1:$AL$1,0))&amp;""),""))))</f>
        <v/>
      </c>
      <c r="BA16" s="21">
        <f>IF(AND(IFERROR(TRIM(INDEX($A16:$AL16,MATCH(Lists!$F$2,$A$1:$AL$1,0))&amp;""),"")&lt;&gt;"",AT16&gt;0,AU16&gt;=0,AV16&gt;AU16,AY16&lt;&gt;"Declined"),1,0)</f>
        <v/>
      </c>
      <c r="BB16" s="21">
        <f>IF(BA16=1,COUNTIFS($AS$2:$AS$501,AS16,$AT$2:$AT$501,AT16,$AU$2:$AU$501,"&lt;"&amp;AV16,$AV$2:$AV$501,"&gt;"&amp;AU16,$BA$2:$BA$501,1)-1,"")</f>
        <v/>
      </c>
      <c r="BC16" s="21">
        <f>IF(N(BB16)&gt;0,"Clashes with "&amp;INDEX($AW$2:$AW$501,SUMPRODUCT(MAX(($AS$2:$AS$501=AS16)*($AT$2:$AT$501=AT16)*($AU$2:$AU$501&lt;AV16)*($AV$2:$AV$501&gt;AU16)*($BA$2:$BA$501=1)*(ROW($AS$2:$AS$501)&lt;&gt;ROW())*ROW($AS$2:$AS$501)))-1)&amp;" ("&amp;INDEX($AY$2:$AY$501,SUMPRODUCT(MAX(($AS$2:$AS$501=AS16)*($AT$2:$AT$501=AT16)*($AU$2:$AU$501&lt;AV16)*($AV$2:$AV$501&gt;AU16)*($BA$2:$BA$501=1)*(ROW($AS$2:$AS$501)&lt;&gt;ROW())*ROW($AS$2:$AS$501)))-1)&amp;")"&amp;IF(BB16&gt;1," and "&amp;(BB16-1)&amp;" more",""),"")</f>
        <v/>
      </c>
      <c r="BD16" s="21">
        <f>IF(AND(BA16=1,AY16="Confirmed"),AT16*10000000+AU16*1000+ROW(),"")</f>
        <v/>
      </c>
      <c r="BE16" s="21">
        <f>IF(IFERROR(TRIM(INDEX($A16:$AL16,MATCH(Lists!$F$2,$A$1:$AL$1,0))&amp;""),"")="","",IFERROR(TRIM(INDEX($A16:$AL16,MATCH(Lists!$F$11,$A$1:$AL$1,0))&amp;""),""))</f>
        <v/>
      </c>
      <c r="BF16" s="21">
        <f>IF(IFERROR(TRIM(INDEX($A16:$AL16,MATCH(Lists!$F$2,$A$1:$AL$1,0))&amp;""),"")="","",IFERROR(TRIM(INDEX($A16:$AL16,MATCH(Lists!$F$12,$A$1:$AL$1,0))&amp;""),""))</f>
        <v/>
      </c>
    </row>
    <row r="17">
      <c r="AM17" s="19" t="n"/>
      <c r="AN17" s="23" t="n"/>
      <c r="AO17" s="23" t="n"/>
      <c r="AP17" s="23" t="n"/>
      <c r="AQ17" s="23" t="n"/>
      <c r="AR17" s="19" t="n"/>
      <c r="AS17" s="21">
        <f>IF(IFERROR(TRIM(INDEX($A17:$AL17,MATCH(Lists!$F$2,$A$1:$AL$1,0))&amp;""),"")="","",IF(AND(IFERROR(TRIM(INDEX($A17:$AL17,MATCH(Lists!$F$3,$A$1:$AL$1,0))&amp;""),"")="Other",IFERROR(TRIM(INDEX($A17:$AL17,MATCH(Lists!$F$4,$A$1:$AL$1,0))&amp;""),"")&lt;&gt;""),IFERROR(TRIM(INDEX($A17:$AL17,MATCH(Lists!$F$4,$A$1:$AL$1,0))&amp;""),""),IF(IFERROR(TRIM(INDEX($A17:$AL17,MATCH(Lists!$F$3,$A$1:$AL$1,0))&amp;""),"")="","(no space)",IFERROR(TRIM(INDEX($A17:$AL17,MATCH(Lists!$F$3,$A$1:$AL$1,0))&amp;""),""))))</f>
        <v/>
      </c>
      <c r="AT17" s="22">
        <f>IF(IFERROR(TRIM(INDEX($A17:$AL17,MATCH(Lists!$F$2,$A$1:$AL$1,0))&amp;""),"")="",0,N(IFERROR(IF(TRIM(INDEX($A17:$AL17,MATCH(Lists!$F$5,$A$1:$AL$1,0))&amp;"")="","",IF(ISNUMBER(INDEX($A17:$AL17,MATCH(Lists!$F$5,$A$1:$AL$1,0))),INT(INDEX($A17:$AL17,MATCH(Lists!$F$5,$A$1:$AL$1,0))),DATE(VALUE(LEFT(INDEX($A17:$AL17,MATCH(Lists!$F$5,$A$1:$AL$1,0)),4)),VALUE(MID(INDEX($A17:$AL17,MATCH(Lists!$F$5,$A$1:$AL$1,0)),6,2)),VALUE(MID(INDEX($A17:$AL17,MATCH(Lists!$F$5,$A$1:$AL$1,0)),9,2))))),"")))</f>
        <v/>
      </c>
      <c r="AU17" s="21">
        <f>IF(IFERROR(TRIM(INDEX($A17:$AL17,MATCH(Lists!$F$2,$A$1:$AL$1,0))&amp;""),"")="",-1,IF(ISNUMBER(IFERROR(IF(TRIM(INDEX($A17:$AL17,MATCH(Lists!$F$6,$A$1:$AL$1,0))&amp;"")="","",IF(ISNUMBER(INDEX($A17:$AL17,MATCH(Lists!$F$6,$A$1:$AL$1,0))),ROUND(MOD(INDEX($A17:$AL17,MATCH(Lists!$F$6,$A$1:$AL$1,0)),1)*1440,0),VALUE(LEFT(INDEX($A17:$AL17,MATCH(Lists!$F$6,$A$1:$AL$1,0)),2))*60+VALUE(MID(INDEX($A17:$AL17,MATCH(Lists!$F$6,$A$1:$AL$1,0)),4,2)))),"")),IFERROR(IF(TRIM(INDEX($A17:$AL17,MATCH(Lists!$F$6,$A$1:$AL$1,0))&amp;"")="","",IF(ISNUMBER(INDEX($A17:$AL17,MATCH(Lists!$F$6,$A$1:$AL$1,0))),ROUND(MOD(INDEX($A17:$AL17,MATCH(Lists!$F$6,$A$1:$AL$1,0)),1)*1440,0),VALUE(LEFT(INDEX($A17:$AL17,MATCH(Lists!$F$6,$A$1:$AL$1,0)),2))*60+VALUE(MID(INDEX($A17:$AL17,MATCH(Lists!$F$6,$A$1:$AL$1,0)),4,2)))),""),-1))</f>
        <v/>
      </c>
      <c r="AV17" s="21">
        <f>IF(IFERROR(TRIM(INDEX($A17:$AL17,MATCH(Lists!$F$2,$A$1:$AL$1,0))&amp;""),"")="",-1,IF(ISNUMBER(IFERROR(IF(TRIM(INDEX($A17:$AL17,MATCH(Lists!$F$7,$A$1:$AL$1,0))&amp;"")="","",IF(ISNUMBER(INDEX($A17:$AL17,MATCH(Lists!$F$7,$A$1:$AL$1,0))),ROUND(MOD(INDEX($A17:$AL17,MATCH(Lists!$F$7,$A$1:$AL$1,0)),1)*1440,0),VALUE(LEFT(INDEX($A17:$AL17,MATCH(Lists!$F$7,$A$1:$AL$1,0)),2))*60+VALUE(MID(INDEX($A17:$AL17,MATCH(Lists!$F$7,$A$1:$AL$1,0)),4,2)))),"")),IFERROR(IF(TRIM(INDEX($A17:$AL17,MATCH(Lists!$F$7,$A$1:$AL$1,0))&amp;"")="","",IF(ISNUMBER(INDEX($A17:$AL17,MATCH(Lists!$F$7,$A$1:$AL$1,0))),ROUND(MOD(INDEX($A17:$AL17,MATCH(Lists!$F$7,$A$1:$AL$1,0)),1)*1440,0),VALUE(LEFT(INDEX($A17:$AL17,MATCH(Lists!$F$7,$A$1:$AL$1,0)),2))*60+VALUE(MID(INDEX($A17:$AL17,MATCH(Lists!$F$7,$A$1:$AL$1,0)),4,2)))),""),-1))</f>
        <v/>
      </c>
      <c r="AW17" s="21">
        <f>IF(IFERROR(TRIM(INDEX($A17:$AL17,MATCH(Lists!$F$2,$A$1:$AL$1,0))&amp;""),"")="","",IF(IFERROR(TRIM(INDEX($A17:$AL17,MATCH(Lists!$F$8,$A$1:$AL$1,0))&amp;""),"")&lt;&gt;"",IFERROR(TRIM(INDEX($A17:$AL17,MATCH(Lists!$F$8,$A$1:$AL$1,0))&amp;""),""),IFERROR(TRIM(INDEX($A17:$AL17,MATCH(Lists!$F$9,$A$1:$AL$1,0))&amp;""),"")))</f>
        <v/>
      </c>
      <c r="AX17" s="21">
        <f>IFERROR(IF(TRIM(INDEX($A17:$AL17,MATCH(Lists!$F$10,$A$1:$AL$1,0))&amp;"")="","",VALUE(TRIM(INDEX($A17:$AL17,MATCH(Lists!$F$10,$A$1:$AL$1,0))&amp;""))),"")</f>
        <v/>
      </c>
      <c r="AY17" s="21">
        <f>IF(IFERROR(TRIM(INDEX($A17:$AL17,MATCH(Lists!$F$2,$A$1:$AL$1,0))&amp;""),"")="","",IF(AN17="","New",AN17))</f>
        <v/>
      </c>
      <c r="AZ17" s="21">
        <f>IF(IFERROR(TRIM(INDEX($A17:$AL17,MATCH(Lists!$F$2,$A$1:$AL$1,0))&amp;""),"")="","",IF(OR(IFERROR(TRIM(INDEX($A17:$AL17,MATCH(Lists!$F$13,$A$1:$AL$1,0))&amp;""),"")="Paid",IFERROR(TRIM(INDEX($A17:$AL17,MATCH(Lists!$F$13,$A$1:$AL$1,0))&amp;""),"")="Partially refunded"),"Paid",IF(AP17="Yes","Paid (by hand)",IFERROR(TRIM(INDEX($A17:$AL17,MATCH(Lists!$F$13,$A$1:$AL$1,0))&amp;""),""))))</f>
        <v/>
      </c>
      <c r="BA17" s="21">
        <f>IF(AND(IFERROR(TRIM(INDEX($A17:$AL17,MATCH(Lists!$F$2,$A$1:$AL$1,0))&amp;""),"")&lt;&gt;"",AT17&gt;0,AU17&gt;=0,AV17&gt;AU17,AY17&lt;&gt;"Declined"),1,0)</f>
        <v/>
      </c>
      <c r="BB17" s="21">
        <f>IF(BA17=1,COUNTIFS($AS$2:$AS$501,AS17,$AT$2:$AT$501,AT17,$AU$2:$AU$501,"&lt;"&amp;AV17,$AV$2:$AV$501,"&gt;"&amp;AU17,$BA$2:$BA$501,1)-1,"")</f>
        <v/>
      </c>
      <c r="BC17" s="21">
        <f>IF(N(BB17)&gt;0,"Clashes with "&amp;INDEX($AW$2:$AW$501,SUMPRODUCT(MAX(($AS$2:$AS$501=AS17)*($AT$2:$AT$501=AT17)*($AU$2:$AU$501&lt;AV17)*($AV$2:$AV$501&gt;AU17)*($BA$2:$BA$501=1)*(ROW($AS$2:$AS$501)&lt;&gt;ROW())*ROW($AS$2:$AS$501)))-1)&amp;" ("&amp;INDEX($AY$2:$AY$501,SUMPRODUCT(MAX(($AS$2:$AS$501=AS17)*($AT$2:$AT$501=AT17)*($AU$2:$AU$501&lt;AV17)*($AV$2:$AV$501&gt;AU17)*($BA$2:$BA$501=1)*(ROW($AS$2:$AS$501)&lt;&gt;ROW())*ROW($AS$2:$AS$501)))-1)&amp;")"&amp;IF(BB17&gt;1," and "&amp;(BB17-1)&amp;" more",""),"")</f>
        <v/>
      </c>
      <c r="BD17" s="21">
        <f>IF(AND(BA17=1,AY17="Confirmed"),AT17*10000000+AU17*1000+ROW(),"")</f>
        <v/>
      </c>
      <c r="BE17" s="21">
        <f>IF(IFERROR(TRIM(INDEX($A17:$AL17,MATCH(Lists!$F$2,$A$1:$AL$1,0))&amp;""),"")="","",IFERROR(TRIM(INDEX($A17:$AL17,MATCH(Lists!$F$11,$A$1:$AL$1,0))&amp;""),""))</f>
        <v/>
      </c>
      <c r="BF17" s="21">
        <f>IF(IFERROR(TRIM(INDEX($A17:$AL17,MATCH(Lists!$F$2,$A$1:$AL$1,0))&amp;""),"")="","",IFERROR(TRIM(INDEX($A17:$AL17,MATCH(Lists!$F$12,$A$1:$AL$1,0))&amp;""),""))</f>
        <v/>
      </c>
    </row>
    <row r="18">
      <c r="AM18" s="19" t="n"/>
      <c r="AN18" s="23" t="n"/>
      <c r="AO18" s="23" t="n"/>
      <c r="AP18" s="23" t="n"/>
      <c r="AQ18" s="23" t="n"/>
      <c r="AR18" s="19" t="n"/>
      <c r="AS18" s="21">
        <f>IF(IFERROR(TRIM(INDEX($A18:$AL18,MATCH(Lists!$F$2,$A$1:$AL$1,0))&amp;""),"")="","",IF(AND(IFERROR(TRIM(INDEX($A18:$AL18,MATCH(Lists!$F$3,$A$1:$AL$1,0))&amp;""),"")="Other",IFERROR(TRIM(INDEX($A18:$AL18,MATCH(Lists!$F$4,$A$1:$AL$1,0))&amp;""),"")&lt;&gt;""),IFERROR(TRIM(INDEX($A18:$AL18,MATCH(Lists!$F$4,$A$1:$AL$1,0))&amp;""),""),IF(IFERROR(TRIM(INDEX($A18:$AL18,MATCH(Lists!$F$3,$A$1:$AL$1,0))&amp;""),"")="","(no space)",IFERROR(TRIM(INDEX($A18:$AL18,MATCH(Lists!$F$3,$A$1:$AL$1,0))&amp;""),""))))</f>
        <v/>
      </c>
      <c r="AT18" s="22">
        <f>IF(IFERROR(TRIM(INDEX($A18:$AL18,MATCH(Lists!$F$2,$A$1:$AL$1,0))&amp;""),"")="",0,N(IFERROR(IF(TRIM(INDEX($A18:$AL18,MATCH(Lists!$F$5,$A$1:$AL$1,0))&amp;"")="","",IF(ISNUMBER(INDEX($A18:$AL18,MATCH(Lists!$F$5,$A$1:$AL$1,0))),INT(INDEX($A18:$AL18,MATCH(Lists!$F$5,$A$1:$AL$1,0))),DATE(VALUE(LEFT(INDEX($A18:$AL18,MATCH(Lists!$F$5,$A$1:$AL$1,0)),4)),VALUE(MID(INDEX($A18:$AL18,MATCH(Lists!$F$5,$A$1:$AL$1,0)),6,2)),VALUE(MID(INDEX($A18:$AL18,MATCH(Lists!$F$5,$A$1:$AL$1,0)),9,2))))),"")))</f>
        <v/>
      </c>
      <c r="AU18" s="21">
        <f>IF(IFERROR(TRIM(INDEX($A18:$AL18,MATCH(Lists!$F$2,$A$1:$AL$1,0))&amp;""),"")="",-1,IF(ISNUMBER(IFERROR(IF(TRIM(INDEX($A18:$AL18,MATCH(Lists!$F$6,$A$1:$AL$1,0))&amp;"")="","",IF(ISNUMBER(INDEX($A18:$AL18,MATCH(Lists!$F$6,$A$1:$AL$1,0))),ROUND(MOD(INDEX($A18:$AL18,MATCH(Lists!$F$6,$A$1:$AL$1,0)),1)*1440,0),VALUE(LEFT(INDEX($A18:$AL18,MATCH(Lists!$F$6,$A$1:$AL$1,0)),2))*60+VALUE(MID(INDEX($A18:$AL18,MATCH(Lists!$F$6,$A$1:$AL$1,0)),4,2)))),"")),IFERROR(IF(TRIM(INDEX($A18:$AL18,MATCH(Lists!$F$6,$A$1:$AL$1,0))&amp;"")="","",IF(ISNUMBER(INDEX($A18:$AL18,MATCH(Lists!$F$6,$A$1:$AL$1,0))),ROUND(MOD(INDEX($A18:$AL18,MATCH(Lists!$F$6,$A$1:$AL$1,0)),1)*1440,0),VALUE(LEFT(INDEX($A18:$AL18,MATCH(Lists!$F$6,$A$1:$AL$1,0)),2))*60+VALUE(MID(INDEX($A18:$AL18,MATCH(Lists!$F$6,$A$1:$AL$1,0)),4,2)))),""),-1))</f>
        <v/>
      </c>
      <c r="AV18" s="21">
        <f>IF(IFERROR(TRIM(INDEX($A18:$AL18,MATCH(Lists!$F$2,$A$1:$AL$1,0))&amp;""),"")="",-1,IF(ISNUMBER(IFERROR(IF(TRIM(INDEX($A18:$AL18,MATCH(Lists!$F$7,$A$1:$AL$1,0))&amp;"")="","",IF(ISNUMBER(INDEX($A18:$AL18,MATCH(Lists!$F$7,$A$1:$AL$1,0))),ROUND(MOD(INDEX($A18:$AL18,MATCH(Lists!$F$7,$A$1:$AL$1,0)),1)*1440,0),VALUE(LEFT(INDEX($A18:$AL18,MATCH(Lists!$F$7,$A$1:$AL$1,0)),2))*60+VALUE(MID(INDEX($A18:$AL18,MATCH(Lists!$F$7,$A$1:$AL$1,0)),4,2)))),"")),IFERROR(IF(TRIM(INDEX($A18:$AL18,MATCH(Lists!$F$7,$A$1:$AL$1,0))&amp;"")="","",IF(ISNUMBER(INDEX($A18:$AL18,MATCH(Lists!$F$7,$A$1:$AL$1,0))),ROUND(MOD(INDEX($A18:$AL18,MATCH(Lists!$F$7,$A$1:$AL$1,0)),1)*1440,0),VALUE(LEFT(INDEX($A18:$AL18,MATCH(Lists!$F$7,$A$1:$AL$1,0)),2))*60+VALUE(MID(INDEX($A18:$AL18,MATCH(Lists!$F$7,$A$1:$AL$1,0)),4,2)))),""),-1))</f>
        <v/>
      </c>
      <c r="AW18" s="21">
        <f>IF(IFERROR(TRIM(INDEX($A18:$AL18,MATCH(Lists!$F$2,$A$1:$AL$1,0))&amp;""),"")="","",IF(IFERROR(TRIM(INDEX($A18:$AL18,MATCH(Lists!$F$8,$A$1:$AL$1,0))&amp;""),"")&lt;&gt;"",IFERROR(TRIM(INDEX($A18:$AL18,MATCH(Lists!$F$8,$A$1:$AL$1,0))&amp;""),""),IFERROR(TRIM(INDEX($A18:$AL18,MATCH(Lists!$F$9,$A$1:$AL$1,0))&amp;""),"")))</f>
        <v/>
      </c>
      <c r="AX18" s="21">
        <f>IFERROR(IF(TRIM(INDEX($A18:$AL18,MATCH(Lists!$F$10,$A$1:$AL$1,0))&amp;"")="","",VALUE(TRIM(INDEX($A18:$AL18,MATCH(Lists!$F$10,$A$1:$AL$1,0))&amp;""))),"")</f>
        <v/>
      </c>
      <c r="AY18" s="21">
        <f>IF(IFERROR(TRIM(INDEX($A18:$AL18,MATCH(Lists!$F$2,$A$1:$AL$1,0))&amp;""),"")="","",IF(AN18="","New",AN18))</f>
        <v/>
      </c>
      <c r="AZ18" s="21">
        <f>IF(IFERROR(TRIM(INDEX($A18:$AL18,MATCH(Lists!$F$2,$A$1:$AL$1,0))&amp;""),"")="","",IF(OR(IFERROR(TRIM(INDEX($A18:$AL18,MATCH(Lists!$F$13,$A$1:$AL$1,0))&amp;""),"")="Paid",IFERROR(TRIM(INDEX($A18:$AL18,MATCH(Lists!$F$13,$A$1:$AL$1,0))&amp;""),"")="Partially refunded"),"Paid",IF(AP18="Yes","Paid (by hand)",IFERROR(TRIM(INDEX($A18:$AL18,MATCH(Lists!$F$13,$A$1:$AL$1,0))&amp;""),""))))</f>
        <v/>
      </c>
      <c r="BA18" s="21">
        <f>IF(AND(IFERROR(TRIM(INDEX($A18:$AL18,MATCH(Lists!$F$2,$A$1:$AL$1,0))&amp;""),"")&lt;&gt;"",AT18&gt;0,AU18&gt;=0,AV18&gt;AU18,AY18&lt;&gt;"Declined"),1,0)</f>
        <v/>
      </c>
      <c r="BB18" s="21">
        <f>IF(BA18=1,COUNTIFS($AS$2:$AS$501,AS18,$AT$2:$AT$501,AT18,$AU$2:$AU$501,"&lt;"&amp;AV18,$AV$2:$AV$501,"&gt;"&amp;AU18,$BA$2:$BA$501,1)-1,"")</f>
        <v/>
      </c>
      <c r="BC18" s="21">
        <f>IF(N(BB18)&gt;0,"Clashes with "&amp;INDEX($AW$2:$AW$501,SUMPRODUCT(MAX(($AS$2:$AS$501=AS18)*($AT$2:$AT$501=AT18)*($AU$2:$AU$501&lt;AV18)*($AV$2:$AV$501&gt;AU18)*($BA$2:$BA$501=1)*(ROW($AS$2:$AS$501)&lt;&gt;ROW())*ROW($AS$2:$AS$501)))-1)&amp;" ("&amp;INDEX($AY$2:$AY$501,SUMPRODUCT(MAX(($AS$2:$AS$501=AS18)*($AT$2:$AT$501=AT18)*($AU$2:$AU$501&lt;AV18)*($AV$2:$AV$501&gt;AU18)*($BA$2:$BA$501=1)*(ROW($AS$2:$AS$501)&lt;&gt;ROW())*ROW($AS$2:$AS$501)))-1)&amp;")"&amp;IF(BB18&gt;1," and "&amp;(BB18-1)&amp;" more",""),"")</f>
        <v/>
      </c>
      <c r="BD18" s="21">
        <f>IF(AND(BA18=1,AY18="Confirmed"),AT18*10000000+AU18*1000+ROW(),"")</f>
        <v/>
      </c>
      <c r="BE18" s="21">
        <f>IF(IFERROR(TRIM(INDEX($A18:$AL18,MATCH(Lists!$F$2,$A$1:$AL$1,0))&amp;""),"")="","",IFERROR(TRIM(INDEX($A18:$AL18,MATCH(Lists!$F$11,$A$1:$AL$1,0))&amp;""),""))</f>
        <v/>
      </c>
      <c r="BF18" s="21">
        <f>IF(IFERROR(TRIM(INDEX($A18:$AL18,MATCH(Lists!$F$2,$A$1:$AL$1,0))&amp;""),"")="","",IFERROR(TRIM(INDEX($A18:$AL18,MATCH(Lists!$F$12,$A$1:$AL$1,0))&amp;""),""))</f>
        <v/>
      </c>
    </row>
    <row r="19">
      <c r="AM19" s="19" t="n"/>
      <c r="AN19" s="23" t="n"/>
      <c r="AO19" s="23" t="n"/>
      <c r="AP19" s="23" t="n"/>
      <c r="AQ19" s="23" t="n"/>
      <c r="AR19" s="19" t="n"/>
      <c r="AS19" s="21">
        <f>IF(IFERROR(TRIM(INDEX($A19:$AL19,MATCH(Lists!$F$2,$A$1:$AL$1,0))&amp;""),"")="","",IF(AND(IFERROR(TRIM(INDEX($A19:$AL19,MATCH(Lists!$F$3,$A$1:$AL$1,0))&amp;""),"")="Other",IFERROR(TRIM(INDEX($A19:$AL19,MATCH(Lists!$F$4,$A$1:$AL$1,0))&amp;""),"")&lt;&gt;""),IFERROR(TRIM(INDEX($A19:$AL19,MATCH(Lists!$F$4,$A$1:$AL$1,0))&amp;""),""),IF(IFERROR(TRIM(INDEX($A19:$AL19,MATCH(Lists!$F$3,$A$1:$AL$1,0))&amp;""),"")="","(no space)",IFERROR(TRIM(INDEX($A19:$AL19,MATCH(Lists!$F$3,$A$1:$AL$1,0))&amp;""),""))))</f>
        <v/>
      </c>
      <c r="AT19" s="22">
        <f>IF(IFERROR(TRIM(INDEX($A19:$AL19,MATCH(Lists!$F$2,$A$1:$AL$1,0))&amp;""),"")="",0,N(IFERROR(IF(TRIM(INDEX($A19:$AL19,MATCH(Lists!$F$5,$A$1:$AL$1,0))&amp;"")="","",IF(ISNUMBER(INDEX($A19:$AL19,MATCH(Lists!$F$5,$A$1:$AL$1,0))),INT(INDEX($A19:$AL19,MATCH(Lists!$F$5,$A$1:$AL$1,0))),DATE(VALUE(LEFT(INDEX($A19:$AL19,MATCH(Lists!$F$5,$A$1:$AL$1,0)),4)),VALUE(MID(INDEX($A19:$AL19,MATCH(Lists!$F$5,$A$1:$AL$1,0)),6,2)),VALUE(MID(INDEX($A19:$AL19,MATCH(Lists!$F$5,$A$1:$AL$1,0)),9,2))))),"")))</f>
        <v/>
      </c>
      <c r="AU19" s="21">
        <f>IF(IFERROR(TRIM(INDEX($A19:$AL19,MATCH(Lists!$F$2,$A$1:$AL$1,0))&amp;""),"")="",-1,IF(ISNUMBER(IFERROR(IF(TRIM(INDEX($A19:$AL19,MATCH(Lists!$F$6,$A$1:$AL$1,0))&amp;"")="","",IF(ISNUMBER(INDEX($A19:$AL19,MATCH(Lists!$F$6,$A$1:$AL$1,0))),ROUND(MOD(INDEX($A19:$AL19,MATCH(Lists!$F$6,$A$1:$AL$1,0)),1)*1440,0),VALUE(LEFT(INDEX($A19:$AL19,MATCH(Lists!$F$6,$A$1:$AL$1,0)),2))*60+VALUE(MID(INDEX($A19:$AL19,MATCH(Lists!$F$6,$A$1:$AL$1,0)),4,2)))),"")),IFERROR(IF(TRIM(INDEX($A19:$AL19,MATCH(Lists!$F$6,$A$1:$AL$1,0))&amp;"")="","",IF(ISNUMBER(INDEX($A19:$AL19,MATCH(Lists!$F$6,$A$1:$AL$1,0))),ROUND(MOD(INDEX($A19:$AL19,MATCH(Lists!$F$6,$A$1:$AL$1,0)),1)*1440,0),VALUE(LEFT(INDEX($A19:$AL19,MATCH(Lists!$F$6,$A$1:$AL$1,0)),2))*60+VALUE(MID(INDEX($A19:$AL19,MATCH(Lists!$F$6,$A$1:$AL$1,0)),4,2)))),""),-1))</f>
        <v/>
      </c>
      <c r="AV19" s="21">
        <f>IF(IFERROR(TRIM(INDEX($A19:$AL19,MATCH(Lists!$F$2,$A$1:$AL$1,0))&amp;""),"")="",-1,IF(ISNUMBER(IFERROR(IF(TRIM(INDEX($A19:$AL19,MATCH(Lists!$F$7,$A$1:$AL$1,0))&amp;"")="","",IF(ISNUMBER(INDEX($A19:$AL19,MATCH(Lists!$F$7,$A$1:$AL$1,0))),ROUND(MOD(INDEX($A19:$AL19,MATCH(Lists!$F$7,$A$1:$AL$1,0)),1)*1440,0),VALUE(LEFT(INDEX($A19:$AL19,MATCH(Lists!$F$7,$A$1:$AL$1,0)),2))*60+VALUE(MID(INDEX($A19:$AL19,MATCH(Lists!$F$7,$A$1:$AL$1,0)),4,2)))),"")),IFERROR(IF(TRIM(INDEX($A19:$AL19,MATCH(Lists!$F$7,$A$1:$AL$1,0))&amp;"")="","",IF(ISNUMBER(INDEX($A19:$AL19,MATCH(Lists!$F$7,$A$1:$AL$1,0))),ROUND(MOD(INDEX($A19:$AL19,MATCH(Lists!$F$7,$A$1:$AL$1,0)),1)*1440,0),VALUE(LEFT(INDEX($A19:$AL19,MATCH(Lists!$F$7,$A$1:$AL$1,0)),2))*60+VALUE(MID(INDEX($A19:$AL19,MATCH(Lists!$F$7,$A$1:$AL$1,0)),4,2)))),""),-1))</f>
        <v/>
      </c>
      <c r="AW19" s="21">
        <f>IF(IFERROR(TRIM(INDEX($A19:$AL19,MATCH(Lists!$F$2,$A$1:$AL$1,0))&amp;""),"")="","",IF(IFERROR(TRIM(INDEX($A19:$AL19,MATCH(Lists!$F$8,$A$1:$AL$1,0))&amp;""),"")&lt;&gt;"",IFERROR(TRIM(INDEX($A19:$AL19,MATCH(Lists!$F$8,$A$1:$AL$1,0))&amp;""),""),IFERROR(TRIM(INDEX($A19:$AL19,MATCH(Lists!$F$9,$A$1:$AL$1,0))&amp;""),"")))</f>
        <v/>
      </c>
      <c r="AX19" s="21">
        <f>IFERROR(IF(TRIM(INDEX($A19:$AL19,MATCH(Lists!$F$10,$A$1:$AL$1,0))&amp;"")="","",VALUE(TRIM(INDEX($A19:$AL19,MATCH(Lists!$F$10,$A$1:$AL$1,0))&amp;""))),"")</f>
        <v/>
      </c>
      <c r="AY19" s="21">
        <f>IF(IFERROR(TRIM(INDEX($A19:$AL19,MATCH(Lists!$F$2,$A$1:$AL$1,0))&amp;""),"")="","",IF(AN19="","New",AN19))</f>
        <v/>
      </c>
      <c r="AZ19" s="21">
        <f>IF(IFERROR(TRIM(INDEX($A19:$AL19,MATCH(Lists!$F$2,$A$1:$AL$1,0))&amp;""),"")="","",IF(OR(IFERROR(TRIM(INDEX($A19:$AL19,MATCH(Lists!$F$13,$A$1:$AL$1,0))&amp;""),"")="Paid",IFERROR(TRIM(INDEX($A19:$AL19,MATCH(Lists!$F$13,$A$1:$AL$1,0))&amp;""),"")="Partially refunded"),"Paid",IF(AP19="Yes","Paid (by hand)",IFERROR(TRIM(INDEX($A19:$AL19,MATCH(Lists!$F$13,$A$1:$AL$1,0))&amp;""),""))))</f>
        <v/>
      </c>
      <c r="BA19" s="21">
        <f>IF(AND(IFERROR(TRIM(INDEX($A19:$AL19,MATCH(Lists!$F$2,$A$1:$AL$1,0))&amp;""),"")&lt;&gt;"",AT19&gt;0,AU19&gt;=0,AV19&gt;AU19,AY19&lt;&gt;"Declined"),1,0)</f>
        <v/>
      </c>
      <c r="BB19" s="21">
        <f>IF(BA19=1,COUNTIFS($AS$2:$AS$501,AS19,$AT$2:$AT$501,AT19,$AU$2:$AU$501,"&lt;"&amp;AV19,$AV$2:$AV$501,"&gt;"&amp;AU19,$BA$2:$BA$501,1)-1,"")</f>
        <v/>
      </c>
      <c r="BC19" s="21">
        <f>IF(N(BB19)&gt;0,"Clashes with "&amp;INDEX($AW$2:$AW$501,SUMPRODUCT(MAX(($AS$2:$AS$501=AS19)*($AT$2:$AT$501=AT19)*($AU$2:$AU$501&lt;AV19)*($AV$2:$AV$501&gt;AU19)*($BA$2:$BA$501=1)*(ROW($AS$2:$AS$501)&lt;&gt;ROW())*ROW($AS$2:$AS$501)))-1)&amp;" ("&amp;INDEX($AY$2:$AY$501,SUMPRODUCT(MAX(($AS$2:$AS$501=AS19)*($AT$2:$AT$501=AT19)*($AU$2:$AU$501&lt;AV19)*($AV$2:$AV$501&gt;AU19)*($BA$2:$BA$501=1)*(ROW($AS$2:$AS$501)&lt;&gt;ROW())*ROW($AS$2:$AS$501)))-1)&amp;")"&amp;IF(BB19&gt;1," and "&amp;(BB19-1)&amp;" more",""),"")</f>
        <v/>
      </c>
      <c r="BD19" s="21">
        <f>IF(AND(BA19=1,AY19="Confirmed"),AT19*10000000+AU19*1000+ROW(),"")</f>
        <v/>
      </c>
      <c r="BE19" s="21">
        <f>IF(IFERROR(TRIM(INDEX($A19:$AL19,MATCH(Lists!$F$2,$A$1:$AL$1,0))&amp;""),"")="","",IFERROR(TRIM(INDEX($A19:$AL19,MATCH(Lists!$F$11,$A$1:$AL$1,0))&amp;""),""))</f>
        <v/>
      </c>
      <c r="BF19" s="21">
        <f>IF(IFERROR(TRIM(INDEX($A19:$AL19,MATCH(Lists!$F$2,$A$1:$AL$1,0))&amp;""),"")="","",IFERROR(TRIM(INDEX($A19:$AL19,MATCH(Lists!$F$12,$A$1:$AL$1,0))&amp;""),""))</f>
        <v/>
      </c>
    </row>
    <row r="20">
      <c r="AM20" s="19" t="n"/>
      <c r="AN20" s="23" t="n"/>
      <c r="AO20" s="23" t="n"/>
      <c r="AP20" s="23" t="n"/>
      <c r="AQ20" s="23" t="n"/>
      <c r="AR20" s="19" t="n"/>
      <c r="AS20" s="21">
        <f>IF(IFERROR(TRIM(INDEX($A20:$AL20,MATCH(Lists!$F$2,$A$1:$AL$1,0))&amp;""),"")="","",IF(AND(IFERROR(TRIM(INDEX($A20:$AL20,MATCH(Lists!$F$3,$A$1:$AL$1,0))&amp;""),"")="Other",IFERROR(TRIM(INDEX($A20:$AL20,MATCH(Lists!$F$4,$A$1:$AL$1,0))&amp;""),"")&lt;&gt;""),IFERROR(TRIM(INDEX($A20:$AL20,MATCH(Lists!$F$4,$A$1:$AL$1,0))&amp;""),""),IF(IFERROR(TRIM(INDEX($A20:$AL20,MATCH(Lists!$F$3,$A$1:$AL$1,0))&amp;""),"")="","(no space)",IFERROR(TRIM(INDEX($A20:$AL20,MATCH(Lists!$F$3,$A$1:$AL$1,0))&amp;""),""))))</f>
        <v/>
      </c>
      <c r="AT20" s="22">
        <f>IF(IFERROR(TRIM(INDEX($A20:$AL20,MATCH(Lists!$F$2,$A$1:$AL$1,0))&amp;""),"")="",0,N(IFERROR(IF(TRIM(INDEX($A20:$AL20,MATCH(Lists!$F$5,$A$1:$AL$1,0))&amp;"")="","",IF(ISNUMBER(INDEX($A20:$AL20,MATCH(Lists!$F$5,$A$1:$AL$1,0))),INT(INDEX($A20:$AL20,MATCH(Lists!$F$5,$A$1:$AL$1,0))),DATE(VALUE(LEFT(INDEX($A20:$AL20,MATCH(Lists!$F$5,$A$1:$AL$1,0)),4)),VALUE(MID(INDEX($A20:$AL20,MATCH(Lists!$F$5,$A$1:$AL$1,0)),6,2)),VALUE(MID(INDEX($A20:$AL20,MATCH(Lists!$F$5,$A$1:$AL$1,0)),9,2))))),"")))</f>
        <v/>
      </c>
      <c r="AU20" s="21">
        <f>IF(IFERROR(TRIM(INDEX($A20:$AL20,MATCH(Lists!$F$2,$A$1:$AL$1,0))&amp;""),"")="",-1,IF(ISNUMBER(IFERROR(IF(TRIM(INDEX($A20:$AL20,MATCH(Lists!$F$6,$A$1:$AL$1,0))&amp;"")="","",IF(ISNUMBER(INDEX($A20:$AL20,MATCH(Lists!$F$6,$A$1:$AL$1,0))),ROUND(MOD(INDEX($A20:$AL20,MATCH(Lists!$F$6,$A$1:$AL$1,0)),1)*1440,0),VALUE(LEFT(INDEX($A20:$AL20,MATCH(Lists!$F$6,$A$1:$AL$1,0)),2))*60+VALUE(MID(INDEX($A20:$AL20,MATCH(Lists!$F$6,$A$1:$AL$1,0)),4,2)))),"")),IFERROR(IF(TRIM(INDEX($A20:$AL20,MATCH(Lists!$F$6,$A$1:$AL$1,0))&amp;"")="","",IF(ISNUMBER(INDEX($A20:$AL20,MATCH(Lists!$F$6,$A$1:$AL$1,0))),ROUND(MOD(INDEX($A20:$AL20,MATCH(Lists!$F$6,$A$1:$AL$1,0)),1)*1440,0),VALUE(LEFT(INDEX($A20:$AL20,MATCH(Lists!$F$6,$A$1:$AL$1,0)),2))*60+VALUE(MID(INDEX($A20:$AL20,MATCH(Lists!$F$6,$A$1:$AL$1,0)),4,2)))),""),-1))</f>
        <v/>
      </c>
      <c r="AV20" s="21">
        <f>IF(IFERROR(TRIM(INDEX($A20:$AL20,MATCH(Lists!$F$2,$A$1:$AL$1,0))&amp;""),"")="",-1,IF(ISNUMBER(IFERROR(IF(TRIM(INDEX($A20:$AL20,MATCH(Lists!$F$7,$A$1:$AL$1,0))&amp;"")="","",IF(ISNUMBER(INDEX($A20:$AL20,MATCH(Lists!$F$7,$A$1:$AL$1,0))),ROUND(MOD(INDEX($A20:$AL20,MATCH(Lists!$F$7,$A$1:$AL$1,0)),1)*1440,0),VALUE(LEFT(INDEX($A20:$AL20,MATCH(Lists!$F$7,$A$1:$AL$1,0)),2))*60+VALUE(MID(INDEX($A20:$AL20,MATCH(Lists!$F$7,$A$1:$AL$1,0)),4,2)))),"")),IFERROR(IF(TRIM(INDEX($A20:$AL20,MATCH(Lists!$F$7,$A$1:$AL$1,0))&amp;"")="","",IF(ISNUMBER(INDEX($A20:$AL20,MATCH(Lists!$F$7,$A$1:$AL$1,0))),ROUND(MOD(INDEX($A20:$AL20,MATCH(Lists!$F$7,$A$1:$AL$1,0)),1)*1440,0),VALUE(LEFT(INDEX($A20:$AL20,MATCH(Lists!$F$7,$A$1:$AL$1,0)),2))*60+VALUE(MID(INDEX($A20:$AL20,MATCH(Lists!$F$7,$A$1:$AL$1,0)),4,2)))),""),-1))</f>
        <v/>
      </c>
      <c r="AW20" s="21">
        <f>IF(IFERROR(TRIM(INDEX($A20:$AL20,MATCH(Lists!$F$2,$A$1:$AL$1,0))&amp;""),"")="","",IF(IFERROR(TRIM(INDEX($A20:$AL20,MATCH(Lists!$F$8,$A$1:$AL$1,0))&amp;""),"")&lt;&gt;"",IFERROR(TRIM(INDEX($A20:$AL20,MATCH(Lists!$F$8,$A$1:$AL$1,0))&amp;""),""),IFERROR(TRIM(INDEX($A20:$AL20,MATCH(Lists!$F$9,$A$1:$AL$1,0))&amp;""),"")))</f>
        <v/>
      </c>
      <c r="AX20" s="21">
        <f>IFERROR(IF(TRIM(INDEX($A20:$AL20,MATCH(Lists!$F$10,$A$1:$AL$1,0))&amp;"")="","",VALUE(TRIM(INDEX($A20:$AL20,MATCH(Lists!$F$10,$A$1:$AL$1,0))&amp;""))),"")</f>
        <v/>
      </c>
      <c r="AY20" s="21">
        <f>IF(IFERROR(TRIM(INDEX($A20:$AL20,MATCH(Lists!$F$2,$A$1:$AL$1,0))&amp;""),"")="","",IF(AN20="","New",AN20))</f>
        <v/>
      </c>
      <c r="AZ20" s="21">
        <f>IF(IFERROR(TRIM(INDEX($A20:$AL20,MATCH(Lists!$F$2,$A$1:$AL$1,0))&amp;""),"")="","",IF(OR(IFERROR(TRIM(INDEX($A20:$AL20,MATCH(Lists!$F$13,$A$1:$AL$1,0))&amp;""),"")="Paid",IFERROR(TRIM(INDEX($A20:$AL20,MATCH(Lists!$F$13,$A$1:$AL$1,0))&amp;""),"")="Partially refunded"),"Paid",IF(AP20="Yes","Paid (by hand)",IFERROR(TRIM(INDEX($A20:$AL20,MATCH(Lists!$F$13,$A$1:$AL$1,0))&amp;""),""))))</f>
        <v/>
      </c>
      <c r="BA20" s="21">
        <f>IF(AND(IFERROR(TRIM(INDEX($A20:$AL20,MATCH(Lists!$F$2,$A$1:$AL$1,0))&amp;""),"")&lt;&gt;"",AT20&gt;0,AU20&gt;=0,AV20&gt;AU20,AY20&lt;&gt;"Declined"),1,0)</f>
        <v/>
      </c>
      <c r="BB20" s="21">
        <f>IF(BA20=1,COUNTIFS($AS$2:$AS$501,AS20,$AT$2:$AT$501,AT20,$AU$2:$AU$501,"&lt;"&amp;AV20,$AV$2:$AV$501,"&gt;"&amp;AU20,$BA$2:$BA$501,1)-1,"")</f>
        <v/>
      </c>
      <c r="BC20" s="21">
        <f>IF(N(BB20)&gt;0,"Clashes with "&amp;INDEX($AW$2:$AW$501,SUMPRODUCT(MAX(($AS$2:$AS$501=AS20)*($AT$2:$AT$501=AT20)*($AU$2:$AU$501&lt;AV20)*($AV$2:$AV$501&gt;AU20)*($BA$2:$BA$501=1)*(ROW($AS$2:$AS$501)&lt;&gt;ROW())*ROW($AS$2:$AS$501)))-1)&amp;" ("&amp;INDEX($AY$2:$AY$501,SUMPRODUCT(MAX(($AS$2:$AS$501=AS20)*($AT$2:$AT$501=AT20)*($AU$2:$AU$501&lt;AV20)*($AV$2:$AV$501&gt;AU20)*($BA$2:$BA$501=1)*(ROW($AS$2:$AS$501)&lt;&gt;ROW())*ROW($AS$2:$AS$501)))-1)&amp;")"&amp;IF(BB20&gt;1," and "&amp;(BB20-1)&amp;" more",""),"")</f>
        <v/>
      </c>
      <c r="BD20" s="21">
        <f>IF(AND(BA20=1,AY20="Confirmed"),AT20*10000000+AU20*1000+ROW(),"")</f>
        <v/>
      </c>
      <c r="BE20" s="21">
        <f>IF(IFERROR(TRIM(INDEX($A20:$AL20,MATCH(Lists!$F$2,$A$1:$AL$1,0))&amp;""),"")="","",IFERROR(TRIM(INDEX($A20:$AL20,MATCH(Lists!$F$11,$A$1:$AL$1,0))&amp;""),""))</f>
        <v/>
      </c>
      <c r="BF20" s="21">
        <f>IF(IFERROR(TRIM(INDEX($A20:$AL20,MATCH(Lists!$F$2,$A$1:$AL$1,0))&amp;""),"")="","",IFERROR(TRIM(INDEX($A20:$AL20,MATCH(Lists!$F$12,$A$1:$AL$1,0))&amp;""),""))</f>
        <v/>
      </c>
    </row>
    <row r="21">
      <c r="AM21" s="19" t="n"/>
      <c r="AN21" s="23" t="n"/>
      <c r="AO21" s="23" t="n"/>
      <c r="AP21" s="23" t="n"/>
      <c r="AQ21" s="23" t="n"/>
      <c r="AR21" s="19" t="n"/>
      <c r="AS21" s="21">
        <f>IF(IFERROR(TRIM(INDEX($A21:$AL21,MATCH(Lists!$F$2,$A$1:$AL$1,0))&amp;""),"")="","",IF(AND(IFERROR(TRIM(INDEX($A21:$AL21,MATCH(Lists!$F$3,$A$1:$AL$1,0))&amp;""),"")="Other",IFERROR(TRIM(INDEX($A21:$AL21,MATCH(Lists!$F$4,$A$1:$AL$1,0))&amp;""),"")&lt;&gt;""),IFERROR(TRIM(INDEX($A21:$AL21,MATCH(Lists!$F$4,$A$1:$AL$1,0))&amp;""),""),IF(IFERROR(TRIM(INDEX($A21:$AL21,MATCH(Lists!$F$3,$A$1:$AL$1,0))&amp;""),"")="","(no space)",IFERROR(TRIM(INDEX($A21:$AL21,MATCH(Lists!$F$3,$A$1:$AL$1,0))&amp;""),""))))</f>
        <v/>
      </c>
      <c r="AT21" s="22">
        <f>IF(IFERROR(TRIM(INDEX($A21:$AL21,MATCH(Lists!$F$2,$A$1:$AL$1,0))&amp;""),"")="",0,N(IFERROR(IF(TRIM(INDEX($A21:$AL21,MATCH(Lists!$F$5,$A$1:$AL$1,0))&amp;"")="","",IF(ISNUMBER(INDEX($A21:$AL21,MATCH(Lists!$F$5,$A$1:$AL$1,0))),INT(INDEX($A21:$AL21,MATCH(Lists!$F$5,$A$1:$AL$1,0))),DATE(VALUE(LEFT(INDEX($A21:$AL21,MATCH(Lists!$F$5,$A$1:$AL$1,0)),4)),VALUE(MID(INDEX($A21:$AL21,MATCH(Lists!$F$5,$A$1:$AL$1,0)),6,2)),VALUE(MID(INDEX($A21:$AL21,MATCH(Lists!$F$5,$A$1:$AL$1,0)),9,2))))),"")))</f>
        <v/>
      </c>
      <c r="AU21" s="21">
        <f>IF(IFERROR(TRIM(INDEX($A21:$AL21,MATCH(Lists!$F$2,$A$1:$AL$1,0))&amp;""),"")="",-1,IF(ISNUMBER(IFERROR(IF(TRIM(INDEX($A21:$AL21,MATCH(Lists!$F$6,$A$1:$AL$1,0))&amp;"")="","",IF(ISNUMBER(INDEX($A21:$AL21,MATCH(Lists!$F$6,$A$1:$AL$1,0))),ROUND(MOD(INDEX($A21:$AL21,MATCH(Lists!$F$6,$A$1:$AL$1,0)),1)*1440,0),VALUE(LEFT(INDEX($A21:$AL21,MATCH(Lists!$F$6,$A$1:$AL$1,0)),2))*60+VALUE(MID(INDEX($A21:$AL21,MATCH(Lists!$F$6,$A$1:$AL$1,0)),4,2)))),"")),IFERROR(IF(TRIM(INDEX($A21:$AL21,MATCH(Lists!$F$6,$A$1:$AL$1,0))&amp;"")="","",IF(ISNUMBER(INDEX($A21:$AL21,MATCH(Lists!$F$6,$A$1:$AL$1,0))),ROUND(MOD(INDEX($A21:$AL21,MATCH(Lists!$F$6,$A$1:$AL$1,0)),1)*1440,0),VALUE(LEFT(INDEX($A21:$AL21,MATCH(Lists!$F$6,$A$1:$AL$1,0)),2))*60+VALUE(MID(INDEX($A21:$AL21,MATCH(Lists!$F$6,$A$1:$AL$1,0)),4,2)))),""),-1))</f>
        <v/>
      </c>
      <c r="AV21" s="21">
        <f>IF(IFERROR(TRIM(INDEX($A21:$AL21,MATCH(Lists!$F$2,$A$1:$AL$1,0))&amp;""),"")="",-1,IF(ISNUMBER(IFERROR(IF(TRIM(INDEX($A21:$AL21,MATCH(Lists!$F$7,$A$1:$AL$1,0))&amp;"")="","",IF(ISNUMBER(INDEX($A21:$AL21,MATCH(Lists!$F$7,$A$1:$AL$1,0))),ROUND(MOD(INDEX($A21:$AL21,MATCH(Lists!$F$7,$A$1:$AL$1,0)),1)*1440,0),VALUE(LEFT(INDEX($A21:$AL21,MATCH(Lists!$F$7,$A$1:$AL$1,0)),2))*60+VALUE(MID(INDEX($A21:$AL21,MATCH(Lists!$F$7,$A$1:$AL$1,0)),4,2)))),"")),IFERROR(IF(TRIM(INDEX($A21:$AL21,MATCH(Lists!$F$7,$A$1:$AL$1,0))&amp;"")="","",IF(ISNUMBER(INDEX($A21:$AL21,MATCH(Lists!$F$7,$A$1:$AL$1,0))),ROUND(MOD(INDEX($A21:$AL21,MATCH(Lists!$F$7,$A$1:$AL$1,0)),1)*1440,0),VALUE(LEFT(INDEX($A21:$AL21,MATCH(Lists!$F$7,$A$1:$AL$1,0)),2))*60+VALUE(MID(INDEX($A21:$AL21,MATCH(Lists!$F$7,$A$1:$AL$1,0)),4,2)))),""),-1))</f>
        <v/>
      </c>
      <c r="AW21" s="21">
        <f>IF(IFERROR(TRIM(INDEX($A21:$AL21,MATCH(Lists!$F$2,$A$1:$AL$1,0))&amp;""),"")="","",IF(IFERROR(TRIM(INDEX($A21:$AL21,MATCH(Lists!$F$8,$A$1:$AL$1,0))&amp;""),"")&lt;&gt;"",IFERROR(TRIM(INDEX($A21:$AL21,MATCH(Lists!$F$8,$A$1:$AL$1,0))&amp;""),""),IFERROR(TRIM(INDEX($A21:$AL21,MATCH(Lists!$F$9,$A$1:$AL$1,0))&amp;""),"")))</f>
        <v/>
      </c>
      <c r="AX21" s="21">
        <f>IFERROR(IF(TRIM(INDEX($A21:$AL21,MATCH(Lists!$F$10,$A$1:$AL$1,0))&amp;"")="","",VALUE(TRIM(INDEX($A21:$AL21,MATCH(Lists!$F$10,$A$1:$AL$1,0))&amp;""))),"")</f>
        <v/>
      </c>
      <c r="AY21" s="21">
        <f>IF(IFERROR(TRIM(INDEX($A21:$AL21,MATCH(Lists!$F$2,$A$1:$AL$1,0))&amp;""),"")="","",IF(AN21="","New",AN21))</f>
        <v/>
      </c>
      <c r="AZ21" s="21">
        <f>IF(IFERROR(TRIM(INDEX($A21:$AL21,MATCH(Lists!$F$2,$A$1:$AL$1,0))&amp;""),"")="","",IF(OR(IFERROR(TRIM(INDEX($A21:$AL21,MATCH(Lists!$F$13,$A$1:$AL$1,0))&amp;""),"")="Paid",IFERROR(TRIM(INDEX($A21:$AL21,MATCH(Lists!$F$13,$A$1:$AL$1,0))&amp;""),"")="Partially refunded"),"Paid",IF(AP21="Yes","Paid (by hand)",IFERROR(TRIM(INDEX($A21:$AL21,MATCH(Lists!$F$13,$A$1:$AL$1,0))&amp;""),""))))</f>
        <v/>
      </c>
      <c r="BA21" s="21">
        <f>IF(AND(IFERROR(TRIM(INDEX($A21:$AL21,MATCH(Lists!$F$2,$A$1:$AL$1,0))&amp;""),"")&lt;&gt;"",AT21&gt;0,AU21&gt;=0,AV21&gt;AU21,AY21&lt;&gt;"Declined"),1,0)</f>
        <v/>
      </c>
      <c r="BB21" s="21">
        <f>IF(BA21=1,COUNTIFS($AS$2:$AS$501,AS21,$AT$2:$AT$501,AT21,$AU$2:$AU$501,"&lt;"&amp;AV21,$AV$2:$AV$501,"&gt;"&amp;AU21,$BA$2:$BA$501,1)-1,"")</f>
        <v/>
      </c>
      <c r="BC21" s="21">
        <f>IF(N(BB21)&gt;0,"Clashes with "&amp;INDEX($AW$2:$AW$501,SUMPRODUCT(MAX(($AS$2:$AS$501=AS21)*($AT$2:$AT$501=AT21)*($AU$2:$AU$501&lt;AV21)*($AV$2:$AV$501&gt;AU21)*($BA$2:$BA$501=1)*(ROW($AS$2:$AS$501)&lt;&gt;ROW())*ROW($AS$2:$AS$501)))-1)&amp;" ("&amp;INDEX($AY$2:$AY$501,SUMPRODUCT(MAX(($AS$2:$AS$501=AS21)*($AT$2:$AT$501=AT21)*($AU$2:$AU$501&lt;AV21)*($AV$2:$AV$501&gt;AU21)*($BA$2:$BA$501=1)*(ROW($AS$2:$AS$501)&lt;&gt;ROW())*ROW($AS$2:$AS$501)))-1)&amp;")"&amp;IF(BB21&gt;1," and "&amp;(BB21-1)&amp;" more",""),"")</f>
        <v/>
      </c>
      <c r="BD21" s="21">
        <f>IF(AND(BA21=1,AY21="Confirmed"),AT21*10000000+AU21*1000+ROW(),"")</f>
        <v/>
      </c>
      <c r="BE21" s="21">
        <f>IF(IFERROR(TRIM(INDEX($A21:$AL21,MATCH(Lists!$F$2,$A$1:$AL$1,0))&amp;""),"")="","",IFERROR(TRIM(INDEX($A21:$AL21,MATCH(Lists!$F$11,$A$1:$AL$1,0))&amp;""),""))</f>
        <v/>
      </c>
      <c r="BF21" s="21">
        <f>IF(IFERROR(TRIM(INDEX($A21:$AL21,MATCH(Lists!$F$2,$A$1:$AL$1,0))&amp;""),"")="","",IFERROR(TRIM(INDEX($A21:$AL21,MATCH(Lists!$F$12,$A$1:$AL$1,0))&amp;""),""))</f>
        <v/>
      </c>
    </row>
    <row r="22">
      <c r="AM22" s="19" t="n"/>
      <c r="AN22" s="23" t="n"/>
      <c r="AO22" s="23" t="n"/>
      <c r="AP22" s="23" t="n"/>
      <c r="AQ22" s="23" t="n"/>
      <c r="AR22" s="19" t="n"/>
      <c r="AS22" s="21">
        <f>IF(IFERROR(TRIM(INDEX($A22:$AL22,MATCH(Lists!$F$2,$A$1:$AL$1,0))&amp;""),"")="","",IF(AND(IFERROR(TRIM(INDEX($A22:$AL22,MATCH(Lists!$F$3,$A$1:$AL$1,0))&amp;""),"")="Other",IFERROR(TRIM(INDEX($A22:$AL22,MATCH(Lists!$F$4,$A$1:$AL$1,0))&amp;""),"")&lt;&gt;""),IFERROR(TRIM(INDEX($A22:$AL22,MATCH(Lists!$F$4,$A$1:$AL$1,0))&amp;""),""),IF(IFERROR(TRIM(INDEX($A22:$AL22,MATCH(Lists!$F$3,$A$1:$AL$1,0))&amp;""),"")="","(no space)",IFERROR(TRIM(INDEX($A22:$AL22,MATCH(Lists!$F$3,$A$1:$AL$1,0))&amp;""),""))))</f>
        <v/>
      </c>
      <c r="AT22" s="22">
        <f>IF(IFERROR(TRIM(INDEX($A22:$AL22,MATCH(Lists!$F$2,$A$1:$AL$1,0))&amp;""),"")="",0,N(IFERROR(IF(TRIM(INDEX($A22:$AL22,MATCH(Lists!$F$5,$A$1:$AL$1,0))&amp;"")="","",IF(ISNUMBER(INDEX($A22:$AL22,MATCH(Lists!$F$5,$A$1:$AL$1,0))),INT(INDEX($A22:$AL22,MATCH(Lists!$F$5,$A$1:$AL$1,0))),DATE(VALUE(LEFT(INDEX($A22:$AL22,MATCH(Lists!$F$5,$A$1:$AL$1,0)),4)),VALUE(MID(INDEX($A22:$AL22,MATCH(Lists!$F$5,$A$1:$AL$1,0)),6,2)),VALUE(MID(INDEX($A22:$AL22,MATCH(Lists!$F$5,$A$1:$AL$1,0)),9,2))))),"")))</f>
        <v/>
      </c>
      <c r="AU22" s="21">
        <f>IF(IFERROR(TRIM(INDEX($A22:$AL22,MATCH(Lists!$F$2,$A$1:$AL$1,0))&amp;""),"")="",-1,IF(ISNUMBER(IFERROR(IF(TRIM(INDEX($A22:$AL22,MATCH(Lists!$F$6,$A$1:$AL$1,0))&amp;"")="","",IF(ISNUMBER(INDEX($A22:$AL22,MATCH(Lists!$F$6,$A$1:$AL$1,0))),ROUND(MOD(INDEX($A22:$AL22,MATCH(Lists!$F$6,$A$1:$AL$1,0)),1)*1440,0),VALUE(LEFT(INDEX($A22:$AL22,MATCH(Lists!$F$6,$A$1:$AL$1,0)),2))*60+VALUE(MID(INDEX($A22:$AL22,MATCH(Lists!$F$6,$A$1:$AL$1,0)),4,2)))),"")),IFERROR(IF(TRIM(INDEX($A22:$AL22,MATCH(Lists!$F$6,$A$1:$AL$1,0))&amp;"")="","",IF(ISNUMBER(INDEX($A22:$AL22,MATCH(Lists!$F$6,$A$1:$AL$1,0))),ROUND(MOD(INDEX($A22:$AL22,MATCH(Lists!$F$6,$A$1:$AL$1,0)),1)*1440,0),VALUE(LEFT(INDEX($A22:$AL22,MATCH(Lists!$F$6,$A$1:$AL$1,0)),2))*60+VALUE(MID(INDEX($A22:$AL22,MATCH(Lists!$F$6,$A$1:$AL$1,0)),4,2)))),""),-1))</f>
        <v/>
      </c>
      <c r="AV22" s="21">
        <f>IF(IFERROR(TRIM(INDEX($A22:$AL22,MATCH(Lists!$F$2,$A$1:$AL$1,0))&amp;""),"")="",-1,IF(ISNUMBER(IFERROR(IF(TRIM(INDEX($A22:$AL22,MATCH(Lists!$F$7,$A$1:$AL$1,0))&amp;"")="","",IF(ISNUMBER(INDEX($A22:$AL22,MATCH(Lists!$F$7,$A$1:$AL$1,0))),ROUND(MOD(INDEX($A22:$AL22,MATCH(Lists!$F$7,$A$1:$AL$1,0)),1)*1440,0),VALUE(LEFT(INDEX($A22:$AL22,MATCH(Lists!$F$7,$A$1:$AL$1,0)),2))*60+VALUE(MID(INDEX($A22:$AL22,MATCH(Lists!$F$7,$A$1:$AL$1,0)),4,2)))),"")),IFERROR(IF(TRIM(INDEX($A22:$AL22,MATCH(Lists!$F$7,$A$1:$AL$1,0))&amp;"")="","",IF(ISNUMBER(INDEX($A22:$AL22,MATCH(Lists!$F$7,$A$1:$AL$1,0))),ROUND(MOD(INDEX($A22:$AL22,MATCH(Lists!$F$7,$A$1:$AL$1,0)),1)*1440,0),VALUE(LEFT(INDEX($A22:$AL22,MATCH(Lists!$F$7,$A$1:$AL$1,0)),2))*60+VALUE(MID(INDEX($A22:$AL22,MATCH(Lists!$F$7,$A$1:$AL$1,0)),4,2)))),""),-1))</f>
        <v/>
      </c>
      <c r="AW22" s="21">
        <f>IF(IFERROR(TRIM(INDEX($A22:$AL22,MATCH(Lists!$F$2,$A$1:$AL$1,0))&amp;""),"")="","",IF(IFERROR(TRIM(INDEX($A22:$AL22,MATCH(Lists!$F$8,$A$1:$AL$1,0))&amp;""),"")&lt;&gt;"",IFERROR(TRIM(INDEX($A22:$AL22,MATCH(Lists!$F$8,$A$1:$AL$1,0))&amp;""),""),IFERROR(TRIM(INDEX($A22:$AL22,MATCH(Lists!$F$9,$A$1:$AL$1,0))&amp;""),"")))</f>
        <v/>
      </c>
      <c r="AX22" s="21">
        <f>IFERROR(IF(TRIM(INDEX($A22:$AL22,MATCH(Lists!$F$10,$A$1:$AL$1,0))&amp;"")="","",VALUE(TRIM(INDEX($A22:$AL22,MATCH(Lists!$F$10,$A$1:$AL$1,0))&amp;""))),"")</f>
        <v/>
      </c>
      <c r="AY22" s="21">
        <f>IF(IFERROR(TRIM(INDEX($A22:$AL22,MATCH(Lists!$F$2,$A$1:$AL$1,0))&amp;""),"")="","",IF(AN22="","New",AN22))</f>
        <v/>
      </c>
      <c r="AZ22" s="21">
        <f>IF(IFERROR(TRIM(INDEX($A22:$AL22,MATCH(Lists!$F$2,$A$1:$AL$1,0))&amp;""),"")="","",IF(OR(IFERROR(TRIM(INDEX($A22:$AL22,MATCH(Lists!$F$13,$A$1:$AL$1,0))&amp;""),"")="Paid",IFERROR(TRIM(INDEX($A22:$AL22,MATCH(Lists!$F$13,$A$1:$AL$1,0))&amp;""),"")="Partially refunded"),"Paid",IF(AP22="Yes","Paid (by hand)",IFERROR(TRIM(INDEX($A22:$AL22,MATCH(Lists!$F$13,$A$1:$AL$1,0))&amp;""),""))))</f>
        <v/>
      </c>
      <c r="BA22" s="21">
        <f>IF(AND(IFERROR(TRIM(INDEX($A22:$AL22,MATCH(Lists!$F$2,$A$1:$AL$1,0))&amp;""),"")&lt;&gt;"",AT22&gt;0,AU22&gt;=0,AV22&gt;AU22,AY22&lt;&gt;"Declined"),1,0)</f>
        <v/>
      </c>
      <c r="BB22" s="21">
        <f>IF(BA22=1,COUNTIFS($AS$2:$AS$501,AS22,$AT$2:$AT$501,AT22,$AU$2:$AU$501,"&lt;"&amp;AV22,$AV$2:$AV$501,"&gt;"&amp;AU22,$BA$2:$BA$501,1)-1,"")</f>
        <v/>
      </c>
      <c r="BC22" s="21">
        <f>IF(N(BB22)&gt;0,"Clashes with "&amp;INDEX($AW$2:$AW$501,SUMPRODUCT(MAX(($AS$2:$AS$501=AS22)*($AT$2:$AT$501=AT22)*($AU$2:$AU$501&lt;AV22)*($AV$2:$AV$501&gt;AU22)*($BA$2:$BA$501=1)*(ROW($AS$2:$AS$501)&lt;&gt;ROW())*ROW($AS$2:$AS$501)))-1)&amp;" ("&amp;INDEX($AY$2:$AY$501,SUMPRODUCT(MAX(($AS$2:$AS$501=AS22)*($AT$2:$AT$501=AT22)*($AU$2:$AU$501&lt;AV22)*($AV$2:$AV$501&gt;AU22)*($BA$2:$BA$501=1)*(ROW($AS$2:$AS$501)&lt;&gt;ROW())*ROW($AS$2:$AS$501)))-1)&amp;")"&amp;IF(BB22&gt;1," and "&amp;(BB22-1)&amp;" more",""),"")</f>
        <v/>
      </c>
      <c r="BD22" s="21">
        <f>IF(AND(BA22=1,AY22="Confirmed"),AT22*10000000+AU22*1000+ROW(),"")</f>
        <v/>
      </c>
      <c r="BE22" s="21">
        <f>IF(IFERROR(TRIM(INDEX($A22:$AL22,MATCH(Lists!$F$2,$A$1:$AL$1,0))&amp;""),"")="","",IFERROR(TRIM(INDEX($A22:$AL22,MATCH(Lists!$F$11,$A$1:$AL$1,0))&amp;""),""))</f>
        <v/>
      </c>
      <c r="BF22" s="21">
        <f>IF(IFERROR(TRIM(INDEX($A22:$AL22,MATCH(Lists!$F$2,$A$1:$AL$1,0))&amp;""),"")="","",IFERROR(TRIM(INDEX($A22:$AL22,MATCH(Lists!$F$12,$A$1:$AL$1,0))&amp;""),""))</f>
        <v/>
      </c>
    </row>
    <row r="23">
      <c r="AM23" s="19" t="n"/>
      <c r="AN23" s="23" t="n"/>
      <c r="AO23" s="23" t="n"/>
      <c r="AP23" s="23" t="n"/>
      <c r="AQ23" s="23" t="n"/>
      <c r="AR23" s="19" t="n"/>
      <c r="AS23" s="21">
        <f>IF(IFERROR(TRIM(INDEX($A23:$AL23,MATCH(Lists!$F$2,$A$1:$AL$1,0))&amp;""),"")="","",IF(AND(IFERROR(TRIM(INDEX($A23:$AL23,MATCH(Lists!$F$3,$A$1:$AL$1,0))&amp;""),"")="Other",IFERROR(TRIM(INDEX($A23:$AL23,MATCH(Lists!$F$4,$A$1:$AL$1,0))&amp;""),"")&lt;&gt;""),IFERROR(TRIM(INDEX($A23:$AL23,MATCH(Lists!$F$4,$A$1:$AL$1,0))&amp;""),""),IF(IFERROR(TRIM(INDEX($A23:$AL23,MATCH(Lists!$F$3,$A$1:$AL$1,0))&amp;""),"")="","(no space)",IFERROR(TRIM(INDEX($A23:$AL23,MATCH(Lists!$F$3,$A$1:$AL$1,0))&amp;""),""))))</f>
        <v/>
      </c>
      <c r="AT23" s="22">
        <f>IF(IFERROR(TRIM(INDEX($A23:$AL23,MATCH(Lists!$F$2,$A$1:$AL$1,0))&amp;""),"")="",0,N(IFERROR(IF(TRIM(INDEX($A23:$AL23,MATCH(Lists!$F$5,$A$1:$AL$1,0))&amp;"")="","",IF(ISNUMBER(INDEX($A23:$AL23,MATCH(Lists!$F$5,$A$1:$AL$1,0))),INT(INDEX($A23:$AL23,MATCH(Lists!$F$5,$A$1:$AL$1,0))),DATE(VALUE(LEFT(INDEX($A23:$AL23,MATCH(Lists!$F$5,$A$1:$AL$1,0)),4)),VALUE(MID(INDEX($A23:$AL23,MATCH(Lists!$F$5,$A$1:$AL$1,0)),6,2)),VALUE(MID(INDEX($A23:$AL23,MATCH(Lists!$F$5,$A$1:$AL$1,0)),9,2))))),"")))</f>
        <v/>
      </c>
      <c r="AU23" s="21">
        <f>IF(IFERROR(TRIM(INDEX($A23:$AL23,MATCH(Lists!$F$2,$A$1:$AL$1,0))&amp;""),"")="",-1,IF(ISNUMBER(IFERROR(IF(TRIM(INDEX($A23:$AL23,MATCH(Lists!$F$6,$A$1:$AL$1,0))&amp;"")="","",IF(ISNUMBER(INDEX($A23:$AL23,MATCH(Lists!$F$6,$A$1:$AL$1,0))),ROUND(MOD(INDEX($A23:$AL23,MATCH(Lists!$F$6,$A$1:$AL$1,0)),1)*1440,0),VALUE(LEFT(INDEX($A23:$AL23,MATCH(Lists!$F$6,$A$1:$AL$1,0)),2))*60+VALUE(MID(INDEX($A23:$AL23,MATCH(Lists!$F$6,$A$1:$AL$1,0)),4,2)))),"")),IFERROR(IF(TRIM(INDEX($A23:$AL23,MATCH(Lists!$F$6,$A$1:$AL$1,0))&amp;"")="","",IF(ISNUMBER(INDEX($A23:$AL23,MATCH(Lists!$F$6,$A$1:$AL$1,0))),ROUND(MOD(INDEX($A23:$AL23,MATCH(Lists!$F$6,$A$1:$AL$1,0)),1)*1440,0),VALUE(LEFT(INDEX($A23:$AL23,MATCH(Lists!$F$6,$A$1:$AL$1,0)),2))*60+VALUE(MID(INDEX($A23:$AL23,MATCH(Lists!$F$6,$A$1:$AL$1,0)),4,2)))),""),-1))</f>
        <v/>
      </c>
      <c r="AV23" s="21">
        <f>IF(IFERROR(TRIM(INDEX($A23:$AL23,MATCH(Lists!$F$2,$A$1:$AL$1,0))&amp;""),"")="",-1,IF(ISNUMBER(IFERROR(IF(TRIM(INDEX($A23:$AL23,MATCH(Lists!$F$7,$A$1:$AL$1,0))&amp;"")="","",IF(ISNUMBER(INDEX($A23:$AL23,MATCH(Lists!$F$7,$A$1:$AL$1,0))),ROUND(MOD(INDEX($A23:$AL23,MATCH(Lists!$F$7,$A$1:$AL$1,0)),1)*1440,0),VALUE(LEFT(INDEX($A23:$AL23,MATCH(Lists!$F$7,$A$1:$AL$1,0)),2))*60+VALUE(MID(INDEX($A23:$AL23,MATCH(Lists!$F$7,$A$1:$AL$1,0)),4,2)))),"")),IFERROR(IF(TRIM(INDEX($A23:$AL23,MATCH(Lists!$F$7,$A$1:$AL$1,0))&amp;"")="","",IF(ISNUMBER(INDEX($A23:$AL23,MATCH(Lists!$F$7,$A$1:$AL$1,0))),ROUND(MOD(INDEX($A23:$AL23,MATCH(Lists!$F$7,$A$1:$AL$1,0)),1)*1440,0),VALUE(LEFT(INDEX($A23:$AL23,MATCH(Lists!$F$7,$A$1:$AL$1,0)),2))*60+VALUE(MID(INDEX($A23:$AL23,MATCH(Lists!$F$7,$A$1:$AL$1,0)),4,2)))),""),-1))</f>
        <v/>
      </c>
      <c r="AW23" s="21">
        <f>IF(IFERROR(TRIM(INDEX($A23:$AL23,MATCH(Lists!$F$2,$A$1:$AL$1,0))&amp;""),"")="","",IF(IFERROR(TRIM(INDEX($A23:$AL23,MATCH(Lists!$F$8,$A$1:$AL$1,0))&amp;""),"")&lt;&gt;"",IFERROR(TRIM(INDEX($A23:$AL23,MATCH(Lists!$F$8,$A$1:$AL$1,0))&amp;""),""),IFERROR(TRIM(INDEX($A23:$AL23,MATCH(Lists!$F$9,$A$1:$AL$1,0))&amp;""),"")))</f>
        <v/>
      </c>
      <c r="AX23" s="21">
        <f>IFERROR(IF(TRIM(INDEX($A23:$AL23,MATCH(Lists!$F$10,$A$1:$AL$1,0))&amp;"")="","",VALUE(TRIM(INDEX($A23:$AL23,MATCH(Lists!$F$10,$A$1:$AL$1,0))&amp;""))),"")</f>
        <v/>
      </c>
      <c r="AY23" s="21">
        <f>IF(IFERROR(TRIM(INDEX($A23:$AL23,MATCH(Lists!$F$2,$A$1:$AL$1,0))&amp;""),"")="","",IF(AN23="","New",AN23))</f>
        <v/>
      </c>
      <c r="AZ23" s="21">
        <f>IF(IFERROR(TRIM(INDEX($A23:$AL23,MATCH(Lists!$F$2,$A$1:$AL$1,0))&amp;""),"")="","",IF(OR(IFERROR(TRIM(INDEX($A23:$AL23,MATCH(Lists!$F$13,$A$1:$AL$1,0))&amp;""),"")="Paid",IFERROR(TRIM(INDEX($A23:$AL23,MATCH(Lists!$F$13,$A$1:$AL$1,0))&amp;""),"")="Partially refunded"),"Paid",IF(AP23="Yes","Paid (by hand)",IFERROR(TRIM(INDEX($A23:$AL23,MATCH(Lists!$F$13,$A$1:$AL$1,0))&amp;""),""))))</f>
        <v/>
      </c>
      <c r="BA23" s="21">
        <f>IF(AND(IFERROR(TRIM(INDEX($A23:$AL23,MATCH(Lists!$F$2,$A$1:$AL$1,0))&amp;""),"")&lt;&gt;"",AT23&gt;0,AU23&gt;=0,AV23&gt;AU23,AY23&lt;&gt;"Declined"),1,0)</f>
        <v/>
      </c>
      <c r="BB23" s="21">
        <f>IF(BA23=1,COUNTIFS($AS$2:$AS$501,AS23,$AT$2:$AT$501,AT23,$AU$2:$AU$501,"&lt;"&amp;AV23,$AV$2:$AV$501,"&gt;"&amp;AU23,$BA$2:$BA$501,1)-1,"")</f>
        <v/>
      </c>
      <c r="BC23" s="21">
        <f>IF(N(BB23)&gt;0,"Clashes with "&amp;INDEX($AW$2:$AW$501,SUMPRODUCT(MAX(($AS$2:$AS$501=AS23)*($AT$2:$AT$501=AT23)*($AU$2:$AU$501&lt;AV23)*($AV$2:$AV$501&gt;AU23)*($BA$2:$BA$501=1)*(ROW($AS$2:$AS$501)&lt;&gt;ROW())*ROW($AS$2:$AS$501)))-1)&amp;" ("&amp;INDEX($AY$2:$AY$501,SUMPRODUCT(MAX(($AS$2:$AS$501=AS23)*($AT$2:$AT$501=AT23)*($AU$2:$AU$501&lt;AV23)*($AV$2:$AV$501&gt;AU23)*($BA$2:$BA$501=1)*(ROW($AS$2:$AS$501)&lt;&gt;ROW())*ROW($AS$2:$AS$501)))-1)&amp;")"&amp;IF(BB23&gt;1," and "&amp;(BB23-1)&amp;" more",""),"")</f>
        <v/>
      </c>
      <c r="BD23" s="21">
        <f>IF(AND(BA23=1,AY23="Confirmed"),AT23*10000000+AU23*1000+ROW(),"")</f>
        <v/>
      </c>
      <c r="BE23" s="21">
        <f>IF(IFERROR(TRIM(INDEX($A23:$AL23,MATCH(Lists!$F$2,$A$1:$AL$1,0))&amp;""),"")="","",IFERROR(TRIM(INDEX($A23:$AL23,MATCH(Lists!$F$11,$A$1:$AL$1,0))&amp;""),""))</f>
        <v/>
      </c>
      <c r="BF23" s="21">
        <f>IF(IFERROR(TRIM(INDEX($A23:$AL23,MATCH(Lists!$F$2,$A$1:$AL$1,0))&amp;""),"")="","",IFERROR(TRIM(INDEX($A23:$AL23,MATCH(Lists!$F$12,$A$1:$AL$1,0))&amp;""),""))</f>
        <v/>
      </c>
    </row>
    <row r="24">
      <c r="AM24" s="19" t="n"/>
      <c r="AN24" s="23" t="n"/>
      <c r="AO24" s="23" t="n"/>
      <c r="AP24" s="23" t="n"/>
      <c r="AQ24" s="23" t="n"/>
      <c r="AR24" s="19" t="n"/>
      <c r="AS24" s="21">
        <f>IF(IFERROR(TRIM(INDEX($A24:$AL24,MATCH(Lists!$F$2,$A$1:$AL$1,0))&amp;""),"")="","",IF(AND(IFERROR(TRIM(INDEX($A24:$AL24,MATCH(Lists!$F$3,$A$1:$AL$1,0))&amp;""),"")="Other",IFERROR(TRIM(INDEX($A24:$AL24,MATCH(Lists!$F$4,$A$1:$AL$1,0))&amp;""),"")&lt;&gt;""),IFERROR(TRIM(INDEX($A24:$AL24,MATCH(Lists!$F$4,$A$1:$AL$1,0))&amp;""),""),IF(IFERROR(TRIM(INDEX($A24:$AL24,MATCH(Lists!$F$3,$A$1:$AL$1,0))&amp;""),"")="","(no space)",IFERROR(TRIM(INDEX($A24:$AL24,MATCH(Lists!$F$3,$A$1:$AL$1,0))&amp;""),""))))</f>
        <v/>
      </c>
      <c r="AT24" s="22">
        <f>IF(IFERROR(TRIM(INDEX($A24:$AL24,MATCH(Lists!$F$2,$A$1:$AL$1,0))&amp;""),"")="",0,N(IFERROR(IF(TRIM(INDEX($A24:$AL24,MATCH(Lists!$F$5,$A$1:$AL$1,0))&amp;"")="","",IF(ISNUMBER(INDEX($A24:$AL24,MATCH(Lists!$F$5,$A$1:$AL$1,0))),INT(INDEX($A24:$AL24,MATCH(Lists!$F$5,$A$1:$AL$1,0))),DATE(VALUE(LEFT(INDEX($A24:$AL24,MATCH(Lists!$F$5,$A$1:$AL$1,0)),4)),VALUE(MID(INDEX($A24:$AL24,MATCH(Lists!$F$5,$A$1:$AL$1,0)),6,2)),VALUE(MID(INDEX($A24:$AL24,MATCH(Lists!$F$5,$A$1:$AL$1,0)),9,2))))),"")))</f>
        <v/>
      </c>
      <c r="AU24" s="21">
        <f>IF(IFERROR(TRIM(INDEX($A24:$AL24,MATCH(Lists!$F$2,$A$1:$AL$1,0))&amp;""),"")="",-1,IF(ISNUMBER(IFERROR(IF(TRIM(INDEX($A24:$AL24,MATCH(Lists!$F$6,$A$1:$AL$1,0))&amp;"")="","",IF(ISNUMBER(INDEX($A24:$AL24,MATCH(Lists!$F$6,$A$1:$AL$1,0))),ROUND(MOD(INDEX($A24:$AL24,MATCH(Lists!$F$6,$A$1:$AL$1,0)),1)*1440,0),VALUE(LEFT(INDEX($A24:$AL24,MATCH(Lists!$F$6,$A$1:$AL$1,0)),2))*60+VALUE(MID(INDEX($A24:$AL24,MATCH(Lists!$F$6,$A$1:$AL$1,0)),4,2)))),"")),IFERROR(IF(TRIM(INDEX($A24:$AL24,MATCH(Lists!$F$6,$A$1:$AL$1,0))&amp;"")="","",IF(ISNUMBER(INDEX($A24:$AL24,MATCH(Lists!$F$6,$A$1:$AL$1,0))),ROUND(MOD(INDEX($A24:$AL24,MATCH(Lists!$F$6,$A$1:$AL$1,0)),1)*1440,0),VALUE(LEFT(INDEX($A24:$AL24,MATCH(Lists!$F$6,$A$1:$AL$1,0)),2))*60+VALUE(MID(INDEX($A24:$AL24,MATCH(Lists!$F$6,$A$1:$AL$1,0)),4,2)))),""),-1))</f>
        <v/>
      </c>
      <c r="AV24" s="21">
        <f>IF(IFERROR(TRIM(INDEX($A24:$AL24,MATCH(Lists!$F$2,$A$1:$AL$1,0))&amp;""),"")="",-1,IF(ISNUMBER(IFERROR(IF(TRIM(INDEX($A24:$AL24,MATCH(Lists!$F$7,$A$1:$AL$1,0))&amp;"")="","",IF(ISNUMBER(INDEX($A24:$AL24,MATCH(Lists!$F$7,$A$1:$AL$1,0))),ROUND(MOD(INDEX($A24:$AL24,MATCH(Lists!$F$7,$A$1:$AL$1,0)),1)*1440,0),VALUE(LEFT(INDEX($A24:$AL24,MATCH(Lists!$F$7,$A$1:$AL$1,0)),2))*60+VALUE(MID(INDEX($A24:$AL24,MATCH(Lists!$F$7,$A$1:$AL$1,0)),4,2)))),"")),IFERROR(IF(TRIM(INDEX($A24:$AL24,MATCH(Lists!$F$7,$A$1:$AL$1,0))&amp;"")="","",IF(ISNUMBER(INDEX($A24:$AL24,MATCH(Lists!$F$7,$A$1:$AL$1,0))),ROUND(MOD(INDEX($A24:$AL24,MATCH(Lists!$F$7,$A$1:$AL$1,0)),1)*1440,0),VALUE(LEFT(INDEX($A24:$AL24,MATCH(Lists!$F$7,$A$1:$AL$1,0)),2))*60+VALUE(MID(INDEX($A24:$AL24,MATCH(Lists!$F$7,$A$1:$AL$1,0)),4,2)))),""),-1))</f>
        <v/>
      </c>
      <c r="AW24" s="21">
        <f>IF(IFERROR(TRIM(INDEX($A24:$AL24,MATCH(Lists!$F$2,$A$1:$AL$1,0))&amp;""),"")="","",IF(IFERROR(TRIM(INDEX($A24:$AL24,MATCH(Lists!$F$8,$A$1:$AL$1,0))&amp;""),"")&lt;&gt;"",IFERROR(TRIM(INDEX($A24:$AL24,MATCH(Lists!$F$8,$A$1:$AL$1,0))&amp;""),""),IFERROR(TRIM(INDEX($A24:$AL24,MATCH(Lists!$F$9,$A$1:$AL$1,0))&amp;""),"")))</f>
        <v/>
      </c>
      <c r="AX24" s="21">
        <f>IFERROR(IF(TRIM(INDEX($A24:$AL24,MATCH(Lists!$F$10,$A$1:$AL$1,0))&amp;"")="","",VALUE(TRIM(INDEX($A24:$AL24,MATCH(Lists!$F$10,$A$1:$AL$1,0))&amp;""))),"")</f>
        <v/>
      </c>
      <c r="AY24" s="21">
        <f>IF(IFERROR(TRIM(INDEX($A24:$AL24,MATCH(Lists!$F$2,$A$1:$AL$1,0))&amp;""),"")="","",IF(AN24="","New",AN24))</f>
        <v/>
      </c>
      <c r="AZ24" s="21">
        <f>IF(IFERROR(TRIM(INDEX($A24:$AL24,MATCH(Lists!$F$2,$A$1:$AL$1,0))&amp;""),"")="","",IF(OR(IFERROR(TRIM(INDEX($A24:$AL24,MATCH(Lists!$F$13,$A$1:$AL$1,0))&amp;""),"")="Paid",IFERROR(TRIM(INDEX($A24:$AL24,MATCH(Lists!$F$13,$A$1:$AL$1,0))&amp;""),"")="Partially refunded"),"Paid",IF(AP24="Yes","Paid (by hand)",IFERROR(TRIM(INDEX($A24:$AL24,MATCH(Lists!$F$13,$A$1:$AL$1,0))&amp;""),""))))</f>
        <v/>
      </c>
      <c r="BA24" s="21">
        <f>IF(AND(IFERROR(TRIM(INDEX($A24:$AL24,MATCH(Lists!$F$2,$A$1:$AL$1,0))&amp;""),"")&lt;&gt;"",AT24&gt;0,AU24&gt;=0,AV24&gt;AU24,AY24&lt;&gt;"Declined"),1,0)</f>
        <v/>
      </c>
      <c r="BB24" s="21">
        <f>IF(BA24=1,COUNTIFS($AS$2:$AS$501,AS24,$AT$2:$AT$501,AT24,$AU$2:$AU$501,"&lt;"&amp;AV24,$AV$2:$AV$501,"&gt;"&amp;AU24,$BA$2:$BA$501,1)-1,"")</f>
        <v/>
      </c>
      <c r="BC24" s="21">
        <f>IF(N(BB24)&gt;0,"Clashes with "&amp;INDEX($AW$2:$AW$501,SUMPRODUCT(MAX(($AS$2:$AS$501=AS24)*($AT$2:$AT$501=AT24)*($AU$2:$AU$501&lt;AV24)*($AV$2:$AV$501&gt;AU24)*($BA$2:$BA$501=1)*(ROW($AS$2:$AS$501)&lt;&gt;ROW())*ROW($AS$2:$AS$501)))-1)&amp;" ("&amp;INDEX($AY$2:$AY$501,SUMPRODUCT(MAX(($AS$2:$AS$501=AS24)*($AT$2:$AT$501=AT24)*($AU$2:$AU$501&lt;AV24)*($AV$2:$AV$501&gt;AU24)*($BA$2:$BA$501=1)*(ROW($AS$2:$AS$501)&lt;&gt;ROW())*ROW($AS$2:$AS$501)))-1)&amp;")"&amp;IF(BB24&gt;1," and "&amp;(BB24-1)&amp;" more",""),"")</f>
        <v/>
      </c>
      <c r="BD24" s="21">
        <f>IF(AND(BA24=1,AY24="Confirmed"),AT24*10000000+AU24*1000+ROW(),"")</f>
        <v/>
      </c>
      <c r="BE24" s="21">
        <f>IF(IFERROR(TRIM(INDEX($A24:$AL24,MATCH(Lists!$F$2,$A$1:$AL$1,0))&amp;""),"")="","",IFERROR(TRIM(INDEX($A24:$AL24,MATCH(Lists!$F$11,$A$1:$AL$1,0))&amp;""),""))</f>
        <v/>
      </c>
      <c r="BF24" s="21">
        <f>IF(IFERROR(TRIM(INDEX($A24:$AL24,MATCH(Lists!$F$2,$A$1:$AL$1,0))&amp;""),"")="","",IFERROR(TRIM(INDEX($A24:$AL24,MATCH(Lists!$F$12,$A$1:$AL$1,0))&amp;""),""))</f>
        <v/>
      </c>
    </row>
    <row r="25">
      <c r="AM25" s="19" t="n"/>
      <c r="AN25" s="23" t="n"/>
      <c r="AO25" s="23" t="n"/>
      <c r="AP25" s="23" t="n"/>
      <c r="AQ25" s="23" t="n"/>
      <c r="AR25" s="19" t="n"/>
      <c r="AS25" s="21">
        <f>IF(IFERROR(TRIM(INDEX($A25:$AL25,MATCH(Lists!$F$2,$A$1:$AL$1,0))&amp;""),"")="","",IF(AND(IFERROR(TRIM(INDEX($A25:$AL25,MATCH(Lists!$F$3,$A$1:$AL$1,0))&amp;""),"")="Other",IFERROR(TRIM(INDEX($A25:$AL25,MATCH(Lists!$F$4,$A$1:$AL$1,0))&amp;""),"")&lt;&gt;""),IFERROR(TRIM(INDEX($A25:$AL25,MATCH(Lists!$F$4,$A$1:$AL$1,0))&amp;""),""),IF(IFERROR(TRIM(INDEX($A25:$AL25,MATCH(Lists!$F$3,$A$1:$AL$1,0))&amp;""),"")="","(no space)",IFERROR(TRIM(INDEX($A25:$AL25,MATCH(Lists!$F$3,$A$1:$AL$1,0))&amp;""),""))))</f>
        <v/>
      </c>
      <c r="AT25" s="22">
        <f>IF(IFERROR(TRIM(INDEX($A25:$AL25,MATCH(Lists!$F$2,$A$1:$AL$1,0))&amp;""),"")="",0,N(IFERROR(IF(TRIM(INDEX($A25:$AL25,MATCH(Lists!$F$5,$A$1:$AL$1,0))&amp;"")="","",IF(ISNUMBER(INDEX($A25:$AL25,MATCH(Lists!$F$5,$A$1:$AL$1,0))),INT(INDEX($A25:$AL25,MATCH(Lists!$F$5,$A$1:$AL$1,0))),DATE(VALUE(LEFT(INDEX($A25:$AL25,MATCH(Lists!$F$5,$A$1:$AL$1,0)),4)),VALUE(MID(INDEX($A25:$AL25,MATCH(Lists!$F$5,$A$1:$AL$1,0)),6,2)),VALUE(MID(INDEX($A25:$AL25,MATCH(Lists!$F$5,$A$1:$AL$1,0)),9,2))))),"")))</f>
        <v/>
      </c>
      <c r="AU25" s="21">
        <f>IF(IFERROR(TRIM(INDEX($A25:$AL25,MATCH(Lists!$F$2,$A$1:$AL$1,0))&amp;""),"")="",-1,IF(ISNUMBER(IFERROR(IF(TRIM(INDEX($A25:$AL25,MATCH(Lists!$F$6,$A$1:$AL$1,0))&amp;"")="","",IF(ISNUMBER(INDEX($A25:$AL25,MATCH(Lists!$F$6,$A$1:$AL$1,0))),ROUND(MOD(INDEX($A25:$AL25,MATCH(Lists!$F$6,$A$1:$AL$1,0)),1)*1440,0),VALUE(LEFT(INDEX($A25:$AL25,MATCH(Lists!$F$6,$A$1:$AL$1,0)),2))*60+VALUE(MID(INDEX($A25:$AL25,MATCH(Lists!$F$6,$A$1:$AL$1,0)),4,2)))),"")),IFERROR(IF(TRIM(INDEX($A25:$AL25,MATCH(Lists!$F$6,$A$1:$AL$1,0))&amp;"")="","",IF(ISNUMBER(INDEX($A25:$AL25,MATCH(Lists!$F$6,$A$1:$AL$1,0))),ROUND(MOD(INDEX($A25:$AL25,MATCH(Lists!$F$6,$A$1:$AL$1,0)),1)*1440,0),VALUE(LEFT(INDEX($A25:$AL25,MATCH(Lists!$F$6,$A$1:$AL$1,0)),2))*60+VALUE(MID(INDEX($A25:$AL25,MATCH(Lists!$F$6,$A$1:$AL$1,0)),4,2)))),""),-1))</f>
        <v/>
      </c>
      <c r="AV25" s="21">
        <f>IF(IFERROR(TRIM(INDEX($A25:$AL25,MATCH(Lists!$F$2,$A$1:$AL$1,0))&amp;""),"")="",-1,IF(ISNUMBER(IFERROR(IF(TRIM(INDEX($A25:$AL25,MATCH(Lists!$F$7,$A$1:$AL$1,0))&amp;"")="","",IF(ISNUMBER(INDEX($A25:$AL25,MATCH(Lists!$F$7,$A$1:$AL$1,0))),ROUND(MOD(INDEX($A25:$AL25,MATCH(Lists!$F$7,$A$1:$AL$1,0)),1)*1440,0),VALUE(LEFT(INDEX($A25:$AL25,MATCH(Lists!$F$7,$A$1:$AL$1,0)),2))*60+VALUE(MID(INDEX($A25:$AL25,MATCH(Lists!$F$7,$A$1:$AL$1,0)),4,2)))),"")),IFERROR(IF(TRIM(INDEX($A25:$AL25,MATCH(Lists!$F$7,$A$1:$AL$1,0))&amp;"")="","",IF(ISNUMBER(INDEX($A25:$AL25,MATCH(Lists!$F$7,$A$1:$AL$1,0))),ROUND(MOD(INDEX($A25:$AL25,MATCH(Lists!$F$7,$A$1:$AL$1,0)),1)*1440,0),VALUE(LEFT(INDEX($A25:$AL25,MATCH(Lists!$F$7,$A$1:$AL$1,0)),2))*60+VALUE(MID(INDEX($A25:$AL25,MATCH(Lists!$F$7,$A$1:$AL$1,0)),4,2)))),""),-1))</f>
        <v/>
      </c>
      <c r="AW25" s="21">
        <f>IF(IFERROR(TRIM(INDEX($A25:$AL25,MATCH(Lists!$F$2,$A$1:$AL$1,0))&amp;""),"")="","",IF(IFERROR(TRIM(INDEX($A25:$AL25,MATCH(Lists!$F$8,$A$1:$AL$1,0))&amp;""),"")&lt;&gt;"",IFERROR(TRIM(INDEX($A25:$AL25,MATCH(Lists!$F$8,$A$1:$AL$1,0))&amp;""),""),IFERROR(TRIM(INDEX($A25:$AL25,MATCH(Lists!$F$9,$A$1:$AL$1,0))&amp;""),"")))</f>
        <v/>
      </c>
      <c r="AX25" s="21">
        <f>IFERROR(IF(TRIM(INDEX($A25:$AL25,MATCH(Lists!$F$10,$A$1:$AL$1,0))&amp;"")="","",VALUE(TRIM(INDEX($A25:$AL25,MATCH(Lists!$F$10,$A$1:$AL$1,0))&amp;""))),"")</f>
        <v/>
      </c>
      <c r="AY25" s="21">
        <f>IF(IFERROR(TRIM(INDEX($A25:$AL25,MATCH(Lists!$F$2,$A$1:$AL$1,0))&amp;""),"")="","",IF(AN25="","New",AN25))</f>
        <v/>
      </c>
      <c r="AZ25" s="21">
        <f>IF(IFERROR(TRIM(INDEX($A25:$AL25,MATCH(Lists!$F$2,$A$1:$AL$1,0))&amp;""),"")="","",IF(OR(IFERROR(TRIM(INDEX($A25:$AL25,MATCH(Lists!$F$13,$A$1:$AL$1,0))&amp;""),"")="Paid",IFERROR(TRIM(INDEX($A25:$AL25,MATCH(Lists!$F$13,$A$1:$AL$1,0))&amp;""),"")="Partially refunded"),"Paid",IF(AP25="Yes","Paid (by hand)",IFERROR(TRIM(INDEX($A25:$AL25,MATCH(Lists!$F$13,$A$1:$AL$1,0))&amp;""),""))))</f>
        <v/>
      </c>
      <c r="BA25" s="21">
        <f>IF(AND(IFERROR(TRIM(INDEX($A25:$AL25,MATCH(Lists!$F$2,$A$1:$AL$1,0))&amp;""),"")&lt;&gt;"",AT25&gt;0,AU25&gt;=0,AV25&gt;AU25,AY25&lt;&gt;"Declined"),1,0)</f>
        <v/>
      </c>
      <c r="BB25" s="21">
        <f>IF(BA25=1,COUNTIFS($AS$2:$AS$501,AS25,$AT$2:$AT$501,AT25,$AU$2:$AU$501,"&lt;"&amp;AV25,$AV$2:$AV$501,"&gt;"&amp;AU25,$BA$2:$BA$501,1)-1,"")</f>
        <v/>
      </c>
      <c r="BC25" s="21">
        <f>IF(N(BB25)&gt;0,"Clashes with "&amp;INDEX($AW$2:$AW$501,SUMPRODUCT(MAX(($AS$2:$AS$501=AS25)*($AT$2:$AT$501=AT25)*($AU$2:$AU$501&lt;AV25)*($AV$2:$AV$501&gt;AU25)*($BA$2:$BA$501=1)*(ROW($AS$2:$AS$501)&lt;&gt;ROW())*ROW($AS$2:$AS$501)))-1)&amp;" ("&amp;INDEX($AY$2:$AY$501,SUMPRODUCT(MAX(($AS$2:$AS$501=AS25)*($AT$2:$AT$501=AT25)*($AU$2:$AU$501&lt;AV25)*($AV$2:$AV$501&gt;AU25)*($BA$2:$BA$501=1)*(ROW($AS$2:$AS$501)&lt;&gt;ROW())*ROW($AS$2:$AS$501)))-1)&amp;")"&amp;IF(BB25&gt;1," and "&amp;(BB25-1)&amp;" more",""),"")</f>
        <v/>
      </c>
      <c r="BD25" s="21">
        <f>IF(AND(BA25=1,AY25="Confirmed"),AT25*10000000+AU25*1000+ROW(),"")</f>
        <v/>
      </c>
      <c r="BE25" s="21">
        <f>IF(IFERROR(TRIM(INDEX($A25:$AL25,MATCH(Lists!$F$2,$A$1:$AL$1,0))&amp;""),"")="","",IFERROR(TRIM(INDEX($A25:$AL25,MATCH(Lists!$F$11,$A$1:$AL$1,0))&amp;""),""))</f>
        <v/>
      </c>
      <c r="BF25" s="21">
        <f>IF(IFERROR(TRIM(INDEX($A25:$AL25,MATCH(Lists!$F$2,$A$1:$AL$1,0))&amp;""),"")="","",IFERROR(TRIM(INDEX($A25:$AL25,MATCH(Lists!$F$12,$A$1:$AL$1,0))&amp;""),""))</f>
        <v/>
      </c>
    </row>
    <row r="26">
      <c r="AM26" s="19" t="n"/>
      <c r="AN26" s="23" t="n"/>
      <c r="AO26" s="23" t="n"/>
      <c r="AP26" s="23" t="n"/>
      <c r="AQ26" s="23" t="n"/>
      <c r="AR26" s="19" t="n"/>
      <c r="AS26" s="21">
        <f>IF(IFERROR(TRIM(INDEX($A26:$AL26,MATCH(Lists!$F$2,$A$1:$AL$1,0))&amp;""),"")="","",IF(AND(IFERROR(TRIM(INDEX($A26:$AL26,MATCH(Lists!$F$3,$A$1:$AL$1,0))&amp;""),"")="Other",IFERROR(TRIM(INDEX($A26:$AL26,MATCH(Lists!$F$4,$A$1:$AL$1,0))&amp;""),"")&lt;&gt;""),IFERROR(TRIM(INDEX($A26:$AL26,MATCH(Lists!$F$4,$A$1:$AL$1,0))&amp;""),""),IF(IFERROR(TRIM(INDEX($A26:$AL26,MATCH(Lists!$F$3,$A$1:$AL$1,0))&amp;""),"")="","(no space)",IFERROR(TRIM(INDEX($A26:$AL26,MATCH(Lists!$F$3,$A$1:$AL$1,0))&amp;""),""))))</f>
        <v/>
      </c>
      <c r="AT26" s="22">
        <f>IF(IFERROR(TRIM(INDEX($A26:$AL26,MATCH(Lists!$F$2,$A$1:$AL$1,0))&amp;""),"")="",0,N(IFERROR(IF(TRIM(INDEX($A26:$AL26,MATCH(Lists!$F$5,$A$1:$AL$1,0))&amp;"")="","",IF(ISNUMBER(INDEX($A26:$AL26,MATCH(Lists!$F$5,$A$1:$AL$1,0))),INT(INDEX($A26:$AL26,MATCH(Lists!$F$5,$A$1:$AL$1,0))),DATE(VALUE(LEFT(INDEX($A26:$AL26,MATCH(Lists!$F$5,$A$1:$AL$1,0)),4)),VALUE(MID(INDEX($A26:$AL26,MATCH(Lists!$F$5,$A$1:$AL$1,0)),6,2)),VALUE(MID(INDEX($A26:$AL26,MATCH(Lists!$F$5,$A$1:$AL$1,0)),9,2))))),"")))</f>
        <v/>
      </c>
      <c r="AU26" s="21">
        <f>IF(IFERROR(TRIM(INDEX($A26:$AL26,MATCH(Lists!$F$2,$A$1:$AL$1,0))&amp;""),"")="",-1,IF(ISNUMBER(IFERROR(IF(TRIM(INDEX($A26:$AL26,MATCH(Lists!$F$6,$A$1:$AL$1,0))&amp;"")="","",IF(ISNUMBER(INDEX($A26:$AL26,MATCH(Lists!$F$6,$A$1:$AL$1,0))),ROUND(MOD(INDEX($A26:$AL26,MATCH(Lists!$F$6,$A$1:$AL$1,0)),1)*1440,0),VALUE(LEFT(INDEX($A26:$AL26,MATCH(Lists!$F$6,$A$1:$AL$1,0)),2))*60+VALUE(MID(INDEX($A26:$AL26,MATCH(Lists!$F$6,$A$1:$AL$1,0)),4,2)))),"")),IFERROR(IF(TRIM(INDEX($A26:$AL26,MATCH(Lists!$F$6,$A$1:$AL$1,0))&amp;"")="","",IF(ISNUMBER(INDEX($A26:$AL26,MATCH(Lists!$F$6,$A$1:$AL$1,0))),ROUND(MOD(INDEX($A26:$AL26,MATCH(Lists!$F$6,$A$1:$AL$1,0)),1)*1440,0),VALUE(LEFT(INDEX($A26:$AL26,MATCH(Lists!$F$6,$A$1:$AL$1,0)),2))*60+VALUE(MID(INDEX($A26:$AL26,MATCH(Lists!$F$6,$A$1:$AL$1,0)),4,2)))),""),-1))</f>
        <v/>
      </c>
      <c r="AV26" s="21">
        <f>IF(IFERROR(TRIM(INDEX($A26:$AL26,MATCH(Lists!$F$2,$A$1:$AL$1,0))&amp;""),"")="",-1,IF(ISNUMBER(IFERROR(IF(TRIM(INDEX($A26:$AL26,MATCH(Lists!$F$7,$A$1:$AL$1,0))&amp;"")="","",IF(ISNUMBER(INDEX($A26:$AL26,MATCH(Lists!$F$7,$A$1:$AL$1,0))),ROUND(MOD(INDEX($A26:$AL26,MATCH(Lists!$F$7,$A$1:$AL$1,0)),1)*1440,0),VALUE(LEFT(INDEX($A26:$AL26,MATCH(Lists!$F$7,$A$1:$AL$1,0)),2))*60+VALUE(MID(INDEX($A26:$AL26,MATCH(Lists!$F$7,$A$1:$AL$1,0)),4,2)))),"")),IFERROR(IF(TRIM(INDEX($A26:$AL26,MATCH(Lists!$F$7,$A$1:$AL$1,0))&amp;"")="","",IF(ISNUMBER(INDEX($A26:$AL26,MATCH(Lists!$F$7,$A$1:$AL$1,0))),ROUND(MOD(INDEX($A26:$AL26,MATCH(Lists!$F$7,$A$1:$AL$1,0)),1)*1440,0),VALUE(LEFT(INDEX($A26:$AL26,MATCH(Lists!$F$7,$A$1:$AL$1,0)),2))*60+VALUE(MID(INDEX($A26:$AL26,MATCH(Lists!$F$7,$A$1:$AL$1,0)),4,2)))),""),-1))</f>
        <v/>
      </c>
      <c r="AW26" s="21">
        <f>IF(IFERROR(TRIM(INDEX($A26:$AL26,MATCH(Lists!$F$2,$A$1:$AL$1,0))&amp;""),"")="","",IF(IFERROR(TRIM(INDEX($A26:$AL26,MATCH(Lists!$F$8,$A$1:$AL$1,0))&amp;""),"")&lt;&gt;"",IFERROR(TRIM(INDEX($A26:$AL26,MATCH(Lists!$F$8,$A$1:$AL$1,0))&amp;""),""),IFERROR(TRIM(INDEX($A26:$AL26,MATCH(Lists!$F$9,$A$1:$AL$1,0))&amp;""),"")))</f>
        <v/>
      </c>
      <c r="AX26" s="21">
        <f>IFERROR(IF(TRIM(INDEX($A26:$AL26,MATCH(Lists!$F$10,$A$1:$AL$1,0))&amp;"")="","",VALUE(TRIM(INDEX($A26:$AL26,MATCH(Lists!$F$10,$A$1:$AL$1,0))&amp;""))),"")</f>
        <v/>
      </c>
      <c r="AY26" s="21">
        <f>IF(IFERROR(TRIM(INDEX($A26:$AL26,MATCH(Lists!$F$2,$A$1:$AL$1,0))&amp;""),"")="","",IF(AN26="","New",AN26))</f>
        <v/>
      </c>
      <c r="AZ26" s="21">
        <f>IF(IFERROR(TRIM(INDEX($A26:$AL26,MATCH(Lists!$F$2,$A$1:$AL$1,0))&amp;""),"")="","",IF(OR(IFERROR(TRIM(INDEX($A26:$AL26,MATCH(Lists!$F$13,$A$1:$AL$1,0))&amp;""),"")="Paid",IFERROR(TRIM(INDEX($A26:$AL26,MATCH(Lists!$F$13,$A$1:$AL$1,0))&amp;""),"")="Partially refunded"),"Paid",IF(AP26="Yes","Paid (by hand)",IFERROR(TRIM(INDEX($A26:$AL26,MATCH(Lists!$F$13,$A$1:$AL$1,0))&amp;""),""))))</f>
        <v/>
      </c>
      <c r="BA26" s="21">
        <f>IF(AND(IFERROR(TRIM(INDEX($A26:$AL26,MATCH(Lists!$F$2,$A$1:$AL$1,0))&amp;""),"")&lt;&gt;"",AT26&gt;0,AU26&gt;=0,AV26&gt;AU26,AY26&lt;&gt;"Declined"),1,0)</f>
        <v/>
      </c>
      <c r="BB26" s="21">
        <f>IF(BA26=1,COUNTIFS($AS$2:$AS$501,AS26,$AT$2:$AT$501,AT26,$AU$2:$AU$501,"&lt;"&amp;AV26,$AV$2:$AV$501,"&gt;"&amp;AU26,$BA$2:$BA$501,1)-1,"")</f>
        <v/>
      </c>
      <c r="BC26" s="21">
        <f>IF(N(BB26)&gt;0,"Clashes with "&amp;INDEX($AW$2:$AW$501,SUMPRODUCT(MAX(($AS$2:$AS$501=AS26)*($AT$2:$AT$501=AT26)*($AU$2:$AU$501&lt;AV26)*($AV$2:$AV$501&gt;AU26)*($BA$2:$BA$501=1)*(ROW($AS$2:$AS$501)&lt;&gt;ROW())*ROW($AS$2:$AS$501)))-1)&amp;" ("&amp;INDEX($AY$2:$AY$501,SUMPRODUCT(MAX(($AS$2:$AS$501=AS26)*($AT$2:$AT$501=AT26)*($AU$2:$AU$501&lt;AV26)*($AV$2:$AV$501&gt;AU26)*($BA$2:$BA$501=1)*(ROW($AS$2:$AS$501)&lt;&gt;ROW())*ROW($AS$2:$AS$501)))-1)&amp;")"&amp;IF(BB26&gt;1," and "&amp;(BB26-1)&amp;" more",""),"")</f>
        <v/>
      </c>
      <c r="BD26" s="21">
        <f>IF(AND(BA26=1,AY26="Confirmed"),AT26*10000000+AU26*1000+ROW(),"")</f>
        <v/>
      </c>
      <c r="BE26" s="21">
        <f>IF(IFERROR(TRIM(INDEX($A26:$AL26,MATCH(Lists!$F$2,$A$1:$AL$1,0))&amp;""),"")="","",IFERROR(TRIM(INDEX($A26:$AL26,MATCH(Lists!$F$11,$A$1:$AL$1,0))&amp;""),""))</f>
        <v/>
      </c>
      <c r="BF26" s="21">
        <f>IF(IFERROR(TRIM(INDEX($A26:$AL26,MATCH(Lists!$F$2,$A$1:$AL$1,0))&amp;""),"")="","",IFERROR(TRIM(INDEX($A26:$AL26,MATCH(Lists!$F$12,$A$1:$AL$1,0))&amp;""),""))</f>
        <v/>
      </c>
    </row>
    <row r="27">
      <c r="AM27" s="19" t="n"/>
      <c r="AN27" s="23" t="n"/>
      <c r="AO27" s="23" t="n"/>
      <c r="AP27" s="23" t="n"/>
      <c r="AQ27" s="23" t="n"/>
      <c r="AR27" s="19" t="n"/>
      <c r="AS27" s="21">
        <f>IF(IFERROR(TRIM(INDEX($A27:$AL27,MATCH(Lists!$F$2,$A$1:$AL$1,0))&amp;""),"")="","",IF(AND(IFERROR(TRIM(INDEX($A27:$AL27,MATCH(Lists!$F$3,$A$1:$AL$1,0))&amp;""),"")="Other",IFERROR(TRIM(INDEX($A27:$AL27,MATCH(Lists!$F$4,$A$1:$AL$1,0))&amp;""),"")&lt;&gt;""),IFERROR(TRIM(INDEX($A27:$AL27,MATCH(Lists!$F$4,$A$1:$AL$1,0))&amp;""),""),IF(IFERROR(TRIM(INDEX($A27:$AL27,MATCH(Lists!$F$3,$A$1:$AL$1,0))&amp;""),"")="","(no space)",IFERROR(TRIM(INDEX($A27:$AL27,MATCH(Lists!$F$3,$A$1:$AL$1,0))&amp;""),""))))</f>
        <v/>
      </c>
      <c r="AT27" s="22">
        <f>IF(IFERROR(TRIM(INDEX($A27:$AL27,MATCH(Lists!$F$2,$A$1:$AL$1,0))&amp;""),"")="",0,N(IFERROR(IF(TRIM(INDEX($A27:$AL27,MATCH(Lists!$F$5,$A$1:$AL$1,0))&amp;"")="","",IF(ISNUMBER(INDEX($A27:$AL27,MATCH(Lists!$F$5,$A$1:$AL$1,0))),INT(INDEX($A27:$AL27,MATCH(Lists!$F$5,$A$1:$AL$1,0))),DATE(VALUE(LEFT(INDEX($A27:$AL27,MATCH(Lists!$F$5,$A$1:$AL$1,0)),4)),VALUE(MID(INDEX($A27:$AL27,MATCH(Lists!$F$5,$A$1:$AL$1,0)),6,2)),VALUE(MID(INDEX($A27:$AL27,MATCH(Lists!$F$5,$A$1:$AL$1,0)),9,2))))),"")))</f>
        <v/>
      </c>
      <c r="AU27" s="21">
        <f>IF(IFERROR(TRIM(INDEX($A27:$AL27,MATCH(Lists!$F$2,$A$1:$AL$1,0))&amp;""),"")="",-1,IF(ISNUMBER(IFERROR(IF(TRIM(INDEX($A27:$AL27,MATCH(Lists!$F$6,$A$1:$AL$1,0))&amp;"")="","",IF(ISNUMBER(INDEX($A27:$AL27,MATCH(Lists!$F$6,$A$1:$AL$1,0))),ROUND(MOD(INDEX($A27:$AL27,MATCH(Lists!$F$6,$A$1:$AL$1,0)),1)*1440,0),VALUE(LEFT(INDEX($A27:$AL27,MATCH(Lists!$F$6,$A$1:$AL$1,0)),2))*60+VALUE(MID(INDEX($A27:$AL27,MATCH(Lists!$F$6,$A$1:$AL$1,0)),4,2)))),"")),IFERROR(IF(TRIM(INDEX($A27:$AL27,MATCH(Lists!$F$6,$A$1:$AL$1,0))&amp;"")="","",IF(ISNUMBER(INDEX($A27:$AL27,MATCH(Lists!$F$6,$A$1:$AL$1,0))),ROUND(MOD(INDEX($A27:$AL27,MATCH(Lists!$F$6,$A$1:$AL$1,0)),1)*1440,0),VALUE(LEFT(INDEX($A27:$AL27,MATCH(Lists!$F$6,$A$1:$AL$1,0)),2))*60+VALUE(MID(INDEX($A27:$AL27,MATCH(Lists!$F$6,$A$1:$AL$1,0)),4,2)))),""),-1))</f>
        <v/>
      </c>
      <c r="AV27" s="21">
        <f>IF(IFERROR(TRIM(INDEX($A27:$AL27,MATCH(Lists!$F$2,$A$1:$AL$1,0))&amp;""),"")="",-1,IF(ISNUMBER(IFERROR(IF(TRIM(INDEX($A27:$AL27,MATCH(Lists!$F$7,$A$1:$AL$1,0))&amp;"")="","",IF(ISNUMBER(INDEX($A27:$AL27,MATCH(Lists!$F$7,$A$1:$AL$1,0))),ROUND(MOD(INDEX($A27:$AL27,MATCH(Lists!$F$7,$A$1:$AL$1,0)),1)*1440,0),VALUE(LEFT(INDEX($A27:$AL27,MATCH(Lists!$F$7,$A$1:$AL$1,0)),2))*60+VALUE(MID(INDEX($A27:$AL27,MATCH(Lists!$F$7,$A$1:$AL$1,0)),4,2)))),"")),IFERROR(IF(TRIM(INDEX($A27:$AL27,MATCH(Lists!$F$7,$A$1:$AL$1,0))&amp;"")="","",IF(ISNUMBER(INDEX($A27:$AL27,MATCH(Lists!$F$7,$A$1:$AL$1,0))),ROUND(MOD(INDEX($A27:$AL27,MATCH(Lists!$F$7,$A$1:$AL$1,0)),1)*1440,0),VALUE(LEFT(INDEX($A27:$AL27,MATCH(Lists!$F$7,$A$1:$AL$1,0)),2))*60+VALUE(MID(INDEX($A27:$AL27,MATCH(Lists!$F$7,$A$1:$AL$1,0)),4,2)))),""),-1))</f>
        <v/>
      </c>
      <c r="AW27" s="21">
        <f>IF(IFERROR(TRIM(INDEX($A27:$AL27,MATCH(Lists!$F$2,$A$1:$AL$1,0))&amp;""),"")="","",IF(IFERROR(TRIM(INDEX($A27:$AL27,MATCH(Lists!$F$8,$A$1:$AL$1,0))&amp;""),"")&lt;&gt;"",IFERROR(TRIM(INDEX($A27:$AL27,MATCH(Lists!$F$8,$A$1:$AL$1,0))&amp;""),""),IFERROR(TRIM(INDEX($A27:$AL27,MATCH(Lists!$F$9,$A$1:$AL$1,0))&amp;""),"")))</f>
        <v/>
      </c>
      <c r="AX27" s="21">
        <f>IFERROR(IF(TRIM(INDEX($A27:$AL27,MATCH(Lists!$F$10,$A$1:$AL$1,0))&amp;"")="","",VALUE(TRIM(INDEX($A27:$AL27,MATCH(Lists!$F$10,$A$1:$AL$1,0))&amp;""))),"")</f>
        <v/>
      </c>
      <c r="AY27" s="21">
        <f>IF(IFERROR(TRIM(INDEX($A27:$AL27,MATCH(Lists!$F$2,$A$1:$AL$1,0))&amp;""),"")="","",IF(AN27="","New",AN27))</f>
        <v/>
      </c>
      <c r="AZ27" s="21">
        <f>IF(IFERROR(TRIM(INDEX($A27:$AL27,MATCH(Lists!$F$2,$A$1:$AL$1,0))&amp;""),"")="","",IF(OR(IFERROR(TRIM(INDEX($A27:$AL27,MATCH(Lists!$F$13,$A$1:$AL$1,0))&amp;""),"")="Paid",IFERROR(TRIM(INDEX($A27:$AL27,MATCH(Lists!$F$13,$A$1:$AL$1,0))&amp;""),"")="Partially refunded"),"Paid",IF(AP27="Yes","Paid (by hand)",IFERROR(TRIM(INDEX($A27:$AL27,MATCH(Lists!$F$13,$A$1:$AL$1,0))&amp;""),""))))</f>
        <v/>
      </c>
      <c r="BA27" s="21">
        <f>IF(AND(IFERROR(TRIM(INDEX($A27:$AL27,MATCH(Lists!$F$2,$A$1:$AL$1,0))&amp;""),"")&lt;&gt;"",AT27&gt;0,AU27&gt;=0,AV27&gt;AU27,AY27&lt;&gt;"Declined"),1,0)</f>
        <v/>
      </c>
      <c r="BB27" s="21">
        <f>IF(BA27=1,COUNTIFS($AS$2:$AS$501,AS27,$AT$2:$AT$501,AT27,$AU$2:$AU$501,"&lt;"&amp;AV27,$AV$2:$AV$501,"&gt;"&amp;AU27,$BA$2:$BA$501,1)-1,"")</f>
        <v/>
      </c>
      <c r="BC27" s="21">
        <f>IF(N(BB27)&gt;0,"Clashes with "&amp;INDEX($AW$2:$AW$501,SUMPRODUCT(MAX(($AS$2:$AS$501=AS27)*($AT$2:$AT$501=AT27)*($AU$2:$AU$501&lt;AV27)*($AV$2:$AV$501&gt;AU27)*($BA$2:$BA$501=1)*(ROW($AS$2:$AS$501)&lt;&gt;ROW())*ROW($AS$2:$AS$501)))-1)&amp;" ("&amp;INDEX($AY$2:$AY$501,SUMPRODUCT(MAX(($AS$2:$AS$501=AS27)*($AT$2:$AT$501=AT27)*($AU$2:$AU$501&lt;AV27)*($AV$2:$AV$501&gt;AU27)*($BA$2:$BA$501=1)*(ROW($AS$2:$AS$501)&lt;&gt;ROW())*ROW($AS$2:$AS$501)))-1)&amp;")"&amp;IF(BB27&gt;1," and "&amp;(BB27-1)&amp;" more",""),"")</f>
        <v/>
      </c>
      <c r="BD27" s="21">
        <f>IF(AND(BA27=1,AY27="Confirmed"),AT27*10000000+AU27*1000+ROW(),"")</f>
        <v/>
      </c>
      <c r="BE27" s="21">
        <f>IF(IFERROR(TRIM(INDEX($A27:$AL27,MATCH(Lists!$F$2,$A$1:$AL$1,0))&amp;""),"")="","",IFERROR(TRIM(INDEX($A27:$AL27,MATCH(Lists!$F$11,$A$1:$AL$1,0))&amp;""),""))</f>
        <v/>
      </c>
      <c r="BF27" s="21">
        <f>IF(IFERROR(TRIM(INDEX($A27:$AL27,MATCH(Lists!$F$2,$A$1:$AL$1,0))&amp;""),"")="","",IFERROR(TRIM(INDEX($A27:$AL27,MATCH(Lists!$F$12,$A$1:$AL$1,0))&amp;""),""))</f>
        <v/>
      </c>
    </row>
    <row r="28">
      <c r="AM28" s="19" t="n"/>
      <c r="AN28" s="23" t="n"/>
      <c r="AO28" s="23" t="n"/>
      <c r="AP28" s="23" t="n"/>
      <c r="AQ28" s="23" t="n"/>
      <c r="AR28" s="19" t="n"/>
      <c r="AS28" s="21">
        <f>IF(IFERROR(TRIM(INDEX($A28:$AL28,MATCH(Lists!$F$2,$A$1:$AL$1,0))&amp;""),"")="","",IF(AND(IFERROR(TRIM(INDEX($A28:$AL28,MATCH(Lists!$F$3,$A$1:$AL$1,0))&amp;""),"")="Other",IFERROR(TRIM(INDEX($A28:$AL28,MATCH(Lists!$F$4,$A$1:$AL$1,0))&amp;""),"")&lt;&gt;""),IFERROR(TRIM(INDEX($A28:$AL28,MATCH(Lists!$F$4,$A$1:$AL$1,0))&amp;""),""),IF(IFERROR(TRIM(INDEX($A28:$AL28,MATCH(Lists!$F$3,$A$1:$AL$1,0))&amp;""),"")="","(no space)",IFERROR(TRIM(INDEX($A28:$AL28,MATCH(Lists!$F$3,$A$1:$AL$1,0))&amp;""),""))))</f>
        <v/>
      </c>
      <c r="AT28" s="22">
        <f>IF(IFERROR(TRIM(INDEX($A28:$AL28,MATCH(Lists!$F$2,$A$1:$AL$1,0))&amp;""),"")="",0,N(IFERROR(IF(TRIM(INDEX($A28:$AL28,MATCH(Lists!$F$5,$A$1:$AL$1,0))&amp;"")="","",IF(ISNUMBER(INDEX($A28:$AL28,MATCH(Lists!$F$5,$A$1:$AL$1,0))),INT(INDEX($A28:$AL28,MATCH(Lists!$F$5,$A$1:$AL$1,0))),DATE(VALUE(LEFT(INDEX($A28:$AL28,MATCH(Lists!$F$5,$A$1:$AL$1,0)),4)),VALUE(MID(INDEX($A28:$AL28,MATCH(Lists!$F$5,$A$1:$AL$1,0)),6,2)),VALUE(MID(INDEX($A28:$AL28,MATCH(Lists!$F$5,$A$1:$AL$1,0)),9,2))))),"")))</f>
        <v/>
      </c>
      <c r="AU28" s="21">
        <f>IF(IFERROR(TRIM(INDEX($A28:$AL28,MATCH(Lists!$F$2,$A$1:$AL$1,0))&amp;""),"")="",-1,IF(ISNUMBER(IFERROR(IF(TRIM(INDEX($A28:$AL28,MATCH(Lists!$F$6,$A$1:$AL$1,0))&amp;"")="","",IF(ISNUMBER(INDEX($A28:$AL28,MATCH(Lists!$F$6,$A$1:$AL$1,0))),ROUND(MOD(INDEX($A28:$AL28,MATCH(Lists!$F$6,$A$1:$AL$1,0)),1)*1440,0),VALUE(LEFT(INDEX($A28:$AL28,MATCH(Lists!$F$6,$A$1:$AL$1,0)),2))*60+VALUE(MID(INDEX($A28:$AL28,MATCH(Lists!$F$6,$A$1:$AL$1,0)),4,2)))),"")),IFERROR(IF(TRIM(INDEX($A28:$AL28,MATCH(Lists!$F$6,$A$1:$AL$1,0))&amp;"")="","",IF(ISNUMBER(INDEX($A28:$AL28,MATCH(Lists!$F$6,$A$1:$AL$1,0))),ROUND(MOD(INDEX($A28:$AL28,MATCH(Lists!$F$6,$A$1:$AL$1,0)),1)*1440,0),VALUE(LEFT(INDEX($A28:$AL28,MATCH(Lists!$F$6,$A$1:$AL$1,0)),2))*60+VALUE(MID(INDEX($A28:$AL28,MATCH(Lists!$F$6,$A$1:$AL$1,0)),4,2)))),""),-1))</f>
        <v/>
      </c>
      <c r="AV28" s="21">
        <f>IF(IFERROR(TRIM(INDEX($A28:$AL28,MATCH(Lists!$F$2,$A$1:$AL$1,0))&amp;""),"")="",-1,IF(ISNUMBER(IFERROR(IF(TRIM(INDEX($A28:$AL28,MATCH(Lists!$F$7,$A$1:$AL$1,0))&amp;"")="","",IF(ISNUMBER(INDEX($A28:$AL28,MATCH(Lists!$F$7,$A$1:$AL$1,0))),ROUND(MOD(INDEX($A28:$AL28,MATCH(Lists!$F$7,$A$1:$AL$1,0)),1)*1440,0),VALUE(LEFT(INDEX($A28:$AL28,MATCH(Lists!$F$7,$A$1:$AL$1,0)),2))*60+VALUE(MID(INDEX($A28:$AL28,MATCH(Lists!$F$7,$A$1:$AL$1,0)),4,2)))),"")),IFERROR(IF(TRIM(INDEX($A28:$AL28,MATCH(Lists!$F$7,$A$1:$AL$1,0))&amp;"")="","",IF(ISNUMBER(INDEX($A28:$AL28,MATCH(Lists!$F$7,$A$1:$AL$1,0))),ROUND(MOD(INDEX($A28:$AL28,MATCH(Lists!$F$7,$A$1:$AL$1,0)),1)*1440,0),VALUE(LEFT(INDEX($A28:$AL28,MATCH(Lists!$F$7,$A$1:$AL$1,0)),2))*60+VALUE(MID(INDEX($A28:$AL28,MATCH(Lists!$F$7,$A$1:$AL$1,0)),4,2)))),""),-1))</f>
        <v/>
      </c>
      <c r="AW28" s="21">
        <f>IF(IFERROR(TRIM(INDEX($A28:$AL28,MATCH(Lists!$F$2,$A$1:$AL$1,0))&amp;""),"")="","",IF(IFERROR(TRIM(INDEX($A28:$AL28,MATCH(Lists!$F$8,$A$1:$AL$1,0))&amp;""),"")&lt;&gt;"",IFERROR(TRIM(INDEX($A28:$AL28,MATCH(Lists!$F$8,$A$1:$AL$1,0))&amp;""),""),IFERROR(TRIM(INDEX($A28:$AL28,MATCH(Lists!$F$9,$A$1:$AL$1,0))&amp;""),"")))</f>
        <v/>
      </c>
      <c r="AX28" s="21">
        <f>IFERROR(IF(TRIM(INDEX($A28:$AL28,MATCH(Lists!$F$10,$A$1:$AL$1,0))&amp;"")="","",VALUE(TRIM(INDEX($A28:$AL28,MATCH(Lists!$F$10,$A$1:$AL$1,0))&amp;""))),"")</f>
        <v/>
      </c>
      <c r="AY28" s="21">
        <f>IF(IFERROR(TRIM(INDEX($A28:$AL28,MATCH(Lists!$F$2,$A$1:$AL$1,0))&amp;""),"")="","",IF(AN28="","New",AN28))</f>
        <v/>
      </c>
      <c r="AZ28" s="21">
        <f>IF(IFERROR(TRIM(INDEX($A28:$AL28,MATCH(Lists!$F$2,$A$1:$AL$1,0))&amp;""),"")="","",IF(OR(IFERROR(TRIM(INDEX($A28:$AL28,MATCH(Lists!$F$13,$A$1:$AL$1,0))&amp;""),"")="Paid",IFERROR(TRIM(INDEX($A28:$AL28,MATCH(Lists!$F$13,$A$1:$AL$1,0))&amp;""),"")="Partially refunded"),"Paid",IF(AP28="Yes","Paid (by hand)",IFERROR(TRIM(INDEX($A28:$AL28,MATCH(Lists!$F$13,$A$1:$AL$1,0))&amp;""),""))))</f>
        <v/>
      </c>
      <c r="BA28" s="21">
        <f>IF(AND(IFERROR(TRIM(INDEX($A28:$AL28,MATCH(Lists!$F$2,$A$1:$AL$1,0))&amp;""),"")&lt;&gt;"",AT28&gt;0,AU28&gt;=0,AV28&gt;AU28,AY28&lt;&gt;"Declined"),1,0)</f>
        <v/>
      </c>
      <c r="BB28" s="21">
        <f>IF(BA28=1,COUNTIFS($AS$2:$AS$501,AS28,$AT$2:$AT$501,AT28,$AU$2:$AU$501,"&lt;"&amp;AV28,$AV$2:$AV$501,"&gt;"&amp;AU28,$BA$2:$BA$501,1)-1,"")</f>
        <v/>
      </c>
      <c r="BC28" s="21">
        <f>IF(N(BB28)&gt;0,"Clashes with "&amp;INDEX($AW$2:$AW$501,SUMPRODUCT(MAX(($AS$2:$AS$501=AS28)*($AT$2:$AT$501=AT28)*($AU$2:$AU$501&lt;AV28)*($AV$2:$AV$501&gt;AU28)*($BA$2:$BA$501=1)*(ROW($AS$2:$AS$501)&lt;&gt;ROW())*ROW($AS$2:$AS$501)))-1)&amp;" ("&amp;INDEX($AY$2:$AY$501,SUMPRODUCT(MAX(($AS$2:$AS$501=AS28)*($AT$2:$AT$501=AT28)*($AU$2:$AU$501&lt;AV28)*($AV$2:$AV$501&gt;AU28)*($BA$2:$BA$501=1)*(ROW($AS$2:$AS$501)&lt;&gt;ROW())*ROW($AS$2:$AS$501)))-1)&amp;")"&amp;IF(BB28&gt;1," and "&amp;(BB28-1)&amp;" more",""),"")</f>
        <v/>
      </c>
      <c r="BD28" s="21">
        <f>IF(AND(BA28=1,AY28="Confirmed"),AT28*10000000+AU28*1000+ROW(),"")</f>
        <v/>
      </c>
      <c r="BE28" s="21">
        <f>IF(IFERROR(TRIM(INDEX($A28:$AL28,MATCH(Lists!$F$2,$A$1:$AL$1,0))&amp;""),"")="","",IFERROR(TRIM(INDEX($A28:$AL28,MATCH(Lists!$F$11,$A$1:$AL$1,0))&amp;""),""))</f>
        <v/>
      </c>
      <c r="BF28" s="21">
        <f>IF(IFERROR(TRIM(INDEX($A28:$AL28,MATCH(Lists!$F$2,$A$1:$AL$1,0))&amp;""),"")="","",IFERROR(TRIM(INDEX($A28:$AL28,MATCH(Lists!$F$12,$A$1:$AL$1,0))&amp;""),""))</f>
        <v/>
      </c>
    </row>
    <row r="29">
      <c r="AM29" s="19" t="n"/>
      <c r="AN29" s="23" t="n"/>
      <c r="AO29" s="23" t="n"/>
      <c r="AP29" s="23" t="n"/>
      <c r="AQ29" s="23" t="n"/>
      <c r="AR29" s="19" t="n"/>
      <c r="AS29" s="21">
        <f>IF(IFERROR(TRIM(INDEX($A29:$AL29,MATCH(Lists!$F$2,$A$1:$AL$1,0))&amp;""),"")="","",IF(AND(IFERROR(TRIM(INDEX($A29:$AL29,MATCH(Lists!$F$3,$A$1:$AL$1,0))&amp;""),"")="Other",IFERROR(TRIM(INDEX($A29:$AL29,MATCH(Lists!$F$4,$A$1:$AL$1,0))&amp;""),"")&lt;&gt;""),IFERROR(TRIM(INDEX($A29:$AL29,MATCH(Lists!$F$4,$A$1:$AL$1,0))&amp;""),""),IF(IFERROR(TRIM(INDEX($A29:$AL29,MATCH(Lists!$F$3,$A$1:$AL$1,0))&amp;""),"")="","(no space)",IFERROR(TRIM(INDEX($A29:$AL29,MATCH(Lists!$F$3,$A$1:$AL$1,0))&amp;""),""))))</f>
        <v/>
      </c>
      <c r="AT29" s="22">
        <f>IF(IFERROR(TRIM(INDEX($A29:$AL29,MATCH(Lists!$F$2,$A$1:$AL$1,0))&amp;""),"")="",0,N(IFERROR(IF(TRIM(INDEX($A29:$AL29,MATCH(Lists!$F$5,$A$1:$AL$1,0))&amp;"")="","",IF(ISNUMBER(INDEX($A29:$AL29,MATCH(Lists!$F$5,$A$1:$AL$1,0))),INT(INDEX($A29:$AL29,MATCH(Lists!$F$5,$A$1:$AL$1,0))),DATE(VALUE(LEFT(INDEX($A29:$AL29,MATCH(Lists!$F$5,$A$1:$AL$1,0)),4)),VALUE(MID(INDEX($A29:$AL29,MATCH(Lists!$F$5,$A$1:$AL$1,0)),6,2)),VALUE(MID(INDEX($A29:$AL29,MATCH(Lists!$F$5,$A$1:$AL$1,0)),9,2))))),"")))</f>
        <v/>
      </c>
      <c r="AU29" s="21">
        <f>IF(IFERROR(TRIM(INDEX($A29:$AL29,MATCH(Lists!$F$2,$A$1:$AL$1,0))&amp;""),"")="",-1,IF(ISNUMBER(IFERROR(IF(TRIM(INDEX($A29:$AL29,MATCH(Lists!$F$6,$A$1:$AL$1,0))&amp;"")="","",IF(ISNUMBER(INDEX($A29:$AL29,MATCH(Lists!$F$6,$A$1:$AL$1,0))),ROUND(MOD(INDEX($A29:$AL29,MATCH(Lists!$F$6,$A$1:$AL$1,0)),1)*1440,0),VALUE(LEFT(INDEX($A29:$AL29,MATCH(Lists!$F$6,$A$1:$AL$1,0)),2))*60+VALUE(MID(INDEX($A29:$AL29,MATCH(Lists!$F$6,$A$1:$AL$1,0)),4,2)))),"")),IFERROR(IF(TRIM(INDEX($A29:$AL29,MATCH(Lists!$F$6,$A$1:$AL$1,0))&amp;"")="","",IF(ISNUMBER(INDEX($A29:$AL29,MATCH(Lists!$F$6,$A$1:$AL$1,0))),ROUND(MOD(INDEX($A29:$AL29,MATCH(Lists!$F$6,$A$1:$AL$1,0)),1)*1440,0),VALUE(LEFT(INDEX($A29:$AL29,MATCH(Lists!$F$6,$A$1:$AL$1,0)),2))*60+VALUE(MID(INDEX($A29:$AL29,MATCH(Lists!$F$6,$A$1:$AL$1,0)),4,2)))),""),-1))</f>
        <v/>
      </c>
      <c r="AV29" s="21">
        <f>IF(IFERROR(TRIM(INDEX($A29:$AL29,MATCH(Lists!$F$2,$A$1:$AL$1,0))&amp;""),"")="",-1,IF(ISNUMBER(IFERROR(IF(TRIM(INDEX($A29:$AL29,MATCH(Lists!$F$7,$A$1:$AL$1,0))&amp;"")="","",IF(ISNUMBER(INDEX($A29:$AL29,MATCH(Lists!$F$7,$A$1:$AL$1,0))),ROUND(MOD(INDEX($A29:$AL29,MATCH(Lists!$F$7,$A$1:$AL$1,0)),1)*1440,0),VALUE(LEFT(INDEX($A29:$AL29,MATCH(Lists!$F$7,$A$1:$AL$1,0)),2))*60+VALUE(MID(INDEX($A29:$AL29,MATCH(Lists!$F$7,$A$1:$AL$1,0)),4,2)))),"")),IFERROR(IF(TRIM(INDEX($A29:$AL29,MATCH(Lists!$F$7,$A$1:$AL$1,0))&amp;"")="","",IF(ISNUMBER(INDEX($A29:$AL29,MATCH(Lists!$F$7,$A$1:$AL$1,0))),ROUND(MOD(INDEX($A29:$AL29,MATCH(Lists!$F$7,$A$1:$AL$1,0)),1)*1440,0),VALUE(LEFT(INDEX($A29:$AL29,MATCH(Lists!$F$7,$A$1:$AL$1,0)),2))*60+VALUE(MID(INDEX($A29:$AL29,MATCH(Lists!$F$7,$A$1:$AL$1,0)),4,2)))),""),-1))</f>
        <v/>
      </c>
      <c r="AW29" s="21">
        <f>IF(IFERROR(TRIM(INDEX($A29:$AL29,MATCH(Lists!$F$2,$A$1:$AL$1,0))&amp;""),"")="","",IF(IFERROR(TRIM(INDEX($A29:$AL29,MATCH(Lists!$F$8,$A$1:$AL$1,0))&amp;""),"")&lt;&gt;"",IFERROR(TRIM(INDEX($A29:$AL29,MATCH(Lists!$F$8,$A$1:$AL$1,0))&amp;""),""),IFERROR(TRIM(INDEX($A29:$AL29,MATCH(Lists!$F$9,$A$1:$AL$1,0))&amp;""),"")))</f>
        <v/>
      </c>
      <c r="AX29" s="21">
        <f>IFERROR(IF(TRIM(INDEX($A29:$AL29,MATCH(Lists!$F$10,$A$1:$AL$1,0))&amp;"")="","",VALUE(TRIM(INDEX($A29:$AL29,MATCH(Lists!$F$10,$A$1:$AL$1,0))&amp;""))),"")</f>
        <v/>
      </c>
      <c r="AY29" s="21">
        <f>IF(IFERROR(TRIM(INDEX($A29:$AL29,MATCH(Lists!$F$2,$A$1:$AL$1,0))&amp;""),"")="","",IF(AN29="","New",AN29))</f>
        <v/>
      </c>
      <c r="AZ29" s="21">
        <f>IF(IFERROR(TRIM(INDEX($A29:$AL29,MATCH(Lists!$F$2,$A$1:$AL$1,0))&amp;""),"")="","",IF(OR(IFERROR(TRIM(INDEX($A29:$AL29,MATCH(Lists!$F$13,$A$1:$AL$1,0))&amp;""),"")="Paid",IFERROR(TRIM(INDEX($A29:$AL29,MATCH(Lists!$F$13,$A$1:$AL$1,0))&amp;""),"")="Partially refunded"),"Paid",IF(AP29="Yes","Paid (by hand)",IFERROR(TRIM(INDEX($A29:$AL29,MATCH(Lists!$F$13,$A$1:$AL$1,0))&amp;""),""))))</f>
        <v/>
      </c>
      <c r="BA29" s="21">
        <f>IF(AND(IFERROR(TRIM(INDEX($A29:$AL29,MATCH(Lists!$F$2,$A$1:$AL$1,0))&amp;""),"")&lt;&gt;"",AT29&gt;0,AU29&gt;=0,AV29&gt;AU29,AY29&lt;&gt;"Declined"),1,0)</f>
        <v/>
      </c>
      <c r="BB29" s="21">
        <f>IF(BA29=1,COUNTIFS($AS$2:$AS$501,AS29,$AT$2:$AT$501,AT29,$AU$2:$AU$501,"&lt;"&amp;AV29,$AV$2:$AV$501,"&gt;"&amp;AU29,$BA$2:$BA$501,1)-1,"")</f>
        <v/>
      </c>
      <c r="BC29" s="21">
        <f>IF(N(BB29)&gt;0,"Clashes with "&amp;INDEX($AW$2:$AW$501,SUMPRODUCT(MAX(($AS$2:$AS$501=AS29)*($AT$2:$AT$501=AT29)*($AU$2:$AU$501&lt;AV29)*($AV$2:$AV$501&gt;AU29)*($BA$2:$BA$501=1)*(ROW($AS$2:$AS$501)&lt;&gt;ROW())*ROW($AS$2:$AS$501)))-1)&amp;" ("&amp;INDEX($AY$2:$AY$501,SUMPRODUCT(MAX(($AS$2:$AS$501=AS29)*($AT$2:$AT$501=AT29)*($AU$2:$AU$501&lt;AV29)*($AV$2:$AV$501&gt;AU29)*($BA$2:$BA$501=1)*(ROW($AS$2:$AS$501)&lt;&gt;ROW())*ROW($AS$2:$AS$501)))-1)&amp;")"&amp;IF(BB29&gt;1," and "&amp;(BB29-1)&amp;" more",""),"")</f>
        <v/>
      </c>
      <c r="BD29" s="21">
        <f>IF(AND(BA29=1,AY29="Confirmed"),AT29*10000000+AU29*1000+ROW(),"")</f>
        <v/>
      </c>
      <c r="BE29" s="21">
        <f>IF(IFERROR(TRIM(INDEX($A29:$AL29,MATCH(Lists!$F$2,$A$1:$AL$1,0))&amp;""),"")="","",IFERROR(TRIM(INDEX($A29:$AL29,MATCH(Lists!$F$11,$A$1:$AL$1,0))&amp;""),""))</f>
        <v/>
      </c>
      <c r="BF29" s="21">
        <f>IF(IFERROR(TRIM(INDEX($A29:$AL29,MATCH(Lists!$F$2,$A$1:$AL$1,0))&amp;""),"")="","",IFERROR(TRIM(INDEX($A29:$AL29,MATCH(Lists!$F$12,$A$1:$AL$1,0))&amp;""),""))</f>
        <v/>
      </c>
    </row>
    <row r="30">
      <c r="AM30" s="19" t="n"/>
      <c r="AN30" s="23" t="n"/>
      <c r="AO30" s="23" t="n"/>
      <c r="AP30" s="23" t="n"/>
      <c r="AQ30" s="23" t="n"/>
      <c r="AR30" s="19" t="n"/>
      <c r="AS30" s="21">
        <f>IF(IFERROR(TRIM(INDEX($A30:$AL30,MATCH(Lists!$F$2,$A$1:$AL$1,0))&amp;""),"")="","",IF(AND(IFERROR(TRIM(INDEX($A30:$AL30,MATCH(Lists!$F$3,$A$1:$AL$1,0))&amp;""),"")="Other",IFERROR(TRIM(INDEX($A30:$AL30,MATCH(Lists!$F$4,$A$1:$AL$1,0))&amp;""),"")&lt;&gt;""),IFERROR(TRIM(INDEX($A30:$AL30,MATCH(Lists!$F$4,$A$1:$AL$1,0))&amp;""),""),IF(IFERROR(TRIM(INDEX($A30:$AL30,MATCH(Lists!$F$3,$A$1:$AL$1,0))&amp;""),"")="","(no space)",IFERROR(TRIM(INDEX($A30:$AL30,MATCH(Lists!$F$3,$A$1:$AL$1,0))&amp;""),""))))</f>
        <v/>
      </c>
      <c r="AT30" s="22">
        <f>IF(IFERROR(TRIM(INDEX($A30:$AL30,MATCH(Lists!$F$2,$A$1:$AL$1,0))&amp;""),"")="",0,N(IFERROR(IF(TRIM(INDEX($A30:$AL30,MATCH(Lists!$F$5,$A$1:$AL$1,0))&amp;"")="","",IF(ISNUMBER(INDEX($A30:$AL30,MATCH(Lists!$F$5,$A$1:$AL$1,0))),INT(INDEX($A30:$AL30,MATCH(Lists!$F$5,$A$1:$AL$1,0))),DATE(VALUE(LEFT(INDEX($A30:$AL30,MATCH(Lists!$F$5,$A$1:$AL$1,0)),4)),VALUE(MID(INDEX($A30:$AL30,MATCH(Lists!$F$5,$A$1:$AL$1,0)),6,2)),VALUE(MID(INDEX($A30:$AL30,MATCH(Lists!$F$5,$A$1:$AL$1,0)),9,2))))),"")))</f>
        <v/>
      </c>
      <c r="AU30" s="21">
        <f>IF(IFERROR(TRIM(INDEX($A30:$AL30,MATCH(Lists!$F$2,$A$1:$AL$1,0))&amp;""),"")="",-1,IF(ISNUMBER(IFERROR(IF(TRIM(INDEX($A30:$AL30,MATCH(Lists!$F$6,$A$1:$AL$1,0))&amp;"")="","",IF(ISNUMBER(INDEX($A30:$AL30,MATCH(Lists!$F$6,$A$1:$AL$1,0))),ROUND(MOD(INDEX($A30:$AL30,MATCH(Lists!$F$6,$A$1:$AL$1,0)),1)*1440,0),VALUE(LEFT(INDEX($A30:$AL30,MATCH(Lists!$F$6,$A$1:$AL$1,0)),2))*60+VALUE(MID(INDEX($A30:$AL30,MATCH(Lists!$F$6,$A$1:$AL$1,0)),4,2)))),"")),IFERROR(IF(TRIM(INDEX($A30:$AL30,MATCH(Lists!$F$6,$A$1:$AL$1,0))&amp;"")="","",IF(ISNUMBER(INDEX($A30:$AL30,MATCH(Lists!$F$6,$A$1:$AL$1,0))),ROUND(MOD(INDEX($A30:$AL30,MATCH(Lists!$F$6,$A$1:$AL$1,0)),1)*1440,0),VALUE(LEFT(INDEX($A30:$AL30,MATCH(Lists!$F$6,$A$1:$AL$1,0)),2))*60+VALUE(MID(INDEX($A30:$AL30,MATCH(Lists!$F$6,$A$1:$AL$1,0)),4,2)))),""),-1))</f>
        <v/>
      </c>
      <c r="AV30" s="21">
        <f>IF(IFERROR(TRIM(INDEX($A30:$AL30,MATCH(Lists!$F$2,$A$1:$AL$1,0))&amp;""),"")="",-1,IF(ISNUMBER(IFERROR(IF(TRIM(INDEX($A30:$AL30,MATCH(Lists!$F$7,$A$1:$AL$1,0))&amp;"")="","",IF(ISNUMBER(INDEX($A30:$AL30,MATCH(Lists!$F$7,$A$1:$AL$1,0))),ROUND(MOD(INDEX($A30:$AL30,MATCH(Lists!$F$7,$A$1:$AL$1,0)),1)*1440,0),VALUE(LEFT(INDEX($A30:$AL30,MATCH(Lists!$F$7,$A$1:$AL$1,0)),2))*60+VALUE(MID(INDEX($A30:$AL30,MATCH(Lists!$F$7,$A$1:$AL$1,0)),4,2)))),"")),IFERROR(IF(TRIM(INDEX($A30:$AL30,MATCH(Lists!$F$7,$A$1:$AL$1,0))&amp;"")="","",IF(ISNUMBER(INDEX($A30:$AL30,MATCH(Lists!$F$7,$A$1:$AL$1,0))),ROUND(MOD(INDEX($A30:$AL30,MATCH(Lists!$F$7,$A$1:$AL$1,0)),1)*1440,0),VALUE(LEFT(INDEX($A30:$AL30,MATCH(Lists!$F$7,$A$1:$AL$1,0)),2))*60+VALUE(MID(INDEX($A30:$AL30,MATCH(Lists!$F$7,$A$1:$AL$1,0)),4,2)))),""),-1))</f>
        <v/>
      </c>
      <c r="AW30" s="21">
        <f>IF(IFERROR(TRIM(INDEX($A30:$AL30,MATCH(Lists!$F$2,$A$1:$AL$1,0))&amp;""),"")="","",IF(IFERROR(TRIM(INDEX($A30:$AL30,MATCH(Lists!$F$8,$A$1:$AL$1,0))&amp;""),"")&lt;&gt;"",IFERROR(TRIM(INDEX($A30:$AL30,MATCH(Lists!$F$8,$A$1:$AL$1,0))&amp;""),""),IFERROR(TRIM(INDEX($A30:$AL30,MATCH(Lists!$F$9,$A$1:$AL$1,0))&amp;""),"")))</f>
        <v/>
      </c>
      <c r="AX30" s="21">
        <f>IFERROR(IF(TRIM(INDEX($A30:$AL30,MATCH(Lists!$F$10,$A$1:$AL$1,0))&amp;"")="","",VALUE(TRIM(INDEX($A30:$AL30,MATCH(Lists!$F$10,$A$1:$AL$1,0))&amp;""))),"")</f>
        <v/>
      </c>
      <c r="AY30" s="21">
        <f>IF(IFERROR(TRIM(INDEX($A30:$AL30,MATCH(Lists!$F$2,$A$1:$AL$1,0))&amp;""),"")="","",IF(AN30="","New",AN30))</f>
        <v/>
      </c>
      <c r="AZ30" s="21">
        <f>IF(IFERROR(TRIM(INDEX($A30:$AL30,MATCH(Lists!$F$2,$A$1:$AL$1,0))&amp;""),"")="","",IF(OR(IFERROR(TRIM(INDEX($A30:$AL30,MATCH(Lists!$F$13,$A$1:$AL$1,0))&amp;""),"")="Paid",IFERROR(TRIM(INDEX($A30:$AL30,MATCH(Lists!$F$13,$A$1:$AL$1,0))&amp;""),"")="Partially refunded"),"Paid",IF(AP30="Yes","Paid (by hand)",IFERROR(TRIM(INDEX($A30:$AL30,MATCH(Lists!$F$13,$A$1:$AL$1,0))&amp;""),""))))</f>
        <v/>
      </c>
      <c r="BA30" s="21">
        <f>IF(AND(IFERROR(TRIM(INDEX($A30:$AL30,MATCH(Lists!$F$2,$A$1:$AL$1,0))&amp;""),"")&lt;&gt;"",AT30&gt;0,AU30&gt;=0,AV30&gt;AU30,AY30&lt;&gt;"Declined"),1,0)</f>
        <v/>
      </c>
      <c r="BB30" s="21">
        <f>IF(BA30=1,COUNTIFS($AS$2:$AS$501,AS30,$AT$2:$AT$501,AT30,$AU$2:$AU$501,"&lt;"&amp;AV30,$AV$2:$AV$501,"&gt;"&amp;AU30,$BA$2:$BA$501,1)-1,"")</f>
        <v/>
      </c>
      <c r="BC30" s="21">
        <f>IF(N(BB30)&gt;0,"Clashes with "&amp;INDEX($AW$2:$AW$501,SUMPRODUCT(MAX(($AS$2:$AS$501=AS30)*($AT$2:$AT$501=AT30)*($AU$2:$AU$501&lt;AV30)*($AV$2:$AV$501&gt;AU30)*($BA$2:$BA$501=1)*(ROW($AS$2:$AS$501)&lt;&gt;ROW())*ROW($AS$2:$AS$501)))-1)&amp;" ("&amp;INDEX($AY$2:$AY$501,SUMPRODUCT(MAX(($AS$2:$AS$501=AS30)*($AT$2:$AT$501=AT30)*($AU$2:$AU$501&lt;AV30)*($AV$2:$AV$501&gt;AU30)*($BA$2:$BA$501=1)*(ROW($AS$2:$AS$501)&lt;&gt;ROW())*ROW($AS$2:$AS$501)))-1)&amp;")"&amp;IF(BB30&gt;1," and "&amp;(BB30-1)&amp;" more",""),"")</f>
        <v/>
      </c>
      <c r="BD30" s="21">
        <f>IF(AND(BA30=1,AY30="Confirmed"),AT30*10000000+AU30*1000+ROW(),"")</f>
        <v/>
      </c>
      <c r="BE30" s="21">
        <f>IF(IFERROR(TRIM(INDEX($A30:$AL30,MATCH(Lists!$F$2,$A$1:$AL$1,0))&amp;""),"")="","",IFERROR(TRIM(INDEX($A30:$AL30,MATCH(Lists!$F$11,$A$1:$AL$1,0))&amp;""),""))</f>
        <v/>
      </c>
      <c r="BF30" s="21">
        <f>IF(IFERROR(TRIM(INDEX($A30:$AL30,MATCH(Lists!$F$2,$A$1:$AL$1,0))&amp;""),"")="","",IFERROR(TRIM(INDEX($A30:$AL30,MATCH(Lists!$F$12,$A$1:$AL$1,0))&amp;""),""))</f>
        <v/>
      </c>
    </row>
    <row r="31">
      <c r="AM31" s="19" t="n"/>
      <c r="AN31" s="23" t="n"/>
      <c r="AO31" s="23" t="n"/>
      <c r="AP31" s="23" t="n"/>
      <c r="AQ31" s="23" t="n"/>
      <c r="AR31" s="19" t="n"/>
      <c r="AS31" s="21">
        <f>IF(IFERROR(TRIM(INDEX($A31:$AL31,MATCH(Lists!$F$2,$A$1:$AL$1,0))&amp;""),"")="","",IF(AND(IFERROR(TRIM(INDEX($A31:$AL31,MATCH(Lists!$F$3,$A$1:$AL$1,0))&amp;""),"")="Other",IFERROR(TRIM(INDEX($A31:$AL31,MATCH(Lists!$F$4,$A$1:$AL$1,0))&amp;""),"")&lt;&gt;""),IFERROR(TRIM(INDEX($A31:$AL31,MATCH(Lists!$F$4,$A$1:$AL$1,0))&amp;""),""),IF(IFERROR(TRIM(INDEX($A31:$AL31,MATCH(Lists!$F$3,$A$1:$AL$1,0))&amp;""),"")="","(no space)",IFERROR(TRIM(INDEX($A31:$AL31,MATCH(Lists!$F$3,$A$1:$AL$1,0))&amp;""),""))))</f>
        <v/>
      </c>
      <c r="AT31" s="22">
        <f>IF(IFERROR(TRIM(INDEX($A31:$AL31,MATCH(Lists!$F$2,$A$1:$AL$1,0))&amp;""),"")="",0,N(IFERROR(IF(TRIM(INDEX($A31:$AL31,MATCH(Lists!$F$5,$A$1:$AL$1,0))&amp;"")="","",IF(ISNUMBER(INDEX($A31:$AL31,MATCH(Lists!$F$5,$A$1:$AL$1,0))),INT(INDEX($A31:$AL31,MATCH(Lists!$F$5,$A$1:$AL$1,0))),DATE(VALUE(LEFT(INDEX($A31:$AL31,MATCH(Lists!$F$5,$A$1:$AL$1,0)),4)),VALUE(MID(INDEX($A31:$AL31,MATCH(Lists!$F$5,$A$1:$AL$1,0)),6,2)),VALUE(MID(INDEX($A31:$AL31,MATCH(Lists!$F$5,$A$1:$AL$1,0)),9,2))))),"")))</f>
        <v/>
      </c>
      <c r="AU31" s="21">
        <f>IF(IFERROR(TRIM(INDEX($A31:$AL31,MATCH(Lists!$F$2,$A$1:$AL$1,0))&amp;""),"")="",-1,IF(ISNUMBER(IFERROR(IF(TRIM(INDEX($A31:$AL31,MATCH(Lists!$F$6,$A$1:$AL$1,0))&amp;"")="","",IF(ISNUMBER(INDEX($A31:$AL31,MATCH(Lists!$F$6,$A$1:$AL$1,0))),ROUND(MOD(INDEX($A31:$AL31,MATCH(Lists!$F$6,$A$1:$AL$1,0)),1)*1440,0),VALUE(LEFT(INDEX($A31:$AL31,MATCH(Lists!$F$6,$A$1:$AL$1,0)),2))*60+VALUE(MID(INDEX($A31:$AL31,MATCH(Lists!$F$6,$A$1:$AL$1,0)),4,2)))),"")),IFERROR(IF(TRIM(INDEX($A31:$AL31,MATCH(Lists!$F$6,$A$1:$AL$1,0))&amp;"")="","",IF(ISNUMBER(INDEX($A31:$AL31,MATCH(Lists!$F$6,$A$1:$AL$1,0))),ROUND(MOD(INDEX($A31:$AL31,MATCH(Lists!$F$6,$A$1:$AL$1,0)),1)*1440,0),VALUE(LEFT(INDEX($A31:$AL31,MATCH(Lists!$F$6,$A$1:$AL$1,0)),2))*60+VALUE(MID(INDEX($A31:$AL31,MATCH(Lists!$F$6,$A$1:$AL$1,0)),4,2)))),""),-1))</f>
        <v/>
      </c>
      <c r="AV31" s="21">
        <f>IF(IFERROR(TRIM(INDEX($A31:$AL31,MATCH(Lists!$F$2,$A$1:$AL$1,0))&amp;""),"")="",-1,IF(ISNUMBER(IFERROR(IF(TRIM(INDEX($A31:$AL31,MATCH(Lists!$F$7,$A$1:$AL$1,0))&amp;"")="","",IF(ISNUMBER(INDEX($A31:$AL31,MATCH(Lists!$F$7,$A$1:$AL$1,0))),ROUND(MOD(INDEX($A31:$AL31,MATCH(Lists!$F$7,$A$1:$AL$1,0)),1)*1440,0),VALUE(LEFT(INDEX($A31:$AL31,MATCH(Lists!$F$7,$A$1:$AL$1,0)),2))*60+VALUE(MID(INDEX($A31:$AL31,MATCH(Lists!$F$7,$A$1:$AL$1,0)),4,2)))),"")),IFERROR(IF(TRIM(INDEX($A31:$AL31,MATCH(Lists!$F$7,$A$1:$AL$1,0))&amp;"")="","",IF(ISNUMBER(INDEX($A31:$AL31,MATCH(Lists!$F$7,$A$1:$AL$1,0))),ROUND(MOD(INDEX($A31:$AL31,MATCH(Lists!$F$7,$A$1:$AL$1,0)),1)*1440,0),VALUE(LEFT(INDEX($A31:$AL31,MATCH(Lists!$F$7,$A$1:$AL$1,0)),2))*60+VALUE(MID(INDEX($A31:$AL31,MATCH(Lists!$F$7,$A$1:$AL$1,0)),4,2)))),""),-1))</f>
        <v/>
      </c>
      <c r="AW31" s="21">
        <f>IF(IFERROR(TRIM(INDEX($A31:$AL31,MATCH(Lists!$F$2,$A$1:$AL$1,0))&amp;""),"")="","",IF(IFERROR(TRIM(INDEX($A31:$AL31,MATCH(Lists!$F$8,$A$1:$AL$1,0))&amp;""),"")&lt;&gt;"",IFERROR(TRIM(INDEX($A31:$AL31,MATCH(Lists!$F$8,$A$1:$AL$1,0))&amp;""),""),IFERROR(TRIM(INDEX($A31:$AL31,MATCH(Lists!$F$9,$A$1:$AL$1,0))&amp;""),"")))</f>
        <v/>
      </c>
      <c r="AX31" s="21">
        <f>IFERROR(IF(TRIM(INDEX($A31:$AL31,MATCH(Lists!$F$10,$A$1:$AL$1,0))&amp;"")="","",VALUE(TRIM(INDEX($A31:$AL31,MATCH(Lists!$F$10,$A$1:$AL$1,0))&amp;""))),"")</f>
        <v/>
      </c>
      <c r="AY31" s="21">
        <f>IF(IFERROR(TRIM(INDEX($A31:$AL31,MATCH(Lists!$F$2,$A$1:$AL$1,0))&amp;""),"")="","",IF(AN31="","New",AN31))</f>
        <v/>
      </c>
      <c r="AZ31" s="21">
        <f>IF(IFERROR(TRIM(INDEX($A31:$AL31,MATCH(Lists!$F$2,$A$1:$AL$1,0))&amp;""),"")="","",IF(OR(IFERROR(TRIM(INDEX($A31:$AL31,MATCH(Lists!$F$13,$A$1:$AL$1,0))&amp;""),"")="Paid",IFERROR(TRIM(INDEX($A31:$AL31,MATCH(Lists!$F$13,$A$1:$AL$1,0))&amp;""),"")="Partially refunded"),"Paid",IF(AP31="Yes","Paid (by hand)",IFERROR(TRIM(INDEX($A31:$AL31,MATCH(Lists!$F$13,$A$1:$AL$1,0))&amp;""),""))))</f>
        <v/>
      </c>
      <c r="BA31" s="21">
        <f>IF(AND(IFERROR(TRIM(INDEX($A31:$AL31,MATCH(Lists!$F$2,$A$1:$AL$1,0))&amp;""),"")&lt;&gt;"",AT31&gt;0,AU31&gt;=0,AV31&gt;AU31,AY31&lt;&gt;"Declined"),1,0)</f>
        <v/>
      </c>
      <c r="BB31" s="21">
        <f>IF(BA31=1,COUNTIFS($AS$2:$AS$501,AS31,$AT$2:$AT$501,AT31,$AU$2:$AU$501,"&lt;"&amp;AV31,$AV$2:$AV$501,"&gt;"&amp;AU31,$BA$2:$BA$501,1)-1,"")</f>
        <v/>
      </c>
      <c r="BC31" s="21">
        <f>IF(N(BB31)&gt;0,"Clashes with "&amp;INDEX($AW$2:$AW$501,SUMPRODUCT(MAX(($AS$2:$AS$501=AS31)*($AT$2:$AT$501=AT31)*($AU$2:$AU$501&lt;AV31)*($AV$2:$AV$501&gt;AU31)*($BA$2:$BA$501=1)*(ROW($AS$2:$AS$501)&lt;&gt;ROW())*ROW($AS$2:$AS$501)))-1)&amp;" ("&amp;INDEX($AY$2:$AY$501,SUMPRODUCT(MAX(($AS$2:$AS$501=AS31)*($AT$2:$AT$501=AT31)*($AU$2:$AU$501&lt;AV31)*($AV$2:$AV$501&gt;AU31)*($BA$2:$BA$501=1)*(ROW($AS$2:$AS$501)&lt;&gt;ROW())*ROW($AS$2:$AS$501)))-1)&amp;")"&amp;IF(BB31&gt;1," and "&amp;(BB31-1)&amp;" more",""),"")</f>
        <v/>
      </c>
      <c r="BD31" s="21">
        <f>IF(AND(BA31=1,AY31="Confirmed"),AT31*10000000+AU31*1000+ROW(),"")</f>
        <v/>
      </c>
      <c r="BE31" s="21">
        <f>IF(IFERROR(TRIM(INDEX($A31:$AL31,MATCH(Lists!$F$2,$A$1:$AL$1,0))&amp;""),"")="","",IFERROR(TRIM(INDEX($A31:$AL31,MATCH(Lists!$F$11,$A$1:$AL$1,0))&amp;""),""))</f>
        <v/>
      </c>
      <c r="BF31" s="21">
        <f>IF(IFERROR(TRIM(INDEX($A31:$AL31,MATCH(Lists!$F$2,$A$1:$AL$1,0))&amp;""),"")="","",IFERROR(TRIM(INDEX($A31:$AL31,MATCH(Lists!$F$12,$A$1:$AL$1,0))&amp;""),""))</f>
        <v/>
      </c>
    </row>
    <row r="32">
      <c r="AM32" s="19" t="n"/>
      <c r="AN32" s="23" t="n"/>
      <c r="AO32" s="23" t="n"/>
      <c r="AP32" s="23" t="n"/>
      <c r="AQ32" s="23" t="n"/>
      <c r="AR32" s="19" t="n"/>
      <c r="AS32" s="21">
        <f>IF(IFERROR(TRIM(INDEX($A32:$AL32,MATCH(Lists!$F$2,$A$1:$AL$1,0))&amp;""),"")="","",IF(AND(IFERROR(TRIM(INDEX($A32:$AL32,MATCH(Lists!$F$3,$A$1:$AL$1,0))&amp;""),"")="Other",IFERROR(TRIM(INDEX($A32:$AL32,MATCH(Lists!$F$4,$A$1:$AL$1,0))&amp;""),"")&lt;&gt;""),IFERROR(TRIM(INDEX($A32:$AL32,MATCH(Lists!$F$4,$A$1:$AL$1,0))&amp;""),""),IF(IFERROR(TRIM(INDEX($A32:$AL32,MATCH(Lists!$F$3,$A$1:$AL$1,0))&amp;""),"")="","(no space)",IFERROR(TRIM(INDEX($A32:$AL32,MATCH(Lists!$F$3,$A$1:$AL$1,0))&amp;""),""))))</f>
        <v/>
      </c>
      <c r="AT32" s="22">
        <f>IF(IFERROR(TRIM(INDEX($A32:$AL32,MATCH(Lists!$F$2,$A$1:$AL$1,0))&amp;""),"")="",0,N(IFERROR(IF(TRIM(INDEX($A32:$AL32,MATCH(Lists!$F$5,$A$1:$AL$1,0))&amp;"")="","",IF(ISNUMBER(INDEX($A32:$AL32,MATCH(Lists!$F$5,$A$1:$AL$1,0))),INT(INDEX($A32:$AL32,MATCH(Lists!$F$5,$A$1:$AL$1,0))),DATE(VALUE(LEFT(INDEX($A32:$AL32,MATCH(Lists!$F$5,$A$1:$AL$1,0)),4)),VALUE(MID(INDEX($A32:$AL32,MATCH(Lists!$F$5,$A$1:$AL$1,0)),6,2)),VALUE(MID(INDEX($A32:$AL32,MATCH(Lists!$F$5,$A$1:$AL$1,0)),9,2))))),"")))</f>
        <v/>
      </c>
      <c r="AU32" s="21">
        <f>IF(IFERROR(TRIM(INDEX($A32:$AL32,MATCH(Lists!$F$2,$A$1:$AL$1,0))&amp;""),"")="",-1,IF(ISNUMBER(IFERROR(IF(TRIM(INDEX($A32:$AL32,MATCH(Lists!$F$6,$A$1:$AL$1,0))&amp;"")="","",IF(ISNUMBER(INDEX($A32:$AL32,MATCH(Lists!$F$6,$A$1:$AL$1,0))),ROUND(MOD(INDEX($A32:$AL32,MATCH(Lists!$F$6,$A$1:$AL$1,0)),1)*1440,0),VALUE(LEFT(INDEX($A32:$AL32,MATCH(Lists!$F$6,$A$1:$AL$1,0)),2))*60+VALUE(MID(INDEX($A32:$AL32,MATCH(Lists!$F$6,$A$1:$AL$1,0)),4,2)))),"")),IFERROR(IF(TRIM(INDEX($A32:$AL32,MATCH(Lists!$F$6,$A$1:$AL$1,0))&amp;"")="","",IF(ISNUMBER(INDEX($A32:$AL32,MATCH(Lists!$F$6,$A$1:$AL$1,0))),ROUND(MOD(INDEX($A32:$AL32,MATCH(Lists!$F$6,$A$1:$AL$1,0)),1)*1440,0),VALUE(LEFT(INDEX($A32:$AL32,MATCH(Lists!$F$6,$A$1:$AL$1,0)),2))*60+VALUE(MID(INDEX($A32:$AL32,MATCH(Lists!$F$6,$A$1:$AL$1,0)),4,2)))),""),-1))</f>
        <v/>
      </c>
      <c r="AV32" s="21">
        <f>IF(IFERROR(TRIM(INDEX($A32:$AL32,MATCH(Lists!$F$2,$A$1:$AL$1,0))&amp;""),"")="",-1,IF(ISNUMBER(IFERROR(IF(TRIM(INDEX($A32:$AL32,MATCH(Lists!$F$7,$A$1:$AL$1,0))&amp;"")="","",IF(ISNUMBER(INDEX($A32:$AL32,MATCH(Lists!$F$7,$A$1:$AL$1,0))),ROUND(MOD(INDEX($A32:$AL32,MATCH(Lists!$F$7,$A$1:$AL$1,0)),1)*1440,0),VALUE(LEFT(INDEX($A32:$AL32,MATCH(Lists!$F$7,$A$1:$AL$1,0)),2))*60+VALUE(MID(INDEX($A32:$AL32,MATCH(Lists!$F$7,$A$1:$AL$1,0)),4,2)))),"")),IFERROR(IF(TRIM(INDEX($A32:$AL32,MATCH(Lists!$F$7,$A$1:$AL$1,0))&amp;"")="","",IF(ISNUMBER(INDEX($A32:$AL32,MATCH(Lists!$F$7,$A$1:$AL$1,0))),ROUND(MOD(INDEX($A32:$AL32,MATCH(Lists!$F$7,$A$1:$AL$1,0)),1)*1440,0),VALUE(LEFT(INDEX($A32:$AL32,MATCH(Lists!$F$7,$A$1:$AL$1,0)),2))*60+VALUE(MID(INDEX($A32:$AL32,MATCH(Lists!$F$7,$A$1:$AL$1,0)),4,2)))),""),-1))</f>
        <v/>
      </c>
      <c r="AW32" s="21">
        <f>IF(IFERROR(TRIM(INDEX($A32:$AL32,MATCH(Lists!$F$2,$A$1:$AL$1,0))&amp;""),"")="","",IF(IFERROR(TRIM(INDEX($A32:$AL32,MATCH(Lists!$F$8,$A$1:$AL$1,0))&amp;""),"")&lt;&gt;"",IFERROR(TRIM(INDEX($A32:$AL32,MATCH(Lists!$F$8,$A$1:$AL$1,0))&amp;""),""),IFERROR(TRIM(INDEX($A32:$AL32,MATCH(Lists!$F$9,$A$1:$AL$1,0))&amp;""),"")))</f>
        <v/>
      </c>
      <c r="AX32" s="21">
        <f>IFERROR(IF(TRIM(INDEX($A32:$AL32,MATCH(Lists!$F$10,$A$1:$AL$1,0))&amp;"")="","",VALUE(TRIM(INDEX($A32:$AL32,MATCH(Lists!$F$10,$A$1:$AL$1,0))&amp;""))),"")</f>
        <v/>
      </c>
      <c r="AY32" s="21">
        <f>IF(IFERROR(TRIM(INDEX($A32:$AL32,MATCH(Lists!$F$2,$A$1:$AL$1,0))&amp;""),"")="","",IF(AN32="","New",AN32))</f>
        <v/>
      </c>
      <c r="AZ32" s="21">
        <f>IF(IFERROR(TRIM(INDEX($A32:$AL32,MATCH(Lists!$F$2,$A$1:$AL$1,0))&amp;""),"")="","",IF(OR(IFERROR(TRIM(INDEX($A32:$AL32,MATCH(Lists!$F$13,$A$1:$AL$1,0))&amp;""),"")="Paid",IFERROR(TRIM(INDEX($A32:$AL32,MATCH(Lists!$F$13,$A$1:$AL$1,0))&amp;""),"")="Partially refunded"),"Paid",IF(AP32="Yes","Paid (by hand)",IFERROR(TRIM(INDEX($A32:$AL32,MATCH(Lists!$F$13,$A$1:$AL$1,0))&amp;""),""))))</f>
        <v/>
      </c>
      <c r="BA32" s="21">
        <f>IF(AND(IFERROR(TRIM(INDEX($A32:$AL32,MATCH(Lists!$F$2,$A$1:$AL$1,0))&amp;""),"")&lt;&gt;"",AT32&gt;0,AU32&gt;=0,AV32&gt;AU32,AY32&lt;&gt;"Declined"),1,0)</f>
        <v/>
      </c>
      <c r="BB32" s="21">
        <f>IF(BA32=1,COUNTIFS($AS$2:$AS$501,AS32,$AT$2:$AT$501,AT32,$AU$2:$AU$501,"&lt;"&amp;AV32,$AV$2:$AV$501,"&gt;"&amp;AU32,$BA$2:$BA$501,1)-1,"")</f>
        <v/>
      </c>
      <c r="BC32" s="21">
        <f>IF(N(BB32)&gt;0,"Clashes with "&amp;INDEX($AW$2:$AW$501,SUMPRODUCT(MAX(($AS$2:$AS$501=AS32)*($AT$2:$AT$501=AT32)*($AU$2:$AU$501&lt;AV32)*($AV$2:$AV$501&gt;AU32)*($BA$2:$BA$501=1)*(ROW($AS$2:$AS$501)&lt;&gt;ROW())*ROW($AS$2:$AS$501)))-1)&amp;" ("&amp;INDEX($AY$2:$AY$501,SUMPRODUCT(MAX(($AS$2:$AS$501=AS32)*($AT$2:$AT$501=AT32)*($AU$2:$AU$501&lt;AV32)*($AV$2:$AV$501&gt;AU32)*($BA$2:$BA$501=1)*(ROW($AS$2:$AS$501)&lt;&gt;ROW())*ROW($AS$2:$AS$501)))-1)&amp;")"&amp;IF(BB32&gt;1," and "&amp;(BB32-1)&amp;" more",""),"")</f>
        <v/>
      </c>
      <c r="BD32" s="21">
        <f>IF(AND(BA32=1,AY32="Confirmed"),AT32*10000000+AU32*1000+ROW(),"")</f>
        <v/>
      </c>
      <c r="BE32" s="21">
        <f>IF(IFERROR(TRIM(INDEX($A32:$AL32,MATCH(Lists!$F$2,$A$1:$AL$1,0))&amp;""),"")="","",IFERROR(TRIM(INDEX($A32:$AL32,MATCH(Lists!$F$11,$A$1:$AL$1,0))&amp;""),""))</f>
        <v/>
      </c>
      <c r="BF32" s="21">
        <f>IF(IFERROR(TRIM(INDEX($A32:$AL32,MATCH(Lists!$F$2,$A$1:$AL$1,0))&amp;""),"")="","",IFERROR(TRIM(INDEX($A32:$AL32,MATCH(Lists!$F$12,$A$1:$AL$1,0))&amp;""),""))</f>
        <v/>
      </c>
    </row>
    <row r="33">
      <c r="AM33" s="19" t="n"/>
      <c r="AN33" s="23" t="n"/>
      <c r="AO33" s="23" t="n"/>
      <c r="AP33" s="23" t="n"/>
      <c r="AQ33" s="23" t="n"/>
      <c r="AR33" s="19" t="n"/>
      <c r="AS33" s="21">
        <f>IF(IFERROR(TRIM(INDEX($A33:$AL33,MATCH(Lists!$F$2,$A$1:$AL$1,0))&amp;""),"")="","",IF(AND(IFERROR(TRIM(INDEX($A33:$AL33,MATCH(Lists!$F$3,$A$1:$AL$1,0))&amp;""),"")="Other",IFERROR(TRIM(INDEX($A33:$AL33,MATCH(Lists!$F$4,$A$1:$AL$1,0))&amp;""),"")&lt;&gt;""),IFERROR(TRIM(INDEX($A33:$AL33,MATCH(Lists!$F$4,$A$1:$AL$1,0))&amp;""),""),IF(IFERROR(TRIM(INDEX($A33:$AL33,MATCH(Lists!$F$3,$A$1:$AL$1,0))&amp;""),"")="","(no space)",IFERROR(TRIM(INDEX($A33:$AL33,MATCH(Lists!$F$3,$A$1:$AL$1,0))&amp;""),""))))</f>
        <v/>
      </c>
      <c r="AT33" s="22">
        <f>IF(IFERROR(TRIM(INDEX($A33:$AL33,MATCH(Lists!$F$2,$A$1:$AL$1,0))&amp;""),"")="",0,N(IFERROR(IF(TRIM(INDEX($A33:$AL33,MATCH(Lists!$F$5,$A$1:$AL$1,0))&amp;"")="","",IF(ISNUMBER(INDEX($A33:$AL33,MATCH(Lists!$F$5,$A$1:$AL$1,0))),INT(INDEX($A33:$AL33,MATCH(Lists!$F$5,$A$1:$AL$1,0))),DATE(VALUE(LEFT(INDEX($A33:$AL33,MATCH(Lists!$F$5,$A$1:$AL$1,0)),4)),VALUE(MID(INDEX($A33:$AL33,MATCH(Lists!$F$5,$A$1:$AL$1,0)),6,2)),VALUE(MID(INDEX($A33:$AL33,MATCH(Lists!$F$5,$A$1:$AL$1,0)),9,2))))),"")))</f>
        <v/>
      </c>
      <c r="AU33" s="21">
        <f>IF(IFERROR(TRIM(INDEX($A33:$AL33,MATCH(Lists!$F$2,$A$1:$AL$1,0))&amp;""),"")="",-1,IF(ISNUMBER(IFERROR(IF(TRIM(INDEX($A33:$AL33,MATCH(Lists!$F$6,$A$1:$AL$1,0))&amp;"")="","",IF(ISNUMBER(INDEX($A33:$AL33,MATCH(Lists!$F$6,$A$1:$AL$1,0))),ROUND(MOD(INDEX($A33:$AL33,MATCH(Lists!$F$6,$A$1:$AL$1,0)),1)*1440,0),VALUE(LEFT(INDEX($A33:$AL33,MATCH(Lists!$F$6,$A$1:$AL$1,0)),2))*60+VALUE(MID(INDEX($A33:$AL33,MATCH(Lists!$F$6,$A$1:$AL$1,0)),4,2)))),"")),IFERROR(IF(TRIM(INDEX($A33:$AL33,MATCH(Lists!$F$6,$A$1:$AL$1,0))&amp;"")="","",IF(ISNUMBER(INDEX($A33:$AL33,MATCH(Lists!$F$6,$A$1:$AL$1,0))),ROUND(MOD(INDEX($A33:$AL33,MATCH(Lists!$F$6,$A$1:$AL$1,0)),1)*1440,0),VALUE(LEFT(INDEX($A33:$AL33,MATCH(Lists!$F$6,$A$1:$AL$1,0)),2))*60+VALUE(MID(INDEX($A33:$AL33,MATCH(Lists!$F$6,$A$1:$AL$1,0)),4,2)))),""),-1))</f>
        <v/>
      </c>
      <c r="AV33" s="21">
        <f>IF(IFERROR(TRIM(INDEX($A33:$AL33,MATCH(Lists!$F$2,$A$1:$AL$1,0))&amp;""),"")="",-1,IF(ISNUMBER(IFERROR(IF(TRIM(INDEX($A33:$AL33,MATCH(Lists!$F$7,$A$1:$AL$1,0))&amp;"")="","",IF(ISNUMBER(INDEX($A33:$AL33,MATCH(Lists!$F$7,$A$1:$AL$1,0))),ROUND(MOD(INDEX($A33:$AL33,MATCH(Lists!$F$7,$A$1:$AL$1,0)),1)*1440,0),VALUE(LEFT(INDEX($A33:$AL33,MATCH(Lists!$F$7,$A$1:$AL$1,0)),2))*60+VALUE(MID(INDEX($A33:$AL33,MATCH(Lists!$F$7,$A$1:$AL$1,0)),4,2)))),"")),IFERROR(IF(TRIM(INDEX($A33:$AL33,MATCH(Lists!$F$7,$A$1:$AL$1,0))&amp;"")="","",IF(ISNUMBER(INDEX($A33:$AL33,MATCH(Lists!$F$7,$A$1:$AL$1,0))),ROUND(MOD(INDEX($A33:$AL33,MATCH(Lists!$F$7,$A$1:$AL$1,0)),1)*1440,0),VALUE(LEFT(INDEX($A33:$AL33,MATCH(Lists!$F$7,$A$1:$AL$1,0)),2))*60+VALUE(MID(INDEX($A33:$AL33,MATCH(Lists!$F$7,$A$1:$AL$1,0)),4,2)))),""),-1))</f>
        <v/>
      </c>
      <c r="AW33" s="21">
        <f>IF(IFERROR(TRIM(INDEX($A33:$AL33,MATCH(Lists!$F$2,$A$1:$AL$1,0))&amp;""),"")="","",IF(IFERROR(TRIM(INDEX($A33:$AL33,MATCH(Lists!$F$8,$A$1:$AL$1,0))&amp;""),"")&lt;&gt;"",IFERROR(TRIM(INDEX($A33:$AL33,MATCH(Lists!$F$8,$A$1:$AL$1,0))&amp;""),""),IFERROR(TRIM(INDEX($A33:$AL33,MATCH(Lists!$F$9,$A$1:$AL$1,0))&amp;""),"")))</f>
        <v/>
      </c>
      <c r="AX33" s="21">
        <f>IFERROR(IF(TRIM(INDEX($A33:$AL33,MATCH(Lists!$F$10,$A$1:$AL$1,0))&amp;"")="","",VALUE(TRIM(INDEX($A33:$AL33,MATCH(Lists!$F$10,$A$1:$AL$1,0))&amp;""))),"")</f>
        <v/>
      </c>
      <c r="AY33" s="21">
        <f>IF(IFERROR(TRIM(INDEX($A33:$AL33,MATCH(Lists!$F$2,$A$1:$AL$1,0))&amp;""),"")="","",IF(AN33="","New",AN33))</f>
        <v/>
      </c>
      <c r="AZ33" s="21">
        <f>IF(IFERROR(TRIM(INDEX($A33:$AL33,MATCH(Lists!$F$2,$A$1:$AL$1,0))&amp;""),"")="","",IF(OR(IFERROR(TRIM(INDEX($A33:$AL33,MATCH(Lists!$F$13,$A$1:$AL$1,0))&amp;""),"")="Paid",IFERROR(TRIM(INDEX($A33:$AL33,MATCH(Lists!$F$13,$A$1:$AL$1,0))&amp;""),"")="Partially refunded"),"Paid",IF(AP33="Yes","Paid (by hand)",IFERROR(TRIM(INDEX($A33:$AL33,MATCH(Lists!$F$13,$A$1:$AL$1,0))&amp;""),""))))</f>
        <v/>
      </c>
      <c r="BA33" s="21">
        <f>IF(AND(IFERROR(TRIM(INDEX($A33:$AL33,MATCH(Lists!$F$2,$A$1:$AL$1,0))&amp;""),"")&lt;&gt;"",AT33&gt;0,AU33&gt;=0,AV33&gt;AU33,AY33&lt;&gt;"Declined"),1,0)</f>
        <v/>
      </c>
      <c r="BB33" s="21">
        <f>IF(BA33=1,COUNTIFS($AS$2:$AS$501,AS33,$AT$2:$AT$501,AT33,$AU$2:$AU$501,"&lt;"&amp;AV33,$AV$2:$AV$501,"&gt;"&amp;AU33,$BA$2:$BA$501,1)-1,"")</f>
        <v/>
      </c>
      <c r="BC33" s="21">
        <f>IF(N(BB33)&gt;0,"Clashes with "&amp;INDEX($AW$2:$AW$501,SUMPRODUCT(MAX(($AS$2:$AS$501=AS33)*($AT$2:$AT$501=AT33)*($AU$2:$AU$501&lt;AV33)*($AV$2:$AV$501&gt;AU33)*($BA$2:$BA$501=1)*(ROW($AS$2:$AS$501)&lt;&gt;ROW())*ROW($AS$2:$AS$501)))-1)&amp;" ("&amp;INDEX($AY$2:$AY$501,SUMPRODUCT(MAX(($AS$2:$AS$501=AS33)*($AT$2:$AT$501=AT33)*($AU$2:$AU$501&lt;AV33)*($AV$2:$AV$501&gt;AU33)*($BA$2:$BA$501=1)*(ROW($AS$2:$AS$501)&lt;&gt;ROW())*ROW($AS$2:$AS$501)))-1)&amp;")"&amp;IF(BB33&gt;1," and "&amp;(BB33-1)&amp;" more",""),"")</f>
        <v/>
      </c>
      <c r="BD33" s="21">
        <f>IF(AND(BA33=1,AY33="Confirmed"),AT33*10000000+AU33*1000+ROW(),"")</f>
        <v/>
      </c>
      <c r="BE33" s="21">
        <f>IF(IFERROR(TRIM(INDEX($A33:$AL33,MATCH(Lists!$F$2,$A$1:$AL$1,0))&amp;""),"")="","",IFERROR(TRIM(INDEX($A33:$AL33,MATCH(Lists!$F$11,$A$1:$AL$1,0))&amp;""),""))</f>
        <v/>
      </c>
      <c r="BF33" s="21">
        <f>IF(IFERROR(TRIM(INDEX($A33:$AL33,MATCH(Lists!$F$2,$A$1:$AL$1,0))&amp;""),"")="","",IFERROR(TRIM(INDEX($A33:$AL33,MATCH(Lists!$F$12,$A$1:$AL$1,0))&amp;""),""))</f>
        <v/>
      </c>
    </row>
    <row r="34">
      <c r="AM34" s="19" t="n"/>
      <c r="AN34" s="23" t="n"/>
      <c r="AO34" s="23" t="n"/>
      <c r="AP34" s="23" t="n"/>
      <c r="AQ34" s="23" t="n"/>
      <c r="AR34" s="19" t="n"/>
      <c r="AS34" s="21">
        <f>IF(IFERROR(TRIM(INDEX($A34:$AL34,MATCH(Lists!$F$2,$A$1:$AL$1,0))&amp;""),"")="","",IF(AND(IFERROR(TRIM(INDEX($A34:$AL34,MATCH(Lists!$F$3,$A$1:$AL$1,0))&amp;""),"")="Other",IFERROR(TRIM(INDEX($A34:$AL34,MATCH(Lists!$F$4,$A$1:$AL$1,0))&amp;""),"")&lt;&gt;""),IFERROR(TRIM(INDEX($A34:$AL34,MATCH(Lists!$F$4,$A$1:$AL$1,0))&amp;""),""),IF(IFERROR(TRIM(INDEX($A34:$AL34,MATCH(Lists!$F$3,$A$1:$AL$1,0))&amp;""),"")="","(no space)",IFERROR(TRIM(INDEX($A34:$AL34,MATCH(Lists!$F$3,$A$1:$AL$1,0))&amp;""),""))))</f>
        <v/>
      </c>
      <c r="AT34" s="22">
        <f>IF(IFERROR(TRIM(INDEX($A34:$AL34,MATCH(Lists!$F$2,$A$1:$AL$1,0))&amp;""),"")="",0,N(IFERROR(IF(TRIM(INDEX($A34:$AL34,MATCH(Lists!$F$5,$A$1:$AL$1,0))&amp;"")="","",IF(ISNUMBER(INDEX($A34:$AL34,MATCH(Lists!$F$5,$A$1:$AL$1,0))),INT(INDEX($A34:$AL34,MATCH(Lists!$F$5,$A$1:$AL$1,0))),DATE(VALUE(LEFT(INDEX($A34:$AL34,MATCH(Lists!$F$5,$A$1:$AL$1,0)),4)),VALUE(MID(INDEX($A34:$AL34,MATCH(Lists!$F$5,$A$1:$AL$1,0)),6,2)),VALUE(MID(INDEX($A34:$AL34,MATCH(Lists!$F$5,$A$1:$AL$1,0)),9,2))))),"")))</f>
        <v/>
      </c>
      <c r="AU34" s="21">
        <f>IF(IFERROR(TRIM(INDEX($A34:$AL34,MATCH(Lists!$F$2,$A$1:$AL$1,0))&amp;""),"")="",-1,IF(ISNUMBER(IFERROR(IF(TRIM(INDEX($A34:$AL34,MATCH(Lists!$F$6,$A$1:$AL$1,0))&amp;"")="","",IF(ISNUMBER(INDEX($A34:$AL34,MATCH(Lists!$F$6,$A$1:$AL$1,0))),ROUND(MOD(INDEX($A34:$AL34,MATCH(Lists!$F$6,$A$1:$AL$1,0)),1)*1440,0),VALUE(LEFT(INDEX($A34:$AL34,MATCH(Lists!$F$6,$A$1:$AL$1,0)),2))*60+VALUE(MID(INDEX($A34:$AL34,MATCH(Lists!$F$6,$A$1:$AL$1,0)),4,2)))),"")),IFERROR(IF(TRIM(INDEX($A34:$AL34,MATCH(Lists!$F$6,$A$1:$AL$1,0))&amp;"")="","",IF(ISNUMBER(INDEX($A34:$AL34,MATCH(Lists!$F$6,$A$1:$AL$1,0))),ROUND(MOD(INDEX($A34:$AL34,MATCH(Lists!$F$6,$A$1:$AL$1,0)),1)*1440,0),VALUE(LEFT(INDEX($A34:$AL34,MATCH(Lists!$F$6,$A$1:$AL$1,0)),2))*60+VALUE(MID(INDEX($A34:$AL34,MATCH(Lists!$F$6,$A$1:$AL$1,0)),4,2)))),""),-1))</f>
        <v/>
      </c>
      <c r="AV34" s="21">
        <f>IF(IFERROR(TRIM(INDEX($A34:$AL34,MATCH(Lists!$F$2,$A$1:$AL$1,0))&amp;""),"")="",-1,IF(ISNUMBER(IFERROR(IF(TRIM(INDEX($A34:$AL34,MATCH(Lists!$F$7,$A$1:$AL$1,0))&amp;"")="","",IF(ISNUMBER(INDEX($A34:$AL34,MATCH(Lists!$F$7,$A$1:$AL$1,0))),ROUND(MOD(INDEX($A34:$AL34,MATCH(Lists!$F$7,$A$1:$AL$1,0)),1)*1440,0),VALUE(LEFT(INDEX($A34:$AL34,MATCH(Lists!$F$7,$A$1:$AL$1,0)),2))*60+VALUE(MID(INDEX($A34:$AL34,MATCH(Lists!$F$7,$A$1:$AL$1,0)),4,2)))),"")),IFERROR(IF(TRIM(INDEX($A34:$AL34,MATCH(Lists!$F$7,$A$1:$AL$1,0))&amp;"")="","",IF(ISNUMBER(INDEX($A34:$AL34,MATCH(Lists!$F$7,$A$1:$AL$1,0))),ROUND(MOD(INDEX($A34:$AL34,MATCH(Lists!$F$7,$A$1:$AL$1,0)),1)*1440,0),VALUE(LEFT(INDEX($A34:$AL34,MATCH(Lists!$F$7,$A$1:$AL$1,0)),2))*60+VALUE(MID(INDEX($A34:$AL34,MATCH(Lists!$F$7,$A$1:$AL$1,0)),4,2)))),""),-1))</f>
        <v/>
      </c>
      <c r="AW34" s="21">
        <f>IF(IFERROR(TRIM(INDEX($A34:$AL34,MATCH(Lists!$F$2,$A$1:$AL$1,0))&amp;""),"")="","",IF(IFERROR(TRIM(INDEX($A34:$AL34,MATCH(Lists!$F$8,$A$1:$AL$1,0))&amp;""),"")&lt;&gt;"",IFERROR(TRIM(INDEX($A34:$AL34,MATCH(Lists!$F$8,$A$1:$AL$1,0))&amp;""),""),IFERROR(TRIM(INDEX($A34:$AL34,MATCH(Lists!$F$9,$A$1:$AL$1,0))&amp;""),"")))</f>
        <v/>
      </c>
      <c r="AX34" s="21">
        <f>IFERROR(IF(TRIM(INDEX($A34:$AL34,MATCH(Lists!$F$10,$A$1:$AL$1,0))&amp;"")="","",VALUE(TRIM(INDEX($A34:$AL34,MATCH(Lists!$F$10,$A$1:$AL$1,0))&amp;""))),"")</f>
        <v/>
      </c>
      <c r="AY34" s="21">
        <f>IF(IFERROR(TRIM(INDEX($A34:$AL34,MATCH(Lists!$F$2,$A$1:$AL$1,0))&amp;""),"")="","",IF(AN34="","New",AN34))</f>
        <v/>
      </c>
      <c r="AZ34" s="21">
        <f>IF(IFERROR(TRIM(INDEX($A34:$AL34,MATCH(Lists!$F$2,$A$1:$AL$1,0))&amp;""),"")="","",IF(OR(IFERROR(TRIM(INDEX($A34:$AL34,MATCH(Lists!$F$13,$A$1:$AL$1,0))&amp;""),"")="Paid",IFERROR(TRIM(INDEX($A34:$AL34,MATCH(Lists!$F$13,$A$1:$AL$1,0))&amp;""),"")="Partially refunded"),"Paid",IF(AP34="Yes","Paid (by hand)",IFERROR(TRIM(INDEX($A34:$AL34,MATCH(Lists!$F$13,$A$1:$AL$1,0))&amp;""),""))))</f>
        <v/>
      </c>
      <c r="BA34" s="21">
        <f>IF(AND(IFERROR(TRIM(INDEX($A34:$AL34,MATCH(Lists!$F$2,$A$1:$AL$1,0))&amp;""),"")&lt;&gt;"",AT34&gt;0,AU34&gt;=0,AV34&gt;AU34,AY34&lt;&gt;"Declined"),1,0)</f>
        <v/>
      </c>
      <c r="BB34" s="21">
        <f>IF(BA34=1,COUNTIFS($AS$2:$AS$501,AS34,$AT$2:$AT$501,AT34,$AU$2:$AU$501,"&lt;"&amp;AV34,$AV$2:$AV$501,"&gt;"&amp;AU34,$BA$2:$BA$501,1)-1,"")</f>
        <v/>
      </c>
      <c r="BC34" s="21">
        <f>IF(N(BB34)&gt;0,"Clashes with "&amp;INDEX($AW$2:$AW$501,SUMPRODUCT(MAX(($AS$2:$AS$501=AS34)*($AT$2:$AT$501=AT34)*($AU$2:$AU$501&lt;AV34)*($AV$2:$AV$501&gt;AU34)*($BA$2:$BA$501=1)*(ROW($AS$2:$AS$501)&lt;&gt;ROW())*ROW($AS$2:$AS$501)))-1)&amp;" ("&amp;INDEX($AY$2:$AY$501,SUMPRODUCT(MAX(($AS$2:$AS$501=AS34)*($AT$2:$AT$501=AT34)*($AU$2:$AU$501&lt;AV34)*($AV$2:$AV$501&gt;AU34)*($BA$2:$BA$501=1)*(ROW($AS$2:$AS$501)&lt;&gt;ROW())*ROW($AS$2:$AS$501)))-1)&amp;")"&amp;IF(BB34&gt;1," and "&amp;(BB34-1)&amp;" more",""),"")</f>
        <v/>
      </c>
      <c r="BD34" s="21">
        <f>IF(AND(BA34=1,AY34="Confirmed"),AT34*10000000+AU34*1000+ROW(),"")</f>
        <v/>
      </c>
      <c r="BE34" s="21">
        <f>IF(IFERROR(TRIM(INDEX($A34:$AL34,MATCH(Lists!$F$2,$A$1:$AL$1,0))&amp;""),"")="","",IFERROR(TRIM(INDEX($A34:$AL34,MATCH(Lists!$F$11,$A$1:$AL$1,0))&amp;""),""))</f>
        <v/>
      </c>
      <c r="BF34" s="21">
        <f>IF(IFERROR(TRIM(INDEX($A34:$AL34,MATCH(Lists!$F$2,$A$1:$AL$1,0))&amp;""),"")="","",IFERROR(TRIM(INDEX($A34:$AL34,MATCH(Lists!$F$12,$A$1:$AL$1,0))&amp;""),""))</f>
        <v/>
      </c>
    </row>
    <row r="35">
      <c r="AM35" s="19" t="n"/>
      <c r="AN35" s="23" t="n"/>
      <c r="AO35" s="23" t="n"/>
      <c r="AP35" s="23" t="n"/>
      <c r="AQ35" s="23" t="n"/>
      <c r="AR35" s="19" t="n"/>
      <c r="AS35" s="21">
        <f>IF(IFERROR(TRIM(INDEX($A35:$AL35,MATCH(Lists!$F$2,$A$1:$AL$1,0))&amp;""),"")="","",IF(AND(IFERROR(TRIM(INDEX($A35:$AL35,MATCH(Lists!$F$3,$A$1:$AL$1,0))&amp;""),"")="Other",IFERROR(TRIM(INDEX($A35:$AL35,MATCH(Lists!$F$4,$A$1:$AL$1,0))&amp;""),"")&lt;&gt;""),IFERROR(TRIM(INDEX($A35:$AL35,MATCH(Lists!$F$4,$A$1:$AL$1,0))&amp;""),""),IF(IFERROR(TRIM(INDEX($A35:$AL35,MATCH(Lists!$F$3,$A$1:$AL$1,0))&amp;""),"")="","(no space)",IFERROR(TRIM(INDEX($A35:$AL35,MATCH(Lists!$F$3,$A$1:$AL$1,0))&amp;""),""))))</f>
        <v/>
      </c>
      <c r="AT35" s="22">
        <f>IF(IFERROR(TRIM(INDEX($A35:$AL35,MATCH(Lists!$F$2,$A$1:$AL$1,0))&amp;""),"")="",0,N(IFERROR(IF(TRIM(INDEX($A35:$AL35,MATCH(Lists!$F$5,$A$1:$AL$1,0))&amp;"")="","",IF(ISNUMBER(INDEX($A35:$AL35,MATCH(Lists!$F$5,$A$1:$AL$1,0))),INT(INDEX($A35:$AL35,MATCH(Lists!$F$5,$A$1:$AL$1,0))),DATE(VALUE(LEFT(INDEX($A35:$AL35,MATCH(Lists!$F$5,$A$1:$AL$1,0)),4)),VALUE(MID(INDEX($A35:$AL35,MATCH(Lists!$F$5,$A$1:$AL$1,0)),6,2)),VALUE(MID(INDEX($A35:$AL35,MATCH(Lists!$F$5,$A$1:$AL$1,0)),9,2))))),"")))</f>
        <v/>
      </c>
      <c r="AU35" s="21">
        <f>IF(IFERROR(TRIM(INDEX($A35:$AL35,MATCH(Lists!$F$2,$A$1:$AL$1,0))&amp;""),"")="",-1,IF(ISNUMBER(IFERROR(IF(TRIM(INDEX($A35:$AL35,MATCH(Lists!$F$6,$A$1:$AL$1,0))&amp;"")="","",IF(ISNUMBER(INDEX($A35:$AL35,MATCH(Lists!$F$6,$A$1:$AL$1,0))),ROUND(MOD(INDEX($A35:$AL35,MATCH(Lists!$F$6,$A$1:$AL$1,0)),1)*1440,0),VALUE(LEFT(INDEX($A35:$AL35,MATCH(Lists!$F$6,$A$1:$AL$1,0)),2))*60+VALUE(MID(INDEX($A35:$AL35,MATCH(Lists!$F$6,$A$1:$AL$1,0)),4,2)))),"")),IFERROR(IF(TRIM(INDEX($A35:$AL35,MATCH(Lists!$F$6,$A$1:$AL$1,0))&amp;"")="","",IF(ISNUMBER(INDEX($A35:$AL35,MATCH(Lists!$F$6,$A$1:$AL$1,0))),ROUND(MOD(INDEX($A35:$AL35,MATCH(Lists!$F$6,$A$1:$AL$1,0)),1)*1440,0),VALUE(LEFT(INDEX($A35:$AL35,MATCH(Lists!$F$6,$A$1:$AL$1,0)),2))*60+VALUE(MID(INDEX($A35:$AL35,MATCH(Lists!$F$6,$A$1:$AL$1,0)),4,2)))),""),-1))</f>
        <v/>
      </c>
      <c r="AV35" s="21">
        <f>IF(IFERROR(TRIM(INDEX($A35:$AL35,MATCH(Lists!$F$2,$A$1:$AL$1,0))&amp;""),"")="",-1,IF(ISNUMBER(IFERROR(IF(TRIM(INDEX($A35:$AL35,MATCH(Lists!$F$7,$A$1:$AL$1,0))&amp;"")="","",IF(ISNUMBER(INDEX($A35:$AL35,MATCH(Lists!$F$7,$A$1:$AL$1,0))),ROUND(MOD(INDEX($A35:$AL35,MATCH(Lists!$F$7,$A$1:$AL$1,0)),1)*1440,0),VALUE(LEFT(INDEX($A35:$AL35,MATCH(Lists!$F$7,$A$1:$AL$1,0)),2))*60+VALUE(MID(INDEX($A35:$AL35,MATCH(Lists!$F$7,$A$1:$AL$1,0)),4,2)))),"")),IFERROR(IF(TRIM(INDEX($A35:$AL35,MATCH(Lists!$F$7,$A$1:$AL$1,0))&amp;"")="","",IF(ISNUMBER(INDEX($A35:$AL35,MATCH(Lists!$F$7,$A$1:$AL$1,0))),ROUND(MOD(INDEX($A35:$AL35,MATCH(Lists!$F$7,$A$1:$AL$1,0)),1)*1440,0),VALUE(LEFT(INDEX($A35:$AL35,MATCH(Lists!$F$7,$A$1:$AL$1,0)),2))*60+VALUE(MID(INDEX($A35:$AL35,MATCH(Lists!$F$7,$A$1:$AL$1,0)),4,2)))),""),-1))</f>
        <v/>
      </c>
      <c r="AW35" s="21">
        <f>IF(IFERROR(TRIM(INDEX($A35:$AL35,MATCH(Lists!$F$2,$A$1:$AL$1,0))&amp;""),"")="","",IF(IFERROR(TRIM(INDEX($A35:$AL35,MATCH(Lists!$F$8,$A$1:$AL$1,0))&amp;""),"")&lt;&gt;"",IFERROR(TRIM(INDEX($A35:$AL35,MATCH(Lists!$F$8,$A$1:$AL$1,0))&amp;""),""),IFERROR(TRIM(INDEX($A35:$AL35,MATCH(Lists!$F$9,$A$1:$AL$1,0))&amp;""),"")))</f>
        <v/>
      </c>
      <c r="AX35" s="21">
        <f>IFERROR(IF(TRIM(INDEX($A35:$AL35,MATCH(Lists!$F$10,$A$1:$AL$1,0))&amp;"")="","",VALUE(TRIM(INDEX($A35:$AL35,MATCH(Lists!$F$10,$A$1:$AL$1,0))&amp;""))),"")</f>
        <v/>
      </c>
      <c r="AY35" s="21">
        <f>IF(IFERROR(TRIM(INDEX($A35:$AL35,MATCH(Lists!$F$2,$A$1:$AL$1,0))&amp;""),"")="","",IF(AN35="","New",AN35))</f>
        <v/>
      </c>
      <c r="AZ35" s="21">
        <f>IF(IFERROR(TRIM(INDEX($A35:$AL35,MATCH(Lists!$F$2,$A$1:$AL$1,0))&amp;""),"")="","",IF(OR(IFERROR(TRIM(INDEX($A35:$AL35,MATCH(Lists!$F$13,$A$1:$AL$1,0))&amp;""),"")="Paid",IFERROR(TRIM(INDEX($A35:$AL35,MATCH(Lists!$F$13,$A$1:$AL$1,0))&amp;""),"")="Partially refunded"),"Paid",IF(AP35="Yes","Paid (by hand)",IFERROR(TRIM(INDEX($A35:$AL35,MATCH(Lists!$F$13,$A$1:$AL$1,0))&amp;""),""))))</f>
        <v/>
      </c>
      <c r="BA35" s="21">
        <f>IF(AND(IFERROR(TRIM(INDEX($A35:$AL35,MATCH(Lists!$F$2,$A$1:$AL$1,0))&amp;""),"")&lt;&gt;"",AT35&gt;0,AU35&gt;=0,AV35&gt;AU35,AY35&lt;&gt;"Declined"),1,0)</f>
        <v/>
      </c>
      <c r="BB35" s="21">
        <f>IF(BA35=1,COUNTIFS($AS$2:$AS$501,AS35,$AT$2:$AT$501,AT35,$AU$2:$AU$501,"&lt;"&amp;AV35,$AV$2:$AV$501,"&gt;"&amp;AU35,$BA$2:$BA$501,1)-1,"")</f>
        <v/>
      </c>
      <c r="BC35" s="21">
        <f>IF(N(BB35)&gt;0,"Clashes with "&amp;INDEX($AW$2:$AW$501,SUMPRODUCT(MAX(($AS$2:$AS$501=AS35)*($AT$2:$AT$501=AT35)*($AU$2:$AU$501&lt;AV35)*($AV$2:$AV$501&gt;AU35)*($BA$2:$BA$501=1)*(ROW($AS$2:$AS$501)&lt;&gt;ROW())*ROW($AS$2:$AS$501)))-1)&amp;" ("&amp;INDEX($AY$2:$AY$501,SUMPRODUCT(MAX(($AS$2:$AS$501=AS35)*($AT$2:$AT$501=AT35)*($AU$2:$AU$501&lt;AV35)*($AV$2:$AV$501&gt;AU35)*($BA$2:$BA$501=1)*(ROW($AS$2:$AS$501)&lt;&gt;ROW())*ROW($AS$2:$AS$501)))-1)&amp;")"&amp;IF(BB35&gt;1," and "&amp;(BB35-1)&amp;" more",""),"")</f>
        <v/>
      </c>
      <c r="BD35" s="21">
        <f>IF(AND(BA35=1,AY35="Confirmed"),AT35*10000000+AU35*1000+ROW(),"")</f>
        <v/>
      </c>
      <c r="BE35" s="21">
        <f>IF(IFERROR(TRIM(INDEX($A35:$AL35,MATCH(Lists!$F$2,$A$1:$AL$1,0))&amp;""),"")="","",IFERROR(TRIM(INDEX($A35:$AL35,MATCH(Lists!$F$11,$A$1:$AL$1,0))&amp;""),""))</f>
        <v/>
      </c>
      <c r="BF35" s="21">
        <f>IF(IFERROR(TRIM(INDEX($A35:$AL35,MATCH(Lists!$F$2,$A$1:$AL$1,0))&amp;""),"")="","",IFERROR(TRIM(INDEX($A35:$AL35,MATCH(Lists!$F$12,$A$1:$AL$1,0))&amp;""),""))</f>
        <v/>
      </c>
    </row>
    <row r="36">
      <c r="AM36" s="19" t="n"/>
      <c r="AN36" s="23" t="n"/>
      <c r="AO36" s="23" t="n"/>
      <c r="AP36" s="23" t="n"/>
      <c r="AQ36" s="23" t="n"/>
      <c r="AR36" s="19" t="n"/>
      <c r="AS36" s="21">
        <f>IF(IFERROR(TRIM(INDEX($A36:$AL36,MATCH(Lists!$F$2,$A$1:$AL$1,0))&amp;""),"")="","",IF(AND(IFERROR(TRIM(INDEX($A36:$AL36,MATCH(Lists!$F$3,$A$1:$AL$1,0))&amp;""),"")="Other",IFERROR(TRIM(INDEX($A36:$AL36,MATCH(Lists!$F$4,$A$1:$AL$1,0))&amp;""),"")&lt;&gt;""),IFERROR(TRIM(INDEX($A36:$AL36,MATCH(Lists!$F$4,$A$1:$AL$1,0))&amp;""),""),IF(IFERROR(TRIM(INDEX($A36:$AL36,MATCH(Lists!$F$3,$A$1:$AL$1,0))&amp;""),"")="","(no space)",IFERROR(TRIM(INDEX($A36:$AL36,MATCH(Lists!$F$3,$A$1:$AL$1,0))&amp;""),""))))</f>
        <v/>
      </c>
      <c r="AT36" s="22">
        <f>IF(IFERROR(TRIM(INDEX($A36:$AL36,MATCH(Lists!$F$2,$A$1:$AL$1,0))&amp;""),"")="",0,N(IFERROR(IF(TRIM(INDEX($A36:$AL36,MATCH(Lists!$F$5,$A$1:$AL$1,0))&amp;"")="","",IF(ISNUMBER(INDEX($A36:$AL36,MATCH(Lists!$F$5,$A$1:$AL$1,0))),INT(INDEX($A36:$AL36,MATCH(Lists!$F$5,$A$1:$AL$1,0))),DATE(VALUE(LEFT(INDEX($A36:$AL36,MATCH(Lists!$F$5,$A$1:$AL$1,0)),4)),VALUE(MID(INDEX($A36:$AL36,MATCH(Lists!$F$5,$A$1:$AL$1,0)),6,2)),VALUE(MID(INDEX($A36:$AL36,MATCH(Lists!$F$5,$A$1:$AL$1,0)),9,2))))),"")))</f>
        <v/>
      </c>
      <c r="AU36" s="21">
        <f>IF(IFERROR(TRIM(INDEX($A36:$AL36,MATCH(Lists!$F$2,$A$1:$AL$1,0))&amp;""),"")="",-1,IF(ISNUMBER(IFERROR(IF(TRIM(INDEX($A36:$AL36,MATCH(Lists!$F$6,$A$1:$AL$1,0))&amp;"")="","",IF(ISNUMBER(INDEX($A36:$AL36,MATCH(Lists!$F$6,$A$1:$AL$1,0))),ROUND(MOD(INDEX($A36:$AL36,MATCH(Lists!$F$6,$A$1:$AL$1,0)),1)*1440,0),VALUE(LEFT(INDEX($A36:$AL36,MATCH(Lists!$F$6,$A$1:$AL$1,0)),2))*60+VALUE(MID(INDEX($A36:$AL36,MATCH(Lists!$F$6,$A$1:$AL$1,0)),4,2)))),"")),IFERROR(IF(TRIM(INDEX($A36:$AL36,MATCH(Lists!$F$6,$A$1:$AL$1,0))&amp;"")="","",IF(ISNUMBER(INDEX($A36:$AL36,MATCH(Lists!$F$6,$A$1:$AL$1,0))),ROUND(MOD(INDEX($A36:$AL36,MATCH(Lists!$F$6,$A$1:$AL$1,0)),1)*1440,0),VALUE(LEFT(INDEX($A36:$AL36,MATCH(Lists!$F$6,$A$1:$AL$1,0)),2))*60+VALUE(MID(INDEX($A36:$AL36,MATCH(Lists!$F$6,$A$1:$AL$1,0)),4,2)))),""),-1))</f>
        <v/>
      </c>
      <c r="AV36" s="21">
        <f>IF(IFERROR(TRIM(INDEX($A36:$AL36,MATCH(Lists!$F$2,$A$1:$AL$1,0))&amp;""),"")="",-1,IF(ISNUMBER(IFERROR(IF(TRIM(INDEX($A36:$AL36,MATCH(Lists!$F$7,$A$1:$AL$1,0))&amp;"")="","",IF(ISNUMBER(INDEX($A36:$AL36,MATCH(Lists!$F$7,$A$1:$AL$1,0))),ROUND(MOD(INDEX($A36:$AL36,MATCH(Lists!$F$7,$A$1:$AL$1,0)),1)*1440,0),VALUE(LEFT(INDEX($A36:$AL36,MATCH(Lists!$F$7,$A$1:$AL$1,0)),2))*60+VALUE(MID(INDEX($A36:$AL36,MATCH(Lists!$F$7,$A$1:$AL$1,0)),4,2)))),"")),IFERROR(IF(TRIM(INDEX($A36:$AL36,MATCH(Lists!$F$7,$A$1:$AL$1,0))&amp;"")="","",IF(ISNUMBER(INDEX($A36:$AL36,MATCH(Lists!$F$7,$A$1:$AL$1,0))),ROUND(MOD(INDEX($A36:$AL36,MATCH(Lists!$F$7,$A$1:$AL$1,0)),1)*1440,0),VALUE(LEFT(INDEX($A36:$AL36,MATCH(Lists!$F$7,$A$1:$AL$1,0)),2))*60+VALUE(MID(INDEX($A36:$AL36,MATCH(Lists!$F$7,$A$1:$AL$1,0)),4,2)))),""),-1))</f>
        <v/>
      </c>
      <c r="AW36" s="21">
        <f>IF(IFERROR(TRIM(INDEX($A36:$AL36,MATCH(Lists!$F$2,$A$1:$AL$1,0))&amp;""),"")="","",IF(IFERROR(TRIM(INDEX($A36:$AL36,MATCH(Lists!$F$8,$A$1:$AL$1,0))&amp;""),"")&lt;&gt;"",IFERROR(TRIM(INDEX($A36:$AL36,MATCH(Lists!$F$8,$A$1:$AL$1,0))&amp;""),""),IFERROR(TRIM(INDEX($A36:$AL36,MATCH(Lists!$F$9,$A$1:$AL$1,0))&amp;""),"")))</f>
        <v/>
      </c>
      <c r="AX36" s="21">
        <f>IFERROR(IF(TRIM(INDEX($A36:$AL36,MATCH(Lists!$F$10,$A$1:$AL$1,0))&amp;"")="","",VALUE(TRIM(INDEX($A36:$AL36,MATCH(Lists!$F$10,$A$1:$AL$1,0))&amp;""))),"")</f>
        <v/>
      </c>
      <c r="AY36" s="21">
        <f>IF(IFERROR(TRIM(INDEX($A36:$AL36,MATCH(Lists!$F$2,$A$1:$AL$1,0))&amp;""),"")="","",IF(AN36="","New",AN36))</f>
        <v/>
      </c>
      <c r="AZ36" s="21">
        <f>IF(IFERROR(TRIM(INDEX($A36:$AL36,MATCH(Lists!$F$2,$A$1:$AL$1,0))&amp;""),"")="","",IF(OR(IFERROR(TRIM(INDEX($A36:$AL36,MATCH(Lists!$F$13,$A$1:$AL$1,0))&amp;""),"")="Paid",IFERROR(TRIM(INDEX($A36:$AL36,MATCH(Lists!$F$13,$A$1:$AL$1,0))&amp;""),"")="Partially refunded"),"Paid",IF(AP36="Yes","Paid (by hand)",IFERROR(TRIM(INDEX($A36:$AL36,MATCH(Lists!$F$13,$A$1:$AL$1,0))&amp;""),""))))</f>
        <v/>
      </c>
      <c r="BA36" s="21">
        <f>IF(AND(IFERROR(TRIM(INDEX($A36:$AL36,MATCH(Lists!$F$2,$A$1:$AL$1,0))&amp;""),"")&lt;&gt;"",AT36&gt;0,AU36&gt;=0,AV36&gt;AU36,AY36&lt;&gt;"Declined"),1,0)</f>
        <v/>
      </c>
      <c r="BB36" s="21">
        <f>IF(BA36=1,COUNTIFS($AS$2:$AS$501,AS36,$AT$2:$AT$501,AT36,$AU$2:$AU$501,"&lt;"&amp;AV36,$AV$2:$AV$501,"&gt;"&amp;AU36,$BA$2:$BA$501,1)-1,"")</f>
        <v/>
      </c>
      <c r="BC36" s="21">
        <f>IF(N(BB36)&gt;0,"Clashes with "&amp;INDEX($AW$2:$AW$501,SUMPRODUCT(MAX(($AS$2:$AS$501=AS36)*($AT$2:$AT$501=AT36)*($AU$2:$AU$501&lt;AV36)*($AV$2:$AV$501&gt;AU36)*($BA$2:$BA$501=1)*(ROW($AS$2:$AS$501)&lt;&gt;ROW())*ROW($AS$2:$AS$501)))-1)&amp;" ("&amp;INDEX($AY$2:$AY$501,SUMPRODUCT(MAX(($AS$2:$AS$501=AS36)*($AT$2:$AT$501=AT36)*($AU$2:$AU$501&lt;AV36)*($AV$2:$AV$501&gt;AU36)*($BA$2:$BA$501=1)*(ROW($AS$2:$AS$501)&lt;&gt;ROW())*ROW($AS$2:$AS$501)))-1)&amp;")"&amp;IF(BB36&gt;1," and "&amp;(BB36-1)&amp;" more",""),"")</f>
        <v/>
      </c>
      <c r="BD36" s="21">
        <f>IF(AND(BA36=1,AY36="Confirmed"),AT36*10000000+AU36*1000+ROW(),"")</f>
        <v/>
      </c>
      <c r="BE36" s="21">
        <f>IF(IFERROR(TRIM(INDEX($A36:$AL36,MATCH(Lists!$F$2,$A$1:$AL$1,0))&amp;""),"")="","",IFERROR(TRIM(INDEX($A36:$AL36,MATCH(Lists!$F$11,$A$1:$AL$1,0))&amp;""),""))</f>
        <v/>
      </c>
      <c r="BF36" s="21">
        <f>IF(IFERROR(TRIM(INDEX($A36:$AL36,MATCH(Lists!$F$2,$A$1:$AL$1,0))&amp;""),"")="","",IFERROR(TRIM(INDEX($A36:$AL36,MATCH(Lists!$F$12,$A$1:$AL$1,0))&amp;""),""))</f>
        <v/>
      </c>
    </row>
    <row r="37">
      <c r="AM37" s="19" t="n"/>
      <c r="AN37" s="23" t="n"/>
      <c r="AO37" s="23" t="n"/>
      <c r="AP37" s="23" t="n"/>
      <c r="AQ37" s="23" t="n"/>
      <c r="AR37" s="19" t="n"/>
      <c r="AS37" s="21">
        <f>IF(IFERROR(TRIM(INDEX($A37:$AL37,MATCH(Lists!$F$2,$A$1:$AL$1,0))&amp;""),"")="","",IF(AND(IFERROR(TRIM(INDEX($A37:$AL37,MATCH(Lists!$F$3,$A$1:$AL$1,0))&amp;""),"")="Other",IFERROR(TRIM(INDEX($A37:$AL37,MATCH(Lists!$F$4,$A$1:$AL$1,0))&amp;""),"")&lt;&gt;""),IFERROR(TRIM(INDEX($A37:$AL37,MATCH(Lists!$F$4,$A$1:$AL$1,0))&amp;""),""),IF(IFERROR(TRIM(INDEX($A37:$AL37,MATCH(Lists!$F$3,$A$1:$AL$1,0))&amp;""),"")="","(no space)",IFERROR(TRIM(INDEX($A37:$AL37,MATCH(Lists!$F$3,$A$1:$AL$1,0))&amp;""),""))))</f>
        <v/>
      </c>
      <c r="AT37" s="22">
        <f>IF(IFERROR(TRIM(INDEX($A37:$AL37,MATCH(Lists!$F$2,$A$1:$AL$1,0))&amp;""),"")="",0,N(IFERROR(IF(TRIM(INDEX($A37:$AL37,MATCH(Lists!$F$5,$A$1:$AL$1,0))&amp;"")="","",IF(ISNUMBER(INDEX($A37:$AL37,MATCH(Lists!$F$5,$A$1:$AL$1,0))),INT(INDEX($A37:$AL37,MATCH(Lists!$F$5,$A$1:$AL$1,0))),DATE(VALUE(LEFT(INDEX($A37:$AL37,MATCH(Lists!$F$5,$A$1:$AL$1,0)),4)),VALUE(MID(INDEX($A37:$AL37,MATCH(Lists!$F$5,$A$1:$AL$1,0)),6,2)),VALUE(MID(INDEX($A37:$AL37,MATCH(Lists!$F$5,$A$1:$AL$1,0)),9,2))))),"")))</f>
        <v/>
      </c>
      <c r="AU37" s="21">
        <f>IF(IFERROR(TRIM(INDEX($A37:$AL37,MATCH(Lists!$F$2,$A$1:$AL$1,0))&amp;""),"")="",-1,IF(ISNUMBER(IFERROR(IF(TRIM(INDEX($A37:$AL37,MATCH(Lists!$F$6,$A$1:$AL$1,0))&amp;"")="","",IF(ISNUMBER(INDEX($A37:$AL37,MATCH(Lists!$F$6,$A$1:$AL$1,0))),ROUND(MOD(INDEX($A37:$AL37,MATCH(Lists!$F$6,$A$1:$AL$1,0)),1)*1440,0),VALUE(LEFT(INDEX($A37:$AL37,MATCH(Lists!$F$6,$A$1:$AL$1,0)),2))*60+VALUE(MID(INDEX($A37:$AL37,MATCH(Lists!$F$6,$A$1:$AL$1,0)),4,2)))),"")),IFERROR(IF(TRIM(INDEX($A37:$AL37,MATCH(Lists!$F$6,$A$1:$AL$1,0))&amp;"")="","",IF(ISNUMBER(INDEX($A37:$AL37,MATCH(Lists!$F$6,$A$1:$AL$1,0))),ROUND(MOD(INDEX($A37:$AL37,MATCH(Lists!$F$6,$A$1:$AL$1,0)),1)*1440,0),VALUE(LEFT(INDEX($A37:$AL37,MATCH(Lists!$F$6,$A$1:$AL$1,0)),2))*60+VALUE(MID(INDEX($A37:$AL37,MATCH(Lists!$F$6,$A$1:$AL$1,0)),4,2)))),""),-1))</f>
        <v/>
      </c>
      <c r="AV37" s="21">
        <f>IF(IFERROR(TRIM(INDEX($A37:$AL37,MATCH(Lists!$F$2,$A$1:$AL$1,0))&amp;""),"")="",-1,IF(ISNUMBER(IFERROR(IF(TRIM(INDEX($A37:$AL37,MATCH(Lists!$F$7,$A$1:$AL$1,0))&amp;"")="","",IF(ISNUMBER(INDEX($A37:$AL37,MATCH(Lists!$F$7,$A$1:$AL$1,0))),ROUND(MOD(INDEX($A37:$AL37,MATCH(Lists!$F$7,$A$1:$AL$1,0)),1)*1440,0),VALUE(LEFT(INDEX($A37:$AL37,MATCH(Lists!$F$7,$A$1:$AL$1,0)),2))*60+VALUE(MID(INDEX($A37:$AL37,MATCH(Lists!$F$7,$A$1:$AL$1,0)),4,2)))),"")),IFERROR(IF(TRIM(INDEX($A37:$AL37,MATCH(Lists!$F$7,$A$1:$AL$1,0))&amp;"")="","",IF(ISNUMBER(INDEX($A37:$AL37,MATCH(Lists!$F$7,$A$1:$AL$1,0))),ROUND(MOD(INDEX($A37:$AL37,MATCH(Lists!$F$7,$A$1:$AL$1,0)),1)*1440,0),VALUE(LEFT(INDEX($A37:$AL37,MATCH(Lists!$F$7,$A$1:$AL$1,0)),2))*60+VALUE(MID(INDEX($A37:$AL37,MATCH(Lists!$F$7,$A$1:$AL$1,0)),4,2)))),""),-1))</f>
        <v/>
      </c>
      <c r="AW37" s="21">
        <f>IF(IFERROR(TRIM(INDEX($A37:$AL37,MATCH(Lists!$F$2,$A$1:$AL$1,0))&amp;""),"")="","",IF(IFERROR(TRIM(INDEX($A37:$AL37,MATCH(Lists!$F$8,$A$1:$AL$1,0))&amp;""),"")&lt;&gt;"",IFERROR(TRIM(INDEX($A37:$AL37,MATCH(Lists!$F$8,$A$1:$AL$1,0))&amp;""),""),IFERROR(TRIM(INDEX($A37:$AL37,MATCH(Lists!$F$9,$A$1:$AL$1,0))&amp;""),"")))</f>
        <v/>
      </c>
      <c r="AX37" s="21">
        <f>IFERROR(IF(TRIM(INDEX($A37:$AL37,MATCH(Lists!$F$10,$A$1:$AL$1,0))&amp;"")="","",VALUE(TRIM(INDEX($A37:$AL37,MATCH(Lists!$F$10,$A$1:$AL$1,0))&amp;""))),"")</f>
        <v/>
      </c>
      <c r="AY37" s="21">
        <f>IF(IFERROR(TRIM(INDEX($A37:$AL37,MATCH(Lists!$F$2,$A$1:$AL$1,0))&amp;""),"")="","",IF(AN37="","New",AN37))</f>
        <v/>
      </c>
      <c r="AZ37" s="21">
        <f>IF(IFERROR(TRIM(INDEX($A37:$AL37,MATCH(Lists!$F$2,$A$1:$AL$1,0))&amp;""),"")="","",IF(OR(IFERROR(TRIM(INDEX($A37:$AL37,MATCH(Lists!$F$13,$A$1:$AL$1,0))&amp;""),"")="Paid",IFERROR(TRIM(INDEX($A37:$AL37,MATCH(Lists!$F$13,$A$1:$AL$1,0))&amp;""),"")="Partially refunded"),"Paid",IF(AP37="Yes","Paid (by hand)",IFERROR(TRIM(INDEX($A37:$AL37,MATCH(Lists!$F$13,$A$1:$AL$1,0))&amp;""),""))))</f>
        <v/>
      </c>
      <c r="BA37" s="21">
        <f>IF(AND(IFERROR(TRIM(INDEX($A37:$AL37,MATCH(Lists!$F$2,$A$1:$AL$1,0))&amp;""),"")&lt;&gt;"",AT37&gt;0,AU37&gt;=0,AV37&gt;AU37,AY37&lt;&gt;"Declined"),1,0)</f>
        <v/>
      </c>
      <c r="BB37" s="21">
        <f>IF(BA37=1,COUNTIFS($AS$2:$AS$501,AS37,$AT$2:$AT$501,AT37,$AU$2:$AU$501,"&lt;"&amp;AV37,$AV$2:$AV$501,"&gt;"&amp;AU37,$BA$2:$BA$501,1)-1,"")</f>
        <v/>
      </c>
      <c r="BC37" s="21">
        <f>IF(N(BB37)&gt;0,"Clashes with "&amp;INDEX($AW$2:$AW$501,SUMPRODUCT(MAX(($AS$2:$AS$501=AS37)*($AT$2:$AT$501=AT37)*($AU$2:$AU$501&lt;AV37)*($AV$2:$AV$501&gt;AU37)*($BA$2:$BA$501=1)*(ROW($AS$2:$AS$501)&lt;&gt;ROW())*ROW($AS$2:$AS$501)))-1)&amp;" ("&amp;INDEX($AY$2:$AY$501,SUMPRODUCT(MAX(($AS$2:$AS$501=AS37)*($AT$2:$AT$501=AT37)*($AU$2:$AU$501&lt;AV37)*($AV$2:$AV$501&gt;AU37)*($BA$2:$BA$501=1)*(ROW($AS$2:$AS$501)&lt;&gt;ROW())*ROW($AS$2:$AS$501)))-1)&amp;")"&amp;IF(BB37&gt;1," and "&amp;(BB37-1)&amp;" more",""),"")</f>
        <v/>
      </c>
      <c r="BD37" s="21">
        <f>IF(AND(BA37=1,AY37="Confirmed"),AT37*10000000+AU37*1000+ROW(),"")</f>
        <v/>
      </c>
      <c r="BE37" s="21">
        <f>IF(IFERROR(TRIM(INDEX($A37:$AL37,MATCH(Lists!$F$2,$A$1:$AL$1,0))&amp;""),"")="","",IFERROR(TRIM(INDEX($A37:$AL37,MATCH(Lists!$F$11,$A$1:$AL$1,0))&amp;""),""))</f>
        <v/>
      </c>
      <c r="BF37" s="21">
        <f>IF(IFERROR(TRIM(INDEX($A37:$AL37,MATCH(Lists!$F$2,$A$1:$AL$1,0))&amp;""),"")="","",IFERROR(TRIM(INDEX($A37:$AL37,MATCH(Lists!$F$12,$A$1:$AL$1,0))&amp;""),""))</f>
        <v/>
      </c>
    </row>
    <row r="38">
      <c r="AM38" s="19" t="n"/>
      <c r="AN38" s="23" t="n"/>
      <c r="AO38" s="23" t="n"/>
      <c r="AP38" s="23" t="n"/>
      <c r="AQ38" s="23" t="n"/>
      <c r="AR38" s="19" t="n"/>
      <c r="AS38" s="21">
        <f>IF(IFERROR(TRIM(INDEX($A38:$AL38,MATCH(Lists!$F$2,$A$1:$AL$1,0))&amp;""),"")="","",IF(AND(IFERROR(TRIM(INDEX($A38:$AL38,MATCH(Lists!$F$3,$A$1:$AL$1,0))&amp;""),"")="Other",IFERROR(TRIM(INDEX($A38:$AL38,MATCH(Lists!$F$4,$A$1:$AL$1,0))&amp;""),"")&lt;&gt;""),IFERROR(TRIM(INDEX($A38:$AL38,MATCH(Lists!$F$4,$A$1:$AL$1,0))&amp;""),""),IF(IFERROR(TRIM(INDEX($A38:$AL38,MATCH(Lists!$F$3,$A$1:$AL$1,0))&amp;""),"")="","(no space)",IFERROR(TRIM(INDEX($A38:$AL38,MATCH(Lists!$F$3,$A$1:$AL$1,0))&amp;""),""))))</f>
        <v/>
      </c>
      <c r="AT38" s="22">
        <f>IF(IFERROR(TRIM(INDEX($A38:$AL38,MATCH(Lists!$F$2,$A$1:$AL$1,0))&amp;""),"")="",0,N(IFERROR(IF(TRIM(INDEX($A38:$AL38,MATCH(Lists!$F$5,$A$1:$AL$1,0))&amp;"")="","",IF(ISNUMBER(INDEX($A38:$AL38,MATCH(Lists!$F$5,$A$1:$AL$1,0))),INT(INDEX($A38:$AL38,MATCH(Lists!$F$5,$A$1:$AL$1,0))),DATE(VALUE(LEFT(INDEX($A38:$AL38,MATCH(Lists!$F$5,$A$1:$AL$1,0)),4)),VALUE(MID(INDEX($A38:$AL38,MATCH(Lists!$F$5,$A$1:$AL$1,0)),6,2)),VALUE(MID(INDEX($A38:$AL38,MATCH(Lists!$F$5,$A$1:$AL$1,0)),9,2))))),"")))</f>
        <v/>
      </c>
      <c r="AU38" s="21">
        <f>IF(IFERROR(TRIM(INDEX($A38:$AL38,MATCH(Lists!$F$2,$A$1:$AL$1,0))&amp;""),"")="",-1,IF(ISNUMBER(IFERROR(IF(TRIM(INDEX($A38:$AL38,MATCH(Lists!$F$6,$A$1:$AL$1,0))&amp;"")="","",IF(ISNUMBER(INDEX($A38:$AL38,MATCH(Lists!$F$6,$A$1:$AL$1,0))),ROUND(MOD(INDEX($A38:$AL38,MATCH(Lists!$F$6,$A$1:$AL$1,0)),1)*1440,0),VALUE(LEFT(INDEX($A38:$AL38,MATCH(Lists!$F$6,$A$1:$AL$1,0)),2))*60+VALUE(MID(INDEX($A38:$AL38,MATCH(Lists!$F$6,$A$1:$AL$1,0)),4,2)))),"")),IFERROR(IF(TRIM(INDEX($A38:$AL38,MATCH(Lists!$F$6,$A$1:$AL$1,0))&amp;"")="","",IF(ISNUMBER(INDEX($A38:$AL38,MATCH(Lists!$F$6,$A$1:$AL$1,0))),ROUND(MOD(INDEX($A38:$AL38,MATCH(Lists!$F$6,$A$1:$AL$1,0)),1)*1440,0),VALUE(LEFT(INDEX($A38:$AL38,MATCH(Lists!$F$6,$A$1:$AL$1,0)),2))*60+VALUE(MID(INDEX($A38:$AL38,MATCH(Lists!$F$6,$A$1:$AL$1,0)),4,2)))),""),-1))</f>
        <v/>
      </c>
      <c r="AV38" s="21">
        <f>IF(IFERROR(TRIM(INDEX($A38:$AL38,MATCH(Lists!$F$2,$A$1:$AL$1,0))&amp;""),"")="",-1,IF(ISNUMBER(IFERROR(IF(TRIM(INDEX($A38:$AL38,MATCH(Lists!$F$7,$A$1:$AL$1,0))&amp;"")="","",IF(ISNUMBER(INDEX($A38:$AL38,MATCH(Lists!$F$7,$A$1:$AL$1,0))),ROUND(MOD(INDEX($A38:$AL38,MATCH(Lists!$F$7,$A$1:$AL$1,0)),1)*1440,0),VALUE(LEFT(INDEX($A38:$AL38,MATCH(Lists!$F$7,$A$1:$AL$1,0)),2))*60+VALUE(MID(INDEX($A38:$AL38,MATCH(Lists!$F$7,$A$1:$AL$1,0)),4,2)))),"")),IFERROR(IF(TRIM(INDEX($A38:$AL38,MATCH(Lists!$F$7,$A$1:$AL$1,0))&amp;"")="","",IF(ISNUMBER(INDEX($A38:$AL38,MATCH(Lists!$F$7,$A$1:$AL$1,0))),ROUND(MOD(INDEX($A38:$AL38,MATCH(Lists!$F$7,$A$1:$AL$1,0)),1)*1440,0),VALUE(LEFT(INDEX($A38:$AL38,MATCH(Lists!$F$7,$A$1:$AL$1,0)),2))*60+VALUE(MID(INDEX($A38:$AL38,MATCH(Lists!$F$7,$A$1:$AL$1,0)),4,2)))),""),-1))</f>
        <v/>
      </c>
      <c r="AW38" s="21">
        <f>IF(IFERROR(TRIM(INDEX($A38:$AL38,MATCH(Lists!$F$2,$A$1:$AL$1,0))&amp;""),"")="","",IF(IFERROR(TRIM(INDEX($A38:$AL38,MATCH(Lists!$F$8,$A$1:$AL$1,0))&amp;""),"")&lt;&gt;"",IFERROR(TRIM(INDEX($A38:$AL38,MATCH(Lists!$F$8,$A$1:$AL$1,0))&amp;""),""),IFERROR(TRIM(INDEX($A38:$AL38,MATCH(Lists!$F$9,$A$1:$AL$1,0))&amp;""),"")))</f>
        <v/>
      </c>
      <c r="AX38" s="21">
        <f>IFERROR(IF(TRIM(INDEX($A38:$AL38,MATCH(Lists!$F$10,$A$1:$AL$1,0))&amp;"")="","",VALUE(TRIM(INDEX($A38:$AL38,MATCH(Lists!$F$10,$A$1:$AL$1,0))&amp;""))),"")</f>
        <v/>
      </c>
      <c r="AY38" s="21">
        <f>IF(IFERROR(TRIM(INDEX($A38:$AL38,MATCH(Lists!$F$2,$A$1:$AL$1,0))&amp;""),"")="","",IF(AN38="","New",AN38))</f>
        <v/>
      </c>
      <c r="AZ38" s="21">
        <f>IF(IFERROR(TRIM(INDEX($A38:$AL38,MATCH(Lists!$F$2,$A$1:$AL$1,0))&amp;""),"")="","",IF(OR(IFERROR(TRIM(INDEX($A38:$AL38,MATCH(Lists!$F$13,$A$1:$AL$1,0))&amp;""),"")="Paid",IFERROR(TRIM(INDEX($A38:$AL38,MATCH(Lists!$F$13,$A$1:$AL$1,0))&amp;""),"")="Partially refunded"),"Paid",IF(AP38="Yes","Paid (by hand)",IFERROR(TRIM(INDEX($A38:$AL38,MATCH(Lists!$F$13,$A$1:$AL$1,0))&amp;""),""))))</f>
        <v/>
      </c>
      <c r="BA38" s="21">
        <f>IF(AND(IFERROR(TRIM(INDEX($A38:$AL38,MATCH(Lists!$F$2,$A$1:$AL$1,0))&amp;""),"")&lt;&gt;"",AT38&gt;0,AU38&gt;=0,AV38&gt;AU38,AY38&lt;&gt;"Declined"),1,0)</f>
        <v/>
      </c>
      <c r="BB38" s="21">
        <f>IF(BA38=1,COUNTIFS($AS$2:$AS$501,AS38,$AT$2:$AT$501,AT38,$AU$2:$AU$501,"&lt;"&amp;AV38,$AV$2:$AV$501,"&gt;"&amp;AU38,$BA$2:$BA$501,1)-1,"")</f>
        <v/>
      </c>
      <c r="BC38" s="21">
        <f>IF(N(BB38)&gt;0,"Clashes with "&amp;INDEX($AW$2:$AW$501,SUMPRODUCT(MAX(($AS$2:$AS$501=AS38)*($AT$2:$AT$501=AT38)*($AU$2:$AU$501&lt;AV38)*($AV$2:$AV$501&gt;AU38)*($BA$2:$BA$501=1)*(ROW($AS$2:$AS$501)&lt;&gt;ROW())*ROW($AS$2:$AS$501)))-1)&amp;" ("&amp;INDEX($AY$2:$AY$501,SUMPRODUCT(MAX(($AS$2:$AS$501=AS38)*($AT$2:$AT$501=AT38)*($AU$2:$AU$501&lt;AV38)*($AV$2:$AV$501&gt;AU38)*($BA$2:$BA$501=1)*(ROW($AS$2:$AS$501)&lt;&gt;ROW())*ROW($AS$2:$AS$501)))-1)&amp;")"&amp;IF(BB38&gt;1," and "&amp;(BB38-1)&amp;" more",""),"")</f>
        <v/>
      </c>
      <c r="BD38" s="21">
        <f>IF(AND(BA38=1,AY38="Confirmed"),AT38*10000000+AU38*1000+ROW(),"")</f>
        <v/>
      </c>
      <c r="BE38" s="21">
        <f>IF(IFERROR(TRIM(INDEX($A38:$AL38,MATCH(Lists!$F$2,$A$1:$AL$1,0))&amp;""),"")="","",IFERROR(TRIM(INDEX($A38:$AL38,MATCH(Lists!$F$11,$A$1:$AL$1,0))&amp;""),""))</f>
        <v/>
      </c>
      <c r="BF38" s="21">
        <f>IF(IFERROR(TRIM(INDEX($A38:$AL38,MATCH(Lists!$F$2,$A$1:$AL$1,0))&amp;""),"")="","",IFERROR(TRIM(INDEX($A38:$AL38,MATCH(Lists!$F$12,$A$1:$AL$1,0))&amp;""),""))</f>
        <v/>
      </c>
    </row>
    <row r="39">
      <c r="AM39" s="19" t="n"/>
      <c r="AN39" s="23" t="n"/>
      <c r="AO39" s="23" t="n"/>
      <c r="AP39" s="23" t="n"/>
      <c r="AQ39" s="23" t="n"/>
      <c r="AR39" s="19" t="n"/>
      <c r="AS39" s="21">
        <f>IF(IFERROR(TRIM(INDEX($A39:$AL39,MATCH(Lists!$F$2,$A$1:$AL$1,0))&amp;""),"")="","",IF(AND(IFERROR(TRIM(INDEX($A39:$AL39,MATCH(Lists!$F$3,$A$1:$AL$1,0))&amp;""),"")="Other",IFERROR(TRIM(INDEX($A39:$AL39,MATCH(Lists!$F$4,$A$1:$AL$1,0))&amp;""),"")&lt;&gt;""),IFERROR(TRIM(INDEX($A39:$AL39,MATCH(Lists!$F$4,$A$1:$AL$1,0))&amp;""),""),IF(IFERROR(TRIM(INDEX($A39:$AL39,MATCH(Lists!$F$3,$A$1:$AL$1,0))&amp;""),"")="","(no space)",IFERROR(TRIM(INDEX($A39:$AL39,MATCH(Lists!$F$3,$A$1:$AL$1,0))&amp;""),""))))</f>
        <v/>
      </c>
      <c r="AT39" s="22">
        <f>IF(IFERROR(TRIM(INDEX($A39:$AL39,MATCH(Lists!$F$2,$A$1:$AL$1,0))&amp;""),"")="",0,N(IFERROR(IF(TRIM(INDEX($A39:$AL39,MATCH(Lists!$F$5,$A$1:$AL$1,0))&amp;"")="","",IF(ISNUMBER(INDEX($A39:$AL39,MATCH(Lists!$F$5,$A$1:$AL$1,0))),INT(INDEX($A39:$AL39,MATCH(Lists!$F$5,$A$1:$AL$1,0))),DATE(VALUE(LEFT(INDEX($A39:$AL39,MATCH(Lists!$F$5,$A$1:$AL$1,0)),4)),VALUE(MID(INDEX($A39:$AL39,MATCH(Lists!$F$5,$A$1:$AL$1,0)),6,2)),VALUE(MID(INDEX($A39:$AL39,MATCH(Lists!$F$5,$A$1:$AL$1,0)),9,2))))),"")))</f>
        <v/>
      </c>
      <c r="AU39" s="21">
        <f>IF(IFERROR(TRIM(INDEX($A39:$AL39,MATCH(Lists!$F$2,$A$1:$AL$1,0))&amp;""),"")="",-1,IF(ISNUMBER(IFERROR(IF(TRIM(INDEX($A39:$AL39,MATCH(Lists!$F$6,$A$1:$AL$1,0))&amp;"")="","",IF(ISNUMBER(INDEX($A39:$AL39,MATCH(Lists!$F$6,$A$1:$AL$1,0))),ROUND(MOD(INDEX($A39:$AL39,MATCH(Lists!$F$6,$A$1:$AL$1,0)),1)*1440,0),VALUE(LEFT(INDEX($A39:$AL39,MATCH(Lists!$F$6,$A$1:$AL$1,0)),2))*60+VALUE(MID(INDEX($A39:$AL39,MATCH(Lists!$F$6,$A$1:$AL$1,0)),4,2)))),"")),IFERROR(IF(TRIM(INDEX($A39:$AL39,MATCH(Lists!$F$6,$A$1:$AL$1,0))&amp;"")="","",IF(ISNUMBER(INDEX($A39:$AL39,MATCH(Lists!$F$6,$A$1:$AL$1,0))),ROUND(MOD(INDEX($A39:$AL39,MATCH(Lists!$F$6,$A$1:$AL$1,0)),1)*1440,0),VALUE(LEFT(INDEX($A39:$AL39,MATCH(Lists!$F$6,$A$1:$AL$1,0)),2))*60+VALUE(MID(INDEX($A39:$AL39,MATCH(Lists!$F$6,$A$1:$AL$1,0)),4,2)))),""),-1))</f>
        <v/>
      </c>
      <c r="AV39" s="21">
        <f>IF(IFERROR(TRIM(INDEX($A39:$AL39,MATCH(Lists!$F$2,$A$1:$AL$1,0))&amp;""),"")="",-1,IF(ISNUMBER(IFERROR(IF(TRIM(INDEX($A39:$AL39,MATCH(Lists!$F$7,$A$1:$AL$1,0))&amp;"")="","",IF(ISNUMBER(INDEX($A39:$AL39,MATCH(Lists!$F$7,$A$1:$AL$1,0))),ROUND(MOD(INDEX($A39:$AL39,MATCH(Lists!$F$7,$A$1:$AL$1,0)),1)*1440,0),VALUE(LEFT(INDEX($A39:$AL39,MATCH(Lists!$F$7,$A$1:$AL$1,0)),2))*60+VALUE(MID(INDEX($A39:$AL39,MATCH(Lists!$F$7,$A$1:$AL$1,0)),4,2)))),"")),IFERROR(IF(TRIM(INDEX($A39:$AL39,MATCH(Lists!$F$7,$A$1:$AL$1,0))&amp;"")="","",IF(ISNUMBER(INDEX($A39:$AL39,MATCH(Lists!$F$7,$A$1:$AL$1,0))),ROUND(MOD(INDEX($A39:$AL39,MATCH(Lists!$F$7,$A$1:$AL$1,0)),1)*1440,0),VALUE(LEFT(INDEX($A39:$AL39,MATCH(Lists!$F$7,$A$1:$AL$1,0)),2))*60+VALUE(MID(INDEX($A39:$AL39,MATCH(Lists!$F$7,$A$1:$AL$1,0)),4,2)))),""),-1))</f>
        <v/>
      </c>
      <c r="AW39" s="21">
        <f>IF(IFERROR(TRIM(INDEX($A39:$AL39,MATCH(Lists!$F$2,$A$1:$AL$1,0))&amp;""),"")="","",IF(IFERROR(TRIM(INDEX($A39:$AL39,MATCH(Lists!$F$8,$A$1:$AL$1,0))&amp;""),"")&lt;&gt;"",IFERROR(TRIM(INDEX($A39:$AL39,MATCH(Lists!$F$8,$A$1:$AL$1,0))&amp;""),""),IFERROR(TRIM(INDEX($A39:$AL39,MATCH(Lists!$F$9,$A$1:$AL$1,0))&amp;""),"")))</f>
        <v/>
      </c>
      <c r="AX39" s="21">
        <f>IFERROR(IF(TRIM(INDEX($A39:$AL39,MATCH(Lists!$F$10,$A$1:$AL$1,0))&amp;"")="","",VALUE(TRIM(INDEX($A39:$AL39,MATCH(Lists!$F$10,$A$1:$AL$1,0))&amp;""))),"")</f>
        <v/>
      </c>
      <c r="AY39" s="21">
        <f>IF(IFERROR(TRIM(INDEX($A39:$AL39,MATCH(Lists!$F$2,$A$1:$AL$1,0))&amp;""),"")="","",IF(AN39="","New",AN39))</f>
        <v/>
      </c>
      <c r="AZ39" s="21">
        <f>IF(IFERROR(TRIM(INDEX($A39:$AL39,MATCH(Lists!$F$2,$A$1:$AL$1,0))&amp;""),"")="","",IF(OR(IFERROR(TRIM(INDEX($A39:$AL39,MATCH(Lists!$F$13,$A$1:$AL$1,0))&amp;""),"")="Paid",IFERROR(TRIM(INDEX($A39:$AL39,MATCH(Lists!$F$13,$A$1:$AL$1,0))&amp;""),"")="Partially refunded"),"Paid",IF(AP39="Yes","Paid (by hand)",IFERROR(TRIM(INDEX($A39:$AL39,MATCH(Lists!$F$13,$A$1:$AL$1,0))&amp;""),""))))</f>
        <v/>
      </c>
      <c r="BA39" s="21">
        <f>IF(AND(IFERROR(TRIM(INDEX($A39:$AL39,MATCH(Lists!$F$2,$A$1:$AL$1,0))&amp;""),"")&lt;&gt;"",AT39&gt;0,AU39&gt;=0,AV39&gt;AU39,AY39&lt;&gt;"Declined"),1,0)</f>
        <v/>
      </c>
      <c r="BB39" s="21">
        <f>IF(BA39=1,COUNTIFS($AS$2:$AS$501,AS39,$AT$2:$AT$501,AT39,$AU$2:$AU$501,"&lt;"&amp;AV39,$AV$2:$AV$501,"&gt;"&amp;AU39,$BA$2:$BA$501,1)-1,"")</f>
        <v/>
      </c>
      <c r="BC39" s="21">
        <f>IF(N(BB39)&gt;0,"Clashes with "&amp;INDEX($AW$2:$AW$501,SUMPRODUCT(MAX(($AS$2:$AS$501=AS39)*($AT$2:$AT$501=AT39)*($AU$2:$AU$501&lt;AV39)*($AV$2:$AV$501&gt;AU39)*($BA$2:$BA$501=1)*(ROW($AS$2:$AS$501)&lt;&gt;ROW())*ROW($AS$2:$AS$501)))-1)&amp;" ("&amp;INDEX($AY$2:$AY$501,SUMPRODUCT(MAX(($AS$2:$AS$501=AS39)*($AT$2:$AT$501=AT39)*($AU$2:$AU$501&lt;AV39)*($AV$2:$AV$501&gt;AU39)*($BA$2:$BA$501=1)*(ROW($AS$2:$AS$501)&lt;&gt;ROW())*ROW($AS$2:$AS$501)))-1)&amp;")"&amp;IF(BB39&gt;1," and "&amp;(BB39-1)&amp;" more",""),"")</f>
        <v/>
      </c>
      <c r="BD39" s="21">
        <f>IF(AND(BA39=1,AY39="Confirmed"),AT39*10000000+AU39*1000+ROW(),"")</f>
        <v/>
      </c>
      <c r="BE39" s="21">
        <f>IF(IFERROR(TRIM(INDEX($A39:$AL39,MATCH(Lists!$F$2,$A$1:$AL$1,0))&amp;""),"")="","",IFERROR(TRIM(INDEX($A39:$AL39,MATCH(Lists!$F$11,$A$1:$AL$1,0))&amp;""),""))</f>
        <v/>
      </c>
      <c r="BF39" s="21">
        <f>IF(IFERROR(TRIM(INDEX($A39:$AL39,MATCH(Lists!$F$2,$A$1:$AL$1,0))&amp;""),"")="","",IFERROR(TRIM(INDEX($A39:$AL39,MATCH(Lists!$F$12,$A$1:$AL$1,0))&amp;""),""))</f>
        <v/>
      </c>
    </row>
    <row r="40">
      <c r="AM40" s="19" t="n"/>
      <c r="AN40" s="23" t="n"/>
      <c r="AO40" s="23" t="n"/>
      <c r="AP40" s="23" t="n"/>
      <c r="AQ40" s="23" t="n"/>
      <c r="AR40" s="19" t="n"/>
      <c r="AS40" s="21">
        <f>IF(IFERROR(TRIM(INDEX($A40:$AL40,MATCH(Lists!$F$2,$A$1:$AL$1,0))&amp;""),"")="","",IF(AND(IFERROR(TRIM(INDEX($A40:$AL40,MATCH(Lists!$F$3,$A$1:$AL$1,0))&amp;""),"")="Other",IFERROR(TRIM(INDEX($A40:$AL40,MATCH(Lists!$F$4,$A$1:$AL$1,0))&amp;""),"")&lt;&gt;""),IFERROR(TRIM(INDEX($A40:$AL40,MATCH(Lists!$F$4,$A$1:$AL$1,0))&amp;""),""),IF(IFERROR(TRIM(INDEX($A40:$AL40,MATCH(Lists!$F$3,$A$1:$AL$1,0))&amp;""),"")="","(no space)",IFERROR(TRIM(INDEX($A40:$AL40,MATCH(Lists!$F$3,$A$1:$AL$1,0))&amp;""),""))))</f>
        <v/>
      </c>
      <c r="AT40" s="22">
        <f>IF(IFERROR(TRIM(INDEX($A40:$AL40,MATCH(Lists!$F$2,$A$1:$AL$1,0))&amp;""),"")="",0,N(IFERROR(IF(TRIM(INDEX($A40:$AL40,MATCH(Lists!$F$5,$A$1:$AL$1,0))&amp;"")="","",IF(ISNUMBER(INDEX($A40:$AL40,MATCH(Lists!$F$5,$A$1:$AL$1,0))),INT(INDEX($A40:$AL40,MATCH(Lists!$F$5,$A$1:$AL$1,0))),DATE(VALUE(LEFT(INDEX($A40:$AL40,MATCH(Lists!$F$5,$A$1:$AL$1,0)),4)),VALUE(MID(INDEX($A40:$AL40,MATCH(Lists!$F$5,$A$1:$AL$1,0)),6,2)),VALUE(MID(INDEX($A40:$AL40,MATCH(Lists!$F$5,$A$1:$AL$1,0)),9,2))))),"")))</f>
        <v/>
      </c>
      <c r="AU40" s="21">
        <f>IF(IFERROR(TRIM(INDEX($A40:$AL40,MATCH(Lists!$F$2,$A$1:$AL$1,0))&amp;""),"")="",-1,IF(ISNUMBER(IFERROR(IF(TRIM(INDEX($A40:$AL40,MATCH(Lists!$F$6,$A$1:$AL$1,0))&amp;"")="","",IF(ISNUMBER(INDEX($A40:$AL40,MATCH(Lists!$F$6,$A$1:$AL$1,0))),ROUND(MOD(INDEX($A40:$AL40,MATCH(Lists!$F$6,$A$1:$AL$1,0)),1)*1440,0),VALUE(LEFT(INDEX($A40:$AL40,MATCH(Lists!$F$6,$A$1:$AL$1,0)),2))*60+VALUE(MID(INDEX($A40:$AL40,MATCH(Lists!$F$6,$A$1:$AL$1,0)),4,2)))),"")),IFERROR(IF(TRIM(INDEX($A40:$AL40,MATCH(Lists!$F$6,$A$1:$AL$1,0))&amp;"")="","",IF(ISNUMBER(INDEX($A40:$AL40,MATCH(Lists!$F$6,$A$1:$AL$1,0))),ROUND(MOD(INDEX($A40:$AL40,MATCH(Lists!$F$6,$A$1:$AL$1,0)),1)*1440,0),VALUE(LEFT(INDEX($A40:$AL40,MATCH(Lists!$F$6,$A$1:$AL$1,0)),2))*60+VALUE(MID(INDEX($A40:$AL40,MATCH(Lists!$F$6,$A$1:$AL$1,0)),4,2)))),""),-1))</f>
        <v/>
      </c>
      <c r="AV40" s="21">
        <f>IF(IFERROR(TRIM(INDEX($A40:$AL40,MATCH(Lists!$F$2,$A$1:$AL$1,0))&amp;""),"")="",-1,IF(ISNUMBER(IFERROR(IF(TRIM(INDEX($A40:$AL40,MATCH(Lists!$F$7,$A$1:$AL$1,0))&amp;"")="","",IF(ISNUMBER(INDEX($A40:$AL40,MATCH(Lists!$F$7,$A$1:$AL$1,0))),ROUND(MOD(INDEX($A40:$AL40,MATCH(Lists!$F$7,$A$1:$AL$1,0)),1)*1440,0),VALUE(LEFT(INDEX($A40:$AL40,MATCH(Lists!$F$7,$A$1:$AL$1,0)),2))*60+VALUE(MID(INDEX($A40:$AL40,MATCH(Lists!$F$7,$A$1:$AL$1,0)),4,2)))),"")),IFERROR(IF(TRIM(INDEX($A40:$AL40,MATCH(Lists!$F$7,$A$1:$AL$1,0))&amp;"")="","",IF(ISNUMBER(INDEX($A40:$AL40,MATCH(Lists!$F$7,$A$1:$AL$1,0))),ROUND(MOD(INDEX($A40:$AL40,MATCH(Lists!$F$7,$A$1:$AL$1,0)),1)*1440,0),VALUE(LEFT(INDEX($A40:$AL40,MATCH(Lists!$F$7,$A$1:$AL$1,0)),2))*60+VALUE(MID(INDEX($A40:$AL40,MATCH(Lists!$F$7,$A$1:$AL$1,0)),4,2)))),""),-1))</f>
        <v/>
      </c>
      <c r="AW40" s="21">
        <f>IF(IFERROR(TRIM(INDEX($A40:$AL40,MATCH(Lists!$F$2,$A$1:$AL$1,0))&amp;""),"")="","",IF(IFERROR(TRIM(INDEX($A40:$AL40,MATCH(Lists!$F$8,$A$1:$AL$1,0))&amp;""),"")&lt;&gt;"",IFERROR(TRIM(INDEX($A40:$AL40,MATCH(Lists!$F$8,$A$1:$AL$1,0))&amp;""),""),IFERROR(TRIM(INDEX($A40:$AL40,MATCH(Lists!$F$9,$A$1:$AL$1,0))&amp;""),"")))</f>
        <v/>
      </c>
      <c r="AX40" s="21">
        <f>IFERROR(IF(TRIM(INDEX($A40:$AL40,MATCH(Lists!$F$10,$A$1:$AL$1,0))&amp;"")="","",VALUE(TRIM(INDEX($A40:$AL40,MATCH(Lists!$F$10,$A$1:$AL$1,0))&amp;""))),"")</f>
        <v/>
      </c>
      <c r="AY40" s="21">
        <f>IF(IFERROR(TRIM(INDEX($A40:$AL40,MATCH(Lists!$F$2,$A$1:$AL$1,0))&amp;""),"")="","",IF(AN40="","New",AN40))</f>
        <v/>
      </c>
      <c r="AZ40" s="21">
        <f>IF(IFERROR(TRIM(INDEX($A40:$AL40,MATCH(Lists!$F$2,$A$1:$AL$1,0))&amp;""),"")="","",IF(OR(IFERROR(TRIM(INDEX($A40:$AL40,MATCH(Lists!$F$13,$A$1:$AL$1,0))&amp;""),"")="Paid",IFERROR(TRIM(INDEX($A40:$AL40,MATCH(Lists!$F$13,$A$1:$AL$1,0))&amp;""),"")="Partially refunded"),"Paid",IF(AP40="Yes","Paid (by hand)",IFERROR(TRIM(INDEX($A40:$AL40,MATCH(Lists!$F$13,$A$1:$AL$1,0))&amp;""),""))))</f>
        <v/>
      </c>
      <c r="BA40" s="21">
        <f>IF(AND(IFERROR(TRIM(INDEX($A40:$AL40,MATCH(Lists!$F$2,$A$1:$AL$1,0))&amp;""),"")&lt;&gt;"",AT40&gt;0,AU40&gt;=0,AV40&gt;AU40,AY40&lt;&gt;"Declined"),1,0)</f>
        <v/>
      </c>
      <c r="BB40" s="21">
        <f>IF(BA40=1,COUNTIFS($AS$2:$AS$501,AS40,$AT$2:$AT$501,AT40,$AU$2:$AU$501,"&lt;"&amp;AV40,$AV$2:$AV$501,"&gt;"&amp;AU40,$BA$2:$BA$501,1)-1,"")</f>
        <v/>
      </c>
      <c r="BC40" s="21">
        <f>IF(N(BB40)&gt;0,"Clashes with "&amp;INDEX($AW$2:$AW$501,SUMPRODUCT(MAX(($AS$2:$AS$501=AS40)*($AT$2:$AT$501=AT40)*($AU$2:$AU$501&lt;AV40)*($AV$2:$AV$501&gt;AU40)*($BA$2:$BA$501=1)*(ROW($AS$2:$AS$501)&lt;&gt;ROW())*ROW($AS$2:$AS$501)))-1)&amp;" ("&amp;INDEX($AY$2:$AY$501,SUMPRODUCT(MAX(($AS$2:$AS$501=AS40)*($AT$2:$AT$501=AT40)*($AU$2:$AU$501&lt;AV40)*($AV$2:$AV$501&gt;AU40)*($BA$2:$BA$501=1)*(ROW($AS$2:$AS$501)&lt;&gt;ROW())*ROW($AS$2:$AS$501)))-1)&amp;")"&amp;IF(BB40&gt;1," and "&amp;(BB40-1)&amp;" more",""),"")</f>
        <v/>
      </c>
      <c r="BD40" s="21">
        <f>IF(AND(BA40=1,AY40="Confirmed"),AT40*10000000+AU40*1000+ROW(),"")</f>
        <v/>
      </c>
      <c r="BE40" s="21">
        <f>IF(IFERROR(TRIM(INDEX($A40:$AL40,MATCH(Lists!$F$2,$A$1:$AL$1,0))&amp;""),"")="","",IFERROR(TRIM(INDEX($A40:$AL40,MATCH(Lists!$F$11,$A$1:$AL$1,0))&amp;""),""))</f>
        <v/>
      </c>
      <c r="BF40" s="21">
        <f>IF(IFERROR(TRIM(INDEX($A40:$AL40,MATCH(Lists!$F$2,$A$1:$AL$1,0))&amp;""),"")="","",IFERROR(TRIM(INDEX($A40:$AL40,MATCH(Lists!$F$12,$A$1:$AL$1,0))&amp;""),""))</f>
        <v/>
      </c>
    </row>
    <row r="41">
      <c r="AM41" s="19" t="n"/>
      <c r="AN41" s="23" t="n"/>
      <c r="AO41" s="23" t="n"/>
      <c r="AP41" s="23" t="n"/>
      <c r="AQ41" s="23" t="n"/>
      <c r="AR41" s="19" t="n"/>
      <c r="AS41" s="21">
        <f>IF(IFERROR(TRIM(INDEX($A41:$AL41,MATCH(Lists!$F$2,$A$1:$AL$1,0))&amp;""),"")="","",IF(AND(IFERROR(TRIM(INDEX($A41:$AL41,MATCH(Lists!$F$3,$A$1:$AL$1,0))&amp;""),"")="Other",IFERROR(TRIM(INDEX($A41:$AL41,MATCH(Lists!$F$4,$A$1:$AL$1,0))&amp;""),"")&lt;&gt;""),IFERROR(TRIM(INDEX($A41:$AL41,MATCH(Lists!$F$4,$A$1:$AL$1,0))&amp;""),""),IF(IFERROR(TRIM(INDEX($A41:$AL41,MATCH(Lists!$F$3,$A$1:$AL$1,0))&amp;""),"")="","(no space)",IFERROR(TRIM(INDEX($A41:$AL41,MATCH(Lists!$F$3,$A$1:$AL$1,0))&amp;""),""))))</f>
        <v/>
      </c>
      <c r="AT41" s="22">
        <f>IF(IFERROR(TRIM(INDEX($A41:$AL41,MATCH(Lists!$F$2,$A$1:$AL$1,0))&amp;""),"")="",0,N(IFERROR(IF(TRIM(INDEX($A41:$AL41,MATCH(Lists!$F$5,$A$1:$AL$1,0))&amp;"")="","",IF(ISNUMBER(INDEX($A41:$AL41,MATCH(Lists!$F$5,$A$1:$AL$1,0))),INT(INDEX($A41:$AL41,MATCH(Lists!$F$5,$A$1:$AL$1,0))),DATE(VALUE(LEFT(INDEX($A41:$AL41,MATCH(Lists!$F$5,$A$1:$AL$1,0)),4)),VALUE(MID(INDEX($A41:$AL41,MATCH(Lists!$F$5,$A$1:$AL$1,0)),6,2)),VALUE(MID(INDEX($A41:$AL41,MATCH(Lists!$F$5,$A$1:$AL$1,0)),9,2))))),"")))</f>
        <v/>
      </c>
      <c r="AU41" s="21">
        <f>IF(IFERROR(TRIM(INDEX($A41:$AL41,MATCH(Lists!$F$2,$A$1:$AL$1,0))&amp;""),"")="",-1,IF(ISNUMBER(IFERROR(IF(TRIM(INDEX($A41:$AL41,MATCH(Lists!$F$6,$A$1:$AL$1,0))&amp;"")="","",IF(ISNUMBER(INDEX($A41:$AL41,MATCH(Lists!$F$6,$A$1:$AL$1,0))),ROUND(MOD(INDEX($A41:$AL41,MATCH(Lists!$F$6,$A$1:$AL$1,0)),1)*1440,0),VALUE(LEFT(INDEX($A41:$AL41,MATCH(Lists!$F$6,$A$1:$AL$1,0)),2))*60+VALUE(MID(INDEX($A41:$AL41,MATCH(Lists!$F$6,$A$1:$AL$1,0)),4,2)))),"")),IFERROR(IF(TRIM(INDEX($A41:$AL41,MATCH(Lists!$F$6,$A$1:$AL$1,0))&amp;"")="","",IF(ISNUMBER(INDEX($A41:$AL41,MATCH(Lists!$F$6,$A$1:$AL$1,0))),ROUND(MOD(INDEX($A41:$AL41,MATCH(Lists!$F$6,$A$1:$AL$1,0)),1)*1440,0),VALUE(LEFT(INDEX($A41:$AL41,MATCH(Lists!$F$6,$A$1:$AL$1,0)),2))*60+VALUE(MID(INDEX($A41:$AL41,MATCH(Lists!$F$6,$A$1:$AL$1,0)),4,2)))),""),-1))</f>
        <v/>
      </c>
      <c r="AV41" s="21">
        <f>IF(IFERROR(TRIM(INDEX($A41:$AL41,MATCH(Lists!$F$2,$A$1:$AL$1,0))&amp;""),"")="",-1,IF(ISNUMBER(IFERROR(IF(TRIM(INDEX($A41:$AL41,MATCH(Lists!$F$7,$A$1:$AL$1,0))&amp;"")="","",IF(ISNUMBER(INDEX($A41:$AL41,MATCH(Lists!$F$7,$A$1:$AL$1,0))),ROUND(MOD(INDEX($A41:$AL41,MATCH(Lists!$F$7,$A$1:$AL$1,0)),1)*1440,0),VALUE(LEFT(INDEX($A41:$AL41,MATCH(Lists!$F$7,$A$1:$AL$1,0)),2))*60+VALUE(MID(INDEX($A41:$AL41,MATCH(Lists!$F$7,$A$1:$AL$1,0)),4,2)))),"")),IFERROR(IF(TRIM(INDEX($A41:$AL41,MATCH(Lists!$F$7,$A$1:$AL$1,0))&amp;"")="","",IF(ISNUMBER(INDEX($A41:$AL41,MATCH(Lists!$F$7,$A$1:$AL$1,0))),ROUND(MOD(INDEX($A41:$AL41,MATCH(Lists!$F$7,$A$1:$AL$1,0)),1)*1440,0),VALUE(LEFT(INDEX($A41:$AL41,MATCH(Lists!$F$7,$A$1:$AL$1,0)),2))*60+VALUE(MID(INDEX($A41:$AL41,MATCH(Lists!$F$7,$A$1:$AL$1,0)),4,2)))),""),-1))</f>
        <v/>
      </c>
      <c r="AW41" s="21">
        <f>IF(IFERROR(TRIM(INDEX($A41:$AL41,MATCH(Lists!$F$2,$A$1:$AL$1,0))&amp;""),"")="","",IF(IFERROR(TRIM(INDEX($A41:$AL41,MATCH(Lists!$F$8,$A$1:$AL$1,0))&amp;""),"")&lt;&gt;"",IFERROR(TRIM(INDEX($A41:$AL41,MATCH(Lists!$F$8,$A$1:$AL$1,0))&amp;""),""),IFERROR(TRIM(INDEX($A41:$AL41,MATCH(Lists!$F$9,$A$1:$AL$1,0))&amp;""),"")))</f>
        <v/>
      </c>
      <c r="AX41" s="21">
        <f>IFERROR(IF(TRIM(INDEX($A41:$AL41,MATCH(Lists!$F$10,$A$1:$AL$1,0))&amp;"")="","",VALUE(TRIM(INDEX($A41:$AL41,MATCH(Lists!$F$10,$A$1:$AL$1,0))&amp;""))),"")</f>
        <v/>
      </c>
      <c r="AY41" s="21">
        <f>IF(IFERROR(TRIM(INDEX($A41:$AL41,MATCH(Lists!$F$2,$A$1:$AL$1,0))&amp;""),"")="","",IF(AN41="","New",AN41))</f>
        <v/>
      </c>
      <c r="AZ41" s="21">
        <f>IF(IFERROR(TRIM(INDEX($A41:$AL41,MATCH(Lists!$F$2,$A$1:$AL$1,0))&amp;""),"")="","",IF(OR(IFERROR(TRIM(INDEX($A41:$AL41,MATCH(Lists!$F$13,$A$1:$AL$1,0))&amp;""),"")="Paid",IFERROR(TRIM(INDEX($A41:$AL41,MATCH(Lists!$F$13,$A$1:$AL$1,0))&amp;""),"")="Partially refunded"),"Paid",IF(AP41="Yes","Paid (by hand)",IFERROR(TRIM(INDEX($A41:$AL41,MATCH(Lists!$F$13,$A$1:$AL$1,0))&amp;""),""))))</f>
        <v/>
      </c>
      <c r="BA41" s="21">
        <f>IF(AND(IFERROR(TRIM(INDEX($A41:$AL41,MATCH(Lists!$F$2,$A$1:$AL$1,0))&amp;""),"")&lt;&gt;"",AT41&gt;0,AU41&gt;=0,AV41&gt;AU41,AY41&lt;&gt;"Declined"),1,0)</f>
        <v/>
      </c>
      <c r="BB41" s="21">
        <f>IF(BA41=1,COUNTIFS($AS$2:$AS$501,AS41,$AT$2:$AT$501,AT41,$AU$2:$AU$501,"&lt;"&amp;AV41,$AV$2:$AV$501,"&gt;"&amp;AU41,$BA$2:$BA$501,1)-1,"")</f>
        <v/>
      </c>
      <c r="BC41" s="21">
        <f>IF(N(BB41)&gt;0,"Clashes with "&amp;INDEX($AW$2:$AW$501,SUMPRODUCT(MAX(($AS$2:$AS$501=AS41)*($AT$2:$AT$501=AT41)*($AU$2:$AU$501&lt;AV41)*($AV$2:$AV$501&gt;AU41)*($BA$2:$BA$501=1)*(ROW($AS$2:$AS$501)&lt;&gt;ROW())*ROW($AS$2:$AS$501)))-1)&amp;" ("&amp;INDEX($AY$2:$AY$501,SUMPRODUCT(MAX(($AS$2:$AS$501=AS41)*($AT$2:$AT$501=AT41)*($AU$2:$AU$501&lt;AV41)*($AV$2:$AV$501&gt;AU41)*($BA$2:$BA$501=1)*(ROW($AS$2:$AS$501)&lt;&gt;ROW())*ROW($AS$2:$AS$501)))-1)&amp;")"&amp;IF(BB41&gt;1," and "&amp;(BB41-1)&amp;" more",""),"")</f>
        <v/>
      </c>
      <c r="BD41" s="21">
        <f>IF(AND(BA41=1,AY41="Confirmed"),AT41*10000000+AU41*1000+ROW(),"")</f>
        <v/>
      </c>
      <c r="BE41" s="21">
        <f>IF(IFERROR(TRIM(INDEX($A41:$AL41,MATCH(Lists!$F$2,$A$1:$AL$1,0))&amp;""),"")="","",IFERROR(TRIM(INDEX($A41:$AL41,MATCH(Lists!$F$11,$A$1:$AL$1,0))&amp;""),""))</f>
        <v/>
      </c>
      <c r="BF41" s="21">
        <f>IF(IFERROR(TRIM(INDEX($A41:$AL41,MATCH(Lists!$F$2,$A$1:$AL$1,0))&amp;""),"")="","",IFERROR(TRIM(INDEX($A41:$AL41,MATCH(Lists!$F$12,$A$1:$AL$1,0))&amp;""),""))</f>
        <v/>
      </c>
    </row>
    <row r="42">
      <c r="AM42" s="19" t="n"/>
      <c r="AN42" s="23" t="n"/>
      <c r="AO42" s="23" t="n"/>
      <c r="AP42" s="23" t="n"/>
      <c r="AQ42" s="23" t="n"/>
      <c r="AR42" s="19" t="n"/>
      <c r="AS42" s="21">
        <f>IF(IFERROR(TRIM(INDEX($A42:$AL42,MATCH(Lists!$F$2,$A$1:$AL$1,0))&amp;""),"")="","",IF(AND(IFERROR(TRIM(INDEX($A42:$AL42,MATCH(Lists!$F$3,$A$1:$AL$1,0))&amp;""),"")="Other",IFERROR(TRIM(INDEX($A42:$AL42,MATCH(Lists!$F$4,$A$1:$AL$1,0))&amp;""),"")&lt;&gt;""),IFERROR(TRIM(INDEX($A42:$AL42,MATCH(Lists!$F$4,$A$1:$AL$1,0))&amp;""),""),IF(IFERROR(TRIM(INDEX($A42:$AL42,MATCH(Lists!$F$3,$A$1:$AL$1,0))&amp;""),"")="","(no space)",IFERROR(TRIM(INDEX($A42:$AL42,MATCH(Lists!$F$3,$A$1:$AL$1,0))&amp;""),""))))</f>
        <v/>
      </c>
      <c r="AT42" s="22">
        <f>IF(IFERROR(TRIM(INDEX($A42:$AL42,MATCH(Lists!$F$2,$A$1:$AL$1,0))&amp;""),"")="",0,N(IFERROR(IF(TRIM(INDEX($A42:$AL42,MATCH(Lists!$F$5,$A$1:$AL$1,0))&amp;"")="","",IF(ISNUMBER(INDEX($A42:$AL42,MATCH(Lists!$F$5,$A$1:$AL$1,0))),INT(INDEX($A42:$AL42,MATCH(Lists!$F$5,$A$1:$AL$1,0))),DATE(VALUE(LEFT(INDEX($A42:$AL42,MATCH(Lists!$F$5,$A$1:$AL$1,0)),4)),VALUE(MID(INDEX($A42:$AL42,MATCH(Lists!$F$5,$A$1:$AL$1,0)),6,2)),VALUE(MID(INDEX($A42:$AL42,MATCH(Lists!$F$5,$A$1:$AL$1,0)),9,2))))),"")))</f>
        <v/>
      </c>
      <c r="AU42" s="21">
        <f>IF(IFERROR(TRIM(INDEX($A42:$AL42,MATCH(Lists!$F$2,$A$1:$AL$1,0))&amp;""),"")="",-1,IF(ISNUMBER(IFERROR(IF(TRIM(INDEX($A42:$AL42,MATCH(Lists!$F$6,$A$1:$AL$1,0))&amp;"")="","",IF(ISNUMBER(INDEX($A42:$AL42,MATCH(Lists!$F$6,$A$1:$AL$1,0))),ROUND(MOD(INDEX($A42:$AL42,MATCH(Lists!$F$6,$A$1:$AL$1,0)),1)*1440,0),VALUE(LEFT(INDEX($A42:$AL42,MATCH(Lists!$F$6,$A$1:$AL$1,0)),2))*60+VALUE(MID(INDEX($A42:$AL42,MATCH(Lists!$F$6,$A$1:$AL$1,0)),4,2)))),"")),IFERROR(IF(TRIM(INDEX($A42:$AL42,MATCH(Lists!$F$6,$A$1:$AL$1,0))&amp;"")="","",IF(ISNUMBER(INDEX($A42:$AL42,MATCH(Lists!$F$6,$A$1:$AL$1,0))),ROUND(MOD(INDEX($A42:$AL42,MATCH(Lists!$F$6,$A$1:$AL$1,0)),1)*1440,0),VALUE(LEFT(INDEX($A42:$AL42,MATCH(Lists!$F$6,$A$1:$AL$1,0)),2))*60+VALUE(MID(INDEX($A42:$AL42,MATCH(Lists!$F$6,$A$1:$AL$1,0)),4,2)))),""),-1))</f>
        <v/>
      </c>
      <c r="AV42" s="21">
        <f>IF(IFERROR(TRIM(INDEX($A42:$AL42,MATCH(Lists!$F$2,$A$1:$AL$1,0))&amp;""),"")="",-1,IF(ISNUMBER(IFERROR(IF(TRIM(INDEX($A42:$AL42,MATCH(Lists!$F$7,$A$1:$AL$1,0))&amp;"")="","",IF(ISNUMBER(INDEX($A42:$AL42,MATCH(Lists!$F$7,$A$1:$AL$1,0))),ROUND(MOD(INDEX($A42:$AL42,MATCH(Lists!$F$7,$A$1:$AL$1,0)),1)*1440,0),VALUE(LEFT(INDEX($A42:$AL42,MATCH(Lists!$F$7,$A$1:$AL$1,0)),2))*60+VALUE(MID(INDEX($A42:$AL42,MATCH(Lists!$F$7,$A$1:$AL$1,0)),4,2)))),"")),IFERROR(IF(TRIM(INDEX($A42:$AL42,MATCH(Lists!$F$7,$A$1:$AL$1,0))&amp;"")="","",IF(ISNUMBER(INDEX($A42:$AL42,MATCH(Lists!$F$7,$A$1:$AL$1,0))),ROUND(MOD(INDEX($A42:$AL42,MATCH(Lists!$F$7,$A$1:$AL$1,0)),1)*1440,0),VALUE(LEFT(INDEX($A42:$AL42,MATCH(Lists!$F$7,$A$1:$AL$1,0)),2))*60+VALUE(MID(INDEX($A42:$AL42,MATCH(Lists!$F$7,$A$1:$AL$1,0)),4,2)))),""),-1))</f>
        <v/>
      </c>
      <c r="AW42" s="21">
        <f>IF(IFERROR(TRIM(INDEX($A42:$AL42,MATCH(Lists!$F$2,$A$1:$AL$1,0))&amp;""),"")="","",IF(IFERROR(TRIM(INDEX($A42:$AL42,MATCH(Lists!$F$8,$A$1:$AL$1,0))&amp;""),"")&lt;&gt;"",IFERROR(TRIM(INDEX($A42:$AL42,MATCH(Lists!$F$8,$A$1:$AL$1,0))&amp;""),""),IFERROR(TRIM(INDEX($A42:$AL42,MATCH(Lists!$F$9,$A$1:$AL$1,0))&amp;""),"")))</f>
        <v/>
      </c>
      <c r="AX42" s="21">
        <f>IFERROR(IF(TRIM(INDEX($A42:$AL42,MATCH(Lists!$F$10,$A$1:$AL$1,0))&amp;"")="","",VALUE(TRIM(INDEX($A42:$AL42,MATCH(Lists!$F$10,$A$1:$AL$1,0))&amp;""))),"")</f>
        <v/>
      </c>
      <c r="AY42" s="21">
        <f>IF(IFERROR(TRIM(INDEX($A42:$AL42,MATCH(Lists!$F$2,$A$1:$AL$1,0))&amp;""),"")="","",IF(AN42="","New",AN42))</f>
        <v/>
      </c>
      <c r="AZ42" s="21">
        <f>IF(IFERROR(TRIM(INDEX($A42:$AL42,MATCH(Lists!$F$2,$A$1:$AL$1,0))&amp;""),"")="","",IF(OR(IFERROR(TRIM(INDEX($A42:$AL42,MATCH(Lists!$F$13,$A$1:$AL$1,0))&amp;""),"")="Paid",IFERROR(TRIM(INDEX($A42:$AL42,MATCH(Lists!$F$13,$A$1:$AL$1,0))&amp;""),"")="Partially refunded"),"Paid",IF(AP42="Yes","Paid (by hand)",IFERROR(TRIM(INDEX($A42:$AL42,MATCH(Lists!$F$13,$A$1:$AL$1,0))&amp;""),""))))</f>
        <v/>
      </c>
      <c r="BA42" s="21">
        <f>IF(AND(IFERROR(TRIM(INDEX($A42:$AL42,MATCH(Lists!$F$2,$A$1:$AL$1,0))&amp;""),"")&lt;&gt;"",AT42&gt;0,AU42&gt;=0,AV42&gt;AU42,AY42&lt;&gt;"Declined"),1,0)</f>
        <v/>
      </c>
      <c r="BB42" s="21">
        <f>IF(BA42=1,COUNTIFS($AS$2:$AS$501,AS42,$AT$2:$AT$501,AT42,$AU$2:$AU$501,"&lt;"&amp;AV42,$AV$2:$AV$501,"&gt;"&amp;AU42,$BA$2:$BA$501,1)-1,"")</f>
        <v/>
      </c>
      <c r="BC42" s="21">
        <f>IF(N(BB42)&gt;0,"Clashes with "&amp;INDEX($AW$2:$AW$501,SUMPRODUCT(MAX(($AS$2:$AS$501=AS42)*($AT$2:$AT$501=AT42)*($AU$2:$AU$501&lt;AV42)*($AV$2:$AV$501&gt;AU42)*($BA$2:$BA$501=1)*(ROW($AS$2:$AS$501)&lt;&gt;ROW())*ROW($AS$2:$AS$501)))-1)&amp;" ("&amp;INDEX($AY$2:$AY$501,SUMPRODUCT(MAX(($AS$2:$AS$501=AS42)*($AT$2:$AT$501=AT42)*($AU$2:$AU$501&lt;AV42)*($AV$2:$AV$501&gt;AU42)*($BA$2:$BA$501=1)*(ROW($AS$2:$AS$501)&lt;&gt;ROW())*ROW($AS$2:$AS$501)))-1)&amp;")"&amp;IF(BB42&gt;1," and "&amp;(BB42-1)&amp;" more",""),"")</f>
        <v/>
      </c>
      <c r="BD42" s="21">
        <f>IF(AND(BA42=1,AY42="Confirmed"),AT42*10000000+AU42*1000+ROW(),"")</f>
        <v/>
      </c>
      <c r="BE42" s="21">
        <f>IF(IFERROR(TRIM(INDEX($A42:$AL42,MATCH(Lists!$F$2,$A$1:$AL$1,0))&amp;""),"")="","",IFERROR(TRIM(INDEX($A42:$AL42,MATCH(Lists!$F$11,$A$1:$AL$1,0))&amp;""),""))</f>
        <v/>
      </c>
      <c r="BF42" s="21">
        <f>IF(IFERROR(TRIM(INDEX($A42:$AL42,MATCH(Lists!$F$2,$A$1:$AL$1,0))&amp;""),"")="","",IFERROR(TRIM(INDEX($A42:$AL42,MATCH(Lists!$F$12,$A$1:$AL$1,0))&amp;""),""))</f>
        <v/>
      </c>
    </row>
    <row r="43">
      <c r="AM43" s="19" t="n"/>
      <c r="AN43" s="23" t="n"/>
      <c r="AO43" s="23" t="n"/>
      <c r="AP43" s="23" t="n"/>
      <c r="AQ43" s="23" t="n"/>
      <c r="AR43" s="19" t="n"/>
      <c r="AS43" s="21">
        <f>IF(IFERROR(TRIM(INDEX($A43:$AL43,MATCH(Lists!$F$2,$A$1:$AL$1,0))&amp;""),"")="","",IF(AND(IFERROR(TRIM(INDEX($A43:$AL43,MATCH(Lists!$F$3,$A$1:$AL$1,0))&amp;""),"")="Other",IFERROR(TRIM(INDEX($A43:$AL43,MATCH(Lists!$F$4,$A$1:$AL$1,0))&amp;""),"")&lt;&gt;""),IFERROR(TRIM(INDEX($A43:$AL43,MATCH(Lists!$F$4,$A$1:$AL$1,0))&amp;""),""),IF(IFERROR(TRIM(INDEX($A43:$AL43,MATCH(Lists!$F$3,$A$1:$AL$1,0))&amp;""),"")="","(no space)",IFERROR(TRIM(INDEX($A43:$AL43,MATCH(Lists!$F$3,$A$1:$AL$1,0))&amp;""),""))))</f>
        <v/>
      </c>
      <c r="AT43" s="22">
        <f>IF(IFERROR(TRIM(INDEX($A43:$AL43,MATCH(Lists!$F$2,$A$1:$AL$1,0))&amp;""),"")="",0,N(IFERROR(IF(TRIM(INDEX($A43:$AL43,MATCH(Lists!$F$5,$A$1:$AL$1,0))&amp;"")="","",IF(ISNUMBER(INDEX($A43:$AL43,MATCH(Lists!$F$5,$A$1:$AL$1,0))),INT(INDEX($A43:$AL43,MATCH(Lists!$F$5,$A$1:$AL$1,0))),DATE(VALUE(LEFT(INDEX($A43:$AL43,MATCH(Lists!$F$5,$A$1:$AL$1,0)),4)),VALUE(MID(INDEX($A43:$AL43,MATCH(Lists!$F$5,$A$1:$AL$1,0)),6,2)),VALUE(MID(INDEX($A43:$AL43,MATCH(Lists!$F$5,$A$1:$AL$1,0)),9,2))))),"")))</f>
        <v/>
      </c>
      <c r="AU43" s="21">
        <f>IF(IFERROR(TRIM(INDEX($A43:$AL43,MATCH(Lists!$F$2,$A$1:$AL$1,0))&amp;""),"")="",-1,IF(ISNUMBER(IFERROR(IF(TRIM(INDEX($A43:$AL43,MATCH(Lists!$F$6,$A$1:$AL$1,0))&amp;"")="","",IF(ISNUMBER(INDEX($A43:$AL43,MATCH(Lists!$F$6,$A$1:$AL$1,0))),ROUND(MOD(INDEX($A43:$AL43,MATCH(Lists!$F$6,$A$1:$AL$1,0)),1)*1440,0),VALUE(LEFT(INDEX($A43:$AL43,MATCH(Lists!$F$6,$A$1:$AL$1,0)),2))*60+VALUE(MID(INDEX($A43:$AL43,MATCH(Lists!$F$6,$A$1:$AL$1,0)),4,2)))),"")),IFERROR(IF(TRIM(INDEX($A43:$AL43,MATCH(Lists!$F$6,$A$1:$AL$1,0))&amp;"")="","",IF(ISNUMBER(INDEX($A43:$AL43,MATCH(Lists!$F$6,$A$1:$AL$1,0))),ROUND(MOD(INDEX($A43:$AL43,MATCH(Lists!$F$6,$A$1:$AL$1,0)),1)*1440,0),VALUE(LEFT(INDEX($A43:$AL43,MATCH(Lists!$F$6,$A$1:$AL$1,0)),2))*60+VALUE(MID(INDEX($A43:$AL43,MATCH(Lists!$F$6,$A$1:$AL$1,0)),4,2)))),""),-1))</f>
        <v/>
      </c>
      <c r="AV43" s="21">
        <f>IF(IFERROR(TRIM(INDEX($A43:$AL43,MATCH(Lists!$F$2,$A$1:$AL$1,0))&amp;""),"")="",-1,IF(ISNUMBER(IFERROR(IF(TRIM(INDEX($A43:$AL43,MATCH(Lists!$F$7,$A$1:$AL$1,0))&amp;"")="","",IF(ISNUMBER(INDEX($A43:$AL43,MATCH(Lists!$F$7,$A$1:$AL$1,0))),ROUND(MOD(INDEX($A43:$AL43,MATCH(Lists!$F$7,$A$1:$AL$1,0)),1)*1440,0),VALUE(LEFT(INDEX($A43:$AL43,MATCH(Lists!$F$7,$A$1:$AL$1,0)),2))*60+VALUE(MID(INDEX($A43:$AL43,MATCH(Lists!$F$7,$A$1:$AL$1,0)),4,2)))),"")),IFERROR(IF(TRIM(INDEX($A43:$AL43,MATCH(Lists!$F$7,$A$1:$AL$1,0))&amp;"")="","",IF(ISNUMBER(INDEX($A43:$AL43,MATCH(Lists!$F$7,$A$1:$AL$1,0))),ROUND(MOD(INDEX($A43:$AL43,MATCH(Lists!$F$7,$A$1:$AL$1,0)),1)*1440,0),VALUE(LEFT(INDEX($A43:$AL43,MATCH(Lists!$F$7,$A$1:$AL$1,0)),2))*60+VALUE(MID(INDEX($A43:$AL43,MATCH(Lists!$F$7,$A$1:$AL$1,0)),4,2)))),""),-1))</f>
        <v/>
      </c>
      <c r="AW43" s="21">
        <f>IF(IFERROR(TRIM(INDEX($A43:$AL43,MATCH(Lists!$F$2,$A$1:$AL$1,0))&amp;""),"")="","",IF(IFERROR(TRIM(INDEX($A43:$AL43,MATCH(Lists!$F$8,$A$1:$AL$1,0))&amp;""),"")&lt;&gt;"",IFERROR(TRIM(INDEX($A43:$AL43,MATCH(Lists!$F$8,$A$1:$AL$1,0))&amp;""),""),IFERROR(TRIM(INDEX($A43:$AL43,MATCH(Lists!$F$9,$A$1:$AL$1,0))&amp;""),"")))</f>
        <v/>
      </c>
      <c r="AX43" s="21">
        <f>IFERROR(IF(TRIM(INDEX($A43:$AL43,MATCH(Lists!$F$10,$A$1:$AL$1,0))&amp;"")="","",VALUE(TRIM(INDEX($A43:$AL43,MATCH(Lists!$F$10,$A$1:$AL$1,0))&amp;""))),"")</f>
        <v/>
      </c>
      <c r="AY43" s="21">
        <f>IF(IFERROR(TRIM(INDEX($A43:$AL43,MATCH(Lists!$F$2,$A$1:$AL$1,0))&amp;""),"")="","",IF(AN43="","New",AN43))</f>
        <v/>
      </c>
      <c r="AZ43" s="21">
        <f>IF(IFERROR(TRIM(INDEX($A43:$AL43,MATCH(Lists!$F$2,$A$1:$AL$1,0))&amp;""),"")="","",IF(OR(IFERROR(TRIM(INDEX($A43:$AL43,MATCH(Lists!$F$13,$A$1:$AL$1,0))&amp;""),"")="Paid",IFERROR(TRIM(INDEX($A43:$AL43,MATCH(Lists!$F$13,$A$1:$AL$1,0))&amp;""),"")="Partially refunded"),"Paid",IF(AP43="Yes","Paid (by hand)",IFERROR(TRIM(INDEX($A43:$AL43,MATCH(Lists!$F$13,$A$1:$AL$1,0))&amp;""),""))))</f>
        <v/>
      </c>
      <c r="BA43" s="21">
        <f>IF(AND(IFERROR(TRIM(INDEX($A43:$AL43,MATCH(Lists!$F$2,$A$1:$AL$1,0))&amp;""),"")&lt;&gt;"",AT43&gt;0,AU43&gt;=0,AV43&gt;AU43,AY43&lt;&gt;"Declined"),1,0)</f>
        <v/>
      </c>
      <c r="BB43" s="21">
        <f>IF(BA43=1,COUNTIFS($AS$2:$AS$501,AS43,$AT$2:$AT$501,AT43,$AU$2:$AU$501,"&lt;"&amp;AV43,$AV$2:$AV$501,"&gt;"&amp;AU43,$BA$2:$BA$501,1)-1,"")</f>
        <v/>
      </c>
      <c r="BC43" s="21">
        <f>IF(N(BB43)&gt;0,"Clashes with "&amp;INDEX($AW$2:$AW$501,SUMPRODUCT(MAX(($AS$2:$AS$501=AS43)*($AT$2:$AT$501=AT43)*($AU$2:$AU$501&lt;AV43)*($AV$2:$AV$501&gt;AU43)*($BA$2:$BA$501=1)*(ROW($AS$2:$AS$501)&lt;&gt;ROW())*ROW($AS$2:$AS$501)))-1)&amp;" ("&amp;INDEX($AY$2:$AY$501,SUMPRODUCT(MAX(($AS$2:$AS$501=AS43)*($AT$2:$AT$501=AT43)*($AU$2:$AU$501&lt;AV43)*($AV$2:$AV$501&gt;AU43)*($BA$2:$BA$501=1)*(ROW($AS$2:$AS$501)&lt;&gt;ROW())*ROW($AS$2:$AS$501)))-1)&amp;")"&amp;IF(BB43&gt;1," and "&amp;(BB43-1)&amp;" more",""),"")</f>
        <v/>
      </c>
      <c r="BD43" s="21">
        <f>IF(AND(BA43=1,AY43="Confirmed"),AT43*10000000+AU43*1000+ROW(),"")</f>
        <v/>
      </c>
      <c r="BE43" s="21">
        <f>IF(IFERROR(TRIM(INDEX($A43:$AL43,MATCH(Lists!$F$2,$A$1:$AL$1,0))&amp;""),"")="","",IFERROR(TRIM(INDEX($A43:$AL43,MATCH(Lists!$F$11,$A$1:$AL$1,0))&amp;""),""))</f>
        <v/>
      </c>
      <c r="BF43" s="21">
        <f>IF(IFERROR(TRIM(INDEX($A43:$AL43,MATCH(Lists!$F$2,$A$1:$AL$1,0))&amp;""),"")="","",IFERROR(TRIM(INDEX($A43:$AL43,MATCH(Lists!$F$12,$A$1:$AL$1,0))&amp;""),""))</f>
        <v/>
      </c>
    </row>
    <row r="44">
      <c r="AM44" s="19" t="n"/>
      <c r="AN44" s="23" t="n"/>
      <c r="AO44" s="23" t="n"/>
      <c r="AP44" s="23" t="n"/>
      <c r="AQ44" s="23" t="n"/>
      <c r="AR44" s="19" t="n"/>
      <c r="AS44" s="21">
        <f>IF(IFERROR(TRIM(INDEX($A44:$AL44,MATCH(Lists!$F$2,$A$1:$AL$1,0))&amp;""),"")="","",IF(AND(IFERROR(TRIM(INDEX($A44:$AL44,MATCH(Lists!$F$3,$A$1:$AL$1,0))&amp;""),"")="Other",IFERROR(TRIM(INDEX($A44:$AL44,MATCH(Lists!$F$4,$A$1:$AL$1,0))&amp;""),"")&lt;&gt;""),IFERROR(TRIM(INDEX($A44:$AL44,MATCH(Lists!$F$4,$A$1:$AL$1,0))&amp;""),""),IF(IFERROR(TRIM(INDEX($A44:$AL44,MATCH(Lists!$F$3,$A$1:$AL$1,0))&amp;""),"")="","(no space)",IFERROR(TRIM(INDEX($A44:$AL44,MATCH(Lists!$F$3,$A$1:$AL$1,0))&amp;""),""))))</f>
        <v/>
      </c>
      <c r="AT44" s="22">
        <f>IF(IFERROR(TRIM(INDEX($A44:$AL44,MATCH(Lists!$F$2,$A$1:$AL$1,0))&amp;""),"")="",0,N(IFERROR(IF(TRIM(INDEX($A44:$AL44,MATCH(Lists!$F$5,$A$1:$AL$1,0))&amp;"")="","",IF(ISNUMBER(INDEX($A44:$AL44,MATCH(Lists!$F$5,$A$1:$AL$1,0))),INT(INDEX($A44:$AL44,MATCH(Lists!$F$5,$A$1:$AL$1,0))),DATE(VALUE(LEFT(INDEX($A44:$AL44,MATCH(Lists!$F$5,$A$1:$AL$1,0)),4)),VALUE(MID(INDEX($A44:$AL44,MATCH(Lists!$F$5,$A$1:$AL$1,0)),6,2)),VALUE(MID(INDEX($A44:$AL44,MATCH(Lists!$F$5,$A$1:$AL$1,0)),9,2))))),"")))</f>
        <v/>
      </c>
      <c r="AU44" s="21">
        <f>IF(IFERROR(TRIM(INDEX($A44:$AL44,MATCH(Lists!$F$2,$A$1:$AL$1,0))&amp;""),"")="",-1,IF(ISNUMBER(IFERROR(IF(TRIM(INDEX($A44:$AL44,MATCH(Lists!$F$6,$A$1:$AL$1,0))&amp;"")="","",IF(ISNUMBER(INDEX($A44:$AL44,MATCH(Lists!$F$6,$A$1:$AL$1,0))),ROUND(MOD(INDEX($A44:$AL44,MATCH(Lists!$F$6,$A$1:$AL$1,0)),1)*1440,0),VALUE(LEFT(INDEX($A44:$AL44,MATCH(Lists!$F$6,$A$1:$AL$1,0)),2))*60+VALUE(MID(INDEX($A44:$AL44,MATCH(Lists!$F$6,$A$1:$AL$1,0)),4,2)))),"")),IFERROR(IF(TRIM(INDEX($A44:$AL44,MATCH(Lists!$F$6,$A$1:$AL$1,0))&amp;"")="","",IF(ISNUMBER(INDEX($A44:$AL44,MATCH(Lists!$F$6,$A$1:$AL$1,0))),ROUND(MOD(INDEX($A44:$AL44,MATCH(Lists!$F$6,$A$1:$AL$1,0)),1)*1440,0),VALUE(LEFT(INDEX($A44:$AL44,MATCH(Lists!$F$6,$A$1:$AL$1,0)),2))*60+VALUE(MID(INDEX($A44:$AL44,MATCH(Lists!$F$6,$A$1:$AL$1,0)),4,2)))),""),-1))</f>
        <v/>
      </c>
      <c r="AV44" s="21">
        <f>IF(IFERROR(TRIM(INDEX($A44:$AL44,MATCH(Lists!$F$2,$A$1:$AL$1,0))&amp;""),"")="",-1,IF(ISNUMBER(IFERROR(IF(TRIM(INDEX($A44:$AL44,MATCH(Lists!$F$7,$A$1:$AL$1,0))&amp;"")="","",IF(ISNUMBER(INDEX($A44:$AL44,MATCH(Lists!$F$7,$A$1:$AL$1,0))),ROUND(MOD(INDEX($A44:$AL44,MATCH(Lists!$F$7,$A$1:$AL$1,0)),1)*1440,0),VALUE(LEFT(INDEX($A44:$AL44,MATCH(Lists!$F$7,$A$1:$AL$1,0)),2))*60+VALUE(MID(INDEX($A44:$AL44,MATCH(Lists!$F$7,$A$1:$AL$1,0)),4,2)))),"")),IFERROR(IF(TRIM(INDEX($A44:$AL44,MATCH(Lists!$F$7,$A$1:$AL$1,0))&amp;"")="","",IF(ISNUMBER(INDEX($A44:$AL44,MATCH(Lists!$F$7,$A$1:$AL$1,0))),ROUND(MOD(INDEX($A44:$AL44,MATCH(Lists!$F$7,$A$1:$AL$1,0)),1)*1440,0),VALUE(LEFT(INDEX($A44:$AL44,MATCH(Lists!$F$7,$A$1:$AL$1,0)),2))*60+VALUE(MID(INDEX($A44:$AL44,MATCH(Lists!$F$7,$A$1:$AL$1,0)),4,2)))),""),-1))</f>
        <v/>
      </c>
      <c r="AW44" s="21">
        <f>IF(IFERROR(TRIM(INDEX($A44:$AL44,MATCH(Lists!$F$2,$A$1:$AL$1,0))&amp;""),"")="","",IF(IFERROR(TRIM(INDEX($A44:$AL44,MATCH(Lists!$F$8,$A$1:$AL$1,0))&amp;""),"")&lt;&gt;"",IFERROR(TRIM(INDEX($A44:$AL44,MATCH(Lists!$F$8,$A$1:$AL$1,0))&amp;""),""),IFERROR(TRIM(INDEX($A44:$AL44,MATCH(Lists!$F$9,$A$1:$AL$1,0))&amp;""),"")))</f>
        <v/>
      </c>
      <c r="AX44" s="21">
        <f>IFERROR(IF(TRIM(INDEX($A44:$AL44,MATCH(Lists!$F$10,$A$1:$AL$1,0))&amp;"")="","",VALUE(TRIM(INDEX($A44:$AL44,MATCH(Lists!$F$10,$A$1:$AL$1,0))&amp;""))),"")</f>
        <v/>
      </c>
      <c r="AY44" s="21">
        <f>IF(IFERROR(TRIM(INDEX($A44:$AL44,MATCH(Lists!$F$2,$A$1:$AL$1,0))&amp;""),"")="","",IF(AN44="","New",AN44))</f>
        <v/>
      </c>
      <c r="AZ44" s="21">
        <f>IF(IFERROR(TRIM(INDEX($A44:$AL44,MATCH(Lists!$F$2,$A$1:$AL$1,0))&amp;""),"")="","",IF(OR(IFERROR(TRIM(INDEX($A44:$AL44,MATCH(Lists!$F$13,$A$1:$AL$1,0))&amp;""),"")="Paid",IFERROR(TRIM(INDEX($A44:$AL44,MATCH(Lists!$F$13,$A$1:$AL$1,0))&amp;""),"")="Partially refunded"),"Paid",IF(AP44="Yes","Paid (by hand)",IFERROR(TRIM(INDEX($A44:$AL44,MATCH(Lists!$F$13,$A$1:$AL$1,0))&amp;""),""))))</f>
        <v/>
      </c>
      <c r="BA44" s="21">
        <f>IF(AND(IFERROR(TRIM(INDEX($A44:$AL44,MATCH(Lists!$F$2,$A$1:$AL$1,0))&amp;""),"")&lt;&gt;"",AT44&gt;0,AU44&gt;=0,AV44&gt;AU44,AY44&lt;&gt;"Declined"),1,0)</f>
        <v/>
      </c>
      <c r="BB44" s="21">
        <f>IF(BA44=1,COUNTIFS($AS$2:$AS$501,AS44,$AT$2:$AT$501,AT44,$AU$2:$AU$501,"&lt;"&amp;AV44,$AV$2:$AV$501,"&gt;"&amp;AU44,$BA$2:$BA$501,1)-1,"")</f>
        <v/>
      </c>
      <c r="BC44" s="21">
        <f>IF(N(BB44)&gt;0,"Clashes with "&amp;INDEX($AW$2:$AW$501,SUMPRODUCT(MAX(($AS$2:$AS$501=AS44)*($AT$2:$AT$501=AT44)*($AU$2:$AU$501&lt;AV44)*($AV$2:$AV$501&gt;AU44)*($BA$2:$BA$501=1)*(ROW($AS$2:$AS$501)&lt;&gt;ROW())*ROW($AS$2:$AS$501)))-1)&amp;" ("&amp;INDEX($AY$2:$AY$501,SUMPRODUCT(MAX(($AS$2:$AS$501=AS44)*($AT$2:$AT$501=AT44)*($AU$2:$AU$501&lt;AV44)*($AV$2:$AV$501&gt;AU44)*($BA$2:$BA$501=1)*(ROW($AS$2:$AS$501)&lt;&gt;ROW())*ROW($AS$2:$AS$501)))-1)&amp;")"&amp;IF(BB44&gt;1," and "&amp;(BB44-1)&amp;" more",""),"")</f>
        <v/>
      </c>
      <c r="BD44" s="21">
        <f>IF(AND(BA44=1,AY44="Confirmed"),AT44*10000000+AU44*1000+ROW(),"")</f>
        <v/>
      </c>
      <c r="BE44" s="21">
        <f>IF(IFERROR(TRIM(INDEX($A44:$AL44,MATCH(Lists!$F$2,$A$1:$AL$1,0))&amp;""),"")="","",IFERROR(TRIM(INDEX($A44:$AL44,MATCH(Lists!$F$11,$A$1:$AL$1,0))&amp;""),""))</f>
        <v/>
      </c>
      <c r="BF44" s="21">
        <f>IF(IFERROR(TRIM(INDEX($A44:$AL44,MATCH(Lists!$F$2,$A$1:$AL$1,0))&amp;""),"")="","",IFERROR(TRIM(INDEX($A44:$AL44,MATCH(Lists!$F$12,$A$1:$AL$1,0))&amp;""),""))</f>
        <v/>
      </c>
    </row>
    <row r="45">
      <c r="AM45" s="19" t="n"/>
      <c r="AN45" s="23" t="n"/>
      <c r="AO45" s="23" t="n"/>
      <c r="AP45" s="23" t="n"/>
      <c r="AQ45" s="23" t="n"/>
      <c r="AR45" s="19" t="n"/>
      <c r="AS45" s="21">
        <f>IF(IFERROR(TRIM(INDEX($A45:$AL45,MATCH(Lists!$F$2,$A$1:$AL$1,0))&amp;""),"")="","",IF(AND(IFERROR(TRIM(INDEX($A45:$AL45,MATCH(Lists!$F$3,$A$1:$AL$1,0))&amp;""),"")="Other",IFERROR(TRIM(INDEX($A45:$AL45,MATCH(Lists!$F$4,$A$1:$AL$1,0))&amp;""),"")&lt;&gt;""),IFERROR(TRIM(INDEX($A45:$AL45,MATCH(Lists!$F$4,$A$1:$AL$1,0))&amp;""),""),IF(IFERROR(TRIM(INDEX($A45:$AL45,MATCH(Lists!$F$3,$A$1:$AL$1,0))&amp;""),"")="","(no space)",IFERROR(TRIM(INDEX($A45:$AL45,MATCH(Lists!$F$3,$A$1:$AL$1,0))&amp;""),""))))</f>
        <v/>
      </c>
      <c r="AT45" s="22">
        <f>IF(IFERROR(TRIM(INDEX($A45:$AL45,MATCH(Lists!$F$2,$A$1:$AL$1,0))&amp;""),"")="",0,N(IFERROR(IF(TRIM(INDEX($A45:$AL45,MATCH(Lists!$F$5,$A$1:$AL$1,0))&amp;"")="","",IF(ISNUMBER(INDEX($A45:$AL45,MATCH(Lists!$F$5,$A$1:$AL$1,0))),INT(INDEX($A45:$AL45,MATCH(Lists!$F$5,$A$1:$AL$1,0))),DATE(VALUE(LEFT(INDEX($A45:$AL45,MATCH(Lists!$F$5,$A$1:$AL$1,0)),4)),VALUE(MID(INDEX($A45:$AL45,MATCH(Lists!$F$5,$A$1:$AL$1,0)),6,2)),VALUE(MID(INDEX($A45:$AL45,MATCH(Lists!$F$5,$A$1:$AL$1,0)),9,2))))),"")))</f>
        <v/>
      </c>
      <c r="AU45" s="21">
        <f>IF(IFERROR(TRIM(INDEX($A45:$AL45,MATCH(Lists!$F$2,$A$1:$AL$1,0))&amp;""),"")="",-1,IF(ISNUMBER(IFERROR(IF(TRIM(INDEX($A45:$AL45,MATCH(Lists!$F$6,$A$1:$AL$1,0))&amp;"")="","",IF(ISNUMBER(INDEX($A45:$AL45,MATCH(Lists!$F$6,$A$1:$AL$1,0))),ROUND(MOD(INDEX($A45:$AL45,MATCH(Lists!$F$6,$A$1:$AL$1,0)),1)*1440,0),VALUE(LEFT(INDEX($A45:$AL45,MATCH(Lists!$F$6,$A$1:$AL$1,0)),2))*60+VALUE(MID(INDEX($A45:$AL45,MATCH(Lists!$F$6,$A$1:$AL$1,0)),4,2)))),"")),IFERROR(IF(TRIM(INDEX($A45:$AL45,MATCH(Lists!$F$6,$A$1:$AL$1,0))&amp;"")="","",IF(ISNUMBER(INDEX($A45:$AL45,MATCH(Lists!$F$6,$A$1:$AL$1,0))),ROUND(MOD(INDEX($A45:$AL45,MATCH(Lists!$F$6,$A$1:$AL$1,0)),1)*1440,0),VALUE(LEFT(INDEX($A45:$AL45,MATCH(Lists!$F$6,$A$1:$AL$1,0)),2))*60+VALUE(MID(INDEX($A45:$AL45,MATCH(Lists!$F$6,$A$1:$AL$1,0)),4,2)))),""),-1))</f>
        <v/>
      </c>
      <c r="AV45" s="21">
        <f>IF(IFERROR(TRIM(INDEX($A45:$AL45,MATCH(Lists!$F$2,$A$1:$AL$1,0))&amp;""),"")="",-1,IF(ISNUMBER(IFERROR(IF(TRIM(INDEX($A45:$AL45,MATCH(Lists!$F$7,$A$1:$AL$1,0))&amp;"")="","",IF(ISNUMBER(INDEX($A45:$AL45,MATCH(Lists!$F$7,$A$1:$AL$1,0))),ROUND(MOD(INDEX($A45:$AL45,MATCH(Lists!$F$7,$A$1:$AL$1,0)),1)*1440,0),VALUE(LEFT(INDEX($A45:$AL45,MATCH(Lists!$F$7,$A$1:$AL$1,0)),2))*60+VALUE(MID(INDEX($A45:$AL45,MATCH(Lists!$F$7,$A$1:$AL$1,0)),4,2)))),"")),IFERROR(IF(TRIM(INDEX($A45:$AL45,MATCH(Lists!$F$7,$A$1:$AL$1,0))&amp;"")="","",IF(ISNUMBER(INDEX($A45:$AL45,MATCH(Lists!$F$7,$A$1:$AL$1,0))),ROUND(MOD(INDEX($A45:$AL45,MATCH(Lists!$F$7,$A$1:$AL$1,0)),1)*1440,0),VALUE(LEFT(INDEX($A45:$AL45,MATCH(Lists!$F$7,$A$1:$AL$1,0)),2))*60+VALUE(MID(INDEX($A45:$AL45,MATCH(Lists!$F$7,$A$1:$AL$1,0)),4,2)))),""),-1))</f>
        <v/>
      </c>
      <c r="AW45" s="21">
        <f>IF(IFERROR(TRIM(INDEX($A45:$AL45,MATCH(Lists!$F$2,$A$1:$AL$1,0))&amp;""),"")="","",IF(IFERROR(TRIM(INDEX($A45:$AL45,MATCH(Lists!$F$8,$A$1:$AL$1,0))&amp;""),"")&lt;&gt;"",IFERROR(TRIM(INDEX($A45:$AL45,MATCH(Lists!$F$8,$A$1:$AL$1,0))&amp;""),""),IFERROR(TRIM(INDEX($A45:$AL45,MATCH(Lists!$F$9,$A$1:$AL$1,0))&amp;""),"")))</f>
        <v/>
      </c>
      <c r="AX45" s="21">
        <f>IFERROR(IF(TRIM(INDEX($A45:$AL45,MATCH(Lists!$F$10,$A$1:$AL$1,0))&amp;"")="","",VALUE(TRIM(INDEX($A45:$AL45,MATCH(Lists!$F$10,$A$1:$AL$1,0))&amp;""))),"")</f>
        <v/>
      </c>
      <c r="AY45" s="21">
        <f>IF(IFERROR(TRIM(INDEX($A45:$AL45,MATCH(Lists!$F$2,$A$1:$AL$1,0))&amp;""),"")="","",IF(AN45="","New",AN45))</f>
        <v/>
      </c>
      <c r="AZ45" s="21">
        <f>IF(IFERROR(TRIM(INDEX($A45:$AL45,MATCH(Lists!$F$2,$A$1:$AL$1,0))&amp;""),"")="","",IF(OR(IFERROR(TRIM(INDEX($A45:$AL45,MATCH(Lists!$F$13,$A$1:$AL$1,0))&amp;""),"")="Paid",IFERROR(TRIM(INDEX($A45:$AL45,MATCH(Lists!$F$13,$A$1:$AL$1,0))&amp;""),"")="Partially refunded"),"Paid",IF(AP45="Yes","Paid (by hand)",IFERROR(TRIM(INDEX($A45:$AL45,MATCH(Lists!$F$13,$A$1:$AL$1,0))&amp;""),""))))</f>
        <v/>
      </c>
      <c r="BA45" s="21">
        <f>IF(AND(IFERROR(TRIM(INDEX($A45:$AL45,MATCH(Lists!$F$2,$A$1:$AL$1,0))&amp;""),"")&lt;&gt;"",AT45&gt;0,AU45&gt;=0,AV45&gt;AU45,AY45&lt;&gt;"Declined"),1,0)</f>
        <v/>
      </c>
      <c r="BB45" s="21">
        <f>IF(BA45=1,COUNTIFS($AS$2:$AS$501,AS45,$AT$2:$AT$501,AT45,$AU$2:$AU$501,"&lt;"&amp;AV45,$AV$2:$AV$501,"&gt;"&amp;AU45,$BA$2:$BA$501,1)-1,"")</f>
        <v/>
      </c>
      <c r="BC45" s="21">
        <f>IF(N(BB45)&gt;0,"Clashes with "&amp;INDEX($AW$2:$AW$501,SUMPRODUCT(MAX(($AS$2:$AS$501=AS45)*($AT$2:$AT$501=AT45)*($AU$2:$AU$501&lt;AV45)*($AV$2:$AV$501&gt;AU45)*($BA$2:$BA$501=1)*(ROW($AS$2:$AS$501)&lt;&gt;ROW())*ROW($AS$2:$AS$501)))-1)&amp;" ("&amp;INDEX($AY$2:$AY$501,SUMPRODUCT(MAX(($AS$2:$AS$501=AS45)*($AT$2:$AT$501=AT45)*($AU$2:$AU$501&lt;AV45)*($AV$2:$AV$501&gt;AU45)*($BA$2:$BA$501=1)*(ROW($AS$2:$AS$501)&lt;&gt;ROW())*ROW($AS$2:$AS$501)))-1)&amp;")"&amp;IF(BB45&gt;1," and "&amp;(BB45-1)&amp;" more",""),"")</f>
        <v/>
      </c>
      <c r="BD45" s="21">
        <f>IF(AND(BA45=1,AY45="Confirmed"),AT45*10000000+AU45*1000+ROW(),"")</f>
        <v/>
      </c>
      <c r="BE45" s="21">
        <f>IF(IFERROR(TRIM(INDEX($A45:$AL45,MATCH(Lists!$F$2,$A$1:$AL$1,0))&amp;""),"")="","",IFERROR(TRIM(INDEX($A45:$AL45,MATCH(Lists!$F$11,$A$1:$AL$1,0))&amp;""),""))</f>
        <v/>
      </c>
      <c r="BF45" s="21">
        <f>IF(IFERROR(TRIM(INDEX($A45:$AL45,MATCH(Lists!$F$2,$A$1:$AL$1,0))&amp;""),"")="","",IFERROR(TRIM(INDEX($A45:$AL45,MATCH(Lists!$F$12,$A$1:$AL$1,0))&amp;""),""))</f>
        <v/>
      </c>
    </row>
    <row r="46">
      <c r="AM46" s="19" t="n"/>
      <c r="AN46" s="23" t="n"/>
      <c r="AO46" s="23" t="n"/>
      <c r="AP46" s="23" t="n"/>
      <c r="AQ46" s="23" t="n"/>
      <c r="AR46" s="19" t="n"/>
      <c r="AS46" s="21">
        <f>IF(IFERROR(TRIM(INDEX($A46:$AL46,MATCH(Lists!$F$2,$A$1:$AL$1,0))&amp;""),"")="","",IF(AND(IFERROR(TRIM(INDEX($A46:$AL46,MATCH(Lists!$F$3,$A$1:$AL$1,0))&amp;""),"")="Other",IFERROR(TRIM(INDEX($A46:$AL46,MATCH(Lists!$F$4,$A$1:$AL$1,0))&amp;""),"")&lt;&gt;""),IFERROR(TRIM(INDEX($A46:$AL46,MATCH(Lists!$F$4,$A$1:$AL$1,0))&amp;""),""),IF(IFERROR(TRIM(INDEX($A46:$AL46,MATCH(Lists!$F$3,$A$1:$AL$1,0))&amp;""),"")="","(no space)",IFERROR(TRIM(INDEX($A46:$AL46,MATCH(Lists!$F$3,$A$1:$AL$1,0))&amp;""),""))))</f>
        <v/>
      </c>
      <c r="AT46" s="22">
        <f>IF(IFERROR(TRIM(INDEX($A46:$AL46,MATCH(Lists!$F$2,$A$1:$AL$1,0))&amp;""),"")="",0,N(IFERROR(IF(TRIM(INDEX($A46:$AL46,MATCH(Lists!$F$5,$A$1:$AL$1,0))&amp;"")="","",IF(ISNUMBER(INDEX($A46:$AL46,MATCH(Lists!$F$5,$A$1:$AL$1,0))),INT(INDEX($A46:$AL46,MATCH(Lists!$F$5,$A$1:$AL$1,0))),DATE(VALUE(LEFT(INDEX($A46:$AL46,MATCH(Lists!$F$5,$A$1:$AL$1,0)),4)),VALUE(MID(INDEX($A46:$AL46,MATCH(Lists!$F$5,$A$1:$AL$1,0)),6,2)),VALUE(MID(INDEX($A46:$AL46,MATCH(Lists!$F$5,$A$1:$AL$1,0)),9,2))))),"")))</f>
        <v/>
      </c>
      <c r="AU46" s="21">
        <f>IF(IFERROR(TRIM(INDEX($A46:$AL46,MATCH(Lists!$F$2,$A$1:$AL$1,0))&amp;""),"")="",-1,IF(ISNUMBER(IFERROR(IF(TRIM(INDEX($A46:$AL46,MATCH(Lists!$F$6,$A$1:$AL$1,0))&amp;"")="","",IF(ISNUMBER(INDEX($A46:$AL46,MATCH(Lists!$F$6,$A$1:$AL$1,0))),ROUND(MOD(INDEX($A46:$AL46,MATCH(Lists!$F$6,$A$1:$AL$1,0)),1)*1440,0),VALUE(LEFT(INDEX($A46:$AL46,MATCH(Lists!$F$6,$A$1:$AL$1,0)),2))*60+VALUE(MID(INDEX($A46:$AL46,MATCH(Lists!$F$6,$A$1:$AL$1,0)),4,2)))),"")),IFERROR(IF(TRIM(INDEX($A46:$AL46,MATCH(Lists!$F$6,$A$1:$AL$1,0))&amp;"")="","",IF(ISNUMBER(INDEX($A46:$AL46,MATCH(Lists!$F$6,$A$1:$AL$1,0))),ROUND(MOD(INDEX($A46:$AL46,MATCH(Lists!$F$6,$A$1:$AL$1,0)),1)*1440,0),VALUE(LEFT(INDEX($A46:$AL46,MATCH(Lists!$F$6,$A$1:$AL$1,0)),2))*60+VALUE(MID(INDEX($A46:$AL46,MATCH(Lists!$F$6,$A$1:$AL$1,0)),4,2)))),""),-1))</f>
        <v/>
      </c>
      <c r="AV46" s="21">
        <f>IF(IFERROR(TRIM(INDEX($A46:$AL46,MATCH(Lists!$F$2,$A$1:$AL$1,0))&amp;""),"")="",-1,IF(ISNUMBER(IFERROR(IF(TRIM(INDEX($A46:$AL46,MATCH(Lists!$F$7,$A$1:$AL$1,0))&amp;"")="","",IF(ISNUMBER(INDEX($A46:$AL46,MATCH(Lists!$F$7,$A$1:$AL$1,0))),ROUND(MOD(INDEX($A46:$AL46,MATCH(Lists!$F$7,$A$1:$AL$1,0)),1)*1440,0),VALUE(LEFT(INDEX($A46:$AL46,MATCH(Lists!$F$7,$A$1:$AL$1,0)),2))*60+VALUE(MID(INDEX($A46:$AL46,MATCH(Lists!$F$7,$A$1:$AL$1,0)),4,2)))),"")),IFERROR(IF(TRIM(INDEX($A46:$AL46,MATCH(Lists!$F$7,$A$1:$AL$1,0))&amp;"")="","",IF(ISNUMBER(INDEX($A46:$AL46,MATCH(Lists!$F$7,$A$1:$AL$1,0))),ROUND(MOD(INDEX($A46:$AL46,MATCH(Lists!$F$7,$A$1:$AL$1,0)),1)*1440,0),VALUE(LEFT(INDEX($A46:$AL46,MATCH(Lists!$F$7,$A$1:$AL$1,0)),2))*60+VALUE(MID(INDEX($A46:$AL46,MATCH(Lists!$F$7,$A$1:$AL$1,0)),4,2)))),""),-1))</f>
        <v/>
      </c>
      <c r="AW46" s="21">
        <f>IF(IFERROR(TRIM(INDEX($A46:$AL46,MATCH(Lists!$F$2,$A$1:$AL$1,0))&amp;""),"")="","",IF(IFERROR(TRIM(INDEX($A46:$AL46,MATCH(Lists!$F$8,$A$1:$AL$1,0))&amp;""),"")&lt;&gt;"",IFERROR(TRIM(INDEX($A46:$AL46,MATCH(Lists!$F$8,$A$1:$AL$1,0))&amp;""),""),IFERROR(TRIM(INDEX($A46:$AL46,MATCH(Lists!$F$9,$A$1:$AL$1,0))&amp;""),"")))</f>
        <v/>
      </c>
      <c r="AX46" s="21">
        <f>IFERROR(IF(TRIM(INDEX($A46:$AL46,MATCH(Lists!$F$10,$A$1:$AL$1,0))&amp;"")="","",VALUE(TRIM(INDEX($A46:$AL46,MATCH(Lists!$F$10,$A$1:$AL$1,0))&amp;""))),"")</f>
        <v/>
      </c>
      <c r="AY46" s="21">
        <f>IF(IFERROR(TRIM(INDEX($A46:$AL46,MATCH(Lists!$F$2,$A$1:$AL$1,0))&amp;""),"")="","",IF(AN46="","New",AN46))</f>
        <v/>
      </c>
      <c r="AZ46" s="21">
        <f>IF(IFERROR(TRIM(INDEX($A46:$AL46,MATCH(Lists!$F$2,$A$1:$AL$1,0))&amp;""),"")="","",IF(OR(IFERROR(TRIM(INDEX($A46:$AL46,MATCH(Lists!$F$13,$A$1:$AL$1,0))&amp;""),"")="Paid",IFERROR(TRIM(INDEX($A46:$AL46,MATCH(Lists!$F$13,$A$1:$AL$1,0))&amp;""),"")="Partially refunded"),"Paid",IF(AP46="Yes","Paid (by hand)",IFERROR(TRIM(INDEX($A46:$AL46,MATCH(Lists!$F$13,$A$1:$AL$1,0))&amp;""),""))))</f>
        <v/>
      </c>
      <c r="BA46" s="21">
        <f>IF(AND(IFERROR(TRIM(INDEX($A46:$AL46,MATCH(Lists!$F$2,$A$1:$AL$1,0))&amp;""),"")&lt;&gt;"",AT46&gt;0,AU46&gt;=0,AV46&gt;AU46,AY46&lt;&gt;"Declined"),1,0)</f>
        <v/>
      </c>
      <c r="BB46" s="21">
        <f>IF(BA46=1,COUNTIFS($AS$2:$AS$501,AS46,$AT$2:$AT$501,AT46,$AU$2:$AU$501,"&lt;"&amp;AV46,$AV$2:$AV$501,"&gt;"&amp;AU46,$BA$2:$BA$501,1)-1,"")</f>
        <v/>
      </c>
      <c r="BC46" s="21">
        <f>IF(N(BB46)&gt;0,"Clashes with "&amp;INDEX($AW$2:$AW$501,SUMPRODUCT(MAX(($AS$2:$AS$501=AS46)*($AT$2:$AT$501=AT46)*($AU$2:$AU$501&lt;AV46)*($AV$2:$AV$501&gt;AU46)*($BA$2:$BA$501=1)*(ROW($AS$2:$AS$501)&lt;&gt;ROW())*ROW($AS$2:$AS$501)))-1)&amp;" ("&amp;INDEX($AY$2:$AY$501,SUMPRODUCT(MAX(($AS$2:$AS$501=AS46)*($AT$2:$AT$501=AT46)*($AU$2:$AU$501&lt;AV46)*($AV$2:$AV$501&gt;AU46)*($BA$2:$BA$501=1)*(ROW($AS$2:$AS$501)&lt;&gt;ROW())*ROW($AS$2:$AS$501)))-1)&amp;")"&amp;IF(BB46&gt;1," and "&amp;(BB46-1)&amp;" more",""),"")</f>
        <v/>
      </c>
      <c r="BD46" s="21">
        <f>IF(AND(BA46=1,AY46="Confirmed"),AT46*10000000+AU46*1000+ROW(),"")</f>
        <v/>
      </c>
      <c r="BE46" s="21">
        <f>IF(IFERROR(TRIM(INDEX($A46:$AL46,MATCH(Lists!$F$2,$A$1:$AL$1,0))&amp;""),"")="","",IFERROR(TRIM(INDEX($A46:$AL46,MATCH(Lists!$F$11,$A$1:$AL$1,0))&amp;""),""))</f>
        <v/>
      </c>
      <c r="BF46" s="21">
        <f>IF(IFERROR(TRIM(INDEX($A46:$AL46,MATCH(Lists!$F$2,$A$1:$AL$1,0))&amp;""),"")="","",IFERROR(TRIM(INDEX($A46:$AL46,MATCH(Lists!$F$12,$A$1:$AL$1,0))&amp;""),""))</f>
        <v/>
      </c>
    </row>
    <row r="47">
      <c r="AM47" s="19" t="n"/>
      <c r="AN47" s="23" t="n"/>
      <c r="AO47" s="23" t="n"/>
      <c r="AP47" s="23" t="n"/>
      <c r="AQ47" s="23" t="n"/>
      <c r="AR47" s="19" t="n"/>
      <c r="AS47" s="21">
        <f>IF(IFERROR(TRIM(INDEX($A47:$AL47,MATCH(Lists!$F$2,$A$1:$AL$1,0))&amp;""),"")="","",IF(AND(IFERROR(TRIM(INDEX($A47:$AL47,MATCH(Lists!$F$3,$A$1:$AL$1,0))&amp;""),"")="Other",IFERROR(TRIM(INDEX($A47:$AL47,MATCH(Lists!$F$4,$A$1:$AL$1,0))&amp;""),"")&lt;&gt;""),IFERROR(TRIM(INDEX($A47:$AL47,MATCH(Lists!$F$4,$A$1:$AL$1,0))&amp;""),""),IF(IFERROR(TRIM(INDEX($A47:$AL47,MATCH(Lists!$F$3,$A$1:$AL$1,0))&amp;""),"")="","(no space)",IFERROR(TRIM(INDEX($A47:$AL47,MATCH(Lists!$F$3,$A$1:$AL$1,0))&amp;""),""))))</f>
        <v/>
      </c>
      <c r="AT47" s="22">
        <f>IF(IFERROR(TRIM(INDEX($A47:$AL47,MATCH(Lists!$F$2,$A$1:$AL$1,0))&amp;""),"")="",0,N(IFERROR(IF(TRIM(INDEX($A47:$AL47,MATCH(Lists!$F$5,$A$1:$AL$1,0))&amp;"")="","",IF(ISNUMBER(INDEX($A47:$AL47,MATCH(Lists!$F$5,$A$1:$AL$1,0))),INT(INDEX($A47:$AL47,MATCH(Lists!$F$5,$A$1:$AL$1,0))),DATE(VALUE(LEFT(INDEX($A47:$AL47,MATCH(Lists!$F$5,$A$1:$AL$1,0)),4)),VALUE(MID(INDEX($A47:$AL47,MATCH(Lists!$F$5,$A$1:$AL$1,0)),6,2)),VALUE(MID(INDEX($A47:$AL47,MATCH(Lists!$F$5,$A$1:$AL$1,0)),9,2))))),"")))</f>
        <v/>
      </c>
      <c r="AU47" s="21">
        <f>IF(IFERROR(TRIM(INDEX($A47:$AL47,MATCH(Lists!$F$2,$A$1:$AL$1,0))&amp;""),"")="",-1,IF(ISNUMBER(IFERROR(IF(TRIM(INDEX($A47:$AL47,MATCH(Lists!$F$6,$A$1:$AL$1,0))&amp;"")="","",IF(ISNUMBER(INDEX($A47:$AL47,MATCH(Lists!$F$6,$A$1:$AL$1,0))),ROUND(MOD(INDEX($A47:$AL47,MATCH(Lists!$F$6,$A$1:$AL$1,0)),1)*1440,0),VALUE(LEFT(INDEX($A47:$AL47,MATCH(Lists!$F$6,$A$1:$AL$1,0)),2))*60+VALUE(MID(INDEX($A47:$AL47,MATCH(Lists!$F$6,$A$1:$AL$1,0)),4,2)))),"")),IFERROR(IF(TRIM(INDEX($A47:$AL47,MATCH(Lists!$F$6,$A$1:$AL$1,0))&amp;"")="","",IF(ISNUMBER(INDEX($A47:$AL47,MATCH(Lists!$F$6,$A$1:$AL$1,0))),ROUND(MOD(INDEX($A47:$AL47,MATCH(Lists!$F$6,$A$1:$AL$1,0)),1)*1440,0),VALUE(LEFT(INDEX($A47:$AL47,MATCH(Lists!$F$6,$A$1:$AL$1,0)),2))*60+VALUE(MID(INDEX($A47:$AL47,MATCH(Lists!$F$6,$A$1:$AL$1,0)),4,2)))),""),-1))</f>
        <v/>
      </c>
      <c r="AV47" s="21">
        <f>IF(IFERROR(TRIM(INDEX($A47:$AL47,MATCH(Lists!$F$2,$A$1:$AL$1,0))&amp;""),"")="",-1,IF(ISNUMBER(IFERROR(IF(TRIM(INDEX($A47:$AL47,MATCH(Lists!$F$7,$A$1:$AL$1,0))&amp;"")="","",IF(ISNUMBER(INDEX($A47:$AL47,MATCH(Lists!$F$7,$A$1:$AL$1,0))),ROUND(MOD(INDEX($A47:$AL47,MATCH(Lists!$F$7,$A$1:$AL$1,0)),1)*1440,0),VALUE(LEFT(INDEX($A47:$AL47,MATCH(Lists!$F$7,$A$1:$AL$1,0)),2))*60+VALUE(MID(INDEX($A47:$AL47,MATCH(Lists!$F$7,$A$1:$AL$1,0)),4,2)))),"")),IFERROR(IF(TRIM(INDEX($A47:$AL47,MATCH(Lists!$F$7,$A$1:$AL$1,0))&amp;"")="","",IF(ISNUMBER(INDEX($A47:$AL47,MATCH(Lists!$F$7,$A$1:$AL$1,0))),ROUND(MOD(INDEX($A47:$AL47,MATCH(Lists!$F$7,$A$1:$AL$1,0)),1)*1440,0),VALUE(LEFT(INDEX($A47:$AL47,MATCH(Lists!$F$7,$A$1:$AL$1,0)),2))*60+VALUE(MID(INDEX($A47:$AL47,MATCH(Lists!$F$7,$A$1:$AL$1,0)),4,2)))),""),-1))</f>
        <v/>
      </c>
      <c r="AW47" s="21">
        <f>IF(IFERROR(TRIM(INDEX($A47:$AL47,MATCH(Lists!$F$2,$A$1:$AL$1,0))&amp;""),"")="","",IF(IFERROR(TRIM(INDEX($A47:$AL47,MATCH(Lists!$F$8,$A$1:$AL$1,0))&amp;""),"")&lt;&gt;"",IFERROR(TRIM(INDEX($A47:$AL47,MATCH(Lists!$F$8,$A$1:$AL$1,0))&amp;""),""),IFERROR(TRIM(INDEX($A47:$AL47,MATCH(Lists!$F$9,$A$1:$AL$1,0))&amp;""),"")))</f>
        <v/>
      </c>
      <c r="AX47" s="21">
        <f>IFERROR(IF(TRIM(INDEX($A47:$AL47,MATCH(Lists!$F$10,$A$1:$AL$1,0))&amp;"")="","",VALUE(TRIM(INDEX($A47:$AL47,MATCH(Lists!$F$10,$A$1:$AL$1,0))&amp;""))),"")</f>
        <v/>
      </c>
      <c r="AY47" s="21">
        <f>IF(IFERROR(TRIM(INDEX($A47:$AL47,MATCH(Lists!$F$2,$A$1:$AL$1,0))&amp;""),"")="","",IF(AN47="","New",AN47))</f>
        <v/>
      </c>
      <c r="AZ47" s="21">
        <f>IF(IFERROR(TRIM(INDEX($A47:$AL47,MATCH(Lists!$F$2,$A$1:$AL$1,0))&amp;""),"")="","",IF(OR(IFERROR(TRIM(INDEX($A47:$AL47,MATCH(Lists!$F$13,$A$1:$AL$1,0))&amp;""),"")="Paid",IFERROR(TRIM(INDEX($A47:$AL47,MATCH(Lists!$F$13,$A$1:$AL$1,0))&amp;""),"")="Partially refunded"),"Paid",IF(AP47="Yes","Paid (by hand)",IFERROR(TRIM(INDEX($A47:$AL47,MATCH(Lists!$F$13,$A$1:$AL$1,0))&amp;""),""))))</f>
        <v/>
      </c>
      <c r="BA47" s="21">
        <f>IF(AND(IFERROR(TRIM(INDEX($A47:$AL47,MATCH(Lists!$F$2,$A$1:$AL$1,0))&amp;""),"")&lt;&gt;"",AT47&gt;0,AU47&gt;=0,AV47&gt;AU47,AY47&lt;&gt;"Declined"),1,0)</f>
        <v/>
      </c>
      <c r="BB47" s="21">
        <f>IF(BA47=1,COUNTIFS($AS$2:$AS$501,AS47,$AT$2:$AT$501,AT47,$AU$2:$AU$501,"&lt;"&amp;AV47,$AV$2:$AV$501,"&gt;"&amp;AU47,$BA$2:$BA$501,1)-1,"")</f>
        <v/>
      </c>
      <c r="BC47" s="21">
        <f>IF(N(BB47)&gt;0,"Clashes with "&amp;INDEX($AW$2:$AW$501,SUMPRODUCT(MAX(($AS$2:$AS$501=AS47)*($AT$2:$AT$501=AT47)*($AU$2:$AU$501&lt;AV47)*($AV$2:$AV$501&gt;AU47)*($BA$2:$BA$501=1)*(ROW($AS$2:$AS$501)&lt;&gt;ROW())*ROW($AS$2:$AS$501)))-1)&amp;" ("&amp;INDEX($AY$2:$AY$501,SUMPRODUCT(MAX(($AS$2:$AS$501=AS47)*($AT$2:$AT$501=AT47)*($AU$2:$AU$501&lt;AV47)*($AV$2:$AV$501&gt;AU47)*($BA$2:$BA$501=1)*(ROW($AS$2:$AS$501)&lt;&gt;ROW())*ROW($AS$2:$AS$501)))-1)&amp;")"&amp;IF(BB47&gt;1," and "&amp;(BB47-1)&amp;" more",""),"")</f>
        <v/>
      </c>
      <c r="BD47" s="21">
        <f>IF(AND(BA47=1,AY47="Confirmed"),AT47*10000000+AU47*1000+ROW(),"")</f>
        <v/>
      </c>
      <c r="BE47" s="21">
        <f>IF(IFERROR(TRIM(INDEX($A47:$AL47,MATCH(Lists!$F$2,$A$1:$AL$1,0))&amp;""),"")="","",IFERROR(TRIM(INDEX($A47:$AL47,MATCH(Lists!$F$11,$A$1:$AL$1,0))&amp;""),""))</f>
        <v/>
      </c>
      <c r="BF47" s="21">
        <f>IF(IFERROR(TRIM(INDEX($A47:$AL47,MATCH(Lists!$F$2,$A$1:$AL$1,0))&amp;""),"")="","",IFERROR(TRIM(INDEX($A47:$AL47,MATCH(Lists!$F$12,$A$1:$AL$1,0))&amp;""),""))</f>
        <v/>
      </c>
    </row>
    <row r="48">
      <c r="AM48" s="19" t="n"/>
      <c r="AN48" s="23" t="n"/>
      <c r="AO48" s="23" t="n"/>
      <c r="AP48" s="23" t="n"/>
      <c r="AQ48" s="23" t="n"/>
      <c r="AR48" s="19" t="n"/>
      <c r="AS48" s="21">
        <f>IF(IFERROR(TRIM(INDEX($A48:$AL48,MATCH(Lists!$F$2,$A$1:$AL$1,0))&amp;""),"")="","",IF(AND(IFERROR(TRIM(INDEX($A48:$AL48,MATCH(Lists!$F$3,$A$1:$AL$1,0))&amp;""),"")="Other",IFERROR(TRIM(INDEX($A48:$AL48,MATCH(Lists!$F$4,$A$1:$AL$1,0))&amp;""),"")&lt;&gt;""),IFERROR(TRIM(INDEX($A48:$AL48,MATCH(Lists!$F$4,$A$1:$AL$1,0))&amp;""),""),IF(IFERROR(TRIM(INDEX($A48:$AL48,MATCH(Lists!$F$3,$A$1:$AL$1,0))&amp;""),"")="","(no space)",IFERROR(TRIM(INDEX($A48:$AL48,MATCH(Lists!$F$3,$A$1:$AL$1,0))&amp;""),""))))</f>
        <v/>
      </c>
      <c r="AT48" s="22">
        <f>IF(IFERROR(TRIM(INDEX($A48:$AL48,MATCH(Lists!$F$2,$A$1:$AL$1,0))&amp;""),"")="",0,N(IFERROR(IF(TRIM(INDEX($A48:$AL48,MATCH(Lists!$F$5,$A$1:$AL$1,0))&amp;"")="","",IF(ISNUMBER(INDEX($A48:$AL48,MATCH(Lists!$F$5,$A$1:$AL$1,0))),INT(INDEX($A48:$AL48,MATCH(Lists!$F$5,$A$1:$AL$1,0))),DATE(VALUE(LEFT(INDEX($A48:$AL48,MATCH(Lists!$F$5,$A$1:$AL$1,0)),4)),VALUE(MID(INDEX($A48:$AL48,MATCH(Lists!$F$5,$A$1:$AL$1,0)),6,2)),VALUE(MID(INDEX($A48:$AL48,MATCH(Lists!$F$5,$A$1:$AL$1,0)),9,2))))),"")))</f>
        <v/>
      </c>
      <c r="AU48" s="21">
        <f>IF(IFERROR(TRIM(INDEX($A48:$AL48,MATCH(Lists!$F$2,$A$1:$AL$1,0))&amp;""),"")="",-1,IF(ISNUMBER(IFERROR(IF(TRIM(INDEX($A48:$AL48,MATCH(Lists!$F$6,$A$1:$AL$1,0))&amp;"")="","",IF(ISNUMBER(INDEX($A48:$AL48,MATCH(Lists!$F$6,$A$1:$AL$1,0))),ROUND(MOD(INDEX($A48:$AL48,MATCH(Lists!$F$6,$A$1:$AL$1,0)),1)*1440,0),VALUE(LEFT(INDEX($A48:$AL48,MATCH(Lists!$F$6,$A$1:$AL$1,0)),2))*60+VALUE(MID(INDEX($A48:$AL48,MATCH(Lists!$F$6,$A$1:$AL$1,0)),4,2)))),"")),IFERROR(IF(TRIM(INDEX($A48:$AL48,MATCH(Lists!$F$6,$A$1:$AL$1,0))&amp;"")="","",IF(ISNUMBER(INDEX($A48:$AL48,MATCH(Lists!$F$6,$A$1:$AL$1,0))),ROUND(MOD(INDEX($A48:$AL48,MATCH(Lists!$F$6,$A$1:$AL$1,0)),1)*1440,0),VALUE(LEFT(INDEX($A48:$AL48,MATCH(Lists!$F$6,$A$1:$AL$1,0)),2))*60+VALUE(MID(INDEX($A48:$AL48,MATCH(Lists!$F$6,$A$1:$AL$1,0)),4,2)))),""),-1))</f>
        <v/>
      </c>
      <c r="AV48" s="21">
        <f>IF(IFERROR(TRIM(INDEX($A48:$AL48,MATCH(Lists!$F$2,$A$1:$AL$1,0))&amp;""),"")="",-1,IF(ISNUMBER(IFERROR(IF(TRIM(INDEX($A48:$AL48,MATCH(Lists!$F$7,$A$1:$AL$1,0))&amp;"")="","",IF(ISNUMBER(INDEX($A48:$AL48,MATCH(Lists!$F$7,$A$1:$AL$1,0))),ROUND(MOD(INDEX($A48:$AL48,MATCH(Lists!$F$7,$A$1:$AL$1,0)),1)*1440,0),VALUE(LEFT(INDEX($A48:$AL48,MATCH(Lists!$F$7,$A$1:$AL$1,0)),2))*60+VALUE(MID(INDEX($A48:$AL48,MATCH(Lists!$F$7,$A$1:$AL$1,0)),4,2)))),"")),IFERROR(IF(TRIM(INDEX($A48:$AL48,MATCH(Lists!$F$7,$A$1:$AL$1,0))&amp;"")="","",IF(ISNUMBER(INDEX($A48:$AL48,MATCH(Lists!$F$7,$A$1:$AL$1,0))),ROUND(MOD(INDEX($A48:$AL48,MATCH(Lists!$F$7,$A$1:$AL$1,0)),1)*1440,0),VALUE(LEFT(INDEX($A48:$AL48,MATCH(Lists!$F$7,$A$1:$AL$1,0)),2))*60+VALUE(MID(INDEX($A48:$AL48,MATCH(Lists!$F$7,$A$1:$AL$1,0)),4,2)))),""),-1))</f>
        <v/>
      </c>
      <c r="AW48" s="21">
        <f>IF(IFERROR(TRIM(INDEX($A48:$AL48,MATCH(Lists!$F$2,$A$1:$AL$1,0))&amp;""),"")="","",IF(IFERROR(TRIM(INDEX($A48:$AL48,MATCH(Lists!$F$8,$A$1:$AL$1,0))&amp;""),"")&lt;&gt;"",IFERROR(TRIM(INDEX($A48:$AL48,MATCH(Lists!$F$8,$A$1:$AL$1,0))&amp;""),""),IFERROR(TRIM(INDEX($A48:$AL48,MATCH(Lists!$F$9,$A$1:$AL$1,0))&amp;""),"")))</f>
        <v/>
      </c>
      <c r="AX48" s="21">
        <f>IFERROR(IF(TRIM(INDEX($A48:$AL48,MATCH(Lists!$F$10,$A$1:$AL$1,0))&amp;"")="","",VALUE(TRIM(INDEX($A48:$AL48,MATCH(Lists!$F$10,$A$1:$AL$1,0))&amp;""))),"")</f>
        <v/>
      </c>
      <c r="AY48" s="21">
        <f>IF(IFERROR(TRIM(INDEX($A48:$AL48,MATCH(Lists!$F$2,$A$1:$AL$1,0))&amp;""),"")="","",IF(AN48="","New",AN48))</f>
        <v/>
      </c>
      <c r="AZ48" s="21">
        <f>IF(IFERROR(TRIM(INDEX($A48:$AL48,MATCH(Lists!$F$2,$A$1:$AL$1,0))&amp;""),"")="","",IF(OR(IFERROR(TRIM(INDEX($A48:$AL48,MATCH(Lists!$F$13,$A$1:$AL$1,0))&amp;""),"")="Paid",IFERROR(TRIM(INDEX($A48:$AL48,MATCH(Lists!$F$13,$A$1:$AL$1,0))&amp;""),"")="Partially refunded"),"Paid",IF(AP48="Yes","Paid (by hand)",IFERROR(TRIM(INDEX($A48:$AL48,MATCH(Lists!$F$13,$A$1:$AL$1,0))&amp;""),""))))</f>
        <v/>
      </c>
      <c r="BA48" s="21">
        <f>IF(AND(IFERROR(TRIM(INDEX($A48:$AL48,MATCH(Lists!$F$2,$A$1:$AL$1,0))&amp;""),"")&lt;&gt;"",AT48&gt;0,AU48&gt;=0,AV48&gt;AU48,AY48&lt;&gt;"Declined"),1,0)</f>
        <v/>
      </c>
      <c r="BB48" s="21">
        <f>IF(BA48=1,COUNTIFS($AS$2:$AS$501,AS48,$AT$2:$AT$501,AT48,$AU$2:$AU$501,"&lt;"&amp;AV48,$AV$2:$AV$501,"&gt;"&amp;AU48,$BA$2:$BA$501,1)-1,"")</f>
        <v/>
      </c>
      <c r="BC48" s="21">
        <f>IF(N(BB48)&gt;0,"Clashes with "&amp;INDEX($AW$2:$AW$501,SUMPRODUCT(MAX(($AS$2:$AS$501=AS48)*($AT$2:$AT$501=AT48)*($AU$2:$AU$501&lt;AV48)*($AV$2:$AV$501&gt;AU48)*($BA$2:$BA$501=1)*(ROW($AS$2:$AS$501)&lt;&gt;ROW())*ROW($AS$2:$AS$501)))-1)&amp;" ("&amp;INDEX($AY$2:$AY$501,SUMPRODUCT(MAX(($AS$2:$AS$501=AS48)*($AT$2:$AT$501=AT48)*($AU$2:$AU$501&lt;AV48)*($AV$2:$AV$501&gt;AU48)*($BA$2:$BA$501=1)*(ROW($AS$2:$AS$501)&lt;&gt;ROW())*ROW($AS$2:$AS$501)))-1)&amp;")"&amp;IF(BB48&gt;1," and "&amp;(BB48-1)&amp;" more",""),"")</f>
        <v/>
      </c>
      <c r="BD48" s="21">
        <f>IF(AND(BA48=1,AY48="Confirmed"),AT48*10000000+AU48*1000+ROW(),"")</f>
        <v/>
      </c>
      <c r="BE48" s="21">
        <f>IF(IFERROR(TRIM(INDEX($A48:$AL48,MATCH(Lists!$F$2,$A$1:$AL$1,0))&amp;""),"")="","",IFERROR(TRIM(INDEX($A48:$AL48,MATCH(Lists!$F$11,$A$1:$AL$1,0))&amp;""),""))</f>
        <v/>
      </c>
      <c r="BF48" s="21">
        <f>IF(IFERROR(TRIM(INDEX($A48:$AL48,MATCH(Lists!$F$2,$A$1:$AL$1,0))&amp;""),"")="","",IFERROR(TRIM(INDEX($A48:$AL48,MATCH(Lists!$F$12,$A$1:$AL$1,0))&amp;""),""))</f>
        <v/>
      </c>
    </row>
    <row r="49">
      <c r="AM49" s="19" t="n"/>
      <c r="AN49" s="23" t="n"/>
      <c r="AO49" s="23" t="n"/>
      <c r="AP49" s="23" t="n"/>
      <c r="AQ49" s="23" t="n"/>
      <c r="AR49" s="19" t="n"/>
      <c r="AS49" s="21">
        <f>IF(IFERROR(TRIM(INDEX($A49:$AL49,MATCH(Lists!$F$2,$A$1:$AL$1,0))&amp;""),"")="","",IF(AND(IFERROR(TRIM(INDEX($A49:$AL49,MATCH(Lists!$F$3,$A$1:$AL$1,0))&amp;""),"")="Other",IFERROR(TRIM(INDEX($A49:$AL49,MATCH(Lists!$F$4,$A$1:$AL$1,0))&amp;""),"")&lt;&gt;""),IFERROR(TRIM(INDEX($A49:$AL49,MATCH(Lists!$F$4,$A$1:$AL$1,0))&amp;""),""),IF(IFERROR(TRIM(INDEX($A49:$AL49,MATCH(Lists!$F$3,$A$1:$AL$1,0))&amp;""),"")="","(no space)",IFERROR(TRIM(INDEX($A49:$AL49,MATCH(Lists!$F$3,$A$1:$AL$1,0))&amp;""),""))))</f>
        <v/>
      </c>
      <c r="AT49" s="22">
        <f>IF(IFERROR(TRIM(INDEX($A49:$AL49,MATCH(Lists!$F$2,$A$1:$AL$1,0))&amp;""),"")="",0,N(IFERROR(IF(TRIM(INDEX($A49:$AL49,MATCH(Lists!$F$5,$A$1:$AL$1,0))&amp;"")="","",IF(ISNUMBER(INDEX($A49:$AL49,MATCH(Lists!$F$5,$A$1:$AL$1,0))),INT(INDEX($A49:$AL49,MATCH(Lists!$F$5,$A$1:$AL$1,0))),DATE(VALUE(LEFT(INDEX($A49:$AL49,MATCH(Lists!$F$5,$A$1:$AL$1,0)),4)),VALUE(MID(INDEX($A49:$AL49,MATCH(Lists!$F$5,$A$1:$AL$1,0)),6,2)),VALUE(MID(INDEX($A49:$AL49,MATCH(Lists!$F$5,$A$1:$AL$1,0)),9,2))))),"")))</f>
        <v/>
      </c>
      <c r="AU49" s="21">
        <f>IF(IFERROR(TRIM(INDEX($A49:$AL49,MATCH(Lists!$F$2,$A$1:$AL$1,0))&amp;""),"")="",-1,IF(ISNUMBER(IFERROR(IF(TRIM(INDEX($A49:$AL49,MATCH(Lists!$F$6,$A$1:$AL$1,0))&amp;"")="","",IF(ISNUMBER(INDEX($A49:$AL49,MATCH(Lists!$F$6,$A$1:$AL$1,0))),ROUND(MOD(INDEX($A49:$AL49,MATCH(Lists!$F$6,$A$1:$AL$1,0)),1)*1440,0),VALUE(LEFT(INDEX($A49:$AL49,MATCH(Lists!$F$6,$A$1:$AL$1,0)),2))*60+VALUE(MID(INDEX($A49:$AL49,MATCH(Lists!$F$6,$A$1:$AL$1,0)),4,2)))),"")),IFERROR(IF(TRIM(INDEX($A49:$AL49,MATCH(Lists!$F$6,$A$1:$AL$1,0))&amp;"")="","",IF(ISNUMBER(INDEX($A49:$AL49,MATCH(Lists!$F$6,$A$1:$AL$1,0))),ROUND(MOD(INDEX($A49:$AL49,MATCH(Lists!$F$6,$A$1:$AL$1,0)),1)*1440,0),VALUE(LEFT(INDEX($A49:$AL49,MATCH(Lists!$F$6,$A$1:$AL$1,0)),2))*60+VALUE(MID(INDEX($A49:$AL49,MATCH(Lists!$F$6,$A$1:$AL$1,0)),4,2)))),""),-1))</f>
        <v/>
      </c>
      <c r="AV49" s="21">
        <f>IF(IFERROR(TRIM(INDEX($A49:$AL49,MATCH(Lists!$F$2,$A$1:$AL$1,0))&amp;""),"")="",-1,IF(ISNUMBER(IFERROR(IF(TRIM(INDEX($A49:$AL49,MATCH(Lists!$F$7,$A$1:$AL$1,0))&amp;"")="","",IF(ISNUMBER(INDEX($A49:$AL49,MATCH(Lists!$F$7,$A$1:$AL$1,0))),ROUND(MOD(INDEX($A49:$AL49,MATCH(Lists!$F$7,$A$1:$AL$1,0)),1)*1440,0),VALUE(LEFT(INDEX($A49:$AL49,MATCH(Lists!$F$7,$A$1:$AL$1,0)),2))*60+VALUE(MID(INDEX($A49:$AL49,MATCH(Lists!$F$7,$A$1:$AL$1,0)),4,2)))),"")),IFERROR(IF(TRIM(INDEX($A49:$AL49,MATCH(Lists!$F$7,$A$1:$AL$1,0))&amp;"")="","",IF(ISNUMBER(INDEX($A49:$AL49,MATCH(Lists!$F$7,$A$1:$AL$1,0))),ROUND(MOD(INDEX($A49:$AL49,MATCH(Lists!$F$7,$A$1:$AL$1,0)),1)*1440,0),VALUE(LEFT(INDEX($A49:$AL49,MATCH(Lists!$F$7,$A$1:$AL$1,0)),2))*60+VALUE(MID(INDEX($A49:$AL49,MATCH(Lists!$F$7,$A$1:$AL$1,0)),4,2)))),""),-1))</f>
        <v/>
      </c>
      <c r="AW49" s="21">
        <f>IF(IFERROR(TRIM(INDEX($A49:$AL49,MATCH(Lists!$F$2,$A$1:$AL$1,0))&amp;""),"")="","",IF(IFERROR(TRIM(INDEX($A49:$AL49,MATCH(Lists!$F$8,$A$1:$AL$1,0))&amp;""),"")&lt;&gt;"",IFERROR(TRIM(INDEX($A49:$AL49,MATCH(Lists!$F$8,$A$1:$AL$1,0))&amp;""),""),IFERROR(TRIM(INDEX($A49:$AL49,MATCH(Lists!$F$9,$A$1:$AL$1,0))&amp;""),"")))</f>
        <v/>
      </c>
      <c r="AX49" s="21">
        <f>IFERROR(IF(TRIM(INDEX($A49:$AL49,MATCH(Lists!$F$10,$A$1:$AL$1,0))&amp;"")="","",VALUE(TRIM(INDEX($A49:$AL49,MATCH(Lists!$F$10,$A$1:$AL$1,0))&amp;""))),"")</f>
        <v/>
      </c>
      <c r="AY49" s="21">
        <f>IF(IFERROR(TRIM(INDEX($A49:$AL49,MATCH(Lists!$F$2,$A$1:$AL$1,0))&amp;""),"")="","",IF(AN49="","New",AN49))</f>
        <v/>
      </c>
      <c r="AZ49" s="21">
        <f>IF(IFERROR(TRIM(INDEX($A49:$AL49,MATCH(Lists!$F$2,$A$1:$AL$1,0))&amp;""),"")="","",IF(OR(IFERROR(TRIM(INDEX($A49:$AL49,MATCH(Lists!$F$13,$A$1:$AL$1,0))&amp;""),"")="Paid",IFERROR(TRIM(INDEX($A49:$AL49,MATCH(Lists!$F$13,$A$1:$AL$1,0))&amp;""),"")="Partially refunded"),"Paid",IF(AP49="Yes","Paid (by hand)",IFERROR(TRIM(INDEX($A49:$AL49,MATCH(Lists!$F$13,$A$1:$AL$1,0))&amp;""),""))))</f>
        <v/>
      </c>
      <c r="BA49" s="21">
        <f>IF(AND(IFERROR(TRIM(INDEX($A49:$AL49,MATCH(Lists!$F$2,$A$1:$AL$1,0))&amp;""),"")&lt;&gt;"",AT49&gt;0,AU49&gt;=0,AV49&gt;AU49,AY49&lt;&gt;"Declined"),1,0)</f>
        <v/>
      </c>
      <c r="BB49" s="21">
        <f>IF(BA49=1,COUNTIFS($AS$2:$AS$501,AS49,$AT$2:$AT$501,AT49,$AU$2:$AU$501,"&lt;"&amp;AV49,$AV$2:$AV$501,"&gt;"&amp;AU49,$BA$2:$BA$501,1)-1,"")</f>
        <v/>
      </c>
      <c r="BC49" s="21">
        <f>IF(N(BB49)&gt;0,"Clashes with "&amp;INDEX($AW$2:$AW$501,SUMPRODUCT(MAX(($AS$2:$AS$501=AS49)*($AT$2:$AT$501=AT49)*($AU$2:$AU$501&lt;AV49)*($AV$2:$AV$501&gt;AU49)*($BA$2:$BA$501=1)*(ROW($AS$2:$AS$501)&lt;&gt;ROW())*ROW($AS$2:$AS$501)))-1)&amp;" ("&amp;INDEX($AY$2:$AY$501,SUMPRODUCT(MAX(($AS$2:$AS$501=AS49)*($AT$2:$AT$501=AT49)*($AU$2:$AU$501&lt;AV49)*($AV$2:$AV$501&gt;AU49)*($BA$2:$BA$501=1)*(ROW($AS$2:$AS$501)&lt;&gt;ROW())*ROW($AS$2:$AS$501)))-1)&amp;")"&amp;IF(BB49&gt;1," and "&amp;(BB49-1)&amp;" more",""),"")</f>
        <v/>
      </c>
      <c r="BD49" s="21">
        <f>IF(AND(BA49=1,AY49="Confirmed"),AT49*10000000+AU49*1000+ROW(),"")</f>
        <v/>
      </c>
      <c r="BE49" s="21">
        <f>IF(IFERROR(TRIM(INDEX($A49:$AL49,MATCH(Lists!$F$2,$A$1:$AL$1,0))&amp;""),"")="","",IFERROR(TRIM(INDEX($A49:$AL49,MATCH(Lists!$F$11,$A$1:$AL$1,0))&amp;""),""))</f>
        <v/>
      </c>
      <c r="BF49" s="21">
        <f>IF(IFERROR(TRIM(INDEX($A49:$AL49,MATCH(Lists!$F$2,$A$1:$AL$1,0))&amp;""),"")="","",IFERROR(TRIM(INDEX($A49:$AL49,MATCH(Lists!$F$12,$A$1:$AL$1,0))&amp;""),""))</f>
        <v/>
      </c>
    </row>
    <row r="50">
      <c r="AM50" s="19" t="n"/>
      <c r="AN50" s="23" t="n"/>
      <c r="AO50" s="23" t="n"/>
      <c r="AP50" s="23" t="n"/>
      <c r="AQ50" s="23" t="n"/>
      <c r="AR50" s="19" t="n"/>
      <c r="AS50" s="21">
        <f>IF(IFERROR(TRIM(INDEX($A50:$AL50,MATCH(Lists!$F$2,$A$1:$AL$1,0))&amp;""),"")="","",IF(AND(IFERROR(TRIM(INDEX($A50:$AL50,MATCH(Lists!$F$3,$A$1:$AL$1,0))&amp;""),"")="Other",IFERROR(TRIM(INDEX($A50:$AL50,MATCH(Lists!$F$4,$A$1:$AL$1,0))&amp;""),"")&lt;&gt;""),IFERROR(TRIM(INDEX($A50:$AL50,MATCH(Lists!$F$4,$A$1:$AL$1,0))&amp;""),""),IF(IFERROR(TRIM(INDEX($A50:$AL50,MATCH(Lists!$F$3,$A$1:$AL$1,0))&amp;""),"")="","(no space)",IFERROR(TRIM(INDEX($A50:$AL50,MATCH(Lists!$F$3,$A$1:$AL$1,0))&amp;""),""))))</f>
        <v/>
      </c>
      <c r="AT50" s="22">
        <f>IF(IFERROR(TRIM(INDEX($A50:$AL50,MATCH(Lists!$F$2,$A$1:$AL$1,0))&amp;""),"")="",0,N(IFERROR(IF(TRIM(INDEX($A50:$AL50,MATCH(Lists!$F$5,$A$1:$AL$1,0))&amp;"")="","",IF(ISNUMBER(INDEX($A50:$AL50,MATCH(Lists!$F$5,$A$1:$AL$1,0))),INT(INDEX($A50:$AL50,MATCH(Lists!$F$5,$A$1:$AL$1,0))),DATE(VALUE(LEFT(INDEX($A50:$AL50,MATCH(Lists!$F$5,$A$1:$AL$1,0)),4)),VALUE(MID(INDEX($A50:$AL50,MATCH(Lists!$F$5,$A$1:$AL$1,0)),6,2)),VALUE(MID(INDEX($A50:$AL50,MATCH(Lists!$F$5,$A$1:$AL$1,0)),9,2))))),"")))</f>
        <v/>
      </c>
      <c r="AU50" s="21">
        <f>IF(IFERROR(TRIM(INDEX($A50:$AL50,MATCH(Lists!$F$2,$A$1:$AL$1,0))&amp;""),"")="",-1,IF(ISNUMBER(IFERROR(IF(TRIM(INDEX($A50:$AL50,MATCH(Lists!$F$6,$A$1:$AL$1,0))&amp;"")="","",IF(ISNUMBER(INDEX($A50:$AL50,MATCH(Lists!$F$6,$A$1:$AL$1,0))),ROUND(MOD(INDEX($A50:$AL50,MATCH(Lists!$F$6,$A$1:$AL$1,0)),1)*1440,0),VALUE(LEFT(INDEX($A50:$AL50,MATCH(Lists!$F$6,$A$1:$AL$1,0)),2))*60+VALUE(MID(INDEX($A50:$AL50,MATCH(Lists!$F$6,$A$1:$AL$1,0)),4,2)))),"")),IFERROR(IF(TRIM(INDEX($A50:$AL50,MATCH(Lists!$F$6,$A$1:$AL$1,0))&amp;"")="","",IF(ISNUMBER(INDEX($A50:$AL50,MATCH(Lists!$F$6,$A$1:$AL$1,0))),ROUND(MOD(INDEX($A50:$AL50,MATCH(Lists!$F$6,$A$1:$AL$1,0)),1)*1440,0),VALUE(LEFT(INDEX($A50:$AL50,MATCH(Lists!$F$6,$A$1:$AL$1,0)),2))*60+VALUE(MID(INDEX($A50:$AL50,MATCH(Lists!$F$6,$A$1:$AL$1,0)),4,2)))),""),-1))</f>
        <v/>
      </c>
      <c r="AV50" s="21">
        <f>IF(IFERROR(TRIM(INDEX($A50:$AL50,MATCH(Lists!$F$2,$A$1:$AL$1,0))&amp;""),"")="",-1,IF(ISNUMBER(IFERROR(IF(TRIM(INDEX($A50:$AL50,MATCH(Lists!$F$7,$A$1:$AL$1,0))&amp;"")="","",IF(ISNUMBER(INDEX($A50:$AL50,MATCH(Lists!$F$7,$A$1:$AL$1,0))),ROUND(MOD(INDEX($A50:$AL50,MATCH(Lists!$F$7,$A$1:$AL$1,0)),1)*1440,0),VALUE(LEFT(INDEX($A50:$AL50,MATCH(Lists!$F$7,$A$1:$AL$1,0)),2))*60+VALUE(MID(INDEX($A50:$AL50,MATCH(Lists!$F$7,$A$1:$AL$1,0)),4,2)))),"")),IFERROR(IF(TRIM(INDEX($A50:$AL50,MATCH(Lists!$F$7,$A$1:$AL$1,0))&amp;"")="","",IF(ISNUMBER(INDEX($A50:$AL50,MATCH(Lists!$F$7,$A$1:$AL$1,0))),ROUND(MOD(INDEX($A50:$AL50,MATCH(Lists!$F$7,$A$1:$AL$1,0)),1)*1440,0),VALUE(LEFT(INDEX($A50:$AL50,MATCH(Lists!$F$7,$A$1:$AL$1,0)),2))*60+VALUE(MID(INDEX($A50:$AL50,MATCH(Lists!$F$7,$A$1:$AL$1,0)),4,2)))),""),-1))</f>
        <v/>
      </c>
      <c r="AW50" s="21">
        <f>IF(IFERROR(TRIM(INDEX($A50:$AL50,MATCH(Lists!$F$2,$A$1:$AL$1,0))&amp;""),"")="","",IF(IFERROR(TRIM(INDEX($A50:$AL50,MATCH(Lists!$F$8,$A$1:$AL$1,0))&amp;""),"")&lt;&gt;"",IFERROR(TRIM(INDEX($A50:$AL50,MATCH(Lists!$F$8,$A$1:$AL$1,0))&amp;""),""),IFERROR(TRIM(INDEX($A50:$AL50,MATCH(Lists!$F$9,$A$1:$AL$1,0))&amp;""),"")))</f>
        <v/>
      </c>
      <c r="AX50" s="21">
        <f>IFERROR(IF(TRIM(INDEX($A50:$AL50,MATCH(Lists!$F$10,$A$1:$AL$1,0))&amp;"")="","",VALUE(TRIM(INDEX($A50:$AL50,MATCH(Lists!$F$10,$A$1:$AL$1,0))&amp;""))),"")</f>
        <v/>
      </c>
      <c r="AY50" s="21">
        <f>IF(IFERROR(TRIM(INDEX($A50:$AL50,MATCH(Lists!$F$2,$A$1:$AL$1,0))&amp;""),"")="","",IF(AN50="","New",AN50))</f>
        <v/>
      </c>
      <c r="AZ50" s="21">
        <f>IF(IFERROR(TRIM(INDEX($A50:$AL50,MATCH(Lists!$F$2,$A$1:$AL$1,0))&amp;""),"")="","",IF(OR(IFERROR(TRIM(INDEX($A50:$AL50,MATCH(Lists!$F$13,$A$1:$AL$1,0))&amp;""),"")="Paid",IFERROR(TRIM(INDEX($A50:$AL50,MATCH(Lists!$F$13,$A$1:$AL$1,0))&amp;""),"")="Partially refunded"),"Paid",IF(AP50="Yes","Paid (by hand)",IFERROR(TRIM(INDEX($A50:$AL50,MATCH(Lists!$F$13,$A$1:$AL$1,0))&amp;""),""))))</f>
        <v/>
      </c>
      <c r="BA50" s="21">
        <f>IF(AND(IFERROR(TRIM(INDEX($A50:$AL50,MATCH(Lists!$F$2,$A$1:$AL$1,0))&amp;""),"")&lt;&gt;"",AT50&gt;0,AU50&gt;=0,AV50&gt;AU50,AY50&lt;&gt;"Declined"),1,0)</f>
        <v/>
      </c>
      <c r="BB50" s="21">
        <f>IF(BA50=1,COUNTIFS($AS$2:$AS$501,AS50,$AT$2:$AT$501,AT50,$AU$2:$AU$501,"&lt;"&amp;AV50,$AV$2:$AV$501,"&gt;"&amp;AU50,$BA$2:$BA$501,1)-1,"")</f>
        <v/>
      </c>
      <c r="BC50" s="21">
        <f>IF(N(BB50)&gt;0,"Clashes with "&amp;INDEX($AW$2:$AW$501,SUMPRODUCT(MAX(($AS$2:$AS$501=AS50)*($AT$2:$AT$501=AT50)*($AU$2:$AU$501&lt;AV50)*($AV$2:$AV$501&gt;AU50)*($BA$2:$BA$501=1)*(ROW($AS$2:$AS$501)&lt;&gt;ROW())*ROW($AS$2:$AS$501)))-1)&amp;" ("&amp;INDEX($AY$2:$AY$501,SUMPRODUCT(MAX(($AS$2:$AS$501=AS50)*($AT$2:$AT$501=AT50)*($AU$2:$AU$501&lt;AV50)*($AV$2:$AV$501&gt;AU50)*($BA$2:$BA$501=1)*(ROW($AS$2:$AS$501)&lt;&gt;ROW())*ROW($AS$2:$AS$501)))-1)&amp;")"&amp;IF(BB50&gt;1," and "&amp;(BB50-1)&amp;" more",""),"")</f>
        <v/>
      </c>
      <c r="BD50" s="21">
        <f>IF(AND(BA50=1,AY50="Confirmed"),AT50*10000000+AU50*1000+ROW(),"")</f>
        <v/>
      </c>
      <c r="BE50" s="21">
        <f>IF(IFERROR(TRIM(INDEX($A50:$AL50,MATCH(Lists!$F$2,$A$1:$AL$1,0))&amp;""),"")="","",IFERROR(TRIM(INDEX($A50:$AL50,MATCH(Lists!$F$11,$A$1:$AL$1,0))&amp;""),""))</f>
        <v/>
      </c>
      <c r="BF50" s="21">
        <f>IF(IFERROR(TRIM(INDEX($A50:$AL50,MATCH(Lists!$F$2,$A$1:$AL$1,0))&amp;""),"")="","",IFERROR(TRIM(INDEX($A50:$AL50,MATCH(Lists!$F$12,$A$1:$AL$1,0))&amp;""),""))</f>
        <v/>
      </c>
    </row>
    <row r="51">
      <c r="AM51" s="19" t="n"/>
      <c r="AN51" s="23" t="n"/>
      <c r="AO51" s="23" t="n"/>
      <c r="AP51" s="23" t="n"/>
      <c r="AQ51" s="23" t="n"/>
      <c r="AR51" s="19" t="n"/>
      <c r="AS51" s="21">
        <f>IF(IFERROR(TRIM(INDEX($A51:$AL51,MATCH(Lists!$F$2,$A$1:$AL$1,0))&amp;""),"")="","",IF(AND(IFERROR(TRIM(INDEX($A51:$AL51,MATCH(Lists!$F$3,$A$1:$AL$1,0))&amp;""),"")="Other",IFERROR(TRIM(INDEX($A51:$AL51,MATCH(Lists!$F$4,$A$1:$AL$1,0))&amp;""),"")&lt;&gt;""),IFERROR(TRIM(INDEX($A51:$AL51,MATCH(Lists!$F$4,$A$1:$AL$1,0))&amp;""),""),IF(IFERROR(TRIM(INDEX($A51:$AL51,MATCH(Lists!$F$3,$A$1:$AL$1,0))&amp;""),"")="","(no space)",IFERROR(TRIM(INDEX($A51:$AL51,MATCH(Lists!$F$3,$A$1:$AL$1,0))&amp;""),""))))</f>
        <v/>
      </c>
      <c r="AT51" s="22">
        <f>IF(IFERROR(TRIM(INDEX($A51:$AL51,MATCH(Lists!$F$2,$A$1:$AL$1,0))&amp;""),"")="",0,N(IFERROR(IF(TRIM(INDEX($A51:$AL51,MATCH(Lists!$F$5,$A$1:$AL$1,0))&amp;"")="","",IF(ISNUMBER(INDEX($A51:$AL51,MATCH(Lists!$F$5,$A$1:$AL$1,0))),INT(INDEX($A51:$AL51,MATCH(Lists!$F$5,$A$1:$AL$1,0))),DATE(VALUE(LEFT(INDEX($A51:$AL51,MATCH(Lists!$F$5,$A$1:$AL$1,0)),4)),VALUE(MID(INDEX($A51:$AL51,MATCH(Lists!$F$5,$A$1:$AL$1,0)),6,2)),VALUE(MID(INDEX($A51:$AL51,MATCH(Lists!$F$5,$A$1:$AL$1,0)),9,2))))),"")))</f>
        <v/>
      </c>
      <c r="AU51" s="21">
        <f>IF(IFERROR(TRIM(INDEX($A51:$AL51,MATCH(Lists!$F$2,$A$1:$AL$1,0))&amp;""),"")="",-1,IF(ISNUMBER(IFERROR(IF(TRIM(INDEX($A51:$AL51,MATCH(Lists!$F$6,$A$1:$AL$1,0))&amp;"")="","",IF(ISNUMBER(INDEX($A51:$AL51,MATCH(Lists!$F$6,$A$1:$AL$1,0))),ROUND(MOD(INDEX($A51:$AL51,MATCH(Lists!$F$6,$A$1:$AL$1,0)),1)*1440,0),VALUE(LEFT(INDEX($A51:$AL51,MATCH(Lists!$F$6,$A$1:$AL$1,0)),2))*60+VALUE(MID(INDEX($A51:$AL51,MATCH(Lists!$F$6,$A$1:$AL$1,0)),4,2)))),"")),IFERROR(IF(TRIM(INDEX($A51:$AL51,MATCH(Lists!$F$6,$A$1:$AL$1,0))&amp;"")="","",IF(ISNUMBER(INDEX($A51:$AL51,MATCH(Lists!$F$6,$A$1:$AL$1,0))),ROUND(MOD(INDEX($A51:$AL51,MATCH(Lists!$F$6,$A$1:$AL$1,0)),1)*1440,0),VALUE(LEFT(INDEX($A51:$AL51,MATCH(Lists!$F$6,$A$1:$AL$1,0)),2))*60+VALUE(MID(INDEX($A51:$AL51,MATCH(Lists!$F$6,$A$1:$AL$1,0)),4,2)))),""),-1))</f>
        <v/>
      </c>
      <c r="AV51" s="21">
        <f>IF(IFERROR(TRIM(INDEX($A51:$AL51,MATCH(Lists!$F$2,$A$1:$AL$1,0))&amp;""),"")="",-1,IF(ISNUMBER(IFERROR(IF(TRIM(INDEX($A51:$AL51,MATCH(Lists!$F$7,$A$1:$AL$1,0))&amp;"")="","",IF(ISNUMBER(INDEX($A51:$AL51,MATCH(Lists!$F$7,$A$1:$AL$1,0))),ROUND(MOD(INDEX($A51:$AL51,MATCH(Lists!$F$7,$A$1:$AL$1,0)),1)*1440,0),VALUE(LEFT(INDEX($A51:$AL51,MATCH(Lists!$F$7,$A$1:$AL$1,0)),2))*60+VALUE(MID(INDEX($A51:$AL51,MATCH(Lists!$F$7,$A$1:$AL$1,0)),4,2)))),"")),IFERROR(IF(TRIM(INDEX($A51:$AL51,MATCH(Lists!$F$7,$A$1:$AL$1,0))&amp;"")="","",IF(ISNUMBER(INDEX($A51:$AL51,MATCH(Lists!$F$7,$A$1:$AL$1,0))),ROUND(MOD(INDEX($A51:$AL51,MATCH(Lists!$F$7,$A$1:$AL$1,0)),1)*1440,0),VALUE(LEFT(INDEX($A51:$AL51,MATCH(Lists!$F$7,$A$1:$AL$1,0)),2))*60+VALUE(MID(INDEX($A51:$AL51,MATCH(Lists!$F$7,$A$1:$AL$1,0)),4,2)))),""),-1))</f>
        <v/>
      </c>
      <c r="AW51" s="21">
        <f>IF(IFERROR(TRIM(INDEX($A51:$AL51,MATCH(Lists!$F$2,$A$1:$AL$1,0))&amp;""),"")="","",IF(IFERROR(TRIM(INDEX($A51:$AL51,MATCH(Lists!$F$8,$A$1:$AL$1,0))&amp;""),"")&lt;&gt;"",IFERROR(TRIM(INDEX($A51:$AL51,MATCH(Lists!$F$8,$A$1:$AL$1,0))&amp;""),""),IFERROR(TRIM(INDEX($A51:$AL51,MATCH(Lists!$F$9,$A$1:$AL$1,0))&amp;""),"")))</f>
        <v/>
      </c>
      <c r="AX51" s="21">
        <f>IFERROR(IF(TRIM(INDEX($A51:$AL51,MATCH(Lists!$F$10,$A$1:$AL$1,0))&amp;"")="","",VALUE(TRIM(INDEX($A51:$AL51,MATCH(Lists!$F$10,$A$1:$AL$1,0))&amp;""))),"")</f>
        <v/>
      </c>
      <c r="AY51" s="21">
        <f>IF(IFERROR(TRIM(INDEX($A51:$AL51,MATCH(Lists!$F$2,$A$1:$AL$1,0))&amp;""),"")="","",IF(AN51="","New",AN51))</f>
        <v/>
      </c>
      <c r="AZ51" s="21">
        <f>IF(IFERROR(TRIM(INDEX($A51:$AL51,MATCH(Lists!$F$2,$A$1:$AL$1,0))&amp;""),"")="","",IF(OR(IFERROR(TRIM(INDEX($A51:$AL51,MATCH(Lists!$F$13,$A$1:$AL$1,0))&amp;""),"")="Paid",IFERROR(TRIM(INDEX($A51:$AL51,MATCH(Lists!$F$13,$A$1:$AL$1,0))&amp;""),"")="Partially refunded"),"Paid",IF(AP51="Yes","Paid (by hand)",IFERROR(TRIM(INDEX($A51:$AL51,MATCH(Lists!$F$13,$A$1:$AL$1,0))&amp;""),""))))</f>
        <v/>
      </c>
      <c r="BA51" s="21">
        <f>IF(AND(IFERROR(TRIM(INDEX($A51:$AL51,MATCH(Lists!$F$2,$A$1:$AL$1,0))&amp;""),"")&lt;&gt;"",AT51&gt;0,AU51&gt;=0,AV51&gt;AU51,AY51&lt;&gt;"Declined"),1,0)</f>
        <v/>
      </c>
      <c r="BB51" s="21">
        <f>IF(BA51=1,COUNTIFS($AS$2:$AS$501,AS51,$AT$2:$AT$501,AT51,$AU$2:$AU$501,"&lt;"&amp;AV51,$AV$2:$AV$501,"&gt;"&amp;AU51,$BA$2:$BA$501,1)-1,"")</f>
        <v/>
      </c>
      <c r="BC51" s="21">
        <f>IF(N(BB51)&gt;0,"Clashes with "&amp;INDEX($AW$2:$AW$501,SUMPRODUCT(MAX(($AS$2:$AS$501=AS51)*($AT$2:$AT$501=AT51)*($AU$2:$AU$501&lt;AV51)*($AV$2:$AV$501&gt;AU51)*($BA$2:$BA$501=1)*(ROW($AS$2:$AS$501)&lt;&gt;ROW())*ROW($AS$2:$AS$501)))-1)&amp;" ("&amp;INDEX($AY$2:$AY$501,SUMPRODUCT(MAX(($AS$2:$AS$501=AS51)*($AT$2:$AT$501=AT51)*($AU$2:$AU$501&lt;AV51)*($AV$2:$AV$501&gt;AU51)*($BA$2:$BA$501=1)*(ROW($AS$2:$AS$501)&lt;&gt;ROW())*ROW($AS$2:$AS$501)))-1)&amp;")"&amp;IF(BB51&gt;1," and "&amp;(BB51-1)&amp;" more",""),"")</f>
        <v/>
      </c>
      <c r="BD51" s="21">
        <f>IF(AND(BA51=1,AY51="Confirmed"),AT51*10000000+AU51*1000+ROW(),"")</f>
        <v/>
      </c>
      <c r="BE51" s="21">
        <f>IF(IFERROR(TRIM(INDEX($A51:$AL51,MATCH(Lists!$F$2,$A$1:$AL$1,0))&amp;""),"")="","",IFERROR(TRIM(INDEX($A51:$AL51,MATCH(Lists!$F$11,$A$1:$AL$1,0))&amp;""),""))</f>
        <v/>
      </c>
      <c r="BF51" s="21">
        <f>IF(IFERROR(TRIM(INDEX($A51:$AL51,MATCH(Lists!$F$2,$A$1:$AL$1,0))&amp;""),"")="","",IFERROR(TRIM(INDEX($A51:$AL51,MATCH(Lists!$F$12,$A$1:$AL$1,0))&amp;""),""))</f>
        <v/>
      </c>
    </row>
    <row r="52">
      <c r="AM52" s="19" t="n"/>
      <c r="AN52" s="23" t="n"/>
      <c r="AO52" s="23" t="n"/>
      <c r="AP52" s="23" t="n"/>
      <c r="AQ52" s="23" t="n"/>
      <c r="AR52" s="19" t="n"/>
      <c r="AS52" s="21">
        <f>IF(IFERROR(TRIM(INDEX($A52:$AL52,MATCH(Lists!$F$2,$A$1:$AL$1,0))&amp;""),"")="","",IF(AND(IFERROR(TRIM(INDEX($A52:$AL52,MATCH(Lists!$F$3,$A$1:$AL$1,0))&amp;""),"")="Other",IFERROR(TRIM(INDEX($A52:$AL52,MATCH(Lists!$F$4,$A$1:$AL$1,0))&amp;""),"")&lt;&gt;""),IFERROR(TRIM(INDEX($A52:$AL52,MATCH(Lists!$F$4,$A$1:$AL$1,0))&amp;""),""),IF(IFERROR(TRIM(INDEX($A52:$AL52,MATCH(Lists!$F$3,$A$1:$AL$1,0))&amp;""),"")="","(no space)",IFERROR(TRIM(INDEX($A52:$AL52,MATCH(Lists!$F$3,$A$1:$AL$1,0))&amp;""),""))))</f>
        <v/>
      </c>
      <c r="AT52" s="22">
        <f>IF(IFERROR(TRIM(INDEX($A52:$AL52,MATCH(Lists!$F$2,$A$1:$AL$1,0))&amp;""),"")="",0,N(IFERROR(IF(TRIM(INDEX($A52:$AL52,MATCH(Lists!$F$5,$A$1:$AL$1,0))&amp;"")="","",IF(ISNUMBER(INDEX($A52:$AL52,MATCH(Lists!$F$5,$A$1:$AL$1,0))),INT(INDEX($A52:$AL52,MATCH(Lists!$F$5,$A$1:$AL$1,0))),DATE(VALUE(LEFT(INDEX($A52:$AL52,MATCH(Lists!$F$5,$A$1:$AL$1,0)),4)),VALUE(MID(INDEX($A52:$AL52,MATCH(Lists!$F$5,$A$1:$AL$1,0)),6,2)),VALUE(MID(INDEX($A52:$AL52,MATCH(Lists!$F$5,$A$1:$AL$1,0)),9,2))))),"")))</f>
        <v/>
      </c>
      <c r="AU52" s="21">
        <f>IF(IFERROR(TRIM(INDEX($A52:$AL52,MATCH(Lists!$F$2,$A$1:$AL$1,0))&amp;""),"")="",-1,IF(ISNUMBER(IFERROR(IF(TRIM(INDEX($A52:$AL52,MATCH(Lists!$F$6,$A$1:$AL$1,0))&amp;"")="","",IF(ISNUMBER(INDEX($A52:$AL52,MATCH(Lists!$F$6,$A$1:$AL$1,0))),ROUND(MOD(INDEX($A52:$AL52,MATCH(Lists!$F$6,$A$1:$AL$1,0)),1)*1440,0),VALUE(LEFT(INDEX($A52:$AL52,MATCH(Lists!$F$6,$A$1:$AL$1,0)),2))*60+VALUE(MID(INDEX($A52:$AL52,MATCH(Lists!$F$6,$A$1:$AL$1,0)),4,2)))),"")),IFERROR(IF(TRIM(INDEX($A52:$AL52,MATCH(Lists!$F$6,$A$1:$AL$1,0))&amp;"")="","",IF(ISNUMBER(INDEX($A52:$AL52,MATCH(Lists!$F$6,$A$1:$AL$1,0))),ROUND(MOD(INDEX($A52:$AL52,MATCH(Lists!$F$6,$A$1:$AL$1,0)),1)*1440,0),VALUE(LEFT(INDEX($A52:$AL52,MATCH(Lists!$F$6,$A$1:$AL$1,0)),2))*60+VALUE(MID(INDEX($A52:$AL52,MATCH(Lists!$F$6,$A$1:$AL$1,0)),4,2)))),""),-1))</f>
        <v/>
      </c>
      <c r="AV52" s="21">
        <f>IF(IFERROR(TRIM(INDEX($A52:$AL52,MATCH(Lists!$F$2,$A$1:$AL$1,0))&amp;""),"")="",-1,IF(ISNUMBER(IFERROR(IF(TRIM(INDEX($A52:$AL52,MATCH(Lists!$F$7,$A$1:$AL$1,0))&amp;"")="","",IF(ISNUMBER(INDEX($A52:$AL52,MATCH(Lists!$F$7,$A$1:$AL$1,0))),ROUND(MOD(INDEX($A52:$AL52,MATCH(Lists!$F$7,$A$1:$AL$1,0)),1)*1440,0),VALUE(LEFT(INDEX($A52:$AL52,MATCH(Lists!$F$7,$A$1:$AL$1,0)),2))*60+VALUE(MID(INDEX($A52:$AL52,MATCH(Lists!$F$7,$A$1:$AL$1,0)),4,2)))),"")),IFERROR(IF(TRIM(INDEX($A52:$AL52,MATCH(Lists!$F$7,$A$1:$AL$1,0))&amp;"")="","",IF(ISNUMBER(INDEX($A52:$AL52,MATCH(Lists!$F$7,$A$1:$AL$1,0))),ROUND(MOD(INDEX($A52:$AL52,MATCH(Lists!$F$7,$A$1:$AL$1,0)),1)*1440,0),VALUE(LEFT(INDEX($A52:$AL52,MATCH(Lists!$F$7,$A$1:$AL$1,0)),2))*60+VALUE(MID(INDEX($A52:$AL52,MATCH(Lists!$F$7,$A$1:$AL$1,0)),4,2)))),""),-1))</f>
        <v/>
      </c>
      <c r="AW52" s="21">
        <f>IF(IFERROR(TRIM(INDEX($A52:$AL52,MATCH(Lists!$F$2,$A$1:$AL$1,0))&amp;""),"")="","",IF(IFERROR(TRIM(INDEX($A52:$AL52,MATCH(Lists!$F$8,$A$1:$AL$1,0))&amp;""),"")&lt;&gt;"",IFERROR(TRIM(INDEX($A52:$AL52,MATCH(Lists!$F$8,$A$1:$AL$1,0))&amp;""),""),IFERROR(TRIM(INDEX($A52:$AL52,MATCH(Lists!$F$9,$A$1:$AL$1,0))&amp;""),"")))</f>
        <v/>
      </c>
      <c r="AX52" s="21">
        <f>IFERROR(IF(TRIM(INDEX($A52:$AL52,MATCH(Lists!$F$10,$A$1:$AL$1,0))&amp;"")="","",VALUE(TRIM(INDEX($A52:$AL52,MATCH(Lists!$F$10,$A$1:$AL$1,0))&amp;""))),"")</f>
        <v/>
      </c>
      <c r="AY52" s="21">
        <f>IF(IFERROR(TRIM(INDEX($A52:$AL52,MATCH(Lists!$F$2,$A$1:$AL$1,0))&amp;""),"")="","",IF(AN52="","New",AN52))</f>
        <v/>
      </c>
      <c r="AZ52" s="21">
        <f>IF(IFERROR(TRIM(INDEX($A52:$AL52,MATCH(Lists!$F$2,$A$1:$AL$1,0))&amp;""),"")="","",IF(OR(IFERROR(TRIM(INDEX($A52:$AL52,MATCH(Lists!$F$13,$A$1:$AL$1,0))&amp;""),"")="Paid",IFERROR(TRIM(INDEX($A52:$AL52,MATCH(Lists!$F$13,$A$1:$AL$1,0))&amp;""),"")="Partially refunded"),"Paid",IF(AP52="Yes","Paid (by hand)",IFERROR(TRIM(INDEX($A52:$AL52,MATCH(Lists!$F$13,$A$1:$AL$1,0))&amp;""),""))))</f>
        <v/>
      </c>
      <c r="BA52" s="21">
        <f>IF(AND(IFERROR(TRIM(INDEX($A52:$AL52,MATCH(Lists!$F$2,$A$1:$AL$1,0))&amp;""),"")&lt;&gt;"",AT52&gt;0,AU52&gt;=0,AV52&gt;AU52,AY52&lt;&gt;"Declined"),1,0)</f>
        <v/>
      </c>
      <c r="BB52" s="21">
        <f>IF(BA52=1,COUNTIFS($AS$2:$AS$501,AS52,$AT$2:$AT$501,AT52,$AU$2:$AU$501,"&lt;"&amp;AV52,$AV$2:$AV$501,"&gt;"&amp;AU52,$BA$2:$BA$501,1)-1,"")</f>
        <v/>
      </c>
      <c r="BC52" s="21">
        <f>IF(N(BB52)&gt;0,"Clashes with "&amp;INDEX($AW$2:$AW$501,SUMPRODUCT(MAX(($AS$2:$AS$501=AS52)*($AT$2:$AT$501=AT52)*($AU$2:$AU$501&lt;AV52)*($AV$2:$AV$501&gt;AU52)*($BA$2:$BA$501=1)*(ROW($AS$2:$AS$501)&lt;&gt;ROW())*ROW($AS$2:$AS$501)))-1)&amp;" ("&amp;INDEX($AY$2:$AY$501,SUMPRODUCT(MAX(($AS$2:$AS$501=AS52)*($AT$2:$AT$501=AT52)*($AU$2:$AU$501&lt;AV52)*($AV$2:$AV$501&gt;AU52)*($BA$2:$BA$501=1)*(ROW($AS$2:$AS$501)&lt;&gt;ROW())*ROW($AS$2:$AS$501)))-1)&amp;")"&amp;IF(BB52&gt;1," and "&amp;(BB52-1)&amp;" more",""),"")</f>
        <v/>
      </c>
      <c r="BD52" s="21">
        <f>IF(AND(BA52=1,AY52="Confirmed"),AT52*10000000+AU52*1000+ROW(),"")</f>
        <v/>
      </c>
      <c r="BE52" s="21">
        <f>IF(IFERROR(TRIM(INDEX($A52:$AL52,MATCH(Lists!$F$2,$A$1:$AL$1,0))&amp;""),"")="","",IFERROR(TRIM(INDEX($A52:$AL52,MATCH(Lists!$F$11,$A$1:$AL$1,0))&amp;""),""))</f>
        <v/>
      </c>
      <c r="BF52" s="21">
        <f>IF(IFERROR(TRIM(INDEX($A52:$AL52,MATCH(Lists!$F$2,$A$1:$AL$1,0))&amp;""),"")="","",IFERROR(TRIM(INDEX($A52:$AL52,MATCH(Lists!$F$12,$A$1:$AL$1,0))&amp;""),""))</f>
        <v/>
      </c>
    </row>
    <row r="53">
      <c r="AM53" s="19" t="n"/>
      <c r="AN53" s="23" t="n"/>
      <c r="AO53" s="23" t="n"/>
      <c r="AP53" s="23" t="n"/>
      <c r="AQ53" s="23" t="n"/>
      <c r="AR53" s="19" t="n"/>
      <c r="AS53" s="21">
        <f>IF(IFERROR(TRIM(INDEX($A53:$AL53,MATCH(Lists!$F$2,$A$1:$AL$1,0))&amp;""),"")="","",IF(AND(IFERROR(TRIM(INDEX($A53:$AL53,MATCH(Lists!$F$3,$A$1:$AL$1,0))&amp;""),"")="Other",IFERROR(TRIM(INDEX($A53:$AL53,MATCH(Lists!$F$4,$A$1:$AL$1,0))&amp;""),"")&lt;&gt;""),IFERROR(TRIM(INDEX($A53:$AL53,MATCH(Lists!$F$4,$A$1:$AL$1,0))&amp;""),""),IF(IFERROR(TRIM(INDEX($A53:$AL53,MATCH(Lists!$F$3,$A$1:$AL$1,0))&amp;""),"")="","(no space)",IFERROR(TRIM(INDEX($A53:$AL53,MATCH(Lists!$F$3,$A$1:$AL$1,0))&amp;""),""))))</f>
        <v/>
      </c>
      <c r="AT53" s="22">
        <f>IF(IFERROR(TRIM(INDEX($A53:$AL53,MATCH(Lists!$F$2,$A$1:$AL$1,0))&amp;""),"")="",0,N(IFERROR(IF(TRIM(INDEX($A53:$AL53,MATCH(Lists!$F$5,$A$1:$AL$1,0))&amp;"")="","",IF(ISNUMBER(INDEX($A53:$AL53,MATCH(Lists!$F$5,$A$1:$AL$1,0))),INT(INDEX($A53:$AL53,MATCH(Lists!$F$5,$A$1:$AL$1,0))),DATE(VALUE(LEFT(INDEX($A53:$AL53,MATCH(Lists!$F$5,$A$1:$AL$1,0)),4)),VALUE(MID(INDEX($A53:$AL53,MATCH(Lists!$F$5,$A$1:$AL$1,0)),6,2)),VALUE(MID(INDEX($A53:$AL53,MATCH(Lists!$F$5,$A$1:$AL$1,0)),9,2))))),"")))</f>
        <v/>
      </c>
      <c r="AU53" s="21">
        <f>IF(IFERROR(TRIM(INDEX($A53:$AL53,MATCH(Lists!$F$2,$A$1:$AL$1,0))&amp;""),"")="",-1,IF(ISNUMBER(IFERROR(IF(TRIM(INDEX($A53:$AL53,MATCH(Lists!$F$6,$A$1:$AL$1,0))&amp;"")="","",IF(ISNUMBER(INDEX($A53:$AL53,MATCH(Lists!$F$6,$A$1:$AL$1,0))),ROUND(MOD(INDEX($A53:$AL53,MATCH(Lists!$F$6,$A$1:$AL$1,0)),1)*1440,0),VALUE(LEFT(INDEX($A53:$AL53,MATCH(Lists!$F$6,$A$1:$AL$1,0)),2))*60+VALUE(MID(INDEX($A53:$AL53,MATCH(Lists!$F$6,$A$1:$AL$1,0)),4,2)))),"")),IFERROR(IF(TRIM(INDEX($A53:$AL53,MATCH(Lists!$F$6,$A$1:$AL$1,0))&amp;"")="","",IF(ISNUMBER(INDEX($A53:$AL53,MATCH(Lists!$F$6,$A$1:$AL$1,0))),ROUND(MOD(INDEX($A53:$AL53,MATCH(Lists!$F$6,$A$1:$AL$1,0)),1)*1440,0),VALUE(LEFT(INDEX($A53:$AL53,MATCH(Lists!$F$6,$A$1:$AL$1,0)),2))*60+VALUE(MID(INDEX($A53:$AL53,MATCH(Lists!$F$6,$A$1:$AL$1,0)),4,2)))),""),-1))</f>
        <v/>
      </c>
      <c r="AV53" s="21">
        <f>IF(IFERROR(TRIM(INDEX($A53:$AL53,MATCH(Lists!$F$2,$A$1:$AL$1,0))&amp;""),"")="",-1,IF(ISNUMBER(IFERROR(IF(TRIM(INDEX($A53:$AL53,MATCH(Lists!$F$7,$A$1:$AL$1,0))&amp;"")="","",IF(ISNUMBER(INDEX($A53:$AL53,MATCH(Lists!$F$7,$A$1:$AL$1,0))),ROUND(MOD(INDEX($A53:$AL53,MATCH(Lists!$F$7,$A$1:$AL$1,0)),1)*1440,0),VALUE(LEFT(INDEX($A53:$AL53,MATCH(Lists!$F$7,$A$1:$AL$1,0)),2))*60+VALUE(MID(INDEX($A53:$AL53,MATCH(Lists!$F$7,$A$1:$AL$1,0)),4,2)))),"")),IFERROR(IF(TRIM(INDEX($A53:$AL53,MATCH(Lists!$F$7,$A$1:$AL$1,0))&amp;"")="","",IF(ISNUMBER(INDEX($A53:$AL53,MATCH(Lists!$F$7,$A$1:$AL$1,0))),ROUND(MOD(INDEX($A53:$AL53,MATCH(Lists!$F$7,$A$1:$AL$1,0)),1)*1440,0),VALUE(LEFT(INDEX($A53:$AL53,MATCH(Lists!$F$7,$A$1:$AL$1,0)),2))*60+VALUE(MID(INDEX($A53:$AL53,MATCH(Lists!$F$7,$A$1:$AL$1,0)),4,2)))),""),-1))</f>
        <v/>
      </c>
      <c r="AW53" s="21">
        <f>IF(IFERROR(TRIM(INDEX($A53:$AL53,MATCH(Lists!$F$2,$A$1:$AL$1,0))&amp;""),"")="","",IF(IFERROR(TRIM(INDEX($A53:$AL53,MATCH(Lists!$F$8,$A$1:$AL$1,0))&amp;""),"")&lt;&gt;"",IFERROR(TRIM(INDEX($A53:$AL53,MATCH(Lists!$F$8,$A$1:$AL$1,0))&amp;""),""),IFERROR(TRIM(INDEX($A53:$AL53,MATCH(Lists!$F$9,$A$1:$AL$1,0))&amp;""),"")))</f>
        <v/>
      </c>
      <c r="AX53" s="21">
        <f>IFERROR(IF(TRIM(INDEX($A53:$AL53,MATCH(Lists!$F$10,$A$1:$AL$1,0))&amp;"")="","",VALUE(TRIM(INDEX($A53:$AL53,MATCH(Lists!$F$10,$A$1:$AL$1,0))&amp;""))),"")</f>
        <v/>
      </c>
      <c r="AY53" s="21">
        <f>IF(IFERROR(TRIM(INDEX($A53:$AL53,MATCH(Lists!$F$2,$A$1:$AL$1,0))&amp;""),"")="","",IF(AN53="","New",AN53))</f>
        <v/>
      </c>
      <c r="AZ53" s="21">
        <f>IF(IFERROR(TRIM(INDEX($A53:$AL53,MATCH(Lists!$F$2,$A$1:$AL$1,0))&amp;""),"")="","",IF(OR(IFERROR(TRIM(INDEX($A53:$AL53,MATCH(Lists!$F$13,$A$1:$AL$1,0))&amp;""),"")="Paid",IFERROR(TRIM(INDEX($A53:$AL53,MATCH(Lists!$F$13,$A$1:$AL$1,0))&amp;""),"")="Partially refunded"),"Paid",IF(AP53="Yes","Paid (by hand)",IFERROR(TRIM(INDEX($A53:$AL53,MATCH(Lists!$F$13,$A$1:$AL$1,0))&amp;""),""))))</f>
        <v/>
      </c>
      <c r="BA53" s="21">
        <f>IF(AND(IFERROR(TRIM(INDEX($A53:$AL53,MATCH(Lists!$F$2,$A$1:$AL$1,0))&amp;""),"")&lt;&gt;"",AT53&gt;0,AU53&gt;=0,AV53&gt;AU53,AY53&lt;&gt;"Declined"),1,0)</f>
        <v/>
      </c>
      <c r="BB53" s="21">
        <f>IF(BA53=1,COUNTIFS($AS$2:$AS$501,AS53,$AT$2:$AT$501,AT53,$AU$2:$AU$501,"&lt;"&amp;AV53,$AV$2:$AV$501,"&gt;"&amp;AU53,$BA$2:$BA$501,1)-1,"")</f>
        <v/>
      </c>
      <c r="BC53" s="21">
        <f>IF(N(BB53)&gt;0,"Clashes with "&amp;INDEX($AW$2:$AW$501,SUMPRODUCT(MAX(($AS$2:$AS$501=AS53)*($AT$2:$AT$501=AT53)*($AU$2:$AU$501&lt;AV53)*($AV$2:$AV$501&gt;AU53)*($BA$2:$BA$501=1)*(ROW($AS$2:$AS$501)&lt;&gt;ROW())*ROW($AS$2:$AS$501)))-1)&amp;" ("&amp;INDEX($AY$2:$AY$501,SUMPRODUCT(MAX(($AS$2:$AS$501=AS53)*($AT$2:$AT$501=AT53)*($AU$2:$AU$501&lt;AV53)*($AV$2:$AV$501&gt;AU53)*($BA$2:$BA$501=1)*(ROW($AS$2:$AS$501)&lt;&gt;ROW())*ROW($AS$2:$AS$501)))-1)&amp;")"&amp;IF(BB53&gt;1," and "&amp;(BB53-1)&amp;" more",""),"")</f>
        <v/>
      </c>
      <c r="BD53" s="21">
        <f>IF(AND(BA53=1,AY53="Confirmed"),AT53*10000000+AU53*1000+ROW(),"")</f>
        <v/>
      </c>
      <c r="BE53" s="21">
        <f>IF(IFERROR(TRIM(INDEX($A53:$AL53,MATCH(Lists!$F$2,$A$1:$AL$1,0))&amp;""),"")="","",IFERROR(TRIM(INDEX($A53:$AL53,MATCH(Lists!$F$11,$A$1:$AL$1,0))&amp;""),""))</f>
        <v/>
      </c>
      <c r="BF53" s="21">
        <f>IF(IFERROR(TRIM(INDEX($A53:$AL53,MATCH(Lists!$F$2,$A$1:$AL$1,0))&amp;""),"")="","",IFERROR(TRIM(INDEX($A53:$AL53,MATCH(Lists!$F$12,$A$1:$AL$1,0))&amp;""),""))</f>
        <v/>
      </c>
    </row>
    <row r="54">
      <c r="AM54" s="19" t="n"/>
      <c r="AN54" s="23" t="n"/>
      <c r="AO54" s="23" t="n"/>
      <c r="AP54" s="23" t="n"/>
      <c r="AQ54" s="23" t="n"/>
      <c r="AR54" s="19" t="n"/>
      <c r="AS54" s="21">
        <f>IF(IFERROR(TRIM(INDEX($A54:$AL54,MATCH(Lists!$F$2,$A$1:$AL$1,0))&amp;""),"")="","",IF(AND(IFERROR(TRIM(INDEX($A54:$AL54,MATCH(Lists!$F$3,$A$1:$AL$1,0))&amp;""),"")="Other",IFERROR(TRIM(INDEX($A54:$AL54,MATCH(Lists!$F$4,$A$1:$AL$1,0))&amp;""),"")&lt;&gt;""),IFERROR(TRIM(INDEX($A54:$AL54,MATCH(Lists!$F$4,$A$1:$AL$1,0))&amp;""),""),IF(IFERROR(TRIM(INDEX($A54:$AL54,MATCH(Lists!$F$3,$A$1:$AL$1,0))&amp;""),"")="","(no space)",IFERROR(TRIM(INDEX($A54:$AL54,MATCH(Lists!$F$3,$A$1:$AL$1,0))&amp;""),""))))</f>
        <v/>
      </c>
      <c r="AT54" s="22">
        <f>IF(IFERROR(TRIM(INDEX($A54:$AL54,MATCH(Lists!$F$2,$A$1:$AL$1,0))&amp;""),"")="",0,N(IFERROR(IF(TRIM(INDEX($A54:$AL54,MATCH(Lists!$F$5,$A$1:$AL$1,0))&amp;"")="","",IF(ISNUMBER(INDEX($A54:$AL54,MATCH(Lists!$F$5,$A$1:$AL$1,0))),INT(INDEX($A54:$AL54,MATCH(Lists!$F$5,$A$1:$AL$1,0))),DATE(VALUE(LEFT(INDEX($A54:$AL54,MATCH(Lists!$F$5,$A$1:$AL$1,0)),4)),VALUE(MID(INDEX($A54:$AL54,MATCH(Lists!$F$5,$A$1:$AL$1,0)),6,2)),VALUE(MID(INDEX($A54:$AL54,MATCH(Lists!$F$5,$A$1:$AL$1,0)),9,2))))),"")))</f>
        <v/>
      </c>
      <c r="AU54" s="21">
        <f>IF(IFERROR(TRIM(INDEX($A54:$AL54,MATCH(Lists!$F$2,$A$1:$AL$1,0))&amp;""),"")="",-1,IF(ISNUMBER(IFERROR(IF(TRIM(INDEX($A54:$AL54,MATCH(Lists!$F$6,$A$1:$AL$1,0))&amp;"")="","",IF(ISNUMBER(INDEX($A54:$AL54,MATCH(Lists!$F$6,$A$1:$AL$1,0))),ROUND(MOD(INDEX($A54:$AL54,MATCH(Lists!$F$6,$A$1:$AL$1,0)),1)*1440,0),VALUE(LEFT(INDEX($A54:$AL54,MATCH(Lists!$F$6,$A$1:$AL$1,0)),2))*60+VALUE(MID(INDEX($A54:$AL54,MATCH(Lists!$F$6,$A$1:$AL$1,0)),4,2)))),"")),IFERROR(IF(TRIM(INDEX($A54:$AL54,MATCH(Lists!$F$6,$A$1:$AL$1,0))&amp;"")="","",IF(ISNUMBER(INDEX($A54:$AL54,MATCH(Lists!$F$6,$A$1:$AL$1,0))),ROUND(MOD(INDEX($A54:$AL54,MATCH(Lists!$F$6,$A$1:$AL$1,0)),1)*1440,0),VALUE(LEFT(INDEX($A54:$AL54,MATCH(Lists!$F$6,$A$1:$AL$1,0)),2))*60+VALUE(MID(INDEX($A54:$AL54,MATCH(Lists!$F$6,$A$1:$AL$1,0)),4,2)))),""),-1))</f>
        <v/>
      </c>
      <c r="AV54" s="21">
        <f>IF(IFERROR(TRIM(INDEX($A54:$AL54,MATCH(Lists!$F$2,$A$1:$AL$1,0))&amp;""),"")="",-1,IF(ISNUMBER(IFERROR(IF(TRIM(INDEX($A54:$AL54,MATCH(Lists!$F$7,$A$1:$AL$1,0))&amp;"")="","",IF(ISNUMBER(INDEX($A54:$AL54,MATCH(Lists!$F$7,$A$1:$AL$1,0))),ROUND(MOD(INDEX($A54:$AL54,MATCH(Lists!$F$7,$A$1:$AL$1,0)),1)*1440,0),VALUE(LEFT(INDEX($A54:$AL54,MATCH(Lists!$F$7,$A$1:$AL$1,0)),2))*60+VALUE(MID(INDEX($A54:$AL54,MATCH(Lists!$F$7,$A$1:$AL$1,0)),4,2)))),"")),IFERROR(IF(TRIM(INDEX($A54:$AL54,MATCH(Lists!$F$7,$A$1:$AL$1,0))&amp;"")="","",IF(ISNUMBER(INDEX($A54:$AL54,MATCH(Lists!$F$7,$A$1:$AL$1,0))),ROUND(MOD(INDEX($A54:$AL54,MATCH(Lists!$F$7,$A$1:$AL$1,0)),1)*1440,0),VALUE(LEFT(INDEX($A54:$AL54,MATCH(Lists!$F$7,$A$1:$AL$1,0)),2))*60+VALUE(MID(INDEX($A54:$AL54,MATCH(Lists!$F$7,$A$1:$AL$1,0)),4,2)))),""),-1))</f>
        <v/>
      </c>
      <c r="AW54" s="21">
        <f>IF(IFERROR(TRIM(INDEX($A54:$AL54,MATCH(Lists!$F$2,$A$1:$AL$1,0))&amp;""),"")="","",IF(IFERROR(TRIM(INDEX($A54:$AL54,MATCH(Lists!$F$8,$A$1:$AL$1,0))&amp;""),"")&lt;&gt;"",IFERROR(TRIM(INDEX($A54:$AL54,MATCH(Lists!$F$8,$A$1:$AL$1,0))&amp;""),""),IFERROR(TRIM(INDEX($A54:$AL54,MATCH(Lists!$F$9,$A$1:$AL$1,0))&amp;""),"")))</f>
        <v/>
      </c>
      <c r="AX54" s="21">
        <f>IFERROR(IF(TRIM(INDEX($A54:$AL54,MATCH(Lists!$F$10,$A$1:$AL$1,0))&amp;"")="","",VALUE(TRIM(INDEX($A54:$AL54,MATCH(Lists!$F$10,$A$1:$AL$1,0))&amp;""))),"")</f>
        <v/>
      </c>
      <c r="AY54" s="21">
        <f>IF(IFERROR(TRIM(INDEX($A54:$AL54,MATCH(Lists!$F$2,$A$1:$AL$1,0))&amp;""),"")="","",IF(AN54="","New",AN54))</f>
        <v/>
      </c>
      <c r="AZ54" s="21">
        <f>IF(IFERROR(TRIM(INDEX($A54:$AL54,MATCH(Lists!$F$2,$A$1:$AL$1,0))&amp;""),"")="","",IF(OR(IFERROR(TRIM(INDEX($A54:$AL54,MATCH(Lists!$F$13,$A$1:$AL$1,0))&amp;""),"")="Paid",IFERROR(TRIM(INDEX($A54:$AL54,MATCH(Lists!$F$13,$A$1:$AL$1,0))&amp;""),"")="Partially refunded"),"Paid",IF(AP54="Yes","Paid (by hand)",IFERROR(TRIM(INDEX($A54:$AL54,MATCH(Lists!$F$13,$A$1:$AL$1,0))&amp;""),""))))</f>
        <v/>
      </c>
      <c r="BA54" s="21">
        <f>IF(AND(IFERROR(TRIM(INDEX($A54:$AL54,MATCH(Lists!$F$2,$A$1:$AL$1,0))&amp;""),"")&lt;&gt;"",AT54&gt;0,AU54&gt;=0,AV54&gt;AU54,AY54&lt;&gt;"Declined"),1,0)</f>
        <v/>
      </c>
      <c r="BB54" s="21">
        <f>IF(BA54=1,COUNTIFS($AS$2:$AS$501,AS54,$AT$2:$AT$501,AT54,$AU$2:$AU$501,"&lt;"&amp;AV54,$AV$2:$AV$501,"&gt;"&amp;AU54,$BA$2:$BA$501,1)-1,"")</f>
        <v/>
      </c>
      <c r="BC54" s="21">
        <f>IF(N(BB54)&gt;0,"Clashes with "&amp;INDEX($AW$2:$AW$501,SUMPRODUCT(MAX(($AS$2:$AS$501=AS54)*($AT$2:$AT$501=AT54)*($AU$2:$AU$501&lt;AV54)*($AV$2:$AV$501&gt;AU54)*($BA$2:$BA$501=1)*(ROW($AS$2:$AS$501)&lt;&gt;ROW())*ROW($AS$2:$AS$501)))-1)&amp;" ("&amp;INDEX($AY$2:$AY$501,SUMPRODUCT(MAX(($AS$2:$AS$501=AS54)*($AT$2:$AT$501=AT54)*($AU$2:$AU$501&lt;AV54)*($AV$2:$AV$501&gt;AU54)*($BA$2:$BA$501=1)*(ROW($AS$2:$AS$501)&lt;&gt;ROW())*ROW($AS$2:$AS$501)))-1)&amp;")"&amp;IF(BB54&gt;1," and "&amp;(BB54-1)&amp;" more",""),"")</f>
        <v/>
      </c>
      <c r="BD54" s="21">
        <f>IF(AND(BA54=1,AY54="Confirmed"),AT54*10000000+AU54*1000+ROW(),"")</f>
        <v/>
      </c>
      <c r="BE54" s="21">
        <f>IF(IFERROR(TRIM(INDEX($A54:$AL54,MATCH(Lists!$F$2,$A$1:$AL$1,0))&amp;""),"")="","",IFERROR(TRIM(INDEX($A54:$AL54,MATCH(Lists!$F$11,$A$1:$AL$1,0))&amp;""),""))</f>
        <v/>
      </c>
      <c r="BF54" s="21">
        <f>IF(IFERROR(TRIM(INDEX($A54:$AL54,MATCH(Lists!$F$2,$A$1:$AL$1,0))&amp;""),"")="","",IFERROR(TRIM(INDEX($A54:$AL54,MATCH(Lists!$F$12,$A$1:$AL$1,0))&amp;""),""))</f>
        <v/>
      </c>
    </row>
    <row r="55">
      <c r="AM55" s="19" t="n"/>
      <c r="AN55" s="23" t="n"/>
      <c r="AO55" s="23" t="n"/>
      <c r="AP55" s="23" t="n"/>
      <c r="AQ55" s="23" t="n"/>
      <c r="AR55" s="19" t="n"/>
      <c r="AS55" s="21">
        <f>IF(IFERROR(TRIM(INDEX($A55:$AL55,MATCH(Lists!$F$2,$A$1:$AL$1,0))&amp;""),"")="","",IF(AND(IFERROR(TRIM(INDEX($A55:$AL55,MATCH(Lists!$F$3,$A$1:$AL$1,0))&amp;""),"")="Other",IFERROR(TRIM(INDEX($A55:$AL55,MATCH(Lists!$F$4,$A$1:$AL$1,0))&amp;""),"")&lt;&gt;""),IFERROR(TRIM(INDEX($A55:$AL55,MATCH(Lists!$F$4,$A$1:$AL$1,0))&amp;""),""),IF(IFERROR(TRIM(INDEX($A55:$AL55,MATCH(Lists!$F$3,$A$1:$AL$1,0))&amp;""),"")="","(no space)",IFERROR(TRIM(INDEX($A55:$AL55,MATCH(Lists!$F$3,$A$1:$AL$1,0))&amp;""),""))))</f>
        <v/>
      </c>
      <c r="AT55" s="22">
        <f>IF(IFERROR(TRIM(INDEX($A55:$AL55,MATCH(Lists!$F$2,$A$1:$AL$1,0))&amp;""),"")="",0,N(IFERROR(IF(TRIM(INDEX($A55:$AL55,MATCH(Lists!$F$5,$A$1:$AL$1,0))&amp;"")="","",IF(ISNUMBER(INDEX($A55:$AL55,MATCH(Lists!$F$5,$A$1:$AL$1,0))),INT(INDEX($A55:$AL55,MATCH(Lists!$F$5,$A$1:$AL$1,0))),DATE(VALUE(LEFT(INDEX($A55:$AL55,MATCH(Lists!$F$5,$A$1:$AL$1,0)),4)),VALUE(MID(INDEX($A55:$AL55,MATCH(Lists!$F$5,$A$1:$AL$1,0)),6,2)),VALUE(MID(INDEX($A55:$AL55,MATCH(Lists!$F$5,$A$1:$AL$1,0)),9,2))))),"")))</f>
        <v/>
      </c>
      <c r="AU55" s="21">
        <f>IF(IFERROR(TRIM(INDEX($A55:$AL55,MATCH(Lists!$F$2,$A$1:$AL$1,0))&amp;""),"")="",-1,IF(ISNUMBER(IFERROR(IF(TRIM(INDEX($A55:$AL55,MATCH(Lists!$F$6,$A$1:$AL$1,0))&amp;"")="","",IF(ISNUMBER(INDEX($A55:$AL55,MATCH(Lists!$F$6,$A$1:$AL$1,0))),ROUND(MOD(INDEX($A55:$AL55,MATCH(Lists!$F$6,$A$1:$AL$1,0)),1)*1440,0),VALUE(LEFT(INDEX($A55:$AL55,MATCH(Lists!$F$6,$A$1:$AL$1,0)),2))*60+VALUE(MID(INDEX($A55:$AL55,MATCH(Lists!$F$6,$A$1:$AL$1,0)),4,2)))),"")),IFERROR(IF(TRIM(INDEX($A55:$AL55,MATCH(Lists!$F$6,$A$1:$AL$1,0))&amp;"")="","",IF(ISNUMBER(INDEX($A55:$AL55,MATCH(Lists!$F$6,$A$1:$AL$1,0))),ROUND(MOD(INDEX($A55:$AL55,MATCH(Lists!$F$6,$A$1:$AL$1,0)),1)*1440,0),VALUE(LEFT(INDEX($A55:$AL55,MATCH(Lists!$F$6,$A$1:$AL$1,0)),2))*60+VALUE(MID(INDEX($A55:$AL55,MATCH(Lists!$F$6,$A$1:$AL$1,0)),4,2)))),""),-1))</f>
        <v/>
      </c>
      <c r="AV55" s="21">
        <f>IF(IFERROR(TRIM(INDEX($A55:$AL55,MATCH(Lists!$F$2,$A$1:$AL$1,0))&amp;""),"")="",-1,IF(ISNUMBER(IFERROR(IF(TRIM(INDEX($A55:$AL55,MATCH(Lists!$F$7,$A$1:$AL$1,0))&amp;"")="","",IF(ISNUMBER(INDEX($A55:$AL55,MATCH(Lists!$F$7,$A$1:$AL$1,0))),ROUND(MOD(INDEX($A55:$AL55,MATCH(Lists!$F$7,$A$1:$AL$1,0)),1)*1440,0),VALUE(LEFT(INDEX($A55:$AL55,MATCH(Lists!$F$7,$A$1:$AL$1,0)),2))*60+VALUE(MID(INDEX($A55:$AL55,MATCH(Lists!$F$7,$A$1:$AL$1,0)),4,2)))),"")),IFERROR(IF(TRIM(INDEX($A55:$AL55,MATCH(Lists!$F$7,$A$1:$AL$1,0))&amp;"")="","",IF(ISNUMBER(INDEX($A55:$AL55,MATCH(Lists!$F$7,$A$1:$AL$1,0))),ROUND(MOD(INDEX($A55:$AL55,MATCH(Lists!$F$7,$A$1:$AL$1,0)),1)*1440,0),VALUE(LEFT(INDEX($A55:$AL55,MATCH(Lists!$F$7,$A$1:$AL$1,0)),2))*60+VALUE(MID(INDEX($A55:$AL55,MATCH(Lists!$F$7,$A$1:$AL$1,0)),4,2)))),""),-1))</f>
        <v/>
      </c>
      <c r="AW55" s="21">
        <f>IF(IFERROR(TRIM(INDEX($A55:$AL55,MATCH(Lists!$F$2,$A$1:$AL$1,0))&amp;""),"")="","",IF(IFERROR(TRIM(INDEX($A55:$AL55,MATCH(Lists!$F$8,$A$1:$AL$1,0))&amp;""),"")&lt;&gt;"",IFERROR(TRIM(INDEX($A55:$AL55,MATCH(Lists!$F$8,$A$1:$AL$1,0))&amp;""),""),IFERROR(TRIM(INDEX($A55:$AL55,MATCH(Lists!$F$9,$A$1:$AL$1,0))&amp;""),"")))</f>
        <v/>
      </c>
      <c r="AX55" s="21">
        <f>IFERROR(IF(TRIM(INDEX($A55:$AL55,MATCH(Lists!$F$10,$A$1:$AL$1,0))&amp;"")="","",VALUE(TRIM(INDEX($A55:$AL55,MATCH(Lists!$F$10,$A$1:$AL$1,0))&amp;""))),"")</f>
        <v/>
      </c>
      <c r="AY55" s="21">
        <f>IF(IFERROR(TRIM(INDEX($A55:$AL55,MATCH(Lists!$F$2,$A$1:$AL$1,0))&amp;""),"")="","",IF(AN55="","New",AN55))</f>
        <v/>
      </c>
      <c r="AZ55" s="21">
        <f>IF(IFERROR(TRIM(INDEX($A55:$AL55,MATCH(Lists!$F$2,$A$1:$AL$1,0))&amp;""),"")="","",IF(OR(IFERROR(TRIM(INDEX($A55:$AL55,MATCH(Lists!$F$13,$A$1:$AL$1,0))&amp;""),"")="Paid",IFERROR(TRIM(INDEX($A55:$AL55,MATCH(Lists!$F$13,$A$1:$AL$1,0))&amp;""),"")="Partially refunded"),"Paid",IF(AP55="Yes","Paid (by hand)",IFERROR(TRIM(INDEX($A55:$AL55,MATCH(Lists!$F$13,$A$1:$AL$1,0))&amp;""),""))))</f>
        <v/>
      </c>
      <c r="BA55" s="21">
        <f>IF(AND(IFERROR(TRIM(INDEX($A55:$AL55,MATCH(Lists!$F$2,$A$1:$AL$1,0))&amp;""),"")&lt;&gt;"",AT55&gt;0,AU55&gt;=0,AV55&gt;AU55,AY55&lt;&gt;"Declined"),1,0)</f>
        <v/>
      </c>
      <c r="BB55" s="21">
        <f>IF(BA55=1,COUNTIFS($AS$2:$AS$501,AS55,$AT$2:$AT$501,AT55,$AU$2:$AU$501,"&lt;"&amp;AV55,$AV$2:$AV$501,"&gt;"&amp;AU55,$BA$2:$BA$501,1)-1,"")</f>
        <v/>
      </c>
      <c r="BC55" s="21">
        <f>IF(N(BB55)&gt;0,"Clashes with "&amp;INDEX($AW$2:$AW$501,SUMPRODUCT(MAX(($AS$2:$AS$501=AS55)*($AT$2:$AT$501=AT55)*($AU$2:$AU$501&lt;AV55)*($AV$2:$AV$501&gt;AU55)*($BA$2:$BA$501=1)*(ROW($AS$2:$AS$501)&lt;&gt;ROW())*ROW($AS$2:$AS$501)))-1)&amp;" ("&amp;INDEX($AY$2:$AY$501,SUMPRODUCT(MAX(($AS$2:$AS$501=AS55)*($AT$2:$AT$501=AT55)*($AU$2:$AU$501&lt;AV55)*($AV$2:$AV$501&gt;AU55)*($BA$2:$BA$501=1)*(ROW($AS$2:$AS$501)&lt;&gt;ROW())*ROW($AS$2:$AS$501)))-1)&amp;")"&amp;IF(BB55&gt;1," and "&amp;(BB55-1)&amp;" more",""),"")</f>
        <v/>
      </c>
      <c r="BD55" s="21">
        <f>IF(AND(BA55=1,AY55="Confirmed"),AT55*10000000+AU55*1000+ROW(),"")</f>
        <v/>
      </c>
      <c r="BE55" s="21">
        <f>IF(IFERROR(TRIM(INDEX($A55:$AL55,MATCH(Lists!$F$2,$A$1:$AL$1,0))&amp;""),"")="","",IFERROR(TRIM(INDEX($A55:$AL55,MATCH(Lists!$F$11,$A$1:$AL$1,0))&amp;""),""))</f>
        <v/>
      </c>
      <c r="BF55" s="21">
        <f>IF(IFERROR(TRIM(INDEX($A55:$AL55,MATCH(Lists!$F$2,$A$1:$AL$1,0))&amp;""),"")="","",IFERROR(TRIM(INDEX($A55:$AL55,MATCH(Lists!$F$12,$A$1:$AL$1,0))&amp;""),""))</f>
        <v/>
      </c>
    </row>
    <row r="56">
      <c r="AM56" s="19" t="n"/>
      <c r="AN56" s="23" t="n"/>
      <c r="AO56" s="23" t="n"/>
      <c r="AP56" s="23" t="n"/>
      <c r="AQ56" s="23" t="n"/>
      <c r="AR56" s="19" t="n"/>
      <c r="AS56" s="21">
        <f>IF(IFERROR(TRIM(INDEX($A56:$AL56,MATCH(Lists!$F$2,$A$1:$AL$1,0))&amp;""),"")="","",IF(AND(IFERROR(TRIM(INDEX($A56:$AL56,MATCH(Lists!$F$3,$A$1:$AL$1,0))&amp;""),"")="Other",IFERROR(TRIM(INDEX($A56:$AL56,MATCH(Lists!$F$4,$A$1:$AL$1,0))&amp;""),"")&lt;&gt;""),IFERROR(TRIM(INDEX($A56:$AL56,MATCH(Lists!$F$4,$A$1:$AL$1,0))&amp;""),""),IF(IFERROR(TRIM(INDEX($A56:$AL56,MATCH(Lists!$F$3,$A$1:$AL$1,0))&amp;""),"")="","(no space)",IFERROR(TRIM(INDEX($A56:$AL56,MATCH(Lists!$F$3,$A$1:$AL$1,0))&amp;""),""))))</f>
        <v/>
      </c>
      <c r="AT56" s="22">
        <f>IF(IFERROR(TRIM(INDEX($A56:$AL56,MATCH(Lists!$F$2,$A$1:$AL$1,0))&amp;""),"")="",0,N(IFERROR(IF(TRIM(INDEX($A56:$AL56,MATCH(Lists!$F$5,$A$1:$AL$1,0))&amp;"")="","",IF(ISNUMBER(INDEX($A56:$AL56,MATCH(Lists!$F$5,$A$1:$AL$1,0))),INT(INDEX($A56:$AL56,MATCH(Lists!$F$5,$A$1:$AL$1,0))),DATE(VALUE(LEFT(INDEX($A56:$AL56,MATCH(Lists!$F$5,$A$1:$AL$1,0)),4)),VALUE(MID(INDEX($A56:$AL56,MATCH(Lists!$F$5,$A$1:$AL$1,0)),6,2)),VALUE(MID(INDEX($A56:$AL56,MATCH(Lists!$F$5,$A$1:$AL$1,0)),9,2))))),"")))</f>
        <v/>
      </c>
      <c r="AU56" s="21">
        <f>IF(IFERROR(TRIM(INDEX($A56:$AL56,MATCH(Lists!$F$2,$A$1:$AL$1,0))&amp;""),"")="",-1,IF(ISNUMBER(IFERROR(IF(TRIM(INDEX($A56:$AL56,MATCH(Lists!$F$6,$A$1:$AL$1,0))&amp;"")="","",IF(ISNUMBER(INDEX($A56:$AL56,MATCH(Lists!$F$6,$A$1:$AL$1,0))),ROUND(MOD(INDEX($A56:$AL56,MATCH(Lists!$F$6,$A$1:$AL$1,0)),1)*1440,0),VALUE(LEFT(INDEX($A56:$AL56,MATCH(Lists!$F$6,$A$1:$AL$1,0)),2))*60+VALUE(MID(INDEX($A56:$AL56,MATCH(Lists!$F$6,$A$1:$AL$1,0)),4,2)))),"")),IFERROR(IF(TRIM(INDEX($A56:$AL56,MATCH(Lists!$F$6,$A$1:$AL$1,0))&amp;"")="","",IF(ISNUMBER(INDEX($A56:$AL56,MATCH(Lists!$F$6,$A$1:$AL$1,0))),ROUND(MOD(INDEX($A56:$AL56,MATCH(Lists!$F$6,$A$1:$AL$1,0)),1)*1440,0),VALUE(LEFT(INDEX($A56:$AL56,MATCH(Lists!$F$6,$A$1:$AL$1,0)),2))*60+VALUE(MID(INDEX($A56:$AL56,MATCH(Lists!$F$6,$A$1:$AL$1,0)),4,2)))),""),-1))</f>
        <v/>
      </c>
      <c r="AV56" s="21">
        <f>IF(IFERROR(TRIM(INDEX($A56:$AL56,MATCH(Lists!$F$2,$A$1:$AL$1,0))&amp;""),"")="",-1,IF(ISNUMBER(IFERROR(IF(TRIM(INDEX($A56:$AL56,MATCH(Lists!$F$7,$A$1:$AL$1,0))&amp;"")="","",IF(ISNUMBER(INDEX($A56:$AL56,MATCH(Lists!$F$7,$A$1:$AL$1,0))),ROUND(MOD(INDEX($A56:$AL56,MATCH(Lists!$F$7,$A$1:$AL$1,0)),1)*1440,0),VALUE(LEFT(INDEX($A56:$AL56,MATCH(Lists!$F$7,$A$1:$AL$1,0)),2))*60+VALUE(MID(INDEX($A56:$AL56,MATCH(Lists!$F$7,$A$1:$AL$1,0)),4,2)))),"")),IFERROR(IF(TRIM(INDEX($A56:$AL56,MATCH(Lists!$F$7,$A$1:$AL$1,0))&amp;"")="","",IF(ISNUMBER(INDEX($A56:$AL56,MATCH(Lists!$F$7,$A$1:$AL$1,0))),ROUND(MOD(INDEX($A56:$AL56,MATCH(Lists!$F$7,$A$1:$AL$1,0)),1)*1440,0),VALUE(LEFT(INDEX($A56:$AL56,MATCH(Lists!$F$7,$A$1:$AL$1,0)),2))*60+VALUE(MID(INDEX($A56:$AL56,MATCH(Lists!$F$7,$A$1:$AL$1,0)),4,2)))),""),-1))</f>
        <v/>
      </c>
      <c r="AW56" s="21">
        <f>IF(IFERROR(TRIM(INDEX($A56:$AL56,MATCH(Lists!$F$2,$A$1:$AL$1,0))&amp;""),"")="","",IF(IFERROR(TRIM(INDEX($A56:$AL56,MATCH(Lists!$F$8,$A$1:$AL$1,0))&amp;""),"")&lt;&gt;"",IFERROR(TRIM(INDEX($A56:$AL56,MATCH(Lists!$F$8,$A$1:$AL$1,0))&amp;""),""),IFERROR(TRIM(INDEX($A56:$AL56,MATCH(Lists!$F$9,$A$1:$AL$1,0))&amp;""),"")))</f>
        <v/>
      </c>
      <c r="AX56" s="21">
        <f>IFERROR(IF(TRIM(INDEX($A56:$AL56,MATCH(Lists!$F$10,$A$1:$AL$1,0))&amp;"")="","",VALUE(TRIM(INDEX($A56:$AL56,MATCH(Lists!$F$10,$A$1:$AL$1,0))&amp;""))),"")</f>
        <v/>
      </c>
      <c r="AY56" s="21">
        <f>IF(IFERROR(TRIM(INDEX($A56:$AL56,MATCH(Lists!$F$2,$A$1:$AL$1,0))&amp;""),"")="","",IF(AN56="","New",AN56))</f>
        <v/>
      </c>
      <c r="AZ56" s="21">
        <f>IF(IFERROR(TRIM(INDEX($A56:$AL56,MATCH(Lists!$F$2,$A$1:$AL$1,0))&amp;""),"")="","",IF(OR(IFERROR(TRIM(INDEX($A56:$AL56,MATCH(Lists!$F$13,$A$1:$AL$1,0))&amp;""),"")="Paid",IFERROR(TRIM(INDEX($A56:$AL56,MATCH(Lists!$F$13,$A$1:$AL$1,0))&amp;""),"")="Partially refunded"),"Paid",IF(AP56="Yes","Paid (by hand)",IFERROR(TRIM(INDEX($A56:$AL56,MATCH(Lists!$F$13,$A$1:$AL$1,0))&amp;""),""))))</f>
        <v/>
      </c>
      <c r="BA56" s="21">
        <f>IF(AND(IFERROR(TRIM(INDEX($A56:$AL56,MATCH(Lists!$F$2,$A$1:$AL$1,0))&amp;""),"")&lt;&gt;"",AT56&gt;0,AU56&gt;=0,AV56&gt;AU56,AY56&lt;&gt;"Declined"),1,0)</f>
        <v/>
      </c>
      <c r="BB56" s="21">
        <f>IF(BA56=1,COUNTIFS($AS$2:$AS$501,AS56,$AT$2:$AT$501,AT56,$AU$2:$AU$501,"&lt;"&amp;AV56,$AV$2:$AV$501,"&gt;"&amp;AU56,$BA$2:$BA$501,1)-1,"")</f>
        <v/>
      </c>
      <c r="BC56" s="21">
        <f>IF(N(BB56)&gt;0,"Clashes with "&amp;INDEX($AW$2:$AW$501,SUMPRODUCT(MAX(($AS$2:$AS$501=AS56)*($AT$2:$AT$501=AT56)*($AU$2:$AU$501&lt;AV56)*($AV$2:$AV$501&gt;AU56)*($BA$2:$BA$501=1)*(ROW($AS$2:$AS$501)&lt;&gt;ROW())*ROW($AS$2:$AS$501)))-1)&amp;" ("&amp;INDEX($AY$2:$AY$501,SUMPRODUCT(MAX(($AS$2:$AS$501=AS56)*($AT$2:$AT$501=AT56)*($AU$2:$AU$501&lt;AV56)*($AV$2:$AV$501&gt;AU56)*($BA$2:$BA$501=1)*(ROW($AS$2:$AS$501)&lt;&gt;ROW())*ROW($AS$2:$AS$501)))-1)&amp;")"&amp;IF(BB56&gt;1," and "&amp;(BB56-1)&amp;" more",""),"")</f>
        <v/>
      </c>
      <c r="BD56" s="21">
        <f>IF(AND(BA56=1,AY56="Confirmed"),AT56*10000000+AU56*1000+ROW(),"")</f>
        <v/>
      </c>
      <c r="BE56" s="21">
        <f>IF(IFERROR(TRIM(INDEX($A56:$AL56,MATCH(Lists!$F$2,$A$1:$AL$1,0))&amp;""),"")="","",IFERROR(TRIM(INDEX($A56:$AL56,MATCH(Lists!$F$11,$A$1:$AL$1,0))&amp;""),""))</f>
        <v/>
      </c>
      <c r="BF56" s="21">
        <f>IF(IFERROR(TRIM(INDEX($A56:$AL56,MATCH(Lists!$F$2,$A$1:$AL$1,0))&amp;""),"")="","",IFERROR(TRIM(INDEX($A56:$AL56,MATCH(Lists!$F$12,$A$1:$AL$1,0))&amp;""),""))</f>
        <v/>
      </c>
    </row>
    <row r="57">
      <c r="AM57" s="19" t="n"/>
      <c r="AN57" s="23" t="n"/>
      <c r="AO57" s="23" t="n"/>
      <c r="AP57" s="23" t="n"/>
      <c r="AQ57" s="23" t="n"/>
      <c r="AR57" s="19" t="n"/>
      <c r="AS57" s="21">
        <f>IF(IFERROR(TRIM(INDEX($A57:$AL57,MATCH(Lists!$F$2,$A$1:$AL$1,0))&amp;""),"")="","",IF(AND(IFERROR(TRIM(INDEX($A57:$AL57,MATCH(Lists!$F$3,$A$1:$AL$1,0))&amp;""),"")="Other",IFERROR(TRIM(INDEX($A57:$AL57,MATCH(Lists!$F$4,$A$1:$AL$1,0))&amp;""),"")&lt;&gt;""),IFERROR(TRIM(INDEX($A57:$AL57,MATCH(Lists!$F$4,$A$1:$AL$1,0))&amp;""),""),IF(IFERROR(TRIM(INDEX($A57:$AL57,MATCH(Lists!$F$3,$A$1:$AL$1,0))&amp;""),"")="","(no space)",IFERROR(TRIM(INDEX($A57:$AL57,MATCH(Lists!$F$3,$A$1:$AL$1,0))&amp;""),""))))</f>
        <v/>
      </c>
      <c r="AT57" s="22">
        <f>IF(IFERROR(TRIM(INDEX($A57:$AL57,MATCH(Lists!$F$2,$A$1:$AL$1,0))&amp;""),"")="",0,N(IFERROR(IF(TRIM(INDEX($A57:$AL57,MATCH(Lists!$F$5,$A$1:$AL$1,0))&amp;"")="","",IF(ISNUMBER(INDEX($A57:$AL57,MATCH(Lists!$F$5,$A$1:$AL$1,0))),INT(INDEX($A57:$AL57,MATCH(Lists!$F$5,$A$1:$AL$1,0))),DATE(VALUE(LEFT(INDEX($A57:$AL57,MATCH(Lists!$F$5,$A$1:$AL$1,0)),4)),VALUE(MID(INDEX($A57:$AL57,MATCH(Lists!$F$5,$A$1:$AL$1,0)),6,2)),VALUE(MID(INDEX($A57:$AL57,MATCH(Lists!$F$5,$A$1:$AL$1,0)),9,2))))),"")))</f>
        <v/>
      </c>
      <c r="AU57" s="21">
        <f>IF(IFERROR(TRIM(INDEX($A57:$AL57,MATCH(Lists!$F$2,$A$1:$AL$1,0))&amp;""),"")="",-1,IF(ISNUMBER(IFERROR(IF(TRIM(INDEX($A57:$AL57,MATCH(Lists!$F$6,$A$1:$AL$1,0))&amp;"")="","",IF(ISNUMBER(INDEX($A57:$AL57,MATCH(Lists!$F$6,$A$1:$AL$1,0))),ROUND(MOD(INDEX($A57:$AL57,MATCH(Lists!$F$6,$A$1:$AL$1,0)),1)*1440,0),VALUE(LEFT(INDEX($A57:$AL57,MATCH(Lists!$F$6,$A$1:$AL$1,0)),2))*60+VALUE(MID(INDEX($A57:$AL57,MATCH(Lists!$F$6,$A$1:$AL$1,0)),4,2)))),"")),IFERROR(IF(TRIM(INDEX($A57:$AL57,MATCH(Lists!$F$6,$A$1:$AL$1,0))&amp;"")="","",IF(ISNUMBER(INDEX($A57:$AL57,MATCH(Lists!$F$6,$A$1:$AL$1,0))),ROUND(MOD(INDEX($A57:$AL57,MATCH(Lists!$F$6,$A$1:$AL$1,0)),1)*1440,0),VALUE(LEFT(INDEX($A57:$AL57,MATCH(Lists!$F$6,$A$1:$AL$1,0)),2))*60+VALUE(MID(INDEX($A57:$AL57,MATCH(Lists!$F$6,$A$1:$AL$1,0)),4,2)))),""),-1))</f>
        <v/>
      </c>
      <c r="AV57" s="21">
        <f>IF(IFERROR(TRIM(INDEX($A57:$AL57,MATCH(Lists!$F$2,$A$1:$AL$1,0))&amp;""),"")="",-1,IF(ISNUMBER(IFERROR(IF(TRIM(INDEX($A57:$AL57,MATCH(Lists!$F$7,$A$1:$AL$1,0))&amp;"")="","",IF(ISNUMBER(INDEX($A57:$AL57,MATCH(Lists!$F$7,$A$1:$AL$1,0))),ROUND(MOD(INDEX($A57:$AL57,MATCH(Lists!$F$7,$A$1:$AL$1,0)),1)*1440,0),VALUE(LEFT(INDEX($A57:$AL57,MATCH(Lists!$F$7,$A$1:$AL$1,0)),2))*60+VALUE(MID(INDEX($A57:$AL57,MATCH(Lists!$F$7,$A$1:$AL$1,0)),4,2)))),"")),IFERROR(IF(TRIM(INDEX($A57:$AL57,MATCH(Lists!$F$7,$A$1:$AL$1,0))&amp;"")="","",IF(ISNUMBER(INDEX($A57:$AL57,MATCH(Lists!$F$7,$A$1:$AL$1,0))),ROUND(MOD(INDEX($A57:$AL57,MATCH(Lists!$F$7,$A$1:$AL$1,0)),1)*1440,0),VALUE(LEFT(INDEX($A57:$AL57,MATCH(Lists!$F$7,$A$1:$AL$1,0)),2))*60+VALUE(MID(INDEX($A57:$AL57,MATCH(Lists!$F$7,$A$1:$AL$1,0)),4,2)))),""),-1))</f>
        <v/>
      </c>
      <c r="AW57" s="21">
        <f>IF(IFERROR(TRIM(INDEX($A57:$AL57,MATCH(Lists!$F$2,$A$1:$AL$1,0))&amp;""),"")="","",IF(IFERROR(TRIM(INDEX($A57:$AL57,MATCH(Lists!$F$8,$A$1:$AL$1,0))&amp;""),"")&lt;&gt;"",IFERROR(TRIM(INDEX($A57:$AL57,MATCH(Lists!$F$8,$A$1:$AL$1,0))&amp;""),""),IFERROR(TRIM(INDEX($A57:$AL57,MATCH(Lists!$F$9,$A$1:$AL$1,0))&amp;""),"")))</f>
        <v/>
      </c>
      <c r="AX57" s="21">
        <f>IFERROR(IF(TRIM(INDEX($A57:$AL57,MATCH(Lists!$F$10,$A$1:$AL$1,0))&amp;"")="","",VALUE(TRIM(INDEX($A57:$AL57,MATCH(Lists!$F$10,$A$1:$AL$1,0))&amp;""))),"")</f>
        <v/>
      </c>
      <c r="AY57" s="21">
        <f>IF(IFERROR(TRIM(INDEX($A57:$AL57,MATCH(Lists!$F$2,$A$1:$AL$1,0))&amp;""),"")="","",IF(AN57="","New",AN57))</f>
        <v/>
      </c>
      <c r="AZ57" s="21">
        <f>IF(IFERROR(TRIM(INDEX($A57:$AL57,MATCH(Lists!$F$2,$A$1:$AL$1,0))&amp;""),"")="","",IF(OR(IFERROR(TRIM(INDEX($A57:$AL57,MATCH(Lists!$F$13,$A$1:$AL$1,0))&amp;""),"")="Paid",IFERROR(TRIM(INDEX($A57:$AL57,MATCH(Lists!$F$13,$A$1:$AL$1,0))&amp;""),"")="Partially refunded"),"Paid",IF(AP57="Yes","Paid (by hand)",IFERROR(TRIM(INDEX($A57:$AL57,MATCH(Lists!$F$13,$A$1:$AL$1,0))&amp;""),""))))</f>
        <v/>
      </c>
      <c r="BA57" s="21">
        <f>IF(AND(IFERROR(TRIM(INDEX($A57:$AL57,MATCH(Lists!$F$2,$A$1:$AL$1,0))&amp;""),"")&lt;&gt;"",AT57&gt;0,AU57&gt;=0,AV57&gt;AU57,AY57&lt;&gt;"Declined"),1,0)</f>
        <v/>
      </c>
      <c r="BB57" s="21">
        <f>IF(BA57=1,COUNTIFS($AS$2:$AS$501,AS57,$AT$2:$AT$501,AT57,$AU$2:$AU$501,"&lt;"&amp;AV57,$AV$2:$AV$501,"&gt;"&amp;AU57,$BA$2:$BA$501,1)-1,"")</f>
        <v/>
      </c>
      <c r="BC57" s="21">
        <f>IF(N(BB57)&gt;0,"Clashes with "&amp;INDEX($AW$2:$AW$501,SUMPRODUCT(MAX(($AS$2:$AS$501=AS57)*($AT$2:$AT$501=AT57)*($AU$2:$AU$501&lt;AV57)*($AV$2:$AV$501&gt;AU57)*($BA$2:$BA$501=1)*(ROW($AS$2:$AS$501)&lt;&gt;ROW())*ROW($AS$2:$AS$501)))-1)&amp;" ("&amp;INDEX($AY$2:$AY$501,SUMPRODUCT(MAX(($AS$2:$AS$501=AS57)*($AT$2:$AT$501=AT57)*($AU$2:$AU$501&lt;AV57)*($AV$2:$AV$501&gt;AU57)*($BA$2:$BA$501=1)*(ROW($AS$2:$AS$501)&lt;&gt;ROW())*ROW($AS$2:$AS$501)))-1)&amp;")"&amp;IF(BB57&gt;1," and "&amp;(BB57-1)&amp;" more",""),"")</f>
        <v/>
      </c>
      <c r="BD57" s="21">
        <f>IF(AND(BA57=1,AY57="Confirmed"),AT57*10000000+AU57*1000+ROW(),"")</f>
        <v/>
      </c>
      <c r="BE57" s="21">
        <f>IF(IFERROR(TRIM(INDEX($A57:$AL57,MATCH(Lists!$F$2,$A$1:$AL$1,0))&amp;""),"")="","",IFERROR(TRIM(INDEX($A57:$AL57,MATCH(Lists!$F$11,$A$1:$AL$1,0))&amp;""),""))</f>
        <v/>
      </c>
      <c r="BF57" s="21">
        <f>IF(IFERROR(TRIM(INDEX($A57:$AL57,MATCH(Lists!$F$2,$A$1:$AL$1,0))&amp;""),"")="","",IFERROR(TRIM(INDEX($A57:$AL57,MATCH(Lists!$F$12,$A$1:$AL$1,0))&amp;""),""))</f>
        <v/>
      </c>
    </row>
    <row r="58">
      <c r="AM58" s="19" t="n"/>
      <c r="AN58" s="23" t="n"/>
      <c r="AO58" s="23" t="n"/>
      <c r="AP58" s="23" t="n"/>
      <c r="AQ58" s="23" t="n"/>
      <c r="AR58" s="19" t="n"/>
      <c r="AS58" s="21">
        <f>IF(IFERROR(TRIM(INDEX($A58:$AL58,MATCH(Lists!$F$2,$A$1:$AL$1,0))&amp;""),"")="","",IF(AND(IFERROR(TRIM(INDEX($A58:$AL58,MATCH(Lists!$F$3,$A$1:$AL$1,0))&amp;""),"")="Other",IFERROR(TRIM(INDEX($A58:$AL58,MATCH(Lists!$F$4,$A$1:$AL$1,0))&amp;""),"")&lt;&gt;""),IFERROR(TRIM(INDEX($A58:$AL58,MATCH(Lists!$F$4,$A$1:$AL$1,0))&amp;""),""),IF(IFERROR(TRIM(INDEX($A58:$AL58,MATCH(Lists!$F$3,$A$1:$AL$1,0))&amp;""),"")="","(no space)",IFERROR(TRIM(INDEX($A58:$AL58,MATCH(Lists!$F$3,$A$1:$AL$1,0))&amp;""),""))))</f>
        <v/>
      </c>
      <c r="AT58" s="22">
        <f>IF(IFERROR(TRIM(INDEX($A58:$AL58,MATCH(Lists!$F$2,$A$1:$AL$1,0))&amp;""),"")="",0,N(IFERROR(IF(TRIM(INDEX($A58:$AL58,MATCH(Lists!$F$5,$A$1:$AL$1,0))&amp;"")="","",IF(ISNUMBER(INDEX($A58:$AL58,MATCH(Lists!$F$5,$A$1:$AL$1,0))),INT(INDEX($A58:$AL58,MATCH(Lists!$F$5,$A$1:$AL$1,0))),DATE(VALUE(LEFT(INDEX($A58:$AL58,MATCH(Lists!$F$5,$A$1:$AL$1,0)),4)),VALUE(MID(INDEX($A58:$AL58,MATCH(Lists!$F$5,$A$1:$AL$1,0)),6,2)),VALUE(MID(INDEX($A58:$AL58,MATCH(Lists!$F$5,$A$1:$AL$1,0)),9,2))))),"")))</f>
        <v/>
      </c>
      <c r="AU58" s="21">
        <f>IF(IFERROR(TRIM(INDEX($A58:$AL58,MATCH(Lists!$F$2,$A$1:$AL$1,0))&amp;""),"")="",-1,IF(ISNUMBER(IFERROR(IF(TRIM(INDEX($A58:$AL58,MATCH(Lists!$F$6,$A$1:$AL$1,0))&amp;"")="","",IF(ISNUMBER(INDEX($A58:$AL58,MATCH(Lists!$F$6,$A$1:$AL$1,0))),ROUND(MOD(INDEX($A58:$AL58,MATCH(Lists!$F$6,$A$1:$AL$1,0)),1)*1440,0),VALUE(LEFT(INDEX($A58:$AL58,MATCH(Lists!$F$6,$A$1:$AL$1,0)),2))*60+VALUE(MID(INDEX($A58:$AL58,MATCH(Lists!$F$6,$A$1:$AL$1,0)),4,2)))),"")),IFERROR(IF(TRIM(INDEX($A58:$AL58,MATCH(Lists!$F$6,$A$1:$AL$1,0))&amp;"")="","",IF(ISNUMBER(INDEX($A58:$AL58,MATCH(Lists!$F$6,$A$1:$AL$1,0))),ROUND(MOD(INDEX($A58:$AL58,MATCH(Lists!$F$6,$A$1:$AL$1,0)),1)*1440,0),VALUE(LEFT(INDEX($A58:$AL58,MATCH(Lists!$F$6,$A$1:$AL$1,0)),2))*60+VALUE(MID(INDEX($A58:$AL58,MATCH(Lists!$F$6,$A$1:$AL$1,0)),4,2)))),""),-1))</f>
        <v/>
      </c>
      <c r="AV58" s="21">
        <f>IF(IFERROR(TRIM(INDEX($A58:$AL58,MATCH(Lists!$F$2,$A$1:$AL$1,0))&amp;""),"")="",-1,IF(ISNUMBER(IFERROR(IF(TRIM(INDEX($A58:$AL58,MATCH(Lists!$F$7,$A$1:$AL$1,0))&amp;"")="","",IF(ISNUMBER(INDEX($A58:$AL58,MATCH(Lists!$F$7,$A$1:$AL$1,0))),ROUND(MOD(INDEX($A58:$AL58,MATCH(Lists!$F$7,$A$1:$AL$1,0)),1)*1440,0),VALUE(LEFT(INDEX($A58:$AL58,MATCH(Lists!$F$7,$A$1:$AL$1,0)),2))*60+VALUE(MID(INDEX($A58:$AL58,MATCH(Lists!$F$7,$A$1:$AL$1,0)),4,2)))),"")),IFERROR(IF(TRIM(INDEX($A58:$AL58,MATCH(Lists!$F$7,$A$1:$AL$1,0))&amp;"")="","",IF(ISNUMBER(INDEX($A58:$AL58,MATCH(Lists!$F$7,$A$1:$AL$1,0))),ROUND(MOD(INDEX($A58:$AL58,MATCH(Lists!$F$7,$A$1:$AL$1,0)),1)*1440,0),VALUE(LEFT(INDEX($A58:$AL58,MATCH(Lists!$F$7,$A$1:$AL$1,0)),2))*60+VALUE(MID(INDEX($A58:$AL58,MATCH(Lists!$F$7,$A$1:$AL$1,0)),4,2)))),""),-1))</f>
        <v/>
      </c>
      <c r="AW58" s="21">
        <f>IF(IFERROR(TRIM(INDEX($A58:$AL58,MATCH(Lists!$F$2,$A$1:$AL$1,0))&amp;""),"")="","",IF(IFERROR(TRIM(INDEX($A58:$AL58,MATCH(Lists!$F$8,$A$1:$AL$1,0))&amp;""),"")&lt;&gt;"",IFERROR(TRIM(INDEX($A58:$AL58,MATCH(Lists!$F$8,$A$1:$AL$1,0))&amp;""),""),IFERROR(TRIM(INDEX($A58:$AL58,MATCH(Lists!$F$9,$A$1:$AL$1,0))&amp;""),"")))</f>
        <v/>
      </c>
      <c r="AX58" s="21">
        <f>IFERROR(IF(TRIM(INDEX($A58:$AL58,MATCH(Lists!$F$10,$A$1:$AL$1,0))&amp;"")="","",VALUE(TRIM(INDEX($A58:$AL58,MATCH(Lists!$F$10,$A$1:$AL$1,0))&amp;""))),"")</f>
        <v/>
      </c>
      <c r="AY58" s="21">
        <f>IF(IFERROR(TRIM(INDEX($A58:$AL58,MATCH(Lists!$F$2,$A$1:$AL$1,0))&amp;""),"")="","",IF(AN58="","New",AN58))</f>
        <v/>
      </c>
      <c r="AZ58" s="21">
        <f>IF(IFERROR(TRIM(INDEX($A58:$AL58,MATCH(Lists!$F$2,$A$1:$AL$1,0))&amp;""),"")="","",IF(OR(IFERROR(TRIM(INDEX($A58:$AL58,MATCH(Lists!$F$13,$A$1:$AL$1,0))&amp;""),"")="Paid",IFERROR(TRIM(INDEX($A58:$AL58,MATCH(Lists!$F$13,$A$1:$AL$1,0))&amp;""),"")="Partially refunded"),"Paid",IF(AP58="Yes","Paid (by hand)",IFERROR(TRIM(INDEX($A58:$AL58,MATCH(Lists!$F$13,$A$1:$AL$1,0))&amp;""),""))))</f>
        <v/>
      </c>
      <c r="BA58" s="21">
        <f>IF(AND(IFERROR(TRIM(INDEX($A58:$AL58,MATCH(Lists!$F$2,$A$1:$AL$1,0))&amp;""),"")&lt;&gt;"",AT58&gt;0,AU58&gt;=0,AV58&gt;AU58,AY58&lt;&gt;"Declined"),1,0)</f>
        <v/>
      </c>
      <c r="BB58" s="21">
        <f>IF(BA58=1,COUNTIFS($AS$2:$AS$501,AS58,$AT$2:$AT$501,AT58,$AU$2:$AU$501,"&lt;"&amp;AV58,$AV$2:$AV$501,"&gt;"&amp;AU58,$BA$2:$BA$501,1)-1,"")</f>
        <v/>
      </c>
      <c r="BC58" s="21">
        <f>IF(N(BB58)&gt;0,"Clashes with "&amp;INDEX($AW$2:$AW$501,SUMPRODUCT(MAX(($AS$2:$AS$501=AS58)*($AT$2:$AT$501=AT58)*($AU$2:$AU$501&lt;AV58)*($AV$2:$AV$501&gt;AU58)*($BA$2:$BA$501=1)*(ROW($AS$2:$AS$501)&lt;&gt;ROW())*ROW($AS$2:$AS$501)))-1)&amp;" ("&amp;INDEX($AY$2:$AY$501,SUMPRODUCT(MAX(($AS$2:$AS$501=AS58)*($AT$2:$AT$501=AT58)*($AU$2:$AU$501&lt;AV58)*($AV$2:$AV$501&gt;AU58)*($BA$2:$BA$501=1)*(ROW($AS$2:$AS$501)&lt;&gt;ROW())*ROW($AS$2:$AS$501)))-1)&amp;")"&amp;IF(BB58&gt;1," and "&amp;(BB58-1)&amp;" more",""),"")</f>
        <v/>
      </c>
      <c r="BD58" s="21">
        <f>IF(AND(BA58=1,AY58="Confirmed"),AT58*10000000+AU58*1000+ROW(),"")</f>
        <v/>
      </c>
      <c r="BE58" s="21">
        <f>IF(IFERROR(TRIM(INDEX($A58:$AL58,MATCH(Lists!$F$2,$A$1:$AL$1,0))&amp;""),"")="","",IFERROR(TRIM(INDEX($A58:$AL58,MATCH(Lists!$F$11,$A$1:$AL$1,0))&amp;""),""))</f>
        <v/>
      </c>
      <c r="BF58" s="21">
        <f>IF(IFERROR(TRIM(INDEX($A58:$AL58,MATCH(Lists!$F$2,$A$1:$AL$1,0))&amp;""),"")="","",IFERROR(TRIM(INDEX($A58:$AL58,MATCH(Lists!$F$12,$A$1:$AL$1,0))&amp;""),""))</f>
        <v/>
      </c>
    </row>
    <row r="59">
      <c r="AM59" s="19" t="n"/>
      <c r="AN59" s="23" t="n"/>
      <c r="AO59" s="23" t="n"/>
      <c r="AP59" s="23" t="n"/>
      <c r="AQ59" s="23" t="n"/>
      <c r="AR59" s="19" t="n"/>
      <c r="AS59" s="21">
        <f>IF(IFERROR(TRIM(INDEX($A59:$AL59,MATCH(Lists!$F$2,$A$1:$AL$1,0))&amp;""),"")="","",IF(AND(IFERROR(TRIM(INDEX($A59:$AL59,MATCH(Lists!$F$3,$A$1:$AL$1,0))&amp;""),"")="Other",IFERROR(TRIM(INDEX($A59:$AL59,MATCH(Lists!$F$4,$A$1:$AL$1,0))&amp;""),"")&lt;&gt;""),IFERROR(TRIM(INDEX($A59:$AL59,MATCH(Lists!$F$4,$A$1:$AL$1,0))&amp;""),""),IF(IFERROR(TRIM(INDEX($A59:$AL59,MATCH(Lists!$F$3,$A$1:$AL$1,0))&amp;""),"")="","(no space)",IFERROR(TRIM(INDEX($A59:$AL59,MATCH(Lists!$F$3,$A$1:$AL$1,0))&amp;""),""))))</f>
        <v/>
      </c>
      <c r="AT59" s="22">
        <f>IF(IFERROR(TRIM(INDEX($A59:$AL59,MATCH(Lists!$F$2,$A$1:$AL$1,0))&amp;""),"")="",0,N(IFERROR(IF(TRIM(INDEX($A59:$AL59,MATCH(Lists!$F$5,$A$1:$AL$1,0))&amp;"")="","",IF(ISNUMBER(INDEX($A59:$AL59,MATCH(Lists!$F$5,$A$1:$AL$1,0))),INT(INDEX($A59:$AL59,MATCH(Lists!$F$5,$A$1:$AL$1,0))),DATE(VALUE(LEFT(INDEX($A59:$AL59,MATCH(Lists!$F$5,$A$1:$AL$1,0)),4)),VALUE(MID(INDEX($A59:$AL59,MATCH(Lists!$F$5,$A$1:$AL$1,0)),6,2)),VALUE(MID(INDEX($A59:$AL59,MATCH(Lists!$F$5,$A$1:$AL$1,0)),9,2))))),"")))</f>
        <v/>
      </c>
      <c r="AU59" s="21">
        <f>IF(IFERROR(TRIM(INDEX($A59:$AL59,MATCH(Lists!$F$2,$A$1:$AL$1,0))&amp;""),"")="",-1,IF(ISNUMBER(IFERROR(IF(TRIM(INDEX($A59:$AL59,MATCH(Lists!$F$6,$A$1:$AL$1,0))&amp;"")="","",IF(ISNUMBER(INDEX($A59:$AL59,MATCH(Lists!$F$6,$A$1:$AL$1,0))),ROUND(MOD(INDEX($A59:$AL59,MATCH(Lists!$F$6,$A$1:$AL$1,0)),1)*1440,0),VALUE(LEFT(INDEX($A59:$AL59,MATCH(Lists!$F$6,$A$1:$AL$1,0)),2))*60+VALUE(MID(INDEX($A59:$AL59,MATCH(Lists!$F$6,$A$1:$AL$1,0)),4,2)))),"")),IFERROR(IF(TRIM(INDEX($A59:$AL59,MATCH(Lists!$F$6,$A$1:$AL$1,0))&amp;"")="","",IF(ISNUMBER(INDEX($A59:$AL59,MATCH(Lists!$F$6,$A$1:$AL$1,0))),ROUND(MOD(INDEX($A59:$AL59,MATCH(Lists!$F$6,$A$1:$AL$1,0)),1)*1440,0),VALUE(LEFT(INDEX($A59:$AL59,MATCH(Lists!$F$6,$A$1:$AL$1,0)),2))*60+VALUE(MID(INDEX($A59:$AL59,MATCH(Lists!$F$6,$A$1:$AL$1,0)),4,2)))),""),-1))</f>
        <v/>
      </c>
      <c r="AV59" s="21">
        <f>IF(IFERROR(TRIM(INDEX($A59:$AL59,MATCH(Lists!$F$2,$A$1:$AL$1,0))&amp;""),"")="",-1,IF(ISNUMBER(IFERROR(IF(TRIM(INDEX($A59:$AL59,MATCH(Lists!$F$7,$A$1:$AL$1,0))&amp;"")="","",IF(ISNUMBER(INDEX($A59:$AL59,MATCH(Lists!$F$7,$A$1:$AL$1,0))),ROUND(MOD(INDEX($A59:$AL59,MATCH(Lists!$F$7,$A$1:$AL$1,0)),1)*1440,0),VALUE(LEFT(INDEX($A59:$AL59,MATCH(Lists!$F$7,$A$1:$AL$1,0)),2))*60+VALUE(MID(INDEX($A59:$AL59,MATCH(Lists!$F$7,$A$1:$AL$1,0)),4,2)))),"")),IFERROR(IF(TRIM(INDEX($A59:$AL59,MATCH(Lists!$F$7,$A$1:$AL$1,0))&amp;"")="","",IF(ISNUMBER(INDEX($A59:$AL59,MATCH(Lists!$F$7,$A$1:$AL$1,0))),ROUND(MOD(INDEX($A59:$AL59,MATCH(Lists!$F$7,$A$1:$AL$1,0)),1)*1440,0),VALUE(LEFT(INDEX($A59:$AL59,MATCH(Lists!$F$7,$A$1:$AL$1,0)),2))*60+VALUE(MID(INDEX($A59:$AL59,MATCH(Lists!$F$7,$A$1:$AL$1,0)),4,2)))),""),-1))</f>
        <v/>
      </c>
      <c r="AW59" s="21">
        <f>IF(IFERROR(TRIM(INDEX($A59:$AL59,MATCH(Lists!$F$2,$A$1:$AL$1,0))&amp;""),"")="","",IF(IFERROR(TRIM(INDEX($A59:$AL59,MATCH(Lists!$F$8,$A$1:$AL$1,0))&amp;""),"")&lt;&gt;"",IFERROR(TRIM(INDEX($A59:$AL59,MATCH(Lists!$F$8,$A$1:$AL$1,0))&amp;""),""),IFERROR(TRIM(INDEX($A59:$AL59,MATCH(Lists!$F$9,$A$1:$AL$1,0))&amp;""),"")))</f>
        <v/>
      </c>
      <c r="AX59" s="21">
        <f>IFERROR(IF(TRIM(INDEX($A59:$AL59,MATCH(Lists!$F$10,$A$1:$AL$1,0))&amp;"")="","",VALUE(TRIM(INDEX($A59:$AL59,MATCH(Lists!$F$10,$A$1:$AL$1,0))&amp;""))),"")</f>
        <v/>
      </c>
      <c r="AY59" s="21">
        <f>IF(IFERROR(TRIM(INDEX($A59:$AL59,MATCH(Lists!$F$2,$A$1:$AL$1,0))&amp;""),"")="","",IF(AN59="","New",AN59))</f>
        <v/>
      </c>
      <c r="AZ59" s="21">
        <f>IF(IFERROR(TRIM(INDEX($A59:$AL59,MATCH(Lists!$F$2,$A$1:$AL$1,0))&amp;""),"")="","",IF(OR(IFERROR(TRIM(INDEX($A59:$AL59,MATCH(Lists!$F$13,$A$1:$AL$1,0))&amp;""),"")="Paid",IFERROR(TRIM(INDEX($A59:$AL59,MATCH(Lists!$F$13,$A$1:$AL$1,0))&amp;""),"")="Partially refunded"),"Paid",IF(AP59="Yes","Paid (by hand)",IFERROR(TRIM(INDEX($A59:$AL59,MATCH(Lists!$F$13,$A$1:$AL$1,0))&amp;""),""))))</f>
        <v/>
      </c>
      <c r="BA59" s="21">
        <f>IF(AND(IFERROR(TRIM(INDEX($A59:$AL59,MATCH(Lists!$F$2,$A$1:$AL$1,0))&amp;""),"")&lt;&gt;"",AT59&gt;0,AU59&gt;=0,AV59&gt;AU59,AY59&lt;&gt;"Declined"),1,0)</f>
        <v/>
      </c>
      <c r="BB59" s="21">
        <f>IF(BA59=1,COUNTIFS($AS$2:$AS$501,AS59,$AT$2:$AT$501,AT59,$AU$2:$AU$501,"&lt;"&amp;AV59,$AV$2:$AV$501,"&gt;"&amp;AU59,$BA$2:$BA$501,1)-1,"")</f>
        <v/>
      </c>
      <c r="BC59" s="21">
        <f>IF(N(BB59)&gt;0,"Clashes with "&amp;INDEX($AW$2:$AW$501,SUMPRODUCT(MAX(($AS$2:$AS$501=AS59)*($AT$2:$AT$501=AT59)*($AU$2:$AU$501&lt;AV59)*($AV$2:$AV$501&gt;AU59)*($BA$2:$BA$501=1)*(ROW($AS$2:$AS$501)&lt;&gt;ROW())*ROW($AS$2:$AS$501)))-1)&amp;" ("&amp;INDEX($AY$2:$AY$501,SUMPRODUCT(MAX(($AS$2:$AS$501=AS59)*($AT$2:$AT$501=AT59)*($AU$2:$AU$501&lt;AV59)*($AV$2:$AV$501&gt;AU59)*($BA$2:$BA$501=1)*(ROW($AS$2:$AS$501)&lt;&gt;ROW())*ROW($AS$2:$AS$501)))-1)&amp;")"&amp;IF(BB59&gt;1," and "&amp;(BB59-1)&amp;" more",""),"")</f>
        <v/>
      </c>
      <c r="BD59" s="21">
        <f>IF(AND(BA59=1,AY59="Confirmed"),AT59*10000000+AU59*1000+ROW(),"")</f>
        <v/>
      </c>
      <c r="BE59" s="21">
        <f>IF(IFERROR(TRIM(INDEX($A59:$AL59,MATCH(Lists!$F$2,$A$1:$AL$1,0))&amp;""),"")="","",IFERROR(TRIM(INDEX($A59:$AL59,MATCH(Lists!$F$11,$A$1:$AL$1,0))&amp;""),""))</f>
        <v/>
      </c>
      <c r="BF59" s="21">
        <f>IF(IFERROR(TRIM(INDEX($A59:$AL59,MATCH(Lists!$F$2,$A$1:$AL$1,0))&amp;""),"")="","",IFERROR(TRIM(INDEX($A59:$AL59,MATCH(Lists!$F$12,$A$1:$AL$1,0))&amp;""),""))</f>
        <v/>
      </c>
    </row>
    <row r="60">
      <c r="AM60" s="19" t="n"/>
      <c r="AN60" s="23" t="n"/>
      <c r="AO60" s="23" t="n"/>
      <c r="AP60" s="23" t="n"/>
      <c r="AQ60" s="23" t="n"/>
      <c r="AR60" s="19" t="n"/>
      <c r="AS60" s="21">
        <f>IF(IFERROR(TRIM(INDEX($A60:$AL60,MATCH(Lists!$F$2,$A$1:$AL$1,0))&amp;""),"")="","",IF(AND(IFERROR(TRIM(INDEX($A60:$AL60,MATCH(Lists!$F$3,$A$1:$AL$1,0))&amp;""),"")="Other",IFERROR(TRIM(INDEX($A60:$AL60,MATCH(Lists!$F$4,$A$1:$AL$1,0))&amp;""),"")&lt;&gt;""),IFERROR(TRIM(INDEX($A60:$AL60,MATCH(Lists!$F$4,$A$1:$AL$1,0))&amp;""),""),IF(IFERROR(TRIM(INDEX($A60:$AL60,MATCH(Lists!$F$3,$A$1:$AL$1,0))&amp;""),"")="","(no space)",IFERROR(TRIM(INDEX($A60:$AL60,MATCH(Lists!$F$3,$A$1:$AL$1,0))&amp;""),""))))</f>
        <v/>
      </c>
      <c r="AT60" s="22">
        <f>IF(IFERROR(TRIM(INDEX($A60:$AL60,MATCH(Lists!$F$2,$A$1:$AL$1,0))&amp;""),"")="",0,N(IFERROR(IF(TRIM(INDEX($A60:$AL60,MATCH(Lists!$F$5,$A$1:$AL$1,0))&amp;"")="","",IF(ISNUMBER(INDEX($A60:$AL60,MATCH(Lists!$F$5,$A$1:$AL$1,0))),INT(INDEX($A60:$AL60,MATCH(Lists!$F$5,$A$1:$AL$1,0))),DATE(VALUE(LEFT(INDEX($A60:$AL60,MATCH(Lists!$F$5,$A$1:$AL$1,0)),4)),VALUE(MID(INDEX($A60:$AL60,MATCH(Lists!$F$5,$A$1:$AL$1,0)),6,2)),VALUE(MID(INDEX($A60:$AL60,MATCH(Lists!$F$5,$A$1:$AL$1,0)),9,2))))),"")))</f>
        <v/>
      </c>
      <c r="AU60" s="21">
        <f>IF(IFERROR(TRIM(INDEX($A60:$AL60,MATCH(Lists!$F$2,$A$1:$AL$1,0))&amp;""),"")="",-1,IF(ISNUMBER(IFERROR(IF(TRIM(INDEX($A60:$AL60,MATCH(Lists!$F$6,$A$1:$AL$1,0))&amp;"")="","",IF(ISNUMBER(INDEX($A60:$AL60,MATCH(Lists!$F$6,$A$1:$AL$1,0))),ROUND(MOD(INDEX($A60:$AL60,MATCH(Lists!$F$6,$A$1:$AL$1,0)),1)*1440,0),VALUE(LEFT(INDEX($A60:$AL60,MATCH(Lists!$F$6,$A$1:$AL$1,0)),2))*60+VALUE(MID(INDEX($A60:$AL60,MATCH(Lists!$F$6,$A$1:$AL$1,0)),4,2)))),"")),IFERROR(IF(TRIM(INDEX($A60:$AL60,MATCH(Lists!$F$6,$A$1:$AL$1,0))&amp;"")="","",IF(ISNUMBER(INDEX($A60:$AL60,MATCH(Lists!$F$6,$A$1:$AL$1,0))),ROUND(MOD(INDEX($A60:$AL60,MATCH(Lists!$F$6,$A$1:$AL$1,0)),1)*1440,0),VALUE(LEFT(INDEX($A60:$AL60,MATCH(Lists!$F$6,$A$1:$AL$1,0)),2))*60+VALUE(MID(INDEX($A60:$AL60,MATCH(Lists!$F$6,$A$1:$AL$1,0)),4,2)))),""),-1))</f>
        <v/>
      </c>
      <c r="AV60" s="21">
        <f>IF(IFERROR(TRIM(INDEX($A60:$AL60,MATCH(Lists!$F$2,$A$1:$AL$1,0))&amp;""),"")="",-1,IF(ISNUMBER(IFERROR(IF(TRIM(INDEX($A60:$AL60,MATCH(Lists!$F$7,$A$1:$AL$1,0))&amp;"")="","",IF(ISNUMBER(INDEX($A60:$AL60,MATCH(Lists!$F$7,$A$1:$AL$1,0))),ROUND(MOD(INDEX($A60:$AL60,MATCH(Lists!$F$7,$A$1:$AL$1,0)),1)*1440,0),VALUE(LEFT(INDEX($A60:$AL60,MATCH(Lists!$F$7,$A$1:$AL$1,0)),2))*60+VALUE(MID(INDEX($A60:$AL60,MATCH(Lists!$F$7,$A$1:$AL$1,0)),4,2)))),"")),IFERROR(IF(TRIM(INDEX($A60:$AL60,MATCH(Lists!$F$7,$A$1:$AL$1,0))&amp;"")="","",IF(ISNUMBER(INDEX($A60:$AL60,MATCH(Lists!$F$7,$A$1:$AL$1,0))),ROUND(MOD(INDEX($A60:$AL60,MATCH(Lists!$F$7,$A$1:$AL$1,0)),1)*1440,0),VALUE(LEFT(INDEX($A60:$AL60,MATCH(Lists!$F$7,$A$1:$AL$1,0)),2))*60+VALUE(MID(INDEX($A60:$AL60,MATCH(Lists!$F$7,$A$1:$AL$1,0)),4,2)))),""),-1))</f>
        <v/>
      </c>
      <c r="AW60" s="21">
        <f>IF(IFERROR(TRIM(INDEX($A60:$AL60,MATCH(Lists!$F$2,$A$1:$AL$1,0))&amp;""),"")="","",IF(IFERROR(TRIM(INDEX($A60:$AL60,MATCH(Lists!$F$8,$A$1:$AL$1,0))&amp;""),"")&lt;&gt;"",IFERROR(TRIM(INDEX($A60:$AL60,MATCH(Lists!$F$8,$A$1:$AL$1,0))&amp;""),""),IFERROR(TRIM(INDEX($A60:$AL60,MATCH(Lists!$F$9,$A$1:$AL$1,0))&amp;""),"")))</f>
        <v/>
      </c>
      <c r="AX60" s="21">
        <f>IFERROR(IF(TRIM(INDEX($A60:$AL60,MATCH(Lists!$F$10,$A$1:$AL$1,0))&amp;"")="","",VALUE(TRIM(INDEX($A60:$AL60,MATCH(Lists!$F$10,$A$1:$AL$1,0))&amp;""))),"")</f>
        <v/>
      </c>
      <c r="AY60" s="21">
        <f>IF(IFERROR(TRIM(INDEX($A60:$AL60,MATCH(Lists!$F$2,$A$1:$AL$1,0))&amp;""),"")="","",IF(AN60="","New",AN60))</f>
        <v/>
      </c>
      <c r="AZ60" s="21">
        <f>IF(IFERROR(TRIM(INDEX($A60:$AL60,MATCH(Lists!$F$2,$A$1:$AL$1,0))&amp;""),"")="","",IF(OR(IFERROR(TRIM(INDEX($A60:$AL60,MATCH(Lists!$F$13,$A$1:$AL$1,0))&amp;""),"")="Paid",IFERROR(TRIM(INDEX($A60:$AL60,MATCH(Lists!$F$13,$A$1:$AL$1,0))&amp;""),"")="Partially refunded"),"Paid",IF(AP60="Yes","Paid (by hand)",IFERROR(TRIM(INDEX($A60:$AL60,MATCH(Lists!$F$13,$A$1:$AL$1,0))&amp;""),""))))</f>
        <v/>
      </c>
      <c r="BA60" s="21">
        <f>IF(AND(IFERROR(TRIM(INDEX($A60:$AL60,MATCH(Lists!$F$2,$A$1:$AL$1,0))&amp;""),"")&lt;&gt;"",AT60&gt;0,AU60&gt;=0,AV60&gt;AU60,AY60&lt;&gt;"Declined"),1,0)</f>
        <v/>
      </c>
      <c r="BB60" s="21">
        <f>IF(BA60=1,COUNTIFS($AS$2:$AS$501,AS60,$AT$2:$AT$501,AT60,$AU$2:$AU$501,"&lt;"&amp;AV60,$AV$2:$AV$501,"&gt;"&amp;AU60,$BA$2:$BA$501,1)-1,"")</f>
        <v/>
      </c>
      <c r="BC60" s="21">
        <f>IF(N(BB60)&gt;0,"Clashes with "&amp;INDEX($AW$2:$AW$501,SUMPRODUCT(MAX(($AS$2:$AS$501=AS60)*($AT$2:$AT$501=AT60)*($AU$2:$AU$501&lt;AV60)*($AV$2:$AV$501&gt;AU60)*($BA$2:$BA$501=1)*(ROW($AS$2:$AS$501)&lt;&gt;ROW())*ROW($AS$2:$AS$501)))-1)&amp;" ("&amp;INDEX($AY$2:$AY$501,SUMPRODUCT(MAX(($AS$2:$AS$501=AS60)*($AT$2:$AT$501=AT60)*($AU$2:$AU$501&lt;AV60)*($AV$2:$AV$501&gt;AU60)*($BA$2:$BA$501=1)*(ROW($AS$2:$AS$501)&lt;&gt;ROW())*ROW($AS$2:$AS$501)))-1)&amp;")"&amp;IF(BB60&gt;1," and "&amp;(BB60-1)&amp;" more",""),"")</f>
        <v/>
      </c>
      <c r="BD60" s="21">
        <f>IF(AND(BA60=1,AY60="Confirmed"),AT60*10000000+AU60*1000+ROW(),"")</f>
        <v/>
      </c>
      <c r="BE60" s="21">
        <f>IF(IFERROR(TRIM(INDEX($A60:$AL60,MATCH(Lists!$F$2,$A$1:$AL$1,0))&amp;""),"")="","",IFERROR(TRIM(INDEX($A60:$AL60,MATCH(Lists!$F$11,$A$1:$AL$1,0))&amp;""),""))</f>
        <v/>
      </c>
      <c r="BF60" s="21">
        <f>IF(IFERROR(TRIM(INDEX($A60:$AL60,MATCH(Lists!$F$2,$A$1:$AL$1,0))&amp;""),"")="","",IFERROR(TRIM(INDEX($A60:$AL60,MATCH(Lists!$F$12,$A$1:$AL$1,0))&amp;""),""))</f>
        <v/>
      </c>
    </row>
    <row r="61">
      <c r="AM61" s="19" t="n"/>
      <c r="AN61" s="23" t="n"/>
      <c r="AO61" s="23" t="n"/>
      <c r="AP61" s="23" t="n"/>
      <c r="AQ61" s="23" t="n"/>
      <c r="AR61" s="19" t="n"/>
      <c r="AS61" s="21">
        <f>IF(IFERROR(TRIM(INDEX($A61:$AL61,MATCH(Lists!$F$2,$A$1:$AL$1,0))&amp;""),"")="","",IF(AND(IFERROR(TRIM(INDEX($A61:$AL61,MATCH(Lists!$F$3,$A$1:$AL$1,0))&amp;""),"")="Other",IFERROR(TRIM(INDEX($A61:$AL61,MATCH(Lists!$F$4,$A$1:$AL$1,0))&amp;""),"")&lt;&gt;""),IFERROR(TRIM(INDEX($A61:$AL61,MATCH(Lists!$F$4,$A$1:$AL$1,0))&amp;""),""),IF(IFERROR(TRIM(INDEX($A61:$AL61,MATCH(Lists!$F$3,$A$1:$AL$1,0))&amp;""),"")="","(no space)",IFERROR(TRIM(INDEX($A61:$AL61,MATCH(Lists!$F$3,$A$1:$AL$1,0))&amp;""),""))))</f>
        <v/>
      </c>
      <c r="AT61" s="22">
        <f>IF(IFERROR(TRIM(INDEX($A61:$AL61,MATCH(Lists!$F$2,$A$1:$AL$1,0))&amp;""),"")="",0,N(IFERROR(IF(TRIM(INDEX($A61:$AL61,MATCH(Lists!$F$5,$A$1:$AL$1,0))&amp;"")="","",IF(ISNUMBER(INDEX($A61:$AL61,MATCH(Lists!$F$5,$A$1:$AL$1,0))),INT(INDEX($A61:$AL61,MATCH(Lists!$F$5,$A$1:$AL$1,0))),DATE(VALUE(LEFT(INDEX($A61:$AL61,MATCH(Lists!$F$5,$A$1:$AL$1,0)),4)),VALUE(MID(INDEX($A61:$AL61,MATCH(Lists!$F$5,$A$1:$AL$1,0)),6,2)),VALUE(MID(INDEX($A61:$AL61,MATCH(Lists!$F$5,$A$1:$AL$1,0)),9,2))))),"")))</f>
        <v/>
      </c>
      <c r="AU61" s="21">
        <f>IF(IFERROR(TRIM(INDEX($A61:$AL61,MATCH(Lists!$F$2,$A$1:$AL$1,0))&amp;""),"")="",-1,IF(ISNUMBER(IFERROR(IF(TRIM(INDEX($A61:$AL61,MATCH(Lists!$F$6,$A$1:$AL$1,0))&amp;"")="","",IF(ISNUMBER(INDEX($A61:$AL61,MATCH(Lists!$F$6,$A$1:$AL$1,0))),ROUND(MOD(INDEX($A61:$AL61,MATCH(Lists!$F$6,$A$1:$AL$1,0)),1)*1440,0),VALUE(LEFT(INDEX($A61:$AL61,MATCH(Lists!$F$6,$A$1:$AL$1,0)),2))*60+VALUE(MID(INDEX($A61:$AL61,MATCH(Lists!$F$6,$A$1:$AL$1,0)),4,2)))),"")),IFERROR(IF(TRIM(INDEX($A61:$AL61,MATCH(Lists!$F$6,$A$1:$AL$1,0))&amp;"")="","",IF(ISNUMBER(INDEX($A61:$AL61,MATCH(Lists!$F$6,$A$1:$AL$1,0))),ROUND(MOD(INDEX($A61:$AL61,MATCH(Lists!$F$6,$A$1:$AL$1,0)),1)*1440,0),VALUE(LEFT(INDEX($A61:$AL61,MATCH(Lists!$F$6,$A$1:$AL$1,0)),2))*60+VALUE(MID(INDEX($A61:$AL61,MATCH(Lists!$F$6,$A$1:$AL$1,0)),4,2)))),""),-1))</f>
        <v/>
      </c>
      <c r="AV61" s="21">
        <f>IF(IFERROR(TRIM(INDEX($A61:$AL61,MATCH(Lists!$F$2,$A$1:$AL$1,0))&amp;""),"")="",-1,IF(ISNUMBER(IFERROR(IF(TRIM(INDEX($A61:$AL61,MATCH(Lists!$F$7,$A$1:$AL$1,0))&amp;"")="","",IF(ISNUMBER(INDEX($A61:$AL61,MATCH(Lists!$F$7,$A$1:$AL$1,0))),ROUND(MOD(INDEX($A61:$AL61,MATCH(Lists!$F$7,$A$1:$AL$1,0)),1)*1440,0),VALUE(LEFT(INDEX($A61:$AL61,MATCH(Lists!$F$7,$A$1:$AL$1,0)),2))*60+VALUE(MID(INDEX($A61:$AL61,MATCH(Lists!$F$7,$A$1:$AL$1,0)),4,2)))),"")),IFERROR(IF(TRIM(INDEX($A61:$AL61,MATCH(Lists!$F$7,$A$1:$AL$1,0))&amp;"")="","",IF(ISNUMBER(INDEX($A61:$AL61,MATCH(Lists!$F$7,$A$1:$AL$1,0))),ROUND(MOD(INDEX($A61:$AL61,MATCH(Lists!$F$7,$A$1:$AL$1,0)),1)*1440,0),VALUE(LEFT(INDEX($A61:$AL61,MATCH(Lists!$F$7,$A$1:$AL$1,0)),2))*60+VALUE(MID(INDEX($A61:$AL61,MATCH(Lists!$F$7,$A$1:$AL$1,0)),4,2)))),""),-1))</f>
        <v/>
      </c>
      <c r="AW61" s="21">
        <f>IF(IFERROR(TRIM(INDEX($A61:$AL61,MATCH(Lists!$F$2,$A$1:$AL$1,0))&amp;""),"")="","",IF(IFERROR(TRIM(INDEX($A61:$AL61,MATCH(Lists!$F$8,$A$1:$AL$1,0))&amp;""),"")&lt;&gt;"",IFERROR(TRIM(INDEX($A61:$AL61,MATCH(Lists!$F$8,$A$1:$AL$1,0))&amp;""),""),IFERROR(TRIM(INDEX($A61:$AL61,MATCH(Lists!$F$9,$A$1:$AL$1,0))&amp;""),"")))</f>
        <v/>
      </c>
      <c r="AX61" s="21">
        <f>IFERROR(IF(TRIM(INDEX($A61:$AL61,MATCH(Lists!$F$10,$A$1:$AL$1,0))&amp;"")="","",VALUE(TRIM(INDEX($A61:$AL61,MATCH(Lists!$F$10,$A$1:$AL$1,0))&amp;""))),"")</f>
        <v/>
      </c>
      <c r="AY61" s="21">
        <f>IF(IFERROR(TRIM(INDEX($A61:$AL61,MATCH(Lists!$F$2,$A$1:$AL$1,0))&amp;""),"")="","",IF(AN61="","New",AN61))</f>
        <v/>
      </c>
      <c r="AZ61" s="21">
        <f>IF(IFERROR(TRIM(INDEX($A61:$AL61,MATCH(Lists!$F$2,$A$1:$AL$1,0))&amp;""),"")="","",IF(OR(IFERROR(TRIM(INDEX($A61:$AL61,MATCH(Lists!$F$13,$A$1:$AL$1,0))&amp;""),"")="Paid",IFERROR(TRIM(INDEX($A61:$AL61,MATCH(Lists!$F$13,$A$1:$AL$1,0))&amp;""),"")="Partially refunded"),"Paid",IF(AP61="Yes","Paid (by hand)",IFERROR(TRIM(INDEX($A61:$AL61,MATCH(Lists!$F$13,$A$1:$AL$1,0))&amp;""),""))))</f>
        <v/>
      </c>
      <c r="BA61" s="21">
        <f>IF(AND(IFERROR(TRIM(INDEX($A61:$AL61,MATCH(Lists!$F$2,$A$1:$AL$1,0))&amp;""),"")&lt;&gt;"",AT61&gt;0,AU61&gt;=0,AV61&gt;AU61,AY61&lt;&gt;"Declined"),1,0)</f>
        <v/>
      </c>
      <c r="BB61" s="21">
        <f>IF(BA61=1,COUNTIFS($AS$2:$AS$501,AS61,$AT$2:$AT$501,AT61,$AU$2:$AU$501,"&lt;"&amp;AV61,$AV$2:$AV$501,"&gt;"&amp;AU61,$BA$2:$BA$501,1)-1,"")</f>
        <v/>
      </c>
      <c r="BC61" s="21">
        <f>IF(N(BB61)&gt;0,"Clashes with "&amp;INDEX($AW$2:$AW$501,SUMPRODUCT(MAX(($AS$2:$AS$501=AS61)*($AT$2:$AT$501=AT61)*($AU$2:$AU$501&lt;AV61)*($AV$2:$AV$501&gt;AU61)*($BA$2:$BA$501=1)*(ROW($AS$2:$AS$501)&lt;&gt;ROW())*ROW($AS$2:$AS$501)))-1)&amp;" ("&amp;INDEX($AY$2:$AY$501,SUMPRODUCT(MAX(($AS$2:$AS$501=AS61)*($AT$2:$AT$501=AT61)*($AU$2:$AU$501&lt;AV61)*($AV$2:$AV$501&gt;AU61)*($BA$2:$BA$501=1)*(ROW($AS$2:$AS$501)&lt;&gt;ROW())*ROW($AS$2:$AS$501)))-1)&amp;")"&amp;IF(BB61&gt;1," and "&amp;(BB61-1)&amp;" more",""),"")</f>
        <v/>
      </c>
      <c r="BD61" s="21">
        <f>IF(AND(BA61=1,AY61="Confirmed"),AT61*10000000+AU61*1000+ROW(),"")</f>
        <v/>
      </c>
      <c r="BE61" s="21">
        <f>IF(IFERROR(TRIM(INDEX($A61:$AL61,MATCH(Lists!$F$2,$A$1:$AL$1,0))&amp;""),"")="","",IFERROR(TRIM(INDEX($A61:$AL61,MATCH(Lists!$F$11,$A$1:$AL$1,0))&amp;""),""))</f>
        <v/>
      </c>
      <c r="BF61" s="21">
        <f>IF(IFERROR(TRIM(INDEX($A61:$AL61,MATCH(Lists!$F$2,$A$1:$AL$1,0))&amp;""),"")="","",IFERROR(TRIM(INDEX($A61:$AL61,MATCH(Lists!$F$12,$A$1:$AL$1,0))&amp;""),""))</f>
        <v/>
      </c>
    </row>
    <row r="62">
      <c r="AM62" s="19" t="n"/>
      <c r="AN62" s="23" t="n"/>
      <c r="AO62" s="23" t="n"/>
      <c r="AP62" s="23" t="n"/>
      <c r="AQ62" s="23" t="n"/>
      <c r="AR62" s="19" t="n"/>
      <c r="AS62" s="21">
        <f>IF(IFERROR(TRIM(INDEX($A62:$AL62,MATCH(Lists!$F$2,$A$1:$AL$1,0))&amp;""),"")="","",IF(AND(IFERROR(TRIM(INDEX($A62:$AL62,MATCH(Lists!$F$3,$A$1:$AL$1,0))&amp;""),"")="Other",IFERROR(TRIM(INDEX($A62:$AL62,MATCH(Lists!$F$4,$A$1:$AL$1,0))&amp;""),"")&lt;&gt;""),IFERROR(TRIM(INDEX($A62:$AL62,MATCH(Lists!$F$4,$A$1:$AL$1,0))&amp;""),""),IF(IFERROR(TRIM(INDEX($A62:$AL62,MATCH(Lists!$F$3,$A$1:$AL$1,0))&amp;""),"")="","(no space)",IFERROR(TRIM(INDEX($A62:$AL62,MATCH(Lists!$F$3,$A$1:$AL$1,0))&amp;""),""))))</f>
        <v/>
      </c>
      <c r="AT62" s="22">
        <f>IF(IFERROR(TRIM(INDEX($A62:$AL62,MATCH(Lists!$F$2,$A$1:$AL$1,0))&amp;""),"")="",0,N(IFERROR(IF(TRIM(INDEX($A62:$AL62,MATCH(Lists!$F$5,$A$1:$AL$1,0))&amp;"")="","",IF(ISNUMBER(INDEX($A62:$AL62,MATCH(Lists!$F$5,$A$1:$AL$1,0))),INT(INDEX($A62:$AL62,MATCH(Lists!$F$5,$A$1:$AL$1,0))),DATE(VALUE(LEFT(INDEX($A62:$AL62,MATCH(Lists!$F$5,$A$1:$AL$1,0)),4)),VALUE(MID(INDEX($A62:$AL62,MATCH(Lists!$F$5,$A$1:$AL$1,0)),6,2)),VALUE(MID(INDEX($A62:$AL62,MATCH(Lists!$F$5,$A$1:$AL$1,0)),9,2))))),"")))</f>
        <v/>
      </c>
      <c r="AU62" s="21">
        <f>IF(IFERROR(TRIM(INDEX($A62:$AL62,MATCH(Lists!$F$2,$A$1:$AL$1,0))&amp;""),"")="",-1,IF(ISNUMBER(IFERROR(IF(TRIM(INDEX($A62:$AL62,MATCH(Lists!$F$6,$A$1:$AL$1,0))&amp;"")="","",IF(ISNUMBER(INDEX($A62:$AL62,MATCH(Lists!$F$6,$A$1:$AL$1,0))),ROUND(MOD(INDEX($A62:$AL62,MATCH(Lists!$F$6,$A$1:$AL$1,0)),1)*1440,0),VALUE(LEFT(INDEX($A62:$AL62,MATCH(Lists!$F$6,$A$1:$AL$1,0)),2))*60+VALUE(MID(INDEX($A62:$AL62,MATCH(Lists!$F$6,$A$1:$AL$1,0)),4,2)))),"")),IFERROR(IF(TRIM(INDEX($A62:$AL62,MATCH(Lists!$F$6,$A$1:$AL$1,0))&amp;"")="","",IF(ISNUMBER(INDEX($A62:$AL62,MATCH(Lists!$F$6,$A$1:$AL$1,0))),ROUND(MOD(INDEX($A62:$AL62,MATCH(Lists!$F$6,$A$1:$AL$1,0)),1)*1440,0),VALUE(LEFT(INDEX($A62:$AL62,MATCH(Lists!$F$6,$A$1:$AL$1,0)),2))*60+VALUE(MID(INDEX($A62:$AL62,MATCH(Lists!$F$6,$A$1:$AL$1,0)),4,2)))),""),-1))</f>
        <v/>
      </c>
      <c r="AV62" s="21">
        <f>IF(IFERROR(TRIM(INDEX($A62:$AL62,MATCH(Lists!$F$2,$A$1:$AL$1,0))&amp;""),"")="",-1,IF(ISNUMBER(IFERROR(IF(TRIM(INDEX($A62:$AL62,MATCH(Lists!$F$7,$A$1:$AL$1,0))&amp;"")="","",IF(ISNUMBER(INDEX($A62:$AL62,MATCH(Lists!$F$7,$A$1:$AL$1,0))),ROUND(MOD(INDEX($A62:$AL62,MATCH(Lists!$F$7,$A$1:$AL$1,0)),1)*1440,0),VALUE(LEFT(INDEX($A62:$AL62,MATCH(Lists!$F$7,$A$1:$AL$1,0)),2))*60+VALUE(MID(INDEX($A62:$AL62,MATCH(Lists!$F$7,$A$1:$AL$1,0)),4,2)))),"")),IFERROR(IF(TRIM(INDEX($A62:$AL62,MATCH(Lists!$F$7,$A$1:$AL$1,0))&amp;"")="","",IF(ISNUMBER(INDEX($A62:$AL62,MATCH(Lists!$F$7,$A$1:$AL$1,0))),ROUND(MOD(INDEX($A62:$AL62,MATCH(Lists!$F$7,$A$1:$AL$1,0)),1)*1440,0),VALUE(LEFT(INDEX($A62:$AL62,MATCH(Lists!$F$7,$A$1:$AL$1,0)),2))*60+VALUE(MID(INDEX($A62:$AL62,MATCH(Lists!$F$7,$A$1:$AL$1,0)),4,2)))),""),-1))</f>
        <v/>
      </c>
      <c r="AW62" s="21">
        <f>IF(IFERROR(TRIM(INDEX($A62:$AL62,MATCH(Lists!$F$2,$A$1:$AL$1,0))&amp;""),"")="","",IF(IFERROR(TRIM(INDEX($A62:$AL62,MATCH(Lists!$F$8,$A$1:$AL$1,0))&amp;""),"")&lt;&gt;"",IFERROR(TRIM(INDEX($A62:$AL62,MATCH(Lists!$F$8,$A$1:$AL$1,0))&amp;""),""),IFERROR(TRIM(INDEX($A62:$AL62,MATCH(Lists!$F$9,$A$1:$AL$1,0))&amp;""),"")))</f>
        <v/>
      </c>
      <c r="AX62" s="21">
        <f>IFERROR(IF(TRIM(INDEX($A62:$AL62,MATCH(Lists!$F$10,$A$1:$AL$1,0))&amp;"")="","",VALUE(TRIM(INDEX($A62:$AL62,MATCH(Lists!$F$10,$A$1:$AL$1,0))&amp;""))),"")</f>
        <v/>
      </c>
      <c r="AY62" s="21">
        <f>IF(IFERROR(TRIM(INDEX($A62:$AL62,MATCH(Lists!$F$2,$A$1:$AL$1,0))&amp;""),"")="","",IF(AN62="","New",AN62))</f>
        <v/>
      </c>
      <c r="AZ62" s="21">
        <f>IF(IFERROR(TRIM(INDEX($A62:$AL62,MATCH(Lists!$F$2,$A$1:$AL$1,0))&amp;""),"")="","",IF(OR(IFERROR(TRIM(INDEX($A62:$AL62,MATCH(Lists!$F$13,$A$1:$AL$1,0))&amp;""),"")="Paid",IFERROR(TRIM(INDEX($A62:$AL62,MATCH(Lists!$F$13,$A$1:$AL$1,0))&amp;""),"")="Partially refunded"),"Paid",IF(AP62="Yes","Paid (by hand)",IFERROR(TRIM(INDEX($A62:$AL62,MATCH(Lists!$F$13,$A$1:$AL$1,0))&amp;""),""))))</f>
        <v/>
      </c>
      <c r="BA62" s="21">
        <f>IF(AND(IFERROR(TRIM(INDEX($A62:$AL62,MATCH(Lists!$F$2,$A$1:$AL$1,0))&amp;""),"")&lt;&gt;"",AT62&gt;0,AU62&gt;=0,AV62&gt;AU62,AY62&lt;&gt;"Declined"),1,0)</f>
        <v/>
      </c>
      <c r="BB62" s="21">
        <f>IF(BA62=1,COUNTIFS($AS$2:$AS$501,AS62,$AT$2:$AT$501,AT62,$AU$2:$AU$501,"&lt;"&amp;AV62,$AV$2:$AV$501,"&gt;"&amp;AU62,$BA$2:$BA$501,1)-1,"")</f>
        <v/>
      </c>
      <c r="BC62" s="21">
        <f>IF(N(BB62)&gt;0,"Clashes with "&amp;INDEX($AW$2:$AW$501,SUMPRODUCT(MAX(($AS$2:$AS$501=AS62)*($AT$2:$AT$501=AT62)*($AU$2:$AU$501&lt;AV62)*($AV$2:$AV$501&gt;AU62)*($BA$2:$BA$501=1)*(ROW($AS$2:$AS$501)&lt;&gt;ROW())*ROW($AS$2:$AS$501)))-1)&amp;" ("&amp;INDEX($AY$2:$AY$501,SUMPRODUCT(MAX(($AS$2:$AS$501=AS62)*($AT$2:$AT$501=AT62)*($AU$2:$AU$501&lt;AV62)*($AV$2:$AV$501&gt;AU62)*($BA$2:$BA$501=1)*(ROW($AS$2:$AS$501)&lt;&gt;ROW())*ROW($AS$2:$AS$501)))-1)&amp;")"&amp;IF(BB62&gt;1," and "&amp;(BB62-1)&amp;" more",""),"")</f>
        <v/>
      </c>
      <c r="BD62" s="21">
        <f>IF(AND(BA62=1,AY62="Confirmed"),AT62*10000000+AU62*1000+ROW(),"")</f>
        <v/>
      </c>
      <c r="BE62" s="21">
        <f>IF(IFERROR(TRIM(INDEX($A62:$AL62,MATCH(Lists!$F$2,$A$1:$AL$1,0))&amp;""),"")="","",IFERROR(TRIM(INDEX($A62:$AL62,MATCH(Lists!$F$11,$A$1:$AL$1,0))&amp;""),""))</f>
        <v/>
      </c>
      <c r="BF62" s="21">
        <f>IF(IFERROR(TRIM(INDEX($A62:$AL62,MATCH(Lists!$F$2,$A$1:$AL$1,0))&amp;""),"")="","",IFERROR(TRIM(INDEX($A62:$AL62,MATCH(Lists!$F$12,$A$1:$AL$1,0))&amp;""),""))</f>
        <v/>
      </c>
    </row>
    <row r="63">
      <c r="AM63" s="19" t="n"/>
      <c r="AN63" s="23" t="n"/>
      <c r="AO63" s="23" t="n"/>
      <c r="AP63" s="23" t="n"/>
      <c r="AQ63" s="23" t="n"/>
      <c r="AR63" s="19" t="n"/>
      <c r="AS63" s="21">
        <f>IF(IFERROR(TRIM(INDEX($A63:$AL63,MATCH(Lists!$F$2,$A$1:$AL$1,0))&amp;""),"")="","",IF(AND(IFERROR(TRIM(INDEX($A63:$AL63,MATCH(Lists!$F$3,$A$1:$AL$1,0))&amp;""),"")="Other",IFERROR(TRIM(INDEX($A63:$AL63,MATCH(Lists!$F$4,$A$1:$AL$1,0))&amp;""),"")&lt;&gt;""),IFERROR(TRIM(INDEX($A63:$AL63,MATCH(Lists!$F$4,$A$1:$AL$1,0))&amp;""),""),IF(IFERROR(TRIM(INDEX($A63:$AL63,MATCH(Lists!$F$3,$A$1:$AL$1,0))&amp;""),"")="","(no space)",IFERROR(TRIM(INDEX($A63:$AL63,MATCH(Lists!$F$3,$A$1:$AL$1,0))&amp;""),""))))</f>
        <v/>
      </c>
      <c r="AT63" s="22">
        <f>IF(IFERROR(TRIM(INDEX($A63:$AL63,MATCH(Lists!$F$2,$A$1:$AL$1,0))&amp;""),"")="",0,N(IFERROR(IF(TRIM(INDEX($A63:$AL63,MATCH(Lists!$F$5,$A$1:$AL$1,0))&amp;"")="","",IF(ISNUMBER(INDEX($A63:$AL63,MATCH(Lists!$F$5,$A$1:$AL$1,0))),INT(INDEX($A63:$AL63,MATCH(Lists!$F$5,$A$1:$AL$1,0))),DATE(VALUE(LEFT(INDEX($A63:$AL63,MATCH(Lists!$F$5,$A$1:$AL$1,0)),4)),VALUE(MID(INDEX($A63:$AL63,MATCH(Lists!$F$5,$A$1:$AL$1,0)),6,2)),VALUE(MID(INDEX($A63:$AL63,MATCH(Lists!$F$5,$A$1:$AL$1,0)),9,2))))),"")))</f>
        <v/>
      </c>
      <c r="AU63" s="21">
        <f>IF(IFERROR(TRIM(INDEX($A63:$AL63,MATCH(Lists!$F$2,$A$1:$AL$1,0))&amp;""),"")="",-1,IF(ISNUMBER(IFERROR(IF(TRIM(INDEX($A63:$AL63,MATCH(Lists!$F$6,$A$1:$AL$1,0))&amp;"")="","",IF(ISNUMBER(INDEX($A63:$AL63,MATCH(Lists!$F$6,$A$1:$AL$1,0))),ROUND(MOD(INDEX($A63:$AL63,MATCH(Lists!$F$6,$A$1:$AL$1,0)),1)*1440,0),VALUE(LEFT(INDEX($A63:$AL63,MATCH(Lists!$F$6,$A$1:$AL$1,0)),2))*60+VALUE(MID(INDEX($A63:$AL63,MATCH(Lists!$F$6,$A$1:$AL$1,0)),4,2)))),"")),IFERROR(IF(TRIM(INDEX($A63:$AL63,MATCH(Lists!$F$6,$A$1:$AL$1,0))&amp;"")="","",IF(ISNUMBER(INDEX($A63:$AL63,MATCH(Lists!$F$6,$A$1:$AL$1,0))),ROUND(MOD(INDEX($A63:$AL63,MATCH(Lists!$F$6,$A$1:$AL$1,0)),1)*1440,0),VALUE(LEFT(INDEX($A63:$AL63,MATCH(Lists!$F$6,$A$1:$AL$1,0)),2))*60+VALUE(MID(INDEX($A63:$AL63,MATCH(Lists!$F$6,$A$1:$AL$1,0)),4,2)))),""),-1))</f>
        <v/>
      </c>
      <c r="AV63" s="21">
        <f>IF(IFERROR(TRIM(INDEX($A63:$AL63,MATCH(Lists!$F$2,$A$1:$AL$1,0))&amp;""),"")="",-1,IF(ISNUMBER(IFERROR(IF(TRIM(INDEX($A63:$AL63,MATCH(Lists!$F$7,$A$1:$AL$1,0))&amp;"")="","",IF(ISNUMBER(INDEX($A63:$AL63,MATCH(Lists!$F$7,$A$1:$AL$1,0))),ROUND(MOD(INDEX($A63:$AL63,MATCH(Lists!$F$7,$A$1:$AL$1,0)),1)*1440,0),VALUE(LEFT(INDEX($A63:$AL63,MATCH(Lists!$F$7,$A$1:$AL$1,0)),2))*60+VALUE(MID(INDEX($A63:$AL63,MATCH(Lists!$F$7,$A$1:$AL$1,0)),4,2)))),"")),IFERROR(IF(TRIM(INDEX($A63:$AL63,MATCH(Lists!$F$7,$A$1:$AL$1,0))&amp;"")="","",IF(ISNUMBER(INDEX($A63:$AL63,MATCH(Lists!$F$7,$A$1:$AL$1,0))),ROUND(MOD(INDEX($A63:$AL63,MATCH(Lists!$F$7,$A$1:$AL$1,0)),1)*1440,0),VALUE(LEFT(INDEX($A63:$AL63,MATCH(Lists!$F$7,$A$1:$AL$1,0)),2))*60+VALUE(MID(INDEX($A63:$AL63,MATCH(Lists!$F$7,$A$1:$AL$1,0)),4,2)))),""),-1))</f>
        <v/>
      </c>
      <c r="AW63" s="21">
        <f>IF(IFERROR(TRIM(INDEX($A63:$AL63,MATCH(Lists!$F$2,$A$1:$AL$1,0))&amp;""),"")="","",IF(IFERROR(TRIM(INDEX($A63:$AL63,MATCH(Lists!$F$8,$A$1:$AL$1,0))&amp;""),"")&lt;&gt;"",IFERROR(TRIM(INDEX($A63:$AL63,MATCH(Lists!$F$8,$A$1:$AL$1,0))&amp;""),""),IFERROR(TRIM(INDEX($A63:$AL63,MATCH(Lists!$F$9,$A$1:$AL$1,0))&amp;""),"")))</f>
        <v/>
      </c>
      <c r="AX63" s="21">
        <f>IFERROR(IF(TRIM(INDEX($A63:$AL63,MATCH(Lists!$F$10,$A$1:$AL$1,0))&amp;"")="","",VALUE(TRIM(INDEX($A63:$AL63,MATCH(Lists!$F$10,$A$1:$AL$1,0))&amp;""))),"")</f>
        <v/>
      </c>
      <c r="AY63" s="21">
        <f>IF(IFERROR(TRIM(INDEX($A63:$AL63,MATCH(Lists!$F$2,$A$1:$AL$1,0))&amp;""),"")="","",IF(AN63="","New",AN63))</f>
        <v/>
      </c>
      <c r="AZ63" s="21">
        <f>IF(IFERROR(TRIM(INDEX($A63:$AL63,MATCH(Lists!$F$2,$A$1:$AL$1,0))&amp;""),"")="","",IF(OR(IFERROR(TRIM(INDEX($A63:$AL63,MATCH(Lists!$F$13,$A$1:$AL$1,0))&amp;""),"")="Paid",IFERROR(TRIM(INDEX($A63:$AL63,MATCH(Lists!$F$13,$A$1:$AL$1,0))&amp;""),"")="Partially refunded"),"Paid",IF(AP63="Yes","Paid (by hand)",IFERROR(TRIM(INDEX($A63:$AL63,MATCH(Lists!$F$13,$A$1:$AL$1,0))&amp;""),""))))</f>
        <v/>
      </c>
      <c r="BA63" s="21">
        <f>IF(AND(IFERROR(TRIM(INDEX($A63:$AL63,MATCH(Lists!$F$2,$A$1:$AL$1,0))&amp;""),"")&lt;&gt;"",AT63&gt;0,AU63&gt;=0,AV63&gt;AU63,AY63&lt;&gt;"Declined"),1,0)</f>
        <v/>
      </c>
      <c r="BB63" s="21">
        <f>IF(BA63=1,COUNTIFS($AS$2:$AS$501,AS63,$AT$2:$AT$501,AT63,$AU$2:$AU$501,"&lt;"&amp;AV63,$AV$2:$AV$501,"&gt;"&amp;AU63,$BA$2:$BA$501,1)-1,"")</f>
        <v/>
      </c>
      <c r="BC63" s="21">
        <f>IF(N(BB63)&gt;0,"Clashes with "&amp;INDEX($AW$2:$AW$501,SUMPRODUCT(MAX(($AS$2:$AS$501=AS63)*($AT$2:$AT$501=AT63)*($AU$2:$AU$501&lt;AV63)*($AV$2:$AV$501&gt;AU63)*($BA$2:$BA$501=1)*(ROW($AS$2:$AS$501)&lt;&gt;ROW())*ROW($AS$2:$AS$501)))-1)&amp;" ("&amp;INDEX($AY$2:$AY$501,SUMPRODUCT(MAX(($AS$2:$AS$501=AS63)*($AT$2:$AT$501=AT63)*($AU$2:$AU$501&lt;AV63)*($AV$2:$AV$501&gt;AU63)*($BA$2:$BA$501=1)*(ROW($AS$2:$AS$501)&lt;&gt;ROW())*ROW($AS$2:$AS$501)))-1)&amp;")"&amp;IF(BB63&gt;1," and "&amp;(BB63-1)&amp;" more",""),"")</f>
        <v/>
      </c>
      <c r="BD63" s="21">
        <f>IF(AND(BA63=1,AY63="Confirmed"),AT63*10000000+AU63*1000+ROW(),"")</f>
        <v/>
      </c>
      <c r="BE63" s="21">
        <f>IF(IFERROR(TRIM(INDEX($A63:$AL63,MATCH(Lists!$F$2,$A$1:$AL$1,0))&amp;""),"")="","",IFERROR(TRIM(INDEX($A63:$AL63,MATCH(Lists!$F$11,$A$1:$AL$1,0))&amp;""),""))</f>
        <v/>
      </c>
      <c r="BF63" s="21">
        <f>IF(IFERROR(TRIM(INDEX($A63:$AL63,MATCH(Lists!$F$2,$A$1:$AL$1,0))&amp;""),"")="","",IFERROR(TRIM(INDEX($A63:$AL63,MATCH(Lists!$F$12,$A$1:$AL$1,0))&amp;""),""))</f>
        <v/>
      </c>
    </row>
    <row r="64">
      <c r="AM64" s="19" t="n"/>
      <c r="AN64" s="23" t="n"/>
      <c r="AO64" s="23" t="n"/>
      <c r="AP64" s="23" t="n"/>
      <c r="AQ64" s="23" t="n"/>
      <c r="AR64" s="19" t="n"/>
      <c r="AS64" s="21">
        <f>IF(IFERROR(TRIM(INDEX($A64:$AL64,MATCH(Lists!$F$2,$A$1:$AL$1,0))&amp;""),"")="","",IF(AND(IFERROR(TRIM(INDEX($A64:$AL64,MATCH(Lists!$F$3,$A$1:$AL$1,0))&amp;""),"")="Other",IFERROR(TRIM(INDEX($A64:$AL64,MATCH(Lists!$F$4,$A$1:$AL$1,0))&amp;""),"")&lt;&gt;""),IFERROR(TRIM(INDEX($A64:$AL64,MATCH(Lists!$F$4,$A$1:$AL$1,0))&amp;""),""),IF(IFERROR(TRIM(INDEX($A64:$AL64,MATCH(Lists!$F$3,$A$1:$AL$1,0))&amp;""),"")="","(no space)",IFERROR(TRIM(INDEX($A64:$AL64,MATCH(Lists!$F$3,$A$1:$AL$1,0))&amp;""),""))))</f>
        <v/>
      </c>
      <c r="AT64" s="22">
        <f>IF(IFERROR(TRIM(INDEX($A64:$AL64,MATCH(Lists!$F$2,$A$1:$AL$1,0))&amp;""),"")="",0,N(IFERROR(IF(TRIM(INDEX($A64:$AL64,MATCH(Lists!$F$5,$A$1:$AL$1,0))&amp;"")="","",IF(ISNUMBER(INDEX($A64:$AL64,MATCH(Lists!$F$5,$A$1:$AL$1,0))),INT(INDEX($A64:$AL64,MATCH(Lists!$F$5,$A$1:$AL$1,0))),DATE(VALUE(LEFT(INDEX($A64:$AL64,MATCH(Lists!$F$5,$A$1:$AL$1,0)),4)),VALUE(MID(INDEX($A64:$AL64,MATCH(Lists!$F$5,$A$1:$AL$1,0)),6,2)),VALUE(MID(INDEX($A64:$AL64,MATCH(Lists!$F$5,$A$1:$AL$1,0)),9,2))))),"")))</f>
        <v/>
      </c>
      <c r="AU64" s="21">
        <f>IF(IFERROR(TRIM(INDEX($A64:$AL64,MATCH(Lists!$F$2,$A$1:$AL$1,0))&amp;""),"")="",-1,IF(ISNUMBER(IFERROR(IF(TRIM(INDEX($A64:$AL64,MATCH(Lists!$F$6,$A$1:$AL$1,0))&amp;"")="","",IF(ISNUMBER(INDEX($A64:$AL64,MATCH(Lists!$F$6,$A$1:$AL$1,0))),ROUND(MOD(INDEX($A64:$AL64,MATCH(Lists!$F$6,$A$1:$AL$1,0)),1)*1440,0),VALUE(LEFT(INDEX($A64:$AL64,MATCH(Lists!$F$6,$A$1:$AL$1,0)),2))*60+VALUE(MID(INDEX($A64:$AL64,MATCH(Lists!$F$6,$A$1:$AL$1,0)),4,2)))),"")),IFERROR(IF(TRIM(INDEX($A64:$AL64,MATCH(Lists!$F$6,$A$1:$AL$1,0))&amp;"")="","",IF(ISNUMBER(INDEX($A64:$AL64,MATCH(Lists!$F$6,$A$1:$AL$1,0))),ROUND(MOD(INDEX($A64:$AL64,MATCH(Lists!$F$6,$A$1:$AL$1,0)),1)*1440,0),VALUE(LEFT(INDEX($A64:$AL64,MATCH(Lists!$F$6,$A$1:$AL$1,0)),2))*60+VALUE(MID(INDEX($A64:$AL64,MATCH(Lists!$F$6,$A$1:$AL$1,0)),4,2)))),""),-1))</f>
        <v/>
      </c>
      <c r="AV64" s="21">
        <f>IF(IFERROR(TRIM(INDEX($A64:$AL64,MATCH(Lists!$F$2,$A$1:$AL$1,0))&amp;""),"")="",-1,IF(ISNUMBER(IFERROR(IF(TRIM(INDEX($A64:$AL64,MATCH(Lists!$F$7,$A$1:$AL$1,0))&amp;"")="","",IF(ISNUMBER(INDEX($A64:$AL64,MATCH(Lists!$F$7,$A$1:$AL$1,0))),ROUND(MOD(INDEX($A64:$AL64,MATCH(Lists!$F$7,$A$1:$AL$1,0)),1)*1440,0),VALUE(LEFT(INDEX($A64:$AL64,MATCH(Lists!$F$7,$A$1:$AL$1,0)),2))*60+VALUE(MID(INDEX($A64:$AL64,MATCH(Lists!$F$7,$A$1:$AL$1,0)),4,2)))),"")),IFERROR(IF(TRIM(INDEX($A64:$AL64,MATCH(Lists!$F$7,$A$1:$AL$1,0))&amp;"")="","",IF(ISNUMBER(INDEX($A64:$AL64,MATCH(Lists!$F$7,$A$1:$AL$1,0))),ROUND(MOD(INDEX($A64:$AL64,MATCH(Lists!$F$7,$A$1:$AL$1,0)),1)*1440,0),VALUE(LEFT(INDEX($A64:$AL64,MATCH(Lists!$F$7,$A$1:$AL$1,0)),2))*60+VALUE(MID(INDEX($A64:$AL64,MATCH(Lists!$F$7,$A$1:$AL$1,0)),4,2)))),""),-1))</f>
        <v/>
      </c>
      <c r="AW64" s="21">
        <f>IF(IFERROR(TRIM(INDEX($A64:$AL64,MATCH(Lists!$F$2,$A$1:$AL$1,0))&amp;""),"")="","",IF(IFERROR(TRIM(INDEX($A64:$AL64,MATCH(Lists!$F$8,$A$1:$AL$1,0))&amp;""),"")&lt;&gt;"",IFERROR(TRIM(INDEX($A64:$AL64,MATCH(Lists!$F$8,$A$1:$AL$1,0))&amp;""),""),IFERROR(TRIM(INDEX($A64:$AL64,MATCH(Lists!$F$9,$A$1:$AL$1,0))&amp;""),"")))</f>
        <v/>
      </c>
      <c r="AX64" s="21">
        <f>IFERROR(IF(TRIM(INDEX($A64:$AL64,MATCH(Lists!$F$10,$A$1:$AL$1,0))&amp;"")="","",VALUE(TRIM(INDEX($A64:$AL64,MATCH(Lists!$F$10,$A$1:$AL$1,0))&amp;""))),"")</f>
        <v/>
      </c>
      <c r="AY64" s="21">
        <f>IF(IFERROR(TRIM(INDEX($A64:$AL64,MATCH(Lists!$F$2,$A$1:$AL$1,0))&amp;""),"")="","",IF(AN64="","New",AN64))</f>
        <v/>
      </c>
      <c r="AZ64" s="21">
        <f>IF(IFERROR(TRIM(INDEX($A64:$AL64,MATCH(Lists!$F$2,$A$1:$AL$1,0))&amp;""),"")="","",IF(OR(IFERROR(TRIM(INDEX($A64:$AL64,MATCH(Lists!$F$13,$A$1:$AL$1,0))&amp;""),"")="Paid",IFERROR(TRIM(INDEX($A64:$AL64,MATCH(Lists!$F$13,$A$1:$AL$1,0))&amp;""),"")="Partially refunded"),"Paid",IF(AP64="Yes","Paid (by hand)",IFERROR(TRIM(INDEX($A64:$AL64,MATCH(Lists!$F$13,$A$1:$AL$1,0))&amp;""),""))))</f>
        <v/>
      </c>
      <c r="BA64" s="21">
        <f>IF(AND(IFERROR(TRIM(INDEX($A64:$AL64,MATCH(Lists!$F$2,$A$1:$AL$1,0))&amp;""),"")&lt;&gt;"",AT64&gt;0,AU64&gt;=0,AV64&gt;AU64,AY64&lt;&gt;"Declined"),1,0)</f>
        <v/>
      </c>
      <c r="BB64" s="21">
        <f>IF(BA64=1,COUNTIFS($AS$2:$AS$501,AS64,$AT$2:$AT$501,AT64,$AU$2:$AU$501,"&lt;"&amp;AV64,$AV$2:$AV$501,"&gt;"&amp;AU64,$BA$2:$BA$501,1)-1,"")</f>
        <v/>
      </c>
      <c r="BC64" s="21">
        <f>IF(N(BB64)&gt;0,"Clashes with "&amp;INDEX($AW$2:$AW$501,SUMPRODUCT(MAX(($AS$2:$AS$501=AS64)*($AT$2:$AT$501=AT64)*($AU$2:$AU$501&lt;AV64)*($AV$2:$AV$501&gt;AU64)*($BA$2:$BA$501=1)*(ROW($AS$2:$AS$501)&lt;&gt;ROW())*ROW($AS$2:$AS$501)))-1)&amp;" ("&amp;INDEX($AY$2:$AY$501,SUMPRODUCT(MAX(($AS$2:$AS$501=AS64)*($AT$2:$AT$501=AT64)*($AU$2:$AU$501&lt;AV64)*($AV$2:$AV$501&gt;AU64)*($BA$2:$BA$501=1)*(ROW($AS$2:$AS$501)&lt;&gt;ROW())*ROW($AS$2:$AS$501)))-1)&amp;")"&amp;IF(BB64&gt;1," and "&amp;(BB64-1)&amp;" more",""),"")</f>
        <v/>
      </c>
      <c r="BD64" s="21">
        <f>IF(AND(BA64=1,AY64="Confirmed"),AT64*10000000+AU64*1000+ROW(),"")</f>
        <v/>
      </c>
      <c r="BE64" s="21">
        <f>IF(IFERROR(TRIM(INDEX($A64:$AL64,MATCH(Lists!$F$2,$A$1:$AL$1,0))&amp;""),"")="","",IFERROR(TRIM(INDEX($A64:$AL64,MATCH(Lists!$F$11,$A$1:$AL$1,0))&amp;""),""))</f>
        <v/>
      </c>
      <c r="BF64" s="21">
        <f>IF(IFERROR(TRIM(INDEX($A64:$AL64,MATCH(Lists!$F$2,$A$1:$AL$1,0))&amp;""),"")="","",IFERROR(TRIM(INDEX($A64:$AL64,MATCH(Lists!$F$12,$A$1:$AL$1,0))&amp;""),""))</f>
        <v/>
      </c>
    </row>
    <row r="65">
      <c r="AM65" s="19" t="n"/>
      <c r="AN65" s="23" t="n"/>
      <c r="AO65" s="23" t="n"/>
      <c r="AP65" s="23" t="n"/>
      <c r="AQ65" s="23" t="n"/>
      <c r="AR65" s="19" t="n"/>
      <c r="AS65" s="21">
        <f>IF(IFERROR(TRIM(INDEX($A65:$AL65,MATCH(Lists!$F$2,$A$1:$AL$1,0))&amp;""),"")="","",IF(AND(IFERROR(TRIM(INDEX($A65:$AL65,MATCH(Lists!$F$3,$A$1:$AL$1,0))&amp;""),"")="Other",IFERROR(TRIM(INDEX($A65:$AL65,MATCH(Lists!$F$4,$A$1:$AL$1,0))&amp;""),"")&lt;&gt;""),IFERROR(TRIM(INDEX($A65:$AL65,MATCH(Lists!$F$4,$A$1:$AL$1,0))&amp;""),""),IF(IFERROR(TRIM(INDEX($A65:$AL65,MATCH(Lists!$F$3,$A$1:$AL$1,0))&amp;""),"")="","(no space)",IFERROR(TRIM(INDEX($A65:$AL65,MATCH(Lists!$F$3,$A$1:$AL$1,0))&amp;""),""))))</f>
        <v/>
      </c>
      <c r="AT65" s="22">
        <f>IF(IFERROR(TRIM(INDEX($A65:$AL65,MATCH(Lists!$F$2,$A$1:$AL$1,0))&amp;""),"")="",0,N(IFERROR(IF(TRIM(INDEX($A65:$AL65,MATCH(Lists!$F$5,$A$1:$AL$1,0))&amp;"")="","",IF(ISNUMBER(INDEX($A65:$AL65,MATCH(Lists!$F$5,$A$1:$AL$1,0))),INT(INDEX($A65:$AL65,MATCH(Lists!$F$5,$A$1:$AL$1,0))),DATE(VALUE(LEFT(INDEX($A65:$AL65,MATCH(Lists!$F$5,$A$1:$AL$1,0)),4)),VALUE(MID(INDEX($A65:$AL65,MATCH(Lists!$F$5,$A$1:$AL$1,0)),6,2)),VALUE(MID(INDEX($A65:$AL65,MATCH(Lists!$F$5,$A$1:$AL$1,0)),9,2))))),"")))</f>
        <v/>
      </c>
      <c r="AU65" s="21">
        <f>IF(IFERROR(TRIM(INDEX($A65:$AL65,MATCH(Lists!$F$2,$A$1:$AL$1,0))&amp;""),"")="",-1,IF(ISNUMBER(IFERROR(IF(TRIM(INDEX($A65:$AL65,MATCH(Lists!$F$6,$A$1:$AL$1,0))&amp;"")="","",IF(ISNUMBER(INDEX($A65:$AL65,MATCH(Lists!$F$6,$A$1:$AL$1,0))),ROUND(MOD(INDEX($A65:$AL65,MATCH(Lists!$F$6,$A$1:$AL$1,0)),1)*1440,0),VALUE(LEFT(INDEX($A65:$AL65,MATCH(Lists!$F$6,$A$1:$AL$1,0)),2))*60+VALUE(MID(INDEX($A65:$AL65,MATCH(Lists!$F$6,$A$1:$AL$1,0)),4,2)))),"")),IFERROR(IF(TRIM(INDEX($A65:$AL65,MATCH(Lists!$F$6,$A$1:$AL$1,0))&amp;"")="","",IF(ISNUMBER(INDEX($A65:$AL65,MATCH(Lists!$F$6,$A$1:$AL$1,0))),ROUND(MOD(INDEX($A65:$AL65,MATCH(Lists!$F$6,$A$1:$AL$1,0)),1)*1440,0),VALUE(LEFT(INDEX($A65:$AL65,MATCH(Lists!$F$6,$A$1:$AL$1,0)),2))*60+VALUE(MID(INDEX($A65:$AL65,MATCH(Lists!$F$6,$A$1:$AL$1,0)),4,2)))),""),-1))</f>
        <v/>
      </c>
      <c r="AV65" s="21">
        <f>IF(IFERROR(TRIM(INDEX($A65:$AL65,MATCH(Lists!$F$2,$A$1:$AL$1,0))&amp;""),"")="",-1,IF(ISNUMBER(IFERROR(IF(TRIM(INDEX($A65:$AL65,MATCH(Lists!$F$7,$A$1:$AL$1,0))&amp;"")="","",IF(ISNUMBER(INDEX($A65:$AL65,MATCH(Lists!$F$7,$A$1:$AL$1,0))),ROUND(MOD(INDEX($A65:$AL65,MATCH(Lists!$F$7,$A$1:$AL$1,0)),1)*1440,0),VALUE(LEFT(INDEX($A65:$AL65,MATCH(Lists!$F$7,$A$1:$AL$1,0)),2))*60+VALUE(MID(INDEX($A65:$AL65,MATCH(Lists!$F$7,$A$1:$AL$1,0)),4,2)))),"")),IFERROR(IF(TRIM(INDEX($A65:$AL65,MATCH(Lists!$F$7,$A$1:$AL$1,0))&amp;"")="","",IF(ISNUMBER(INDEX($A65:$AL65,MATCH(Lists!$F$7,$A$1:$AL$1,0))),ROUND(MOD(INDEX($A65:$AL65,MATCH(Lists!$F$7,$A$1:$AL$1,0)),1)*1440,0),VALUE(LEFT(INDEX($A65:$AL65,MATCH(Lists!$F$7,$A$1:$AL$1,0)),2))*60+VALUE(MID(INDEX($A65:$AL65,MATCH(Lists!$F$7,$A$1:$AL$1,0)),4,2)))),""),-1))</f>
        <v/>
      </c>
      <c r="AW65" s="21">
        <f>IF(IFERROR(TRIM(INDEX($A65:$AL65,MATCH(Lists!$F$2,$A$1:$AL$1,0))&amp;""),"")="","",IF(IFERROR(TRIM(INDEX($A65:$AL65,MATCH(Lists!$F$8,$A$1:$AL$1,0))&amp;""),"")&lt;&gt;"",IFERROR(TRIM(INDEX($A65:$AL65,MATCH(Lists!$F$8,$A$1:$AL$1,0))&amp;""),""),IFERROR(TRIM(INDEX($A65:$AL65,MATCH(Lists!$F$9,$A$1:$AL$1,0))&amp;""),"")))</f>
        <v/>
      </c>
      <c r="AX65" s="21">
        <f>IFERROR(IF(TRIM(INDEX($A65:$AL65,MATCH(Lists!$F$10,$A$1:$AL$1,0))&amp;"")="","",VALUE(TRIM(INDEX($A65:$AL65,MATCH(Lists!$F$10,$A$1:$AL$1,0))&amp;""))),"")</f>
        <v/>
      </c>
      <c r="AY65" s="21">
        <f>IF(IFERROR(TRIM(INDEX($A65:$AL65,MATCH(Lists!$F$2,$A$1:$AL$1,0))&amp;""),"")="","",IF(AN65="","New",AN65))</f>
        <v/>
      </c>
      <c r="AZ65" s="21">
        <f>IF(IFERROR(TRIM(INDEX($A65:$AL65,MATCH(Lists!$F$2,$A$1:$AL$1,0))&amp;""),"")="","",IF(OR(IFERROR(TRIM(INDEX($A65:$AL65,MATCH(Lists!$F$13,$A$1:$AL$1,0))&amp;""),"")="Paid",IFERROR(TRIM(INDEX($A65:$AL65,MATCH(Lists!$F$13,$A$1:$AL$1,0))&amp;""),"")="Partially refunded"),"Paid",IF(AP65="Yes","Paid (by hand)",IFERROR(TRIM(INDEX($A65:$AL65,MATCH(Lists!$F$13,$A$1:$AL$1,0))&amp;""),""))))</f>
        <v/>
      </c>
      <c r="BA65" s="21">
        <f>IF(AND(IFERROR(TRIM(INDEX($A65:$AL65,MATCH(Lists!$F$2,$A$1:$AL$1,0))&amp;""),"")&lt;&gt;"",AT65&gt;0,AU65&gt;=0,AV65&gt;AU65,AY65&lt;&gt;"Declined"),1,0)</f>
        <v/>
      </c>
      <c r="BB65" s="21">
        <f>IF(BA65=1,COUNTIFS($AS$2:$AS$501,AS65,$AT$2:$AT$501,AT65,$AU$2:$AU$501,"&lt;"&amp;AV65,$AV$2:$AV$501,"&gt;"&amp;AU65,$BA$2:$BA$501,1)-1,"")</f>
        <v/>
      </c>
      <c r="BC65" s="21">
        <f>IF(N(BB65)&gt;0,"Clashes with "&amp;INDEX($AW$2:$AW$501,SUMPRODUCT(MAX(($AS$2:$AS$501=AS65)*($AT$2:$AT$501=AT65)*($AU$2:$AU$501&lt;AV65)*($AV$2:$AV$501&gt;AU65)*($BA$2:$BA$501=1)*(ROW($AS$2:$AS$501)&lt;&gt;ROW())*ROW($AS$2:$AS$501)))-1)&amp;" ("&amp;INDEX($AY$2:$AY$501,SUMPRODUCT(MAX(($AS$2:$AS$501=AS65)*($AT$2:$AT$501=AT65)*($AU$2:$AU$501&lt;AV65)*($AV$2:$AV$501&gt;AU65)*($BA$2:$BA$501=1)*(ROW($AS$2:$AS$501)&lt;&gt;ROW())*ROW($AS$2:$AS$501)))-1)&amp;")"&amp;IF(BB65&gt;1," and "&amp;(BB65-1)&amp;" more",""),"")</f>
        <v/>
      </c>
      <c r="BD65" s="21">
        <f>IF(AND(BA65=1,AY65="Confirmed"),AT65*10000000+AU65*1000+ROW(),"")</f>
        <v/>
      </c>
      <c r="BE65" s="21">
        <f>IF(IFERROR(TRIM(INDEX($A65:$AL65,MATCH(Lists!$F$2,$A$1:$AL$1,0))&amp;""),"")="","",IFERROR(TRIM(INDEX($A65:$AL65,MATCH(Lists!$F$11,$A$1:$AL$1,0))&amp;""),""))</f>
        <v/>
      </c>
      <c r="BF65" s="21">
        <f>IF(IFERROR(TRIM(INDEX($A65:$AL65,MATCH(Lists!$F$2,$A$1:$AL$1,0))&amp;""),"")="","",IFERROR(TRIM(INDEX($A65:$AL65,MATCH(Lists!$F$12,$A$1:$AL$1,0))&amp;""),""))</f>
        <v/>
      </c>
    </row>
    <row r="66">
      <c r="AM66" s="19" t="n"/>
      <c r="AN66" s="23" t="n"/>
      <c r="AO66" s="23" t="n"/>
      <c r="AP66" s="23" t="n"/>
      <c r="AQ66" s="23" t="n"/>
      <c r="AR66" s="19" t="n"/>
      <c r="AS66" s="21">
        <f>IF(IFERROR(TRIM(INDEX($A66:$AL66,MATCH(Lists!$F$2,$A$1:$AL$1,0))&amp;""),"")="","",IF(AND(IFERROR(TRIM(INDEX($A66:$AL66,MATCH(Lists!$F$3,$A$1:$AL$1,0))&amp;""),"")="Other",IFERROR(TRIM(INDEX($A66:$AL66,MATCH(Lists!$F$4,$A$1:$AL$1,0))&amp;""),"")&lt;&gt;""),IFERROR(TRIM(INDEX($A66:$AL66,MATCH(Lists!$F$4,$A$1:$AL$1,0))&amp;""),""),IF(IFERROR(TRIM(INDEX($A66:$AL66,MATCH(Lists!$F$3,$A$1:$AL$1,0))&amp;""),"")="","(no space)",IFERROR(TRIM(INDEX($A66:$AL66,MATCH(Lists!$F$3,$A$1:$AL$1,0))&amp;""),""))))</f>
        <v/>
      </c>
      <c r="AT66" s="22">
        <f>IF(IFERROR(TRIM(INDEX($A66:$AL66,MATCH(Lists!$F$2,$A$1:$AL$1,0))&amp;""),"")="",0,N(IFERROR(IF(TRIM(INDEX($A66:$AL66,MATCH(Lists!$F$5,$A$1:$AL$1,0))&amp;"")="","",IF(ISNUMBER(INDEX($A66:$AL66,MATCH(Lists!$F$5,$A$1:$AL$1,0))),INT(INDEX($A66:$AL66,MATCH(Lists!$F$5,$A$1:$AL$1,0))),DATE(VALUE(LEFT(INDEX($A66:$AL66,MATCH(Lists!$F$5,$A$1:$AL$1,0)),4)),VALUE(MID(INDEX($A66:$AL66,MATCH(Lists!$F$5,$A$1:$AL$1,0)),6,2)),VALUE(MID(INDEX($A66:$AL66,MATCH(Lists!$F$5,$A$1:$AL$1,0)),9,2))))),"")))</f>
        <v/>
      </c>
      <c r="AU66" s="21">
        <f>IF(IFERROR(TRIM(INDEX($A66:$AL66,MATCH(Lists!$F$2,$A$1:$AL$1,0))&amp;""),"")="",-1,IF(ISNUMBER(IFERROR(IF(TRIM(INDEX($A66:$AL66,MATCH(Lists!$F$6,$A$1:$AL$1,0))&amp;"")="","",IF(ISNUMBER(INDEX($A66:$AL66,MATCH(Lists!$F$6,$A$1:$AL$1,0))),ROUND(MOD(INDEX($A66:$AL66,MATCH(Lists!$F$6,$A$1:$AL$1,0)),1)*1440,0),VALUE(LEFT(INDEX($A66:$AL66,MATCH(Lists!$F$6,$A$1:$AL$1,0)),2))*60+VALUE(MID(INDEX($A66:$AL66,MATCH(Lists!$F$6,$A$1:$AL$1,0)),4,2)))),"")),IFERROR(IF(TRIM(INDEX($A66:$AL66,MATCH(Lists!$F$6,$A$1:$AL$1,0))&amp;"")="","",IF(ISNUMBER(INDEX($A66:$AL66,MATCH(Lists!$F$6,$A$1:$AL$1,0))),ROUND(MOD(INDEX($A66:$AL66,MATCH(Lists!$F$6,$A$1:$AL$1,0)),1)*1440,0),VALUE(LEFT(INDEX($A66:$AL66,MATCH(Lists!$F$6,$A$1:$AL$1,0)),2))*60+VALUE(MID(INDEX($A66:$AL66,MATCH(Lists!$F$6,$A$1:$AL$1,0)),4,2)))),""),-1))</f>
        <v/>
      </c>
      <c r="AV66" s="21">
        <f>IF(IFERROR(TRIM(INDEX($A66:$AL66,MATCH(Lists!$F$2,$A$1:$AL$1,0))&amp;""),"")="",-1,IF(ISNUMBER(IFERROR(IF(TRIM(INDEX($A66:$AL66,MATCH(Lists!$F$7,$A$1:$AL$1,0))&amp;"")="","",IF(ISNUMBER(INDEX($A66:$AL66,MATCH(Lists!$F$7,$A$1:$AL$1,0))),ROUND(MOD(INDEX($A66:$AL66,MATCH(Lists!$F$7,$A$1:$AL$1,0)),1)*1440,0),VALUE(LEFT(INDEX($A66:$AL66,MATCH(Lists!$F$7,$A$1:$AL$1,0)),2))*60+VALUE(MID(INDEX($A66:$AL66,MATCH(Lists!$F$7,$A$1:$AL$1,0)),4,2)))),"")),IFERROR(IF(TRIM(INDEX($A66:$AL66,MATCH(Lists!$F$7,$A$1:$AL$1,0))&amp;"")="","",IF(ISNUMBER(INDEX($A66:$AL66,MATCH(Lists!$F$7,$A$1:$AL$1,0))),ROUND(MOD(INDEX($A66:$AL66,MATCH(Lists!$F$7,$A$1:$AL$1,0)),1)*1440,0),VALUE(LEFT(INDEX($A66:$AL66,MATCH(Lists!$F$7,$A$1:$AL$1,0)),2))*60+VALUE(MID(INDEX($A66:$AL66,MATCH(Lists!$F$7,$A$1:$AL$1,0)),4,2)))),""),-1))</f>
        <v/>
      </c>
      <c r="AW66" s="21">
        <f>IF(IFERROR(TRIM(INDEX($A66:$AL66,MATCH(Lists!$F$2,$A$1:$AL$1,0))&amp;""),"")="","",IF(IFERROR(TRIM(INDEX($A66:$AL66,MATCH(Lists!$F$8,$A$1:$AL$1,0))&amp;""),"")&lt;&gt;"",IFERROR(TRIM(INDEX($A66:$AL66,MATCH(Lists!$F$8,$A$1:$AL$1,0))&amp;""),""),IFERROR(TRIM(INDEX($A66:$AL66,MATCH(Lists!$F$9,$A$1:$AL$1,0))&amp;""),"")))</f>
        <v/>
      </c>
      <c r="AX66" s="21">
        <f>IFERROR(IF(TRIM(INDEX($A66:$AL66,MATCH(Lists!$F$10,$A$1:$AL$1,0))&amp;"")="","",VALUE(TRIM(INDEX($A66:$AL66,MATCH(Lists!$F$10,$A$1:$AL$1,0))&amp;""))),"")</f>
        <v/>
      </c>
      <c r="AY66" s="21">
        <f>IF(IFERROR(TRIM(INDEX($A66:$AL66,MATCH(Lists!$F$2,$A$1:$AL$1,0))&amp;""),"")="","",IF(AN66="","New",AN66))</f>
        <v/>
      </c>
      <c r="AZ66" s="21">
        <f>IF(IFERROR(TRIM(INDEX($A66:$AL66,MATCH(Lists!$F$2,$A$1:$AL$1,0))&amp;""),"")="","",IF(OR(IFERROR(TRIM(INDEX($A66:$AL66,MATCH(Lists!$F$13,$A$1:$AL$1,0))&amp;""),"")="Paid",IFERROR(TRIM(INDEX($A66:$AL66,MATCH(Lists!$F$13,$A$1:$AL$1,0))&amp;""),"")="Partially refunded"),"Paid",IF(AP66="Yes","Paid (by hand)",IFERROR(TRIM(INDEX($A66:$AL66,MATCH(Lists!$F$13,$A$1:$AL$1,0))&amp;""),""))))</f>
        <v/>
      </c>
      <c r="BA66" s="21">
        <f>IF(AND(IFERROR(TRIM(INDEX($A66:$AL66,MATCH(Lists!$F$2,$A$1:$AL$1,0))&amp;""),"")&lt;&gt;"",AT66&gt;0,AU66&gt;=0,AV66&gt;AU66,AY66&lt;&gt;"Declined"),1,0)</f>
        <v/>
      </c>
      <c r="BB66" s="21">
        <f>IF(BA66=1,COUNTIFS($AS$2:$AS$501,AS66,$AT$2:$AT$501,AT66,$AU$2:$AU$501,"&lt;"&amp;AV66,$AV$2:$AV$501,"&gt;"&amp;AU66,$BA$2:$BA$501,1)-1,"")</f>
        <v/>
      </c>
      <c r="BC66" s="21">
        <f>IF(N(BB66)&gt;0,"Clashes with "&amp;INDEX($AW$2:$AW$501,SUMPRODUCT(MAX(($AS$2:$AS$501=AS66)*($AT$2:$AT$501=AT66)*($AU$2:$AU$501&lt;AV66)*($AV$2:$AV$501&gt;AU66)*($BA$2:$BA$501=1)*(ROW($AS$2:$AS$501)&lt;&gt;ROW())*ROW($AS$2:$AS$501)))-1)&amp;" ("&amp;INDEX($AY$2:$AY$501,SUMPRODUCT(MAX(($AS$2:$AS$501=AS66)*($AT$2:$AT$501=AT66)*($AU$2:$AU$501&lt;AV66)*($AV$2:$AV$501&gt;AU66)*($BA$2:$BA$501=1)*(ROW($AS$2:$AS$501)&lt;&gt;ROW())*ROW($AS$2:$AS$501)))-1)&amp;")"&amp;IF(BB66&gt;1," and "&amp;(BB66-1)&amp;" more",""),"")</f>
        <v/>
      </c>
      <c r="BD66" s="21">
        <f>IF(AND(BA66=1,AY66="Confirmed"),AT66*10000000+AU66*1000+ROW(),"")</f>
        <v/>
      </c>
      <c r="BE66" s="21">
        <f>IF(IFERROR(TRIM(INDEX($A66:$AL66,MATCH(Lists!$F$2,$A$1:$AL$1,0))&amp;""),"")="","",IFERROR(TRIM(INDEX($A66:$AL66,MATCH(Lists!$F$11,$A$1:$AL$1,0))&amp;""),""))</f>
        <v/>
      </c>
      <c r="BF66" s="21">
        <f>IF(IFERROR(TRIM(INDEX($A66:$AL66,MATCH(Lists!$F$2,$A$1:$AL$1,0))&amp;""),"")="","",IFERROR(TRIM(INDEX($A66:$AL66,MATCH(Lists!$F$12,$A$1:$AL$1,0))&amp;""),""))</f>
        <v/>
      </c>
    </row>
    <row r="67">
      <c r="AM67" s="19" t="n"/>
      <c r="AN67" s="23" t="n"/>
      <c r="AO67" s="23" t="n"/>
      <c r="AP67" s="23" t="n"/>
      <c r="AQ67" s="23" t="n"/>
      <c r="AR67" s="19" t="n"/>
      <c r="AS67" s="21">
        <f>IF(IFERROR(TRIM(INDEX($A67:$AL67,MATCH(Lists!$F$2,$A$1:$AL$1,0))&amp;""),"")="","",IF(AND(IFERROR(TRIM(INDEX($A67:$AL67,MATCH(Lists!$F$3,$A$1:$AL$1,0))&amp;""),"")="Other",IFERROR(TRIM(INDEX($A67:$AL67,MATCH(Lists!$F$4,$A$1:$AL$1,0))&amp;""),"")&lt;&gt;""),IFERROR(TRIM(INDEX($A67:$AL67,MATCH(Lists!$F$4,$A$1:$AL$1,0))&amp;""),""),IF(IFERROR(TRIM(INDEX($A67:$AL67,MATCH(Lists!$F$3,$A$1:$AL$1,0))&amp;""),"")="","(no space)",IFERROR(TRIM(INDEX($A67:$AL67,MATCH(Lists!$F$3,$A$1:$AL$1,0))&amp;""),""))))</f>
        <v/>
      </c>
      <c r="AT67" s="22">
        <f>IF(IFERROR(TRIM(INDEX($A67:$AL67,MATCH(Lists!$F$2,$A$1:$AL$1,0))&amp;""),"")="",0,N(IFERROR(IF(TRIM(INDEX($A67:$AL67,MATCH(Lists!$F$5,$A$1:$AL$1,0))&amp;"")="","",IF(ISNUMBER(INDEX($A67:$AL67,MATCH(Lists!$F$5,$A$1:$AL$1,0))),INT(INDEX($A67:$AL67,MATCH(Lists!$F$5,$A$1:$AL$1,0))),DATE(VALUE(LEFT(INDEX($A67:$AL67,MATCH(Lists!$F$5,$A$1:$AL$1,0)),4)),VALUE(MID(INDEX($A67:$AL67,MATCH(Lists!$F$5,$A$1:$AL$1,0)),6,2)),VALUE(MID(INDEX($A67:$AL67,MATCH(Lists!$F$5,$A$1:$AL$1,0)),9,2))))),"")))</f>
        <v/>
      </c>
      <c r="AU67" s="21">
        <f>IF(IFERROR(TRIM(INDEX($A67:$AL67,MATCH(Lists!$F$2,$A$1:$AL$1,0))&amp;""),"")="",-1,IF(ISNUMBER(IFERROR(IF(TRIM(INDEX($A67:$AL67,MATCH(Lists!$F$6,$A$1:$AL$1,0))&amp;"")="","",IF(ISNUMBER(INDEX($A67:$AL67,MATCH(Lists!$F$6,$A$1:$AL$1,0))),ROUND(MOD(INDEX($A67:$AL67,MATCH(Lists!$F$6,$A$1:$AL$1,0)),1)*1440,0),VALUE(LEFT(INDEX($A67:$AL67,MATCH(Lists!$F$6,$A$1:$AL$1,0)),2))*60+VALUE(MID(INDEX($A67:$AL67,MATCH(Lists!$F$6,$A$1:$AL$1,0)),4,2)))),"")),IFERROR(IF(TRIM(INDEX($A67:$AL67,MATCH(Lists!$F$6,$A$1:$AL$1,0))&amp;"")="","",IF(ISNUMBER(INDEX($A67:$AL67,MATCH(Lists!$F$6,$A$1:$AL$1,0))),ROUND(MOD(INDEX($A67:$AL67,MATCH(Lists!$F$6,$A$1:$AL$1,0)),1)*1440,0),VALUE(LEFT(INDEX($A67:$AL67,MATCH(Lists!$F$6,$A$1:$AL$1,0)),2))*60+VALUE(MID(INDEX($A67:$AL67,MATCH(Lists!$F$6,$A$1:$AL$1,0)),4,2)))),""),-1))</f>
        <v/>
      </c>
      <c r="AV67" s="21">
        <f>IF(IFERROR(TRIM(INDEX($A67:$AL67,MATCH(Lists!$F$2,$A$1:$AL$1,0))&amp;""),"")="",-1,IF(ISNUMBER(IFERROR(IF(TRIM(INDEX($A67:$AL67,MATCH(Lists!$F$7,$A$1:$AL$1,0))&amp;"")="","",IF(ISNUMBER(INDEX($A67:$AL67,MATCH(Lists!$F$7,$A$1:$AL$1,0))),ROUND(MOD(INDEX($A67:$AL67,MATCH(Lists!$F$7,$A$1:$AL$1,0)),1)*1440,0),VALUE(LEFT(INDEX($A67:$AL67,MATCH(Lists!$F$7,$A$1:$AL$1,0)),2))*60+VALUE(MID(INDEX($A67:$AL67,MATCH(Lists!$F$7,$A$1:$AL$1,0)),4,2)))),"")),IFERROR(IF(TRIM(INDEX($A67:$AL67,MATCH(Lists!$F$7,$A$1:$AL$1,0))&amp;"")="","",IF(ISNUMBER(INDEX($A67:$AL67,MATCH(Lists!$F$7,$A$1:$AL$1,0))),ROUND(MOD(INDEX($A67:$AL67,MATCH(Lists!$F$7,$A$1:$AL$1,0)),1)*1440,0),VALUE(LEFT(INDEX($A67:$AL67,MATCH(Lists!$F$7,$A$1:$AL$1,0)),2))*60+VALUE(MID(INDEX($A67:$AL67,MATCH(Lists!$F$7,$A$1:$AL$1,0)),4,2)))),""),-1))</f>
        <v/>
      </c>
      <c r="AW67" s="21">
        <f>IF(IFERROR(TRIM(INDEX($A67:$AL67,MATCH(Lists!$F$2,$A$1:$AL$1,0))&amp;""),"")="","",IF(IFERROR(TRIM(INDEX($A67:$AL67,MATCH(Lists!$F$8,$A$1:$AL$1,0))&amp;""),"")&lt;&gt;"",IFERROR(TRIM(INDEX($A67:$AL67,MATCH(Lists!$F$8,$A$1:$AL$1,0))&amp;""),""),IFERROR(TRIM(INDEX($A67:$AL67,MATCH(Lists!$F$9,$A$1:$AL$1,0))&amp;""),"")))</f>
        <v/>
      </c>
      <c r="AX67" s="21">
        <f>IFERROR(IF(TRIM(INDEX($A67:$AL67,MATCH(Lists!$F$10,$A$1:$AL$1,0))&amp;"")="","",VALUE(TRIM(INDEX($A67:$AL67,MATCH(Lists!$F$10,$A$1:$AL$1,0))&amp;""))),"")</f>
        <v/>
      </c>
      <c r="AY67" s="21">
        <f>IF(IFERROR(TRIM(INDEX($A67:$AL67,MATCH(Lists!$F$2,$A$1:$AL$1,0))&amp;""),"")="","",IF(AN67="","New",AN67))</f>
        <v/>
      </c>
      <c r="AZ67" s="21">
        <f>IF(IFERROR(TRIM(INDEX($A67:$AL67,MATCH(Lists!$F$2,$A$1:$AL$1,0))&amp;""),"")="","",IF(OR(IFERROR(TRIM(INDEX($A67:$AL67,MATCH(Lists!$F$13,$A$1:$AL$1,0))&amp;""),"")="Paid",IFERROR(TRIM(INDEX($A67:$AL67,MATCH(Lists!$F$13,$A$1:$AL$1,0))&amp;""),"")="Partially refunded"),"Paid",IF(AP67="Yes","Paid (by hand)",IFERROR(TRIM(INDEX($A67:$AL67,MATCH(Lists!$F$13,$A$1:$AL$1,0))&amp;""),""))))</f>
        <v/>
      </c>
      <c r="BA67" s="21">
        <f>IF(AND(IFERROR(TRIM(INDEX($A67:$AL67,MATCH(Lists!$F$2,$A$1:$AL$1,0))&amp;""),"")&lt;&gt;"",AT67&gt;0,AU67&gt;=0,AV67&gt;AU67,AY67&lt;&gt;"Declined"),1,0)</f>
        <v/>
      </c>
      <c r="BB67" s="21">
        <f>IF(BA67=1,COUNTIFS($AS$2:$AS$501,AS67,$AT$2:$AT$501,AT67,$AU$2:$AU$501,"&lt;"&amp;AV67,$AV$2:$AV$501,"&gt;"&amp;AU67,$BA$2:$BA$501,1)-1,"")</f>
        <v/>
      </c>
      <c r="BC67" s="21">
        <f>IF(N(BB67)&gt;0,"Clashes with "&amp;INDEX($AW$2:$AW$501,SUMPRODUCT(MAX(($AS$2:$AS$501=AS67)*($AT$2:$AT$501=AT67)*($AU$2:$AU$501&lt;AV67)*($AV$2:$AV$501&gt;AU67)*($BA$2:$BA$501=1)*(ROW($AS$2:$AS$501)&lt;&gt;ROW())*ROW($AS$2:$AS$501)))-1)&amp;" ("&amp;INDEX($AY$2:$AY$501,SUMPRODUCT(MAX(($AS$2:$AS$501=AS67)*($AT$2:$AT$501=AT67)*($AU$2:$AU$501&lt;AV67)*($AV$2:$AV$501&gt;AU67)*($BA$2:$BA$501=1)*(ROW($AS$2:$AS$501)&lt;&gt;ROW())*ROW($AS$2:$AS$501)))-1)&amp;")"&amp;IF(BB67&gt;1," and "&amp;(BB67-1)&amp;" more",""),"")</f>
        <v/>
      </c>
      <c r="BD67" s="21">
        <f>IF(AND(BA67=1,AY67="Confirmed"),AT67*10000000+AU67*1000+ROW(),"")</f>
        <v/>
      </c>
      <c r="BE67" s="21">
        <f>IF(IFERROR(TRIM(INDEX($A67:$AL67,MATCH(Lists!$F$2,$A$1:$AL$1,0))&amp;""),"")="","",IFERROR(TRIM(INDEX($A67:$AL67,MATCH(Lists!$F$11,$A$1:$AL$1,0))&amp;""),""))</f>
        <v/>
      </c>
      <c r="BF67" s="21">
        <f>IF(IFERROR(TRIM(INDEX($A67:$AL67,MATCH(Lists!$F$2,$A$1:$AL$1,0))&amp;""),"")="","",IFERROR(TRIM(INDEX($A67:$AL67,MATCH(Lists!$F$12,$A$1:$AL$1,0))&amp;""),""))</f>
        <v/>
      </c>
    </row>
    <row r="68">
      <c r="AM68" s="19" t="n"/>
      <c r="AN68" s="23" t="n"/>
      <c r="AO68" s="23" t="n"/>
      <c r="AP68" s="23" t="n"/>
      <c r="AQ68" s="23" t="n"/>
      <c r="AR68" s="19" t="n"/>
      <c r="AS68" s="21">
        <f>IF(IFERROR(TRIM(INDEX($A68:$AL68,MATCH(Lists!$F$2,$A$1:$AL$1,0))&amp;""),"")="","",IF(AND(IFERROR(TRIM(INDEX($A68:$AL68,MATCH(Lists!$F$3,$A$1:$AL$1,0))&amp;""),"")="Other",IFERROR(TRIM(INDEX($A68:$AL68,MATCH(Lists!$F$4,$A$1:$AL$1,0))&amp;""),"")&lt;&gt;""),IFERROR(TRIM(INDEX($A68:$AL68,MATCH(Lists!$F$4,$A$1:$AL$1,0))&amp;""),""),IF(IFERROR(TRIM(INDEX($A68:$AL68,MATCH(Lists!$F$3,$A$1:$AL$1,0))&amp;""),"")="","(no space)",IFERROR(TRIM(INDEX($A68:$AL68,MATCH(Lists!$F$3,$A$1:$AL$1,0))&amp;""),""))))</f>
        <v/>
      </c>
      <c r="AT68" s="22">
        <f>IF(IFERROR(TRIM(INDEX($A68:$AL68,MATCH(Lists!$F$2,$A$1:$AL$1,0))&amp;""),"")="",0,N(IFERROR(IF(TRIM(INDEX($A68:$AL68,MATCH(Lists!$F$5,$A$1:$AL$1,0))&amp;"")="","",IF(ISNUMBER(INDEX($A68:$AL68,MATCH(Lists!$F$5,$A$1:$AL$1,0))),INT(INDEX($A68:$AL68,MATCH(Lists!$F$5,$A$1:$AL$1,0))),DATE(VALUE(LEFT(INDEX($A68:$AL68,MATCH(Lists!$F$5,$A$1:$AL$1,0)),4)),VALUE(MID(INDEX($A68:$AL68,MATCH(Lists!$F$5,$A$1:$AL$1,0)),6,2)),VALUE(MID(INDEX($A68:$AL68,MATCH(Lists!$F$5,$A$1:$AL$1,0)),9,2))))),"")))</f>
        <v/>
      </c>
      <c r="AU68" s="21">
        <f>IF(IFERROR(TRIM(INDEX($A68:$AL68,MATCH(Lists!$F$2,$A$1:$AL$1,0))&amp;""),"")="",-1,IF(ISNUMBER(IFERROR(IF(TRIM(INDEX($A68:$AL68,MATCH(Lists!$F$6,$A$1:$AL$1,0))&amp;"")="","",IF(ISNUMBER(INDEX($A68:$AL68,MATCH(Lists!$F$6,$A$1:$AL$1,0))),ROUND(MOD(INDEX($A68:$AL68,MATCH(Lists!$F$6,$A$1:$AL$1,0)),1)*1440,0),VALUE(LEFT(INDEX($A68:$AL68,MATCH(Lists!$F$6,$A$1:$AL$1,0)),2))*60+VALUE(MID(INDEX($A68:$AL68,MATCH(Lists!$F$6,$A$1:$AL$1,0)),4,2)))),"")),IFERROR(IF(TRIM(INDEX($A68:$AL68,MATCH(Lists!$F$6,$A$1:$AL$1,0))&amp;"")="","",IF(ISNUMBER(INDEX($A68:$AL68,MATCH(Lists!$F$6,$A$1:$AL$1,0))),ROUND(MOD(INDEX($A68:$AL68,MATCH(Lists!$F$6,$A$1:$AL$1,0)),1)*1440,0),VALUE(LEFT(INDEX($A68:$AL68,MATCH(Lists!$F$6,$A$1:$AL$1,0)),2))*60+VALUE(MID(INDEX($A68:$AL68,MATCH(Lists!$F$6,$A$1:$AL$1,0)),4,2)))),""),-1))</f>
        <v/>
      </c>
      <c r="AV68" s="21">
        <f>IF(IFERROR(TRIM(INDEX($A68:$AL68,MATCH(Lists!$F$2,$A$1:$AL$1,0))&amp;""),"")="",-1,IF(ISNUMBER(IFERROR(IF(TRIM(INDEX($A68:$AL68,MATCH(Lists!$F$7,$A$1:$AL$1,0))&amp;"")="","",IF(ISNUMBER(INDEX($A68:$AL68,MATCH(Lists!$F$7,$A$1:$AL$1,0))),ROUND(MOD(INDEX($A68:$AL68,MATCH(Lists!$F$7,$A$1:$AL$1,0)),1)*1440,0),VALUE(LEFT(INDEX($A68:$AL68,MATCH(Lists!$F$7,$A$1:$AL$1,0)),2))*60+VALUE(MID(INDEX($A68:$AL68,MATCH(Lists!$F$7,$A$1:$AL$1,0)),4,2)))),"")),IFERROR(IF(TRIM(INDEX($A68:$AL68,MATCH(Lists!$F$7,$A$1:$AL$1,0))&amp;"")="","",IF(ISNUMBER(INDEX($A68:$AL68,MATCH(Lists!$F$7,$A$1:$AL$1,0))),ROUND(MOD(INDEX($A68:$AL68,MATCH(Lists!$F$7,$A$1:$AL$1,0)),1)*1440,0),VALUE(LEFT(INDEX($A68:$AL68,MATCH(Lists!$F$7,$A$1:$AL$1,0)),2))*60+VALUE(MID(INDEX($A68:$AL68,MATCH(Lists!$F$7,$A$1:$AL$1,0)),4,2)))),""),-1))</f>
        <v/>
      </c>
      <c r="AW68" s="21">
        <f>IF(IFERROR(TRIM(INDEX($A68:$AL68,MATCH(Lists!$F$2,$A$1:$AL$1,0))&amp;""),"")="","",IF(IFERROR(TRIM(INDEX($A68:$AL68,MATCH(Lists!$F$8,$A$1:$AL$1,0))&amp;""),"")&lt;&gt;"",IFERROR(TRIM(INDEX($A68:$AL68,MATCH(Lists!$F$8,$A$1:$AL$1,0))&amp;""),""),IFERROR(TRIM(INDEX($A68:$AL68,MATCH(Lists!$F$9,$A$1:$AL$1,0))&amp;""),"")))</f>
        <v/>
      </c>
      <c r="AX68" s="21">
        <f>IFERROR(IF(TRIM(INDEX($A68:$AL68,MATCH(Lists!$F$10,$A$1:$AL$1,0))&amp;"")="","",VALUE(TRIM(INDEX($A68:$AL68,MATCH(Lists!$F$10,$A$1:$AL$1,0))&amp;""))),"")</f>
        <v/>
      </c>
      <c r="AY68" s="21">
        <f>IF(IFERROR(TRIM(INDEX($A68:$AL68,MATCH(Lists!$F$2,$A$1:$AL$1,0))&amp;""),"")="","",IF(AN68="","New",AN68))</f>
        <v/>
      </c>
      <c r="AZ68" s="21">
        <f>IF(IFERROR(TRIM(INDEX($A68:$AL68,MATCH(Lists!$F$2,$A$1:$AL$1,0))&amp;""),"")="","",IF(OR(IFERROR(TRIM(INDEX($A68:$AL68,MATCH(Lists!$F$13,$A$1:$AL$1,0))&amp;""),"")="Paid",IFERROR(TRIM(INDEX($A68:$AL68,MATCH(Lists!$F$13,$A$1:$AL$1,0))&amp;""),"")="Partially refunded"),"Paid",IF(AP68="Yes","Paid (by hand)",IFERROR(TRIM(INDEX($A68:$AL68,MATCH(Lists!$F$13,$A$1:$AL$1,0))&amp;""),""))))</f>
        <v/>
      </c>
      <c r="BA68" s="21">
        <f>IF(AND(IFERROR(TRIM(INDEX($A68:$AL68,MATCH(Lists!$F$2,$A$1:$AL$1,0))&amp;""),"")&lt;&gt;"",AT68&gt;0,AU68&gt;=0,AV68&gt;AU68,AY68&lt;&gt;"Declined"),1,0)</f>
        <v/>
      </c>
      <c r="BB68" s="21">
        <f>IF(BA68=1,COUNTIFS($AS$2:$AS$501,AS68,$AT$2:$AT$501,AT68,$AU$2:$AU$501,"&lt;"&amp;AV68,$AV$2:$AV$501,"&gt;"&amp;AU68,$BA$2:$BA$501,1)-1,"")</f>
        <v/>
      </c>
      <c r="BC68" s="21">
        <f>IF(N(BB68)&gt;0,"Clashes with "&amp;INDEX($AW$2:$AW$501,SUMPRODUCT(MAX(($AS$2:$AS$501=AS68)*($AT$2:$AT$501=AT68)*($AU$2:$AU$501&lt;AV68)*($AV$2:$AV$501&gt;AU68)*($BA$2:$BA$501=1)*(ROW($AS$2:$AS$501)&lt;&gt;ROW())*ROW($AS$2:$AS$501)))-1)&amp;" ("&amp;INDEX($AY$2:$AY$501,SUMPRODUCT(MAX(($AS$2:$AS$501=AS68)*($AT$2:$AT$501=AT68)*($AU$2:$AU$501&lt;AV68)*($AV$2:$AV$501&gt;AU68)*($BA$2:$BA$501=1)*(ROW($AS$2:$AS$501)&lt;&gt;ROW())*ROW($AS$2:$AS$501)))-1)&amp;")"&amp;IF(BB68&gt;1," and "&amp;(BB68-1)&amp;" more",""),"")</f>
        <v/>
      </c>
      <c r="BD68" s="21">
        <f>IF(AND(BA68=1,AY68="Confirmed"),AT68*10000000+AU68*1000+ROW(),"")</f>
        <v/>
      </c>
      <c r="BE68" s="21">
        <f>IF(IFERROR(TRIM(INDEX($A68:$AL68,MATCH(Lists!$F$2,$A$1:$AL$1,0))&amp;""),"")="","",IFERROR(TRIM(INDEX($A68:$AL68,MATCH(Lists!$F$11,$A$1:$AL$1,0))&amp;""),""))</f>
        <v/>
      </c>
      <c r="BF68" s="21">
        <f>IF(IFERROR(TRIM(INDEX($A68:$AL68,MATCH(Lists!$F$2,$A$1:$AL$1,0))&amp;""),"")="","",IFERROR(TRIM(INDEX($A68:$AL68,MATCH(Lists!$F$12,$A$1:$AL$1,0))&amp;""),""))</f>
        <v/>
      </c>
    </row>
    <row r="69">
      <c r="AM69" s="19" t="n"/>
      <c r="AN69" s="23" t="n"/>
      <c r="AO69" s="23" t="n"/>
      <c r="AP69" s="23" t="n"/>
      <c r="AQ69" s="23" t="n"/>
      <c r="AR69" s="19" t="n"/>
      <c r="AS69" s="21">
        <f>IF(IFERROR(TRIM(INDEX($A69:$AL69,MATCH(Lists!$F$2,$A$1:$AL$1,0))&amp;""),"")="","",IF(AND(IFERROR(TRIM(INDEX($A69:$AL69,MATCH(Lists!$F$3,$A$1:$AL$1,0))&amp;""),"")="Other",IFERROR(TRIM(INDEX($A69:$AL69,MATCH(Lists!$F$4,$A$1:$AL$1,0))&amp;""),"")&lt;&gt;""),IFERROR(TRIM(INDEX($A69:$AL69,MATCH(Lists!$F$4,$A$1:$AL$1,0))&amp;""),""),IF(IFERROR(TRIM(INDEX($A69:$AL69,MATCH(Lists!$F$3,$A$1:$AL$1,0))&amp;""),"")="","(no space)",IFERROR(TRIM(INDEX($A69:$AL69,MATCH(Lists!$F$3,$A$1:$AL$1,0))&amp;""),""))))</f>
        <v/>
      </c>
      <c r="AT69" s="22">
        <f>IF(IFERROR(TRIM(INDEX($A69:$AL69,MATCH(Lists!$F$2,$A$1:$AL$1,0))&amp;""),"")="",0,N(IFERROR(IF(TRIM(INDEX($A69:$AL69,MATCH(Lists!$F$5,$A$1:$AL$1,0))&amp;"")="","",IF(ISNUMBER(INDEX($A69:$AL69,MATCH(Lists!$F$5,$A$1:$AL$1,0))),INT(INDEX($A69:$AL69,MATCH(Lists!$F$5,$A$1:$AL$1,0))),DATE(VALUE(LEFT(INDEX($A69:$AL69,MATCH(Lists!$F$5,$A$1:$AL$1,0)),4)),VALUE(MID(INDEX($A69:$AL69,MATCH(Lists!$F$5,$A$1:$AL$1,0)),6,2)),VALUE(MID(INDEX($A69:$AL69,MATCH(Lists!$F$5,$A$1:$AL$1,0)),9,2))))),"")))</f>
        <v/>
      </c>
      <c r="AU69" s="21">
        <f>IF(IFERROR(TRIM(INDEX($A69:$AL69,MATCH(Lists!$F$2,$A$1:$AL$1,0))&amp;""),"")="",-1,IF(ISNUMBER(IFERROR(IF(TRIM(INDEX($A69:$AL69,MATCH(Lists!$F$6,$A$1:$AL$1,0))&amp;"")="","",IF(ISNUMBER(INDEX($A69:$AL69,MATCH(Lists!$F$6,$A$1:$AL$1,0))),ROUND(MOD(INDEX($A69:$AL69,MATCH(Lists!$F$6,$A$1:$AL$1,0)),1)*1440,0),VALUE(LEFT(INDEX($A69:$AL69,MATCH(Lists!$F$6,$A$1:$AL$1,0)),2))*60+VALUE(MID(INDEX($A69:$AL69,MATCH(Lists!$F$6,$A$1:$AL$1,0)),4,2)))),"")),IFERROR(IF(TRIM(INDEX($A69:$AL69,MATCH(Lists!$F$6,$A$1:$AL$1,0))&amp;"")="","",IF(ISNUMBER(INDEX($A69:$AL69,MATCH(Lists!$F$6,$A$1:$AL$1,0))),ROUND(MOD(INDEX($A69:$AL69,MATCH(Lists!$F$6,$A$1:$AL$1,0)),1)*1440,0),VALUE(LEFT(INDEX($A69:$AL69,MATCH(Lists!$F$6,$A$1:$AL$1,0)),2))*60+VALUE(MID(INDEX($A69:$AL69,MATCH(Lists!$F$6,$A$1:$AL$1,0)),4,2)))),""),-1))</f>
        <v/>
      </c>
      <c r="AV69" s="21">
        <f>IF(IFERROR(TRIM(INDEX($A69:$AL69,MATCH(Lists!$F$2,$A$1:$AL$1,0))&amp;""),"")="",-1,IF(ISNUMBER(IFERROR(IF(TRIM(INDEX($A69:$AL69,MATCH(Lists!$F$7,$A$1:$AL$1,0))&amp;"")="","",IF(ISNUMBER(INDEX($A69:$AL69,MATCH(Lists!$F$7,$A$1:$AL$1,0))),ROUND(MOD(INDEX($A69:$AL69,MATCH(Lists!$F$7,$A$1:$AL$1,0)),1)*1440,0),VALUE(LEFT(INDEX($A69:$AL69,MATCH(Lists!$F$7,$A$1:$AL$1,0)),2))*60+VALUE(MID(INDEX($A69:$AL69,MATCH(Lists!$F$7,$A$1:$AL$1,0)),4,2)))),"")),IFERROR(IF(TRIM(INDEX($A69:$AL69,MATCH(Lists!$F$7,$A$1:$AL$1,0))&amp;"")="","",IF(ISNUMBER(INDEX($A69:$AL69,MATCH(Lists!$F$7,$A$1:$AL$1,0))),ROUND(MOD(INDEX($A69:$AL69,MATCH(Lists!$F$7,$A$1:$AL$1,0)),1)*1440,0),VALUE(LEFT(INDEX($A69:$AL69,MATCH(Lists!$F$7,$A$1:$AL$1,0)),2))*60+VALUE(MID(INDEX($A69:$AL69,MATCH(Lists!$F$7,$A$1:$AL$1,0)),4,2)))),""),-1))</f>
        <v/>
      </c>
      <c r="AW69" s="21">
        <f>IF(IFERROR(TRIM(INDEX($A69:$AL69,MATCH(Lists!$F$2,$A$1:$AL$1,0))&amp;""),"")="","",IF(IFERROR(TRIM(INDEX($A69:$AL69,MATCH(Lists!$F$8,$A$1:$AL$1,0))&amp;""),"")&lt;&gt;"",IFERROR(TRIM(INDEX($A69:$AL69,MATCH(Lists!$F$8,$A$1:$AL$1,0))&amp;""),""),IFERROR(TRIM(INDEX($A69:$AL69,MATCH(Lists!$F$9,$A$1:$AL$1,0))&amp;""),"")))</f>
        <v/>
      </c>
      <c r="AX69" s="21">
        <f>IFERROR(IF(TRIM(INDEX($A69:$AL69,MATCH(Lists!$F$10,$A$1:$AL$1,0))&amp;"")="","",VALUE(TRIM(INDEX($A69:$AL69,MATCH(Lists!$F$10,$A$1:$AL$1,0))&amp;""))),"")</f>
        <v/>
      </c>
      <c r="AY69" s="21">
        <f>IF(IFERROR(TRIM(INDEX($A69:$AL69,MATCH(Lists!$F$2,$A$1:$AL$1,0))&amp;""),"")="","",IF(AN69="","New",AN69))</f>
        <v/>
      </c>
      <c r="AZ69" s="21">
        <f>IF(IFERROR(TRIM(INDEX($A69:$AL69,MATCH(Lists!$F$2,$A$1:$AL$1,0))&amp;""),"")="","",IF(OR(IFERROR(TRIM(INDEX($A69:$AL69,MATCH(Lists!$F$13,$A$1:$AL$1,0))&amp;""),"")="Paid",IFERROR(TRIM(INDEX($A69:$AL69,MATCH(Lists!$F$13,$A$1:$AL$1,0))&amp;""),"")="Partially refunded"),"Paid",IF(AP69="Yes","Paid (by hand)",IFERROR(TRIM(INDEX($A69:$AL69,MATCH(Lists!$F$13,$A$1:$AL$1,0))&amp;""),""))))</f>
        <v/>
      </c>
      <c r="BA69" s="21">
        <f>IF(AND(IFERROR(TRIM(INDEX($A69:$AL69,MATCH(Lists!$F$2,$A$1:$AL$1,0))&amp;""),"")&lt;&gt;"",AT69&gt;0,AU69&gt;=0,AV69&gt;AU69,AY69&lt;&gt;"Declined"),1,0)</f>
        <v/>
      </c>
      <c r="BB69" s="21">
        <f>IF(BA69=1,COUNTIFS($AS$2:$AS$501,AS69,$AT$2:$AT$501,AT69,$AU$2:$AU$501,"&lt;"&amp;AV69,$AV$2:$AV$501,"&gt;"&amp;AU69,$BA$2:$BA$501,1)-1,"")</f>
        <v/>
      </c>
      <c r="BC69" s="21">
        <f>IF(N(BB69)&gt;0,"Clashes with "&amp;INDEX($AW$2:$AW$501,SUMPRODUCT(MAX(($AS$2:$AS$501=AS69)*($AT$2:$AT$501=AT69)*($AU$2:$AU$501&lt;AV69)*($AV$2:$AV$501&gt;AU69)*($BA$2:$BA$501=1)*(ROW($AS$2:$AS$501)&lt;&gt;ROW())*ROW($AS$2:$AS$501)))-1)&amp;" ("&amp;INDEX($AY$2:$AY$501,SUMPRODUCT(MAX(($AS$2:$AS$501=AS69)*($AT$2:$AT$501=AT69)*($AU$2:$AU$501&lt;AV69)*($AV$2:$AV$501&gt;AU69)*($BA$2:$BA$501=1)*(ROW($AS$2:$AS$501)&lt;&gt;ROW())*ROW($AS$2:$AS$501)))-1)&amp;")"&amp;IF(BB69&gt;1," and "&amp;(BB69-1)&amp;" more",""),"")</f>
        <v/>
      </c>
      <c r="BD69" s="21">
        <f>IF(AND(BA69=1,AY69="Confirmed"),AT69*10000000+AU69*1000+ROW(),"")</f>
        <v/>
      </c>
      <c r="BE69" s="21">
        <f>IF(IFERROR(TRIM(INDEX($A69:$AL69,MATCH(Lists!$F$2,$A$1:$AL$1,0))&amp;""),"")="","",IFERROR(TRIM(INDEX($A69:$AL69,MATCH(Lists!$F$11,$A$1:$AL$1,0))&amp;""),""))</f>
        <v/>
      </c>
      <c r="BF69" s="21">
        <f>IF(IFERROR(TRIM(INDEX($A69:$AL69,MATCH(Lists!$F$2,$A$1:$AL$1,0))&amp;""),"")="","",IFERROR(TRIM(INDEX($A69:$AL69,MATCH(Lists!$F$12,$A$1:$AL$1,0))&amp;""),""))</f>
        <v/>
      </c>
    </row>
    <row r="70">
      <c r="AM70" s="19" t="n"/>
      <c r="AN70" s="23" t="n"/>
      <c r="AO70" s="23" t="n"/>
      <c r="AP70" s="23" t="n"/>
      <c r="AQ70" s="23" t="n"/>
      <c r="AR70" s="19" t="n"/>
      <c r="AS70" s="21">
        <f>IF(IFERROR(TRIM(INDEX($A70:$AL70,MATCH(Lists!$F$2,$A$1:$AL$1,0))&amp;""),"")="","",IF(AND(IFERROR(TRIM(INDEX($A70:$AL70,MATCH(Lists!$F$3,$A$1:$AL$1,0))&amp;""),"")="Other",IFERROR(TRIM(INDEX($A70:$AL70,MATCH(Lists!$F$4,$A$1:$AL$1,0))&amp;""),"")&lt;&gt;""),IFERROR(TRIM(INDEX($A70:$AL70,MATCH(Lists!$F$4,$A$1:$AL$1,0))&amp;""),""),IF(IFERROR(TRIM(INDEX($A70:$AL70,MATCH(Lists!$F$3,$A$1:$AL$1,0))&amp;""),"")="","(no space)",IFERROR(TRIM(INDEX($A70:$AL70,MATCH(Lists!$F$3,$A$1:$AL$1,0))&amp;""),""))))</f>
        <v/>
      </c>
      <c r="AT70" s="22">
        <f>IF(IFERROR(TRIM(INDEX($A70:$AL70,MATCH(Lists!$F$2,$A$1:$AL$1,0))&amp;""),"")="",0,N(IFERROR(IF(TRIM(INDEX($A70:$AL70,MATCH(Lists!$F$5,$A$1:$AL$1,0))&amp;"")="","",IF(ISNUMBER(INDEX($A70:$AL70,MATCH(Lists!$F$5,$A$1:$AL$1,0))),INT(INDEX($A70:$AL70,MATCH(Lists!$F$5,$A$1:$AL$1,0))),DATE(VALUE(LEFT(INDEX($A70:$AL70,MATCH(Lists!$F$5,$A$1:$AL$1,0)),4)),VALUE(MID(INDEX($A70:$AL70,MATCH(Lists!$F$5,$A$1:$AL$1,0)),6,2)),VALUE(MID(INDEX($A70:$AL70,MATCH(Lists!$F$5,$A$1:$AL$1,0)),9,2))))),"")))</f>
        <v/>
      </c>
      <c r="AU70" s="21">
        <f>IF(IFERROR(TRIM(INDEX($A70:$AL70,MATCH(Lists!$F$2,$A$1:$AL$1,0))&amp;""),"")="",-1,IF(ISNUMBER(IFERROR(IF(TRIM(INDEX($A70:$AL70,MATCH(Lists!$F$6,$A$1:$AL$1,0))&amp;"")="","",IF(ISNUMBER(INDEX($A70:$AL70,MATCH(Lists!$F$6,$A$1:$AL$1,0))),ROUND(MOD(INDEX($A70:$AL70,MATCH(Lists!$F$6,$A$1:$AL$1,0)),1)*1440,0),VALUE(LEFT(INDEX($A70:$AL70,MATCH(Lists!$F$6,$A$1:$AL$1,0)),2))*60+VALUE(MID(INDEX($A70:$AL70,MATCH(Lists!$F$6,$A$1:$AL$1,0)),4,2)))),"")),IFERROR(IF(TRIM(INDEX($A70:$AL70,MATCH(Lists!$F$6,$A$1:$AL$1,0))&amp;"")="","",IF(ISNUMBER(INDEX($A70:$AL70,MATCH(Lists!$F$6,$A$1:$AL$1,0))),ROUND(MOD(INDEX($A70:$AL70,MATCH(Lists!$F$6,$A$1:$AL$1,0)),1)*1440,0),VALUE(LEFT(INDEX($A70:$AL70,MATCH(Lists!$F$6,$A$1:$AL$1,0)),2))*60+VALUE(MID(INDEX($A70:$AL70,MATCH(Lists!$F$6,$A$1:$AL$1,0)),4,2)))),""),-1))</f>
        <v/>
      </c>
      <c r="AV70" s="21">
        <f>IF(IFERROR(TRIM(INDEX($A70:$AL70,MATCH(Lists!$F$2,$A$1:$AL$1,0))&amp;""),"")="",-1,IF(ISNUMBER(IFERROR(IF(TRIM(INDEX($A70:$AL70,MATCH(Lists!$F$7,$A$1:$AL$1,0))&amp;"")="","",IF(ISNUMBER(INDEX($A70:$AL70,MATCH(Lists!$F$7,$A$1:$AL$1,0))),ROUND(MOD(INDEX($A70:$AL70,MATCH(Lists!$F$7,$A$1:$AL$1,0)),1)*1440,0),VALUE(LEFT(INDEX($A70:$AL70,MATCH(Lists!$F$7,$A$1:$AL$1,0)),2))*60+VALUE(MID(INDEX($A70:$AL70,MATCH(Lists!$F$7,$A$1:$AL$1,0)),4,2)))),"")),IFERROR(IF(TRIM(INDEX($A70:$AL70,MATCH(Lists!$F$7,$A$1:$AL$1,0))&amp;"")="","",IF(ISNUMBER(INDEX($A70:$AL70,MATCH(Lists!$F$7,$A$1:$AL$1,0))),ROUND(MOD(INDEX($A70:$AL70,MATCH(Lists!$F$7,$A$1:$AL$1,0)),1)*1440,0),VALUE(LEFT(INDEX($A70:$AL70,MATCH(Lists!$F$7,$A$1:$AL$1,0)),2))*60+VALUE(MID(INDEX($A70:$AL70,MATCH(Lists!$F$7,$A$1:$AL$1,0)),4,2)))),""),-1))</f>
        <v/>
      </c>
      <c r="AW70" s="21">
        <f>IF(IFERROR(TRIM(INDEX($A70:$AL70,MATCH(Lists!$F$2,$A$1:$AL$1,0))&amp;""),"")="","",IF(IFERROR(TRIM(INDEX($A70:$AL70,MATCH(Lists!$F$8,$A$1:$AL$1,0))&amp;""),"")&lt;&gt;"",IFERROR(TRIM(INDEX($A70:$AL70,MATCH(Lists!$F$8,$A$1:$AL$1,0))&amp;""),""),IFERROR(TRIM(INDEX($A70:$AL70,MATCH(Lists!$F$9,$A$1:$AL$1,0))&amp;""),"")))</f>
        <v/>
      </c>
      <c r="AX70" s="21">
        <f>IFERROR(IF(TRIM(INDEX($A70:$AL70,MATCH(Lists!$F$10,$A$1:$AL$1,0))&amp;"")="","",VALUE(TRIM(INDEX($A70:$AL70,MATCH(Lists!$F$10,$A$1:$AL$1,0))&amp;""))),"")</f>
        <v/>
      </c>
      <c r="AY70" s="21">
        <f>IF(IFERROR(TRIM(INDEX($A70:$AL70,MATCH(Lists!$F$2,$A$1:$AL$1,0))&amp;""),"")="","",IF(AN70="","New",AN70))</f>
        <v/>
      </c>
      <c r="AZ70" s="21">
        <f>IF(IFERROR(TRIM(INDEX($A70:$AL70,MATCH(Lists!$F$2,$A$1:$AL$1,0))&amp;""),"")="","",IF(OR(IFERROR(TRIM(INDEX($A70:$AL70,MATCH(Lists!$F$13,$A$1:$AL$1,0))&amp;""),"")="Paid",IFERROR(TRIM(INDEX($A70:$AL70,MATCH(Lists!$F$13,$A$1:$AL$1,0))&amp;""),"")="Partially refunded"),"Paid",IF(AP70="Yes","Paid (by hand)",IFERROR(TRIM(INDEX($A70:$AL70,MATCH(Lists!$F$13,$A$1:$AL$1,0))&amp;""),""))))</f>
        <v/>
      </c>
      <c r="BA70" s="21">
        <f>IF(AND(IFERROR(TRIM(INDEX($A70:$AL70,MATCH(Lists!$F$2,$A$1:$AL$1,0))&amp;""),"")&lt;&gt;"",AT70&gt;0,AU70&gt;=0,AV70&gt;AU70,AY70&lt;&gt;"Declined"),1,0)</f>
        <v/>
      </c>
      <c r="BB70" s="21">
        <f>IF(BA70=1,COUNTIFS($AS$2:$AS$501,AS70,$AT$2:$AT$501,AT70,$AU$2:$AU$501,"&lt;"&amp;AV70,$AV$2:$AV$501,"&gt;"&amp;AU70,$BA$2:$BA$501,1)-1,"")</f>
        <v/>
      </c>
      <c r="BC70" s="21">
        <f>IF(N(BB70)&gt;0,"Clashes with "&amp;INDEX($AW$2:$AW$501,SUMPRODUCT(MAX(($AS$2:$AS$501=AS70)*($AT$2:$AT$501=AT70)*($AU$2:$AU$501&lt;AV70)*($AV$2:$AV$501&gt;AU70)*($BA$2:$BA$501=1)*(ROW($AS$2:$AS$501)&lt;&gt;ROW())*ROW($AS$2:$AS$501)))-1)&amp;" ("&amp;INDEX($AY$2:$AY$501,SUMPRODUCT(MAX(($AS$2:$AS$501=AS70)*($AT$2:$AT$501=AT70)*($AU$2:$AU$501&lt;AV70)*($AV$2:$AV$501&gt;AU70)*($BA$2:$BA$501=1)*(ROW($AS$2:$AS$501)&lt;&gt;ROW())*ROW($AS$2:$AS$501)))-1)&amp;")"&amp;IF(BB70&gt;1," and "&amp;(BB70-1)&amp;" more",""),"")</f>
        <v/>
      </c>
      <c r="BD70" s="21">
        <f>IF(AND(BA70=1,AY70="Confirmed"),AT70*10000000+AU70*1000+ROW(),"")</f>
        <v/>
      </c>
      <c r="BE70" s="21">
        <f>IF(IFERROR(TRIM(INDEX($A70:$AL70,MATCH(Lists!$F$2,$A$1:$AL$1,0))&amp;""),"")="","",IFERROR(TRIM(INDEX($A70:$AL70,MATCH(Lists!$F$11,$A$1:$AL$1,0))&amp;""),""))</f>
        <v/>
      </c>
      <c r="BF70" s="21">
        <f>IF(IFERROR(TRIM(INDEX($A70:$AL70,MATCH(Lists!$F$2,$A$1:$AL$1,0))&amp;""),"")="","",IFERROR(TRIM(INDEX($A70:$AL70,MATCH(Lists!$F$12,$A$1:$AL$1,0))&amp;""),""))</f>
        <v/>
      </c>
    </row>
    <row r="71">
      <c r="AM71" s="19" t="n"/>
      <c r="AN71" s="23" t="n"/>
      <c r="AO71" s="23" t="n"/>
      <c r="AP71" s="23" t="n"/>
      <c r="AQ71" s="23" t="n"/>
      <c r="AR71" s="19" t="n"/>
      <c r="AS71" s="21">
        <f>IF(IFERROR(TRIM(INDEX($A71:$AL71,MATCH(Lists!$F$2,$A$1:$AL$1,0))&amp;""),"")="","",IF(AND(IFERROR(TRIM(INDEX($A71:$AL71,MATCH(Lists!$F$3,$A$1:$AL$1,0))&amp;""),"")="Other",IFERROR(TRIM(INDEX($A71:$AL71,MATCH(Lists!$F$4,$A$1:$AL$1,0))&amp;""),"")&lt;&gt;""),IFERROR(TRIM(INDEX($A71:$AL71,MATCH(Lists!$F$4,$A$1:$AL$1,0))&amp;""),""),IF(IFERROR(TRIM(INDEX($A71:$AL71,MATCH(Lists!$F$3,$A$1:$AL$1,0))&amp;""),"")="","(no space)",IFERROR(TRIM(INDEX($A71:$AL71,MATCH(Lists!$F$3,$A$1:$AL$1,0))&amp;""),""))))</f>
        <v/>
      </c>
      <c r="AT71" s="22">
        <f>IF(IFERROR(TRIM(INDEX($A71:$AL71,MATCH(Lists!$F$2,$A$1:$AL$1,0))&amp;""),"")="",0,N(IFERROR(IF(TRIM(INDEX($A71:$AL71,MATCH(Lists!$F$5,$A$1:$AL$1,0))&amp;"")="","",IF(ISNUMBER(INDEX($A71:$AL71,MATCH(Lists!$F$5,$A$1:$AL$1,0))),INT(INDEX($A71:$AL71,MATCH(Lists!$F$5,$A$1:$AL$1,0))),DATE(VALUE(LEFT(INDEX($A71:$AL71,MATCH(Lists!$F$5,$A$1:$AL$1,0)),4)),VALUE(MID(INDEX($A71:$AL71,MATCH(Lists!$F$5,$A$1:$AL$1,0)),6,2)),VALUE(MID(INDEX($A71:$AL71,MATCH(Lists!$F$5,$A$1:$AL$1,0)),9,2))))),"")))</f>
        <v/>
      </c>
      <c r="AU71" s="21">
        <f>IF(IFERROR(TRIM(INDEX($A71:$AL71,MATCH(Lists!$F$2,$A$1:$AL$1,0))&amp;""),"")="",-1,IF(ISNUMBER(IFERROR(IF(TRIM(INDEX($A71:$AL71,MATCH(Lists!$F$6,$A$1:$AL$1,0))&amp;"")="","",IF(ISNUMBER(INDEX($A71:$AL71,MATCH(Lists!$F$6,$A$1:$AL$1,0))),ROUND(MOD(INDEX($A71:$AL71,MATCH(Lists!$F$6,$A$1:$AL$1,0)),1)*1440,0),VALUE(LEFT(INDEX($A71:$AL71,MATCH(Lists!$F$6,$A$1:$AL$1,0)),2))*60+VALUE(MID(INDEX($A71:$AL71,MATCH(Lists!$F$6,$A$1:$AL$1,0)),4,2)))),"")),IFERROR(IF(TRIM(INDEX($A71:$AL71,MATCH(Lists!$F$6,$A$1:$AL$1,0))&amp;"")="","",IF(ISNUMBER(INDEX($A71:$AL71,MATCH(Lists!$F$6,$A$1:$AL$1,0))),ROUND(MOD(INDEX($A71:$AL71,MATCH(Lists!$F$6,$A$1:$AL$1,0)),1)*1440,0),VALUE(LEFT(INDEX($A71:$AL71,MATCH(Lists!$F$6,$A$1:$AL$1,0)),2))*60+VALUE(MID(INDEX($A71:$AL71,MATCH(Lists!$F$6,$A$1:$AL$1,0)),4,2)))),""),-1))</f>
        <v/>
      </c>
      <c r="AV71" s="21">
        <f>IF(IFERROR(TRIM(INDEX($A71:$AL71,MATCH(Lists!$F$2,$A$1:$AL$1,0))&amp;""),"")="",-1,IF(ISNUMBER(IFERROR(IF(TRIM(INDEX($A71:$AL71,MATCH(Lists!$F$7,$A$1:$AL$1,0))&amp;"")="","",IF(ISNUMBER(INDEX($A71:$AL71,MATCH(Lists!$F$7,$A$1:$AL$1,0))),ROUND(MOD(INDEX($A71:$AL71,MATCH(Lists!$F$7,$A$1:$AL$1,0)),1)*1440,0),VALUE(LEFT(INDEX($A71:$AL71,MATCH(Lists!$F$7,$A$1:$AL$1,0)),2))*60+VALUE(MID(INDEX($A71:$AL71,MATCH(Lists!$F$7,$A$1:$AL$1,0)),4,2)))),"")),IFERROR(IF(TRIM(INDEX($A71:$AL71,MATCH(Lists!$F$7,$A$1:$AL$1,0))&amp;"")="","",IF(ISNUMBER(INDEX($A71:$AL71,MATCH(Lists!$F$7,$A$1:$AL$1,0))),ROUND(MOD(INDEX($A71:$AL71,MATCH(Lists!$F$7,$A$1:$AL$1,0)),1)*1440,0),VALUE(LEFT(INDEX($A71:$AL71,MATCH(Lists!$F$7,$A$1:$AL$1,0)),2))*60+VALUE(MID(INDEX($A71:$AL71,MATCH(Lists!$F$7,$A$1:$AL$1,0)),4,2)))),""),-1))</f>
        <v/>
      </c>
      <c r="AW71" s="21">
        <f>IF(IFERROR(TRIM(INDEX($A71:$AL71,MATCH(Lists!$F$2,$A$1:$AL$1,0))&amp;""),"")="","",IF(IFERROR(TRIM(INDEX($A71:$AL71,MATCH(Lists!$F$8,$A$1:$AL$1,0))&amp;""),"")&lt;&gt;"",IFERROR(TRIM(INDEX($A71:$AL71,MATCH(Lists!$F$8,$A$1:$AL$1,0))&amp;""),""),IFERROR(TRIM(INDEX($A71:$AL71,MATCH(Lists!$F$9,$A$1:$AL$1,0))&amp;""),"")))</f>
        <v/>
      </c>
      <c r="AX71" s="21">
        <f>IFERROR(IF(TRIM(INDEX($A71:$AL71,MATCH(Lists!$F$10,$A$1:$AL$1,0))&amp;"")="","",VALUE(TRIM(INDEX($A71:$AL71,MATCH(Lists!$F$10,$A$1:$AL$1,0))&amp;""))),"")</f>
        <v/>
      </c>
      <c r="AY71" s="21">
        <f>IF(IFERROR(TRIM(INDEX($A71:$AL71,MATCH(Lists!$F$2,$A$1:$AL$1,0))&amp;""),"")="","",IF(AN71="","New",AN71))</f>
        <v/>
      </c>
      <c r="AZ71" s="21">
        <f>IF(IFERROR(TRIM(INDEX($A71:$AL71,MATCH(Lists!$F$2,$A$1:$AL$1,0))&amp;""),"")="","",IF(OR(IFERROR(TRIM(INDEX($A71:$AL71,MATCH(Lists!$F$13,$A$1:$AL$1,0))&amp;""),"")="Paid",IFERROR(TRIM(INDEX($A71:$AL71,MATCH(Lists!$F$13,$A$1:$AL$1,0))&amp;""),"")="Partially refunded"),"Paid",IF(AP71="Yes","Paid (by hand)",IFERROR(TRIM(INDEX($A71:$AL71,MATCH(Lists!$F$13,$A$1:$AL$1,0))&amp;""),""))))</f>
        <v/>
      </c>
      <c r="BA71" s="21">
        <f>IF(AND(IFERROR(TRIM(INDEX($A71:$AL71,MATCH(Lists!$F$2,$A$1:$AL$1,0))&amp;""),"")&lt;&gt;"",AT71&gt;0,AU71&gt;=0,AV71&gt;AU71,AY71&lt;&gt;"Declined"),1,0)</f>
        <v/>
      </c>
      <c r="BB71" s="21">
        <f>IF(BA71=1,COUNTIFS($AS$2:$AS$501,AS71,$AT$2:$AT$501,AT71,$AU$2:$AU$501,"&lt;"&amp;AV71,$AV$2:$AV$501,"&gt;"&amp;AU71,$BA$2:$BA$501,1)-1,"")</f>
        <v/>
      </c>
      <c r="BC71" s="21">
        <f>IF(N(BB71)&gt;0,"Clashes with "&amp;INDEX($AW$2:$AW$501,SUMPRODUCT(MAX(($AS$2:$AS$501=AS71)*($AT$2:$AT$501=AT71)*($AU$2:$AU$501&lt;AV71)*($AV$2:$AV$501&gt;AU71)*($BA$2:$BA$501=1)*(ROW($AS$2:$AS$501)&lt;&gt;ROW())*ROW($AS$2:$AS$501)))-1)&amp;" ("&amp;INDEX($AY$2:$AY$501,SUMPRODUCT(MAX(($AS$2:$AS$501=AS71)*($AT$2:$AT$501=AT71)*($AU$2:$AU$501&lt;AV71)*($AV$2:$AV$501&gt;AU71)*($BA$2:$BA$501=1)*(ROW($AS$2:$AS$501)&lt;&gt;ROW())*ROW($AS$2:$AS$501)))-1)&amp;")"&amp;IF(BB71&gt;1," and "&amp;(BB71-1)&amp;" more",""),"")</f>
        <v/>
      </c>
      <c r="BD71" s="21">
        <f>IF(AND(BA71=1,AY71="Confirmed"),AT71*10000000+AU71*1000+ROW(),"")</f>
        <v/>
      </c>
      <c r="BE71" s="21">
        <f>IF(IFERROR(TRIM(INDEX($A71:$AL71,MATCH(Lists!$F$2,$A$1:$AL$1,0))&amp;""),"")="","",IFERROR(TRIM(INDEX($A71:$AL71,MATCH(Lists!$F$11,$A$1:$AL$1,0))&amp;""),""))</f>
        <v/>
      </c>
      <c r="BF71" s="21">
        <f>IF(IFERROR(TRIM(INDEX($A71:$AL71,MATCH(Lists!$F$2,$A$1:$AL$1,0))&amp;""),"")="","",IFERROR(TRIM(INDEX($A71:$AL71,MATCH(Lists!$F$12,$A$1:$AL$1,0))&amp;""),""))</f>
        <v/>
      </c>
    </row>
    <row r="72">
      <c r="AM72" s="19" t="n"/>
      <c r="AN72" s="23" t="n"/>
      <c r="AO72" s="23" t="n"/>
      <c r="AP72" s="23" t="n"/>
      <c r="AQ72" s="23" t="n"/>
      <c r="AR72" s="19" t="n"/>
      <c r="AS72" s="21">
        <f>IF(IFERROR(TRIM(INDEX($A72:$AL72,MATCH(Lists!$F$2,$A$1:$AL$1,0))&amp;""),"")="","",IF(AND(IFERROR(TRIM(INDEX($A72:$AL72,MATCH(Lists!$F$3,$A$1:$AL$1,0))&amp;""),"")="Other",IFERROR(TRIM(INDEX($A72:$AL72,MATCH(Lists!$F$4,$A$1:$AL$1,0))&amp;""),"")&lt;&gt;""),IFERROR(TRIM(INDEX($A72:$AL72,MATCH(Lists!$F$4,$A$1:$AL$1,0))&amp;""),""),IF(IFERROR(TRIM(INDEX($A72:$AL72,MATCH(Lists!$F$3,$A$1:$AL$1,0))&amp;""),"")="","(no space)",IFERROR(TRIM(INDEX($A72:$AL72,MATCH(Lists!$F$3,$A$1:$AL$1,0))&amp;""),""))))</f>
        <v/>
      </c>
      <c r="AT72" s="22">
        <f>IF(IFERROR(TRIM(INDEX($A72:$AL72,MATCH(Lists!$F$2,$A$1:$AL$1,0))&amp;""),"")="",0,N(IFERROR(IF(TRIM(INDEX($A72:$AL72,MATCH(Lists!$F$5,$A$1:$AL$1,0))&amp;"")="","",IF(ISNUMBER(INDEX($A72:$AL72,MATCH(Lists!$F$5,$A$1:$AL$1,0))),INT(INDEX($A72:$AL72,MATCH(Lists!$F$5,$A$1:$AL$1,0))),DATE(VALUE(LEFT(INDEX($A72:$AL72,MATCH(Lists!$F$5,$A$1:$AL$1,0)),4)),VALUE(MID(INDEX($A72:$AL72,MATCH(Lists!$F$5,$A$1:$AL$1,0)),6,2)),VALUE(MID(INDEX($A72:$AL72,MATCH(Lists!$F$5,$A$1:$AL$1,0)),9,2))))),"")))</f>
        <v/>
      </c>
      <c r="AU72" s="21">
        <f>IF(IFERROR(TRIM(INDEX($A72:$AL72,MATCH(Lists!$F$2,$A$1:$AL$1,0))&amp;""),"")="",-1,IF(ISNUMBER(IFERROR(IF(TRIM(INDEX($A72:$AL72,MATCH(Lists!$F$6,$A$1:$AL$1,0))&amp;"")="","",IF(ISNUMBER(INDEX($A72:$AL72,MATCH(Lists!$F$6,$A$1:$AL$1,0))),ROUND(MOD(INDEX($A72:$AL72,MATCH(Lists!$F$6,$A$1:$AL$1,0)),1)*1440,0),VALUE(LEFT(INDEX($A72:$AL72,MATCH(Lists!$F$6,$A$1:$AL$1,0)),2))*60+VALUE(MID(INDEX($A72:$AL72,MATCH(Lists!$F$6,$A$1:$AL$1,0)),4,2)))),"")),IFERROR(IF(TRIM(INDEX($A72:$AL72,MATCH(Lists!$F$6,$A$1:$AL$1,0))&amp;"")="","",IF(ISNUMBER(INDEX($A72:$AL72,MATCH(Lists!$F$6,$A$1:$AL$1,0))),ROUND(MOD(INDEX($A72:$AL72,MATCH(Lists!$F$6,$A$1:$AL$1,0)),1)*1440,0),VALUE(LEFT(INDEX($A72:$AL72,MATCH(Lists!$F$6,$A$1:$AL$1,0)),2))*60+VALUE(MID(INDEX($A72:$AL72,MATCH(Lists!$F$6,$A$1:$AL$1,0)),4,2)))),""),-1))</f>
        <v/>
      </c>
      <c r="AV72" s="21">
        <f>IF(IFERROR(TRIM(INDEX($A72:$AL72,MATCH(Lists!$F$2,$A$1:$AL$1,0))&amp;""),"")="",-1,IF(ISNUMBER(IFERROR(IF(TRIM(INDEX($A72:$AL72,MATCH(Lists!$F$7,$A$1:$AL$1,0))&amp;"")="","",IF(ISNUMBER(INDEX($A72:$AL72,MATCH(Lists!$F$7,$A$1:$AL$1,0))),ROUND(MOD(INDEX($A72:$AL72,MATCH(Lists!$F$7,$A$1:$AL$1,0)),1)*1440,0),VALUE(LEFT(INDEX($A72:$AL72,MATCH(Lists!$F$7,$A$1:$AL$1,0)),2))*60+VALUE(MID(INDEX($A72:$AL72,MATCH(Lists!$F$7,$A$1:$AL$1,0)),4,2)))),"")),IFERROR(IF(TRIM(INDEX($A72:$AL72,MATCH(Lists!$F$7,$A$1:$AL$1,0))&amp;"")="","",IF(ISNUMBER(INDEX($A72:$AL72,MATCH(Lists!$F$7,$A$1:$AL$1,0))),ROUND(MOD(INDEX($A72:$AL72,MATCH(Lists!$F$7,$A$1:$AL$1,0)),1)*1440,0),VALUE(LEFT(INDEX($A72:$AL72,MATCH(Lists!$F$7,$A$1:$AL$1,0)),2))*60+VALUE(MID(INDEX($A72:$AL72,MATCH(Lists!$F$7,$A$1:$AL$1,0)),4,2)))),""),-1))</f>
        <v/>
      </c>
      <c r="AW72" s="21">
        <f>IF(IFERROR(TRIM(INDEX($A72:$AL72,MATCH(Lists!$F$2,$A$1:$AL$1,0))&amp;""),"")="","",IF(IFERROR(TRIM(INDEX($A72:$AL72,MATCH(Lists!$F$8,$A$1:$AL$1,0))&amp;""),"")&lt;&gt;"",IFERROR(TRIM(INDEX($A72:$AL72,MATCH(Lists!$F$8,$A$1:$AL$1,0))&amp;""),""),IFERROR(TRIM(INDEX($A72:$AL72,MATCH(Lists!$F$9,$A$1:$AL$1,0))&amp;""),"")))</f>
        <v/>
      </c>
      <c r="AX72" s="21">
        <f>IFERROR(IF(TRIM(INDEX($A72:$AL72,MATCH(Lists!$F$10,$A$1:$AL$1,0))&amp;"")="","",VALUE(TRIM(INDEX($A72:$AL72,MATCH(Lists!$F$10,$A$1:$AL$1,0))&amp;""))),"")</f>
        <v/>
      </c>
      <c r="AY72" s="21">
        <f>IF(IFERROR(TRIM(INDEX($A72:$AL72,MATCH(Lists!$F$2,$A$1:$AL$1,0))&amp;""),"")="","",IF(AN72="","New",AN72))</f>
        <v/>
      </c>
      <c r="AZ72" s="21">
        <f>IF(IFERROR(TRIM(INDEX($A72:$AL72,MATCH(Lists!$F$2,$A$1:$AL$1,0))&amp;""),"")="","",IF(OR(IFERROR(TRIM(INDEX($A72:$AL72,MATCH(Lists!$F$13,$A$1:$AL$1,0))&amp;""),"")="Paid",IFERROR(TRIM(INDEX($A72:$AL72,MATCH(Lists!$F$13,$A$1:$AL$1,0))&amp;""),"")="Partially refunded"),"Paid",IF(AP72="Yes","Paid (by hand)",IFERROR(TRIM(INDEX($A72:$AL72,MATCH(Lists!$F$13,$A$1:$AL$1,0))&amp;""),""))))</f>
        <v/>
      </c>
      <c r="BA72" s="21">
        <f>IF(AND(IFERROR(TRIM(INDEX($A72:$AL72,MATCH(Lists!$F$2,$A$1:$AL$1,0))&amp;""),"")&lt;&gt;"",AT72&gt;0,AU72&gt;=0,AV72&gt;AU72,AY72&lt;&gt;"Declined"),1,0)</f>
        <v/>
      </c>
      <c r="BB72" s="21">
        <f>IF(BA72=1,COUNTIFS($AS$2:$AS$501,AS72,$AT$2:$AT$501,AT72,$AU$2:$AU$501,"&lt;"&amp;AV72,$AV$2:$AV$501,"&gt;"&amp;AU72,$BA$2:$BA$501,1)-1,"")</f>
        <v/>
      </c>
      <c r="BC72" s="21">
        <f>IF(N(BB72)&gt;0,"Clashes with "&amp;INDEX($AW$2:$AW$501,SUMPRODUCT(MAX(($AS$2:$AS$501=AS72)*($AT$2:$AT$501=AT72)*($AU$2:$AU$501&lt;AV72)*($AV$2:$AV$501&gt;AU72)*($BA$2:$BA$501=1)*(ROW($AS$2:$AS$501)&lt;&gt;ROW())*ROW($AS$2:$AS$501)))-1)&amp;" ("&amp;INDEX($AY$2:$AY$501,SUMPRODUCT(MAX(($AS$2:$AS$501=AS72)*($AT$2:$AT$501=AT72)*($AU$2:$AU$501&lt;AV72)*($AV$2:$AV$501&gt;AU72)*($BA$2:$BA$501=1)*(ROW($AS$2:$AS$501)&lt;&gt;ROW())*ROW($AS$2:$AS$501)))-1)&amp;")"&amp;IF(BB72&gt;1," and "&amp;(BB72-1)&amp;" more",""),"")</f>
        <v/>
      </c>
      <c r="BD72" s="21">
        <f>IF(AND(BA72=1,AY72="Confirmed"),AT72*10000000+AU72*1000+ROW(),"")</f>
        <v/>
      </c>
      <c r="BE72" s="21">
        <f>IF(IFERROR(TRIM(INDEX($A72:$AL72,MATCH(Lists!$F$2,$A$1:$AL$1,0))&amp;""),"")="","",IFERROR(TRIM(INDEX($A72:$AL72,MATCH(Lists!$F$11,$A$1:$AL$1,0))&amp;""),""))</f>
        <v/>
      </c>
      <c r="BF72" s="21">
        <f>IF(IFERROR(TRIM(INDEX($A72:$AL72,MATCH(Lists!$F$2,$A$1:$AL$1,0))&amp;""),"")="","",IFERROR(TRIM(INDEX($A72:$AL72,MATCH(Lists!$F$12,$A$1:$AL$1,0))&amp;""),""))</f>
        <v/>
      </c>
    </row>
    <row r="73">
      <c r="AM73" s="19" t="n"/>
      <c r="AN73" s="23" t="n"/>
      <c r="AO73" s="23" t="n"/>
      <c r="AP73" s="23" t="n"/>
      <c r="AQ73" s="23" t="n"/>
      <c r="AR73" s="19" t="n"/>
      <c r="AS73" s="21">
        <f>IF(IFERROR(TRIM(INDEX($A73:$AL73,MATCH(Lists!$F$2,$A$1:$AL$1,0))&amp;""),"")="","",IF(AND(IFERROR(TRIM(INDEX($A73:$AL73,MATCH(Lists!$F$3,$A$1:$AL$1,0))&amp;""),"")="Other",IFERROR(TRIM(INDEX($A73:$AL73,MATCH(Lists!$F$4,$A$1:$AL$1,0))&amp;""),"")&lt;&gt;""),IFERROR(TRIM(INDEX($A73:$AL73,MATCH(Lists!$F$4,$A$1:$AL$1,0))&amp;""),""),IF(IFERROR(TRIM(INDEX($A73:$AL73,MATCH(Lists!$F$3,$A$1:$AL$1,0))&amp;""),"")="","(no space)",IFERROR(TRIM(INDEX($A73:$AL73,MATCH(Lists!$F$3,$A$1:$AL$1,0))&amp;""),""))))</f>
        <v/>
      </c>
      <c r="AT73" s="22">
        <f>IF(IFERROR(TRIM(INDEX($A73:$AL73,MATCH(Lists!$F$2,$A$1:$AL$1,0))&amp;""),"")="",0,N(IFERROR(IF(TRIM(INDEX($A73:$AL73,MATCH(Lists!$F$5,$A$1:$AL$1,0))&amp;"")="","",IF(ISNUMBER(INDEX($A73:$AL73,MATCH(Lists!$F$5,$A$1:$AL$1,0))),INT(INDEX($A73:$AL73,MATCH(Lists!$F$5,$A$1:$AL$1,0))),DATE(VALUE(LEFT(INDEX($A73:$AL73,MATCH(Lists!$F$5,$A$1:$AL$1,0)),4)),VALUE(MID(INDEX($A73:$AL73,MATCH(Lists!$F$5,$A$1:$AL$1,0)),6,2)),VALUE(MID(INDEX($A73:$AL73,MATCH(Lists!$F$5,$A$1:$AL$1,0)),9,2))))),"")))</f>
        <v/>
      </c>
      <c r="AU73" s="21">
        <f>IF(IFERROR(TRIM(INDEX($A73:$AL73,MATCH(Lists!$F$2,$A$1:$AL$1,0))&amp;""),"")="",-1,IF(ISNUMBER(IFERROR(IF(TRIM(INDEX($A73:$AL73,MATCH(Lists!$F$6,$A$1:$AL$1,0))&amp;"")="","",IF(ISNUMBER(INDEX($A73:$AL73,MATCH(Lists!$F$6,$A$1:$AL$1,0))),ROUND(MOD(INDEX($A73:$AL73,MATCH(Lists!$F$6,$A$1:$AL$1,0)),1)*1440,0),VALUE(LEFT(INDEX($A73:$AL73,MATCH(Lists!$F$6,$A$1:$AL$1,0)),2))*60+VALUE(MID(INDEX($A73:$AL73,MATCH(Lists!$F$6,$A$1:$AL$1,0)),4,2)))),"")),IFERROR(IF(TRIM(INDEX($A73:$AL73,MATCH(Lists!$F$6,$A$1:$AL$1,0))&amp;"")="","",IF(ISNUMBER(INDEX($A73:$AL73,MATCH(Lists!$F$6,$A$1:$AL$1,0))),ROUND(MOD(INDEX($A73:$AL73,MATCH(Lists!$F$6,$A$1:$AL$1,0)),1)*1440,0),VALUE(LEFT(INDEX($A73:$AL73,MATCH(Lists!$F$6,$A$1:$AL$1,0)),2))*60+VALUE(MID(INDEX($A73:$AL73,MATCH(Lists!$F$6,$A$1:$AL$1,0)),4,2)))),""),-1))</f>
        <v/>
      </c>
      <c r="AV73" s="21">
        <f>IF(IFERROR(TRIM(INDEX($A73:$AL73,MATCH(Lists!$F$2,$A$1:$AL$1,0))&amp;""),"")="",-1,IF(ISNUMBER(IFERROR(IF(TRIM(INDEX($A73:$AL73,MATCH(Lists!$F$7,$A$1:$AL$1,0))&amp;"")="","",IF(ISNUMBER(INDEX($A73:$AL73,MATCH(Lists!$F$7,$A$1:$AL$1,0))),ROUND(MOD(INDEX($A73:$AL73,MATCH(Lists!$F$7,$A$1:$AL$1,0)),1)*1440,0),VALUE(LEFT(INDEX($A73:$AL73,MATCH(Lists!$F$7,$A$1:$AL$1,0)),2))*60+VALUE(MID(INDEX($A73:$AL73,MATCH(Lists!$F$7,$A$1:$AL$1,0)),4,2)))),"")),IFERROR(IF(TRIM(INDEX($A73:$AL73,MATCH(Lists!$F$7,$A$1:$AL$1,0))&amp;"")="","",IF(ISNUMBER(INDEX($A73:$AL73,MATCH(Lists!$F$7,$A$1:$AL$1,0))),ROUND(MOD(INDEX($A73:$AL73,MATCH(Lists!$F$7,$A$1:$AL$1,0)),1)*1440,0),VALUE(LEFT(INDEX($A73:$AL73,MATCH(Lists!$F$7,$A$1:$AL$1,0)),2))*60+VALUE(MID(INDEX($A73:$AL73,MATCH(Lists!$F$7,$A$1:$AL$1,0)),4,2)))),""),-1))</f>
        <v/>
      </c>
      <c r="AW73" s="21">
        <f>IF(IFERROR(TRIM(INDEX($A73:$AL73,MATCH(Lists!$F$2,$A$1:$AL$1,0))&amp;""),"")="","",IF(IFERROR(TRIM(INDEX($A73:$AL73,MATCH(Lists!$F$8,$A$1:$AL$1,0))&amp;""),"")&lt;&gt;"",IFERROR(TRIM(INDEX($A73:$AL73,MATCH(Lists!$F$8,$A$1:$AL$1,0))&amp;""),""),IFERROR(TRIM(INDEX($A73:$AL73,MATCH(Lists!$F$9,$A$1:$AL$1,0))&amp;""),"")))</f>
        <v/>
      </c>
      <c r="AX73" s="21">
        <f>IFERROR(IF(TRIM(INDEX($A73:$AL73,MATCH(Lists!$F$10,$A$1:$AL$1,0))&amp;"")="","",VALUE(TRIM(INDEX($A73:$AL73,MATCH(Lists!$F$10,$A$1:$AL$1,0))&amp;""))),"")</f>
        <v/>
      </c>
      <c r="AY73" s="21">
        <f>IF(IFERROR(TRIM(INDEX($A73:$AL73,MATCH(Lists!$F$2,$A$1:$AL$1,0))&amp;""),"")="","",IF(AN73="","New",AN73))</f>
        <v/>
      </c>
      <c r="AZ73" s="21">
        <f>IF(IFERROR(TRIM(INDEX($A73:$AL73,MATCH(Lists!$F$2,$A$1:$AL$1,0))&amp;""),"")="","",IF(OR(IFERROR(TRIM(INDEX($A73:$AL73,MATCH(Lists!$F$13,$A$1:$AL$1,0))&amp;""),"")="Paid",IFERROR(TRIM(INDEX($A73:$AL73,MATCH(Lists!$F$13,$A$1:$AL$1,0))&amp;""),"")="Partially refunded"),"Paid",IF(AP73="Yes","Paid (by hand)",IFERROR(TRIM(INDEX($A73:$AL73,MATCH(Lists!$F$13,$A$1:$AL$1,0))&amp;""),""))))</f>
        <v/>
      </c>
      <c r="BA73" s="21">
        <f>IF(AND(IFERROR(TRIM(INDEX($A73:$AL73,MATCH(Lists!$F$2,$A$1:$AL$1,0))&amp;""),"")&lt;&gt;"",AT73&gt;0,AU73&gt;=0,AV73&gt;AU73,AY73&lt;&gt;"Declined"),1,0)</f>
        <v/>
      </c>
      <c r="BB73" s="21">
        <f>IF(BA73=1,COUNTIFS($AS$2:$AS$501,AS73,$AT$2:$AT$501,AT73,$AU$2:$AU$501,"&lt;"&amp;AV73,$AV$2:$AV$501,"&gt;"&amp;AU73,$BA$2:$BA$501,1)-1,"")</f>
        <v/>
      </c>
      <c r="BC73" s="21">
        <f>IF(N(BB73)&gt;0,"Clashes with "&amp;INDEX($AW$2:$AW$501,SUMPRODUCT(MAX(($AS$2:$AS$501=AS73)*($AT$2:$AT$501=AT73)*($AU$2:$AU$501&lt;AV73)*($AV$2:$AV$501&gt;AU73)*($BA$2:$BA$501=1)*(ROW($AS$2:$AS$501)&lt;&gt;ROW())*ROW($AS$2:$AS$501)))-1)&amp;" ("&amp;INDEX($AY$2:$AY$501,SUMPRODUCT(MAX(($AS$2:$AS$501=AS73)*($AT$2:$AT$501=AT73)*($AU$2:$AU$501&lt;AV73)*($AV$2:$AV$501&gt;AU73)*($BA$2:$BA$501=1)*(ROW($AS$2:$AS$501)&lt;&gt;ROW())*ROW($AS$2:$AS$501)))-1)&amp;")"&amp;IF(BB73&gt;1," and "&amp;(BB73-1)&amp;" more",""),"")</f>
        <v/>
      </c>
      <c r="BD73" s="21">
        <f>IF(AND(BA73=1,AY73="Confirmed"),AT73*10000000+AU73*1000+ROW(),"")</f>
        <v/>
      </c>
      <c r="BE73" s="21">
        <f>IF(IFERROR(TRIM(INDEX($A73:$AL73,MATCH(Lists!$F$2,$A$1:$AL$1,0))&amp;""),"")="","",IFERROR(TRIM(INDEX($A73:$AL73,MATCH(Lists!$F$11,$A$1:$AL$1,0))&amp;""),""))</f>
        <v/>
      </c>
      <c r="BF73" s="21">
        <f>IF(IFERROR(TRIM(INDEX($A73:$AL73,MATCH(Lists!$F$2,$A$1:$AL$1,0))&amp;""),"")="","",IFERROR(TRIM(INDEX($A73:$AL73,MATCH(Lists!$F$12,$A$1:$AL$1,0))&amp;""),""))</f>
        <v/>
      </c>
    </row>
    <row r="74">
      <c r="AM74" s="19" t="n"/>
      <c r="AN74" s="23" t="n"/>
      <c r="AO74" s="23" t="n"/>
      <c r="AP74" s="23" t="n"/>
      <c r="AQ74" s="23" t="n"/>
      <c r="AR74" s="19" t="n"/>
      <c r="AS74" s="21">
        <f>IF(IFERROR(TRIM(INDEX($A74:$AL74,MATCH(Lists!$F$2,$A$1:$AL$1,0))&amp;""),"")="","",IF(AND(IFERROR(TRIM(INDEX($A74:$AL74,MATCH(Lists!$F$3,$A$1:$AL$1,0))&amp;""),"")="Other",IFERROR(TRIM(INDEX($A74:$AL74,MATCH(Lists!$F$4,$A$1:$AL$1,0))&amp;""),"")&lt;&gt;""),IFERROR(TRIM(INDEX($A74:$AL74,MATCH(Lists!$F$4,$A$1:$AL$1,0))&amp;""),""),IF(IFERROR(TRIM(INDEX($A74:$AL74,MATCH(Lists!$F$3,$A$1:$AL$1,0))&amp;""),"")="","(no space)",IFERROR(TRIM(INDEX($A74:$AL74,MATCH(Lists!$F$3,$A$1:$AL$1,0))&amp;""),""))))</f>
        <v/>
      </c>
      <c r="AT74" s="22">
        <f>IF(IFERROR(TRIM(INDEX($A74:$AL74,MATCH(Lists!$F$2,$A$1:$AL$1,0))&amp;""),"")="",0,N(IFERROR(IF(TRIM(INDEX($A74:$AL74,MATCH(Lists!$F$5,$A$1:$AL$1,0))&amp;"")="","",IF(ISNUMBER(INDEX($A74:$AL74,MATCH(Lists!$F$5,$A$1:$AL$1,0))),INT(INDEX($A74:$AL74,MATCH(Lists!$F$5,$A$1:$AL$1,0))),DATE(VALUE(LEFT(INDEX($A74:$AL74,MATCH(Lists!$F$5,$A$1:$AL$1,0)),4)),VALUE(MID(INDEX($A74:$AL74,MATCH(Lists!$F$5,$A$1:$AL$1,0)),6,2)),VALUE(MID(INDEX($A74:$AL74,MATCH(Lists!$F$5,$A$1:$AL$1,0)),9,2))))),"")))</f>
        <v/>
      </c>
      <c r="AU74" s="21">
        <f>IF(IFERROR(TRIM(INDEX($A74:$AL74,MATCH(Lists!$F$2,$A$1:$AL$1,0))&amp;""),"")="",-1,IF(ISNUMBER(IFERROR(IF(TRIM(INDEX($A74:$AL74,MATCH(Lists!$F$6,$A$1:$AL$1,0))&amp;"")="","",IF(ISNUMBER(INDEX($A74:$AL74,MATCH(Lists!$F$6,$A$1:$AL$1,0))),ROUND(MOD(INDEX($A74:$AL74,MATCH(Lists!$F$6,$A$1:$AL$1,0)),1)*1440,0),VALUE(LEFT(INDEX($A74:$AL74,MATCH(Lists!$F$6,$A$1:$AL$1,0)),2))*60+VALUE(MID(INDEX($A74:$AL74,MATCH(Lists!$F$6,$A$1:$AL$1,0)),4,2)))),"")),IFERROR(IF(TRIM(INDEX($A74:$AL74,MATCH(Lists!$F$6,$A$1:$AL$1,0))&amp;"")="","",IF(ISNUMBER(INDEX($A74:$AL74,MATCH(Lists!$F$6,$A$1:$AL$1,0))),ROUND(MOD(INDEX($A74:$AL74,MATCH(Lists!$F$6,$A$1:$AL$1,0)),1)*1440,0),VALUE(LEFT(INDEX($A74:$AL74,MATCH(Lists!$F$6,$A$1:$AL$1,0)),2))*60+VALUE(MID(INDEX($A74:$AL74,MATCH(Lists!$F$6,$A$1:$AL$1,0)),4,2)))),""),-1))</f>
        <v/>
      </c>
      <c r="AV74" s="21">
        <f>IF(IFERROR(TRIM(INDEX($A74:$AL74,MATCH(Lists!$F$2,$A$1:$AL$1,0))&amp;""),"")="",-1,IF(ISNUMBER(IFERROR(IF(TRIM(INDEX($A74:$AL74,MATCH(Lists!$F$7,$A$1:$AL$1,0))&amp;"")="","",IF(ISNUMBER(INDEX($A74:$AL74,MATCH(Lists!$F$7,$A$1:$AL$1,0))),ROUND(MOD(INDEX($A74:$AL74,MATCH(Lists!$F$7,$A$1:$AL$1,0)),1)*1440,0),VALUE(LEFT(INDEX($A74:$AL74,MATCH(Lists!$F$7,$A$1:$AL$1,0)),2))*60+VALUE(MID(INDEX($A74:$AL74,MATCH(Lists!$F$7,$A$1:$AL$1,0)),4,2)))),"")),IFERROR(IF(TRIM(INDEX($A74:$AL74,MATCH(Lists!$F$7,$A$1:$AL$1,0))&amp;"")="","",IF(ISNUMBER(INDEX($A74:$AL74,MATCH(Lists!$F$7,$A$1:$AL$1,0))),ROUND(MOD(INDEX($A74:$AL74,MATCH(Lists!$F$7,$A$1:$AL$1,0)),1)*1440,0),VALUE(LEFT(INDEX($A74:$AL74,MATCH(Lists!$F$7,$A$1:$AL$1,0)),2))*60+VALUE(MID(INDEX($A74:$AL74,MATCH(Lists!$F$7,$A$1:$AL$1,0)),4,2)))),""),-1))</f>
        <v/>
      </c>
      <c r="AW74" s="21">
        <f>IF(IFERROR(TRIM(INDEX($A74:$AL74,MATCH(Lists!$F$2,$A$1:$AL$1,0))&amp;""),"")="","",IF(IFERROR(TRIM(INDEX($A74:$AL74,MATCH(Lists!$F$8,$A$1:$AL$1,0))&amp;""),"")&lt;&gt;"",IFERROR(TRIM(INDEX($A74:$AL74,MATCH(Lists!$F$8,$A$1:$AL$1,0))&amp;""),""),IFERROR(TRIM(INDEX($A74:$AL74,MATCH(Lists!$F$9,$A$1:$AL$1,0))&amp;""),"")))</f>
        <v/>
      </c>
      <c r="AX74" s="21">
        <f>IFERROR(IF(TRIM(INDEX($A74:$AL74,MATCH(Lists!$F$10,$A$1:$AL$1,0))&amp;"")="","",VALUE(TRIM(INDEX($A74:$AL74,MATCH(Lists!$F$10,$A$1:$AL$1,0))&amp;""))),"")</f>
        <v/>
      </c>
      <c r="AY74" s="21">
        <f>IF(IFERROR(TRIM(INDEX($A74:$AL74,MATCH(Lists!$F$2,$A$1:$AL$1,0))&amp;""),"")="","",IF(AN74="","New",AN74))</f>
        <v/>
      </c>
      <c r="AZ74" s="21">
        <f>IF(IFERROR(TRIM(INDEX($A74:$AL74,MATCH(Lists!$F$2,$A$1:$AL$1,0))&amp;""),"")="","",IF(OR(IFERROR(TRIM(INDEX($A74:$AL74,MATCH(Lists!$F$13,$A$1:$AL$1,0))&amp;""),"")="Paid",IFERROR(TRIM(INDEX($A74:$AL74,MATCH(Lists!$F$13,$A$1:$AL$1,0))&amp;""),"")="Partially refunded"),"Paid",IF(AP74="Yes","Paid (by hand)",IFERROR(TRIM(INDEX($A74:$AL74,MATCH(Lists!$F$13,$A$1:$AL$1,0))&amp;""),""))))</f>
        <v/>
      </c>
      <c r="BA74" s="21">
        <f>IF(AND(IFERROR(TRIM(INDEX($A74:$AL74,MATCH(Lists!$F$2,$A$1:$AL$1,0))&amp;""),"")&lt;&gt;"",AT74&gt;0,AU74&gt;=0,AV74&gt;AU74,AY74&lt;&gt;"Declined"),1,0)</f>
        <v/>
      </c>
      <c r="BB74" s="21">
        <f>IF(BA74=1,COUNTIFS($AS$2:$AS$501,AS74,$AT$2:$AT$501,AT74,$AU$2:$AU$501,"&lt;"&amp;AV74,$AV$2:$AV$501,"&gt;"&amp;AU74,$BA$2:$BA$501,1)-1,"")</f>
        <v/>
      </c>
      <c r="BC74" s="21">
        <f>IF(N(BB74)&gt;0,"Clashes with "&amp;INDEX($AW$2:$AW$501,SUMPRODUCT(MAX(($AS$2:$AS$501=AS74)*($AT$2:$AT$501=AT74)*($AU$2:$AU$501&lt;AV74)*($AV$2:$AV$501&gt;AU74)*($BA$2:$BA$501=1)*(ROW($AS$2:$AS$501)&lt;&gt;ROW())*ROW($AS$2:$AS$501)))-1)&amp;" ("&amp;INDEX($AY$2:$AY$501,SUMPRODUCT(MAX(($AS$2:$AS$501=AS74)*($AT$2:$AT$501=AT74)*($AU$2:$AU$501&lt;AV74)*($AV$2:$AV$501&gt;AU74)*($BA$2:$BA$501=1)*(ROW($AS$2:$AS$501)&lt;&gt;ROW())*ROW($AS$2:$AS$501)))-1)&amp;")"&amp;IF(BB74&gt;1," and "&amp;(BB74-1)&amp;" more",""),"")</f>
        <v/>
      </c>
      <c r="BD74" s="21">
        <f>IF(AND(BA74=1,AY74="Confirmed"),AT74*10000000+AU74*1000+ROW(),"")</f>
        <v/>
      </c>
      <c r="BE74" s="21">
        <f>IF(IFERROR(TRIM(INDEX($A74:$AL74,MATCH(Lists!$F$2,$A$1:$AL$1,0))&amp;""),"")="","",IFERROR(TRIM(INDEX($A74:$AL74,MATCH(Lists!$F$11,$A$1:$AL$1,0))&amp;""),""))</f>
        <v/>
      </c>
      <c r="BF74" s="21">
        <f>IF(IFERROR(TRIM(INDEX($A74:$AL74,MATCH(Lists!$F$2,$A$1:$AL$1,0))&amp;""),"")="","",IFERROR(TRIM(INDEX($A74:$AL74,MATCH(Lists!$F$12,$A$1:$AL$1,0))&amp;""),""))</f>
        <v/>
      </c>
    </row>
    <row r="75">
      <c r="AM75" s="19" t="n"/>
      <c r="AN75" s="23" t="n"/>
      <c r="AO75" s="23" t="n"/>
      <c r="AP75" s="23" t="n"/>
      <c r="AQ75" s="23" t="n"/>
      <c r="AR75" s="19" t="n"/>
      <c r="AS75" s="21">
        <f>IF(IFERROR(TRIM(INDEX($A75:$AL75,MATCH(Lists!$F$2,$A$1:$AL$1,0))&amp;""),"")="","",IF(AND(IFERROR(TRIM(INDEX($A75:$AL75,MATCH(Lists!$F$3,$A$1:$AL$1,0))&amp;""),"")="Other",IFERROR(TRIM(INDEX($A75:$AL75,MATCH(Lists!$F$4,$A$1:$AL$1,0))&amp;""),"")&lt;&gt;""),IFERROR(TRIM(INDEX($A75:$AL75,MATCH(Lists!$F$4,$A$1:$AL$1,0))&amp;""),""),IF(IFERROR(TRIM(INDEX($A75:$AL75,MATCH(Lists!$F$3,$A$1:$AL$1,0))&amp;""),"")="","(no space)",IFERROR(TRIM(INDEX($A75:$AL75,MATCH(Lists!$F$3,$A$1:$AL$1,0))&amp;""),""))))</f>
        <v/>
      </c>
      <c r="AT75" s="22">
        <f>IF(IFERROR(TRIM(INDEX($A75:$AL75,MATCH(Lists!$F$2,$A$1:$AL$1,0))&amp;""),"")="",0,N(IFERROR(IF(TRIM(INDEX($A75:$AL75,MATCH(Lists!$F$5,$A$1:$AL$1,0))&amp;"")="","",IF(ISNUMBER(INDEX($A75:$AL75,MATCH(Lists!$F$5,$A$1:$AL$1,0))),INT(INDEX($A75:$AL75,MATCH(Lists!$F$5,$A$1:$AL$1,0))),DATE(VALUE(LEFT(INDEX($A75:$AL75,MATCH(Lists!$F$5,$A$1:$AL$1,0)),4)),VALUE(MID(INDEX($A75:$AL75,MATCH(Lists!$F$5,$A$1:$AL$1,0)),6,2)),VALUE(MID(INDEX($A75:$AL75,MATCH(Lists!$F$5,$A$1:$AL$1,0)),9,2))))),"")))</f>
        <v/>
      </c>
      <c r="AU75" s="21">
        <f>IF(IFERROR(TRIM(INDEX($A75:$AL75,MATCH(Lists!$F$2,$A$1:$AL$1,0))&amp;""),"")="",-1,IF(ISNUMBER(IFERROR(IF(TRIM(INDEX($A75:$AL75,MATCH(Lists!$F$6,$A$1:$AL$1,0))&amp;"")="","",IF(ISNUMBER(INDEX($A75:$AL75,MATCH(Lists!$F$6,$A$1:$AL$1,0))),ROUND(MOD(INDEX($A75:$AL75,MATCH(Lists!$F$6,$A$1:$AL$1,0)),1)*1440,0),VALUE(LEFT(INDEX($A75:$AL75,MATCH(Lists!$F$6,$A$1:$AL$1,0)),2))*60+VALUE(MID(INDEX($A75:$AL75,MATCH(Lists!$F$6,$A$1:$AL$1,0)),4,2)))),"")),IFERROR(IF(TRIM(INDEX($A75:$AL75,MATCH(Lists!$F$6,$A$1:$AL$1,0))&amp;"")="","",IF(ISNUMBER(INDEX($A75:$AL75,MATCH(Lists!$F$6,$A$1:$AL$1,0))),ROUND(MOD(INDEX($A75:$AL75,MATCH(Lists!$F$6,$A$1:$AL$1,0)),1)*1440,0),VALUE(LEFT(INDEX($A75:$AL75,MATCH(Lists!$F$6,$A$1:$AL$1,0)),2))*60+VALUE(MID(INDEX($A75:$AL75,MATCH(Lists!$F$6,$A$1:$AL$1,0)),4,2)))),""),-1))</f>
        <v/>
      </c>
      <c r="AV75" s="21">
        <f>IF(IFERROR(TRIM(INDEX($A75:$AL75,MATCH(Lists!$F$2,$A$1:$AL$1,0))&amp;""),"")="",-1,IF(ISNUMBER(IFERROR(IF(TRIM(INDEX($A75:$AL75,MATCH(Lists!$F$7,$A$1:$AL$1,0))&amp;"")="","",IF(ISNUMBER(INDEX($A75:$AL75,MATCH(Lists!$F$7,$A$1:$AL$1,0))),ROUND(MOD(INDEX($A75:$AL75,MATCH(Lists!$F$7,$A$1:$AL$1,0)),1)*1440,0),VALUE(LEFT(INDEX($A75:$AL75,MATCH(Lists!$F$7,$A$1:$AL$1,0)),2))*60+VALUE(MID(INDEX($A75:$AL75,MATCH(Lists!$F$7,$A$1:$AL$1,0)),4,2)))),"")),IFERROR(IF(TRIM(INDEX($A75:$AL75,MATCH(Lists!$F$7,$A$1:$AL$1,0))&amp;"")="","",IF(ISNUMBER(INDEX($A75:$AL75,MATCH(Lists!$F$7,$A$1:$AL$1,0))),ROUND(MOD(INDEX($A75:$AL75,MATCH(Lists!$F$7,$A$1:$AL$1,0)),1)*1440,0),VALUE(LEFT(INDEX($A75:$AL75,MATCH(Lists!$F$7,$A$1:$AL$1,0)),2))*60+VALUE(MID(INDEX($A75:$AL75,MATCH(Lists!$F$7,$A$1:$AL$1,0)),4,2)))),""),-1))</f>
        <v/>
      </c>
      <c r="AW75" s="21">
        <f>IF(IFERROR(TRIM(INDEX($A75:$AL75,MATCH(Lists!$F$2,$A$1:$AL$1,0))&amp;""),"")="","",IF(IFERROR(TRIM(INDEX($A75:$AL75,MATCH(Lists!$F$8,$A$1:$AL$1,0))&amp;""),"")&lt;&gt;"",IFERROR(TRIM(INDEX($A75:$AL75,MATCH(Lists!$F$8,$A$1:$AL$1,0))&amp;""),""),IFERROR(TRIM(INDEX($A75:$AL75,MATCH(Lists!$F$9,$A$1:$AL$1,0))&amp;""),"")))</f>
        <v/>
      </c>
      <c r="AX75" s="21">
        <f>IFERROR(IF(TRIM(INDEX($A75:$AL75,MATCH(Lists!$F$10,$A$1:$AL$1,0))&amp;"")="","",VALUE(TRIM(INDEX($A75:$AL75,MATCH(Lists!$F$10,$A$1:$AL$1,0))&amp;""))),"")</f>
        <v/>
      </c>
      <c r="AY75" s="21">
        <f>IF(IFERROR(TRIM(INDEX($A75:$AL75,MATCH(Lists!$F$2,$A$1:$AL$1,0))&amp;""),"")="","",IF(AN75="","New",AN75))</f>
        <v/>
      </c>
      <c r="AZ75" s="21">
        <f>IF(IFERROR(TRIM(INDEX($A75:$AL75,MATCH(Lists!$F$2,$A$1:$AL$1,0))&amp;""),"")="","",IF(OR(IFERROR(TRIM(INDEX($A75:$AL75,MATCH(Lists!$F$13,$A$1:$AL$1,0))&amp;""),"")="Paid",IFERROR(TRIM(INDEX($A75:$AL75,MATCH(Lists!$F$13,$A$1:$AL$1,0))&amp;""),"")="Partially refunded"),"Paid",IF(AP75="Yes","Paid (by hand)",IFERROR(TRIM(INDEX($A75:$AL75,MATCH(Lists!$F$13,$A$1:$AL$1,0))&amp;""),""))))</f>
        <v/>
      </c>
      <c r="BA75" s="21">
        <f>IF(AND(IFERROR(TRIM(INDEX($A75:$AL75,MATCH(Lists!$F$2,$A$1:$AL$1,0))&amp;""),"")&lt;&gt;"",AT75&gt;0,AU75&gt;=0,AV75&gt;AU75,AY75&lt;&gt;"Declined"),1,0)</f>
        <v/>
      </c>
      <c r="BB75" s="21">
        <f>IF(BA75=1,COUNTIFS($AS$2:$AS$501,AS75,$AT$2:$AT$501,AT75,$AU$2:$AU$501,"&lt;"&amp;AV75,$AV$2:$AV$501,"&gt;"&amp;AU75,$BA$2:$BA$501,1)-1,"")</f>
        <v/>
      </c>
      <c r="BC75" s="21">
        <f>IF(N(BB75)&gt;0,"Clashes with "&amp;INDEX($AW$2:$AW$501,SUMPRODUCT(MAX(($AS$2:$AS$501=AS75)*($AT$2:$AT$501=AT75)*($AU$2:$AU$501&lt;AV75)*($AV$2:$AV$501&gt;AU75)*($BA$2:$BA$501=1)*(ROW($AS$2:$AS$501)&lt;&gt;ROW())*ROW($AS$2:$AS$501)))-1)&amp;" ("&amp;INDEX($AY$2:$AY$501,SUMPRODUCT(MAX(($AS$2:$AS$501=AS75)*($AT$2:$AT$501=AT75)*($AU$2:$AU$501&lt;AV75)*($AV$2:$AV$501&gt;AU75)*($BA$2:$BA$501=1)*(ROW($AS$2:$AS$501)&lt;&gt;ROW())*ROW($AS$2:$AS$501)))-1)&amp;")"&amp;IF(BB75&gt;1," and "&amp;(BB75-1)&amp;" more",""),"")</f>
        <v/>
      </c>
      <c r="BD75" s="21">
        <f>IF(AND(BA75=1,AY75="Confirmed"),AT75*10000000+AU75*1000+ROW(),"")</f>
        <v/>
      </c>
      <c r="BE75" s="21">
        <f>IF(IFERROR(TRIM(INDEX($A75:$AL75,MATCH(Lists!$F$2,$A$1:$AL$1,0))&amp;""),"")="","",IFERROR(TRIM(INDEX($A75:$AL75,MATCH(Lists!$F$11,$A$1:$AL$1,0))&amp;""),""))</f>
        <v/>
      </c>
      <c r="BF75" s="21">
        <f>IF(IFERROR(TRIM(INDEX($A75:$AL75,MATCH(Lists!$F$2,$A$1:$AL$1,0))&amp;""),"")="","",IFERROR(TRIM(INDEX($A75:$AL75,MATCH(Lists!$F$12,$A$1:$AL$1,0))&amp;""),""))</f>
        <v/>
      </c>
    </row>
    <row r="76">
      <c r="AM76" s="19" t="n"/>
      <c r="AN76" s="23" t="n"/>
      <c r="AO76" s="23" t="n"/>
      <c r="AP76" s="23" t="n"/>
      <c r="AQ76" s="23" t="n"/>
      <c r="AR76" s="19" t="n"/>
      <c r="AS76" s="21">
        <f>IF(IFERROR(TRIM(INDEX($A76:$AL76,MATCH(Lists!$F$2,$A$1:$AL$1,0))&amp;""),"")="","",IF(AND(IFERROR(TRIM(INDEX($A76:$AL76,MATCH(Lists!$F$3,$A$1:$AL$1,0))&amp;""),"")="Other",IFERROR(TRIM(INDEX($A76:$AL76,MATCH(Lists!$F$4,$A$1:$AL$1,0))&amp;""),"")&lt;&gt;""),IFERROR(TRIM(INDEX($A76:$AL76,MATCH(Lists!$F$4,$A$1:$AL$1,0))&amp;""),""),IF(IFERROR(TRIM(INDEX($A76:$AL76,MATCH(Lists!$F$3,$A$1:$AL$1,0))&amp;""),"")="","(no space)",IFERROR(TRIM(INDEX($A76:$AL76,MATCH(Lists!$F$3,$A$1:$AL$1,0))&amp;""),""))))</f>
        <v/>
      </c>
      <c r="AT76" s="22">
        <f>IF(IFERROR(TRIM(INDEX($A76:$AL76,MATCH(Lists!$F$2,$A$1:$AL$1,0))&amp;""),"")="",0,N(IFERROR(IF(TRIM(INDEX($A76:$AL76,MATCH(Lists!$F$5,$A$1:$AL$1,0))&amp;"")="","",IF(ISNUMBER(INDEX($A76:$AL76,MATCH(Lists!$F$5,$A$1:$AL$1,0))),INT(INDEX($A76:$AL76,MATCH(Lists!$F$5,$A$1:$AL$1,0))),DATE(VALUE(LEFT(INDEX($A76:$AL76,MATCH(Lists!$F$5,$A$1:$AL$1,0)),4)),VALUE(MID(INDEX($A76:$AL76,MATCH(Lists!$F$5,$A$1:$AL$1,0)),6,2)),VALUE(MID(INDEX($A76:$AL76,MATCH(Lists!$F$5,$A$1:$AL$1,0)),9,2))))),"")))</f>
        <v/>
      </c>
      <c r="AU76" s="21">
        <f>IF(IFERROR(TRIM(INDEX($A76:$AL76,MATCH(Lists!$F$2,$A$1:$AL$1,0))&amp;""),"")="",-1,IF(ISNUMBER(IFERROR(IF(TRIM(INDEX($A76:$AL76,MATCH(Lists!$F$6,$A$1:$AL$1,0))&amp;"")="","",IF(ISNUMBER(INDEX($A76:$AL76,MATCH(Lists!$F$6,$A$1:$AL$1,0))),ROUND(MOD(INDEX($A76:$AL76,MATCH(Lists!$F$6,$A$1:$AL$1,0)),1)*1440,0),VALUE(LEFT(INDEX($A76:$AL76,MATCH(Lists!$F$6,$A$1:$AL$1,0)),2))*60+VALUE(MID(INDEX($A76:$AL76,MATCH(Lists!$F$6,$A$1:$AL$1,0)),4,2)))),"")),IFERROR(IF(TRIM(INDEX($A76:$AL76,MATCH(Lists!$F$6,$A$1:$AL$1,0))&amp;"")="","",IF(ISNUMBER(INDEX($A76:$AL76,MATCH(Lists!$F$6,$A$1:$AL$1,0))),ROUND(MOD(INDEX($A76:$AL76,MATCH(Lists!$F$6,$A$1:$AL$1,0)),1)*1440,0),VALUE(LEFT(INDEX($A76:$AL76,MATCH(Lists!$F$6,$A$1:$AL$1,0)),2))*60+VALUE(MID(INDEX($A76:$AL76,MATCH(Lists!$F$6,$A$1:$AL$1,0)),4,2)))),""),-1))</f>
        <v/>
      </c>
      <c r="AV76" s="21">
        <f>IF(IFERROR(TRIM(INDEX($A76:$AL76,MATCH(Lists!$F$2,$A$1:$AL$1,0))&amp;""),"")="",-1,IF(ISNUMBER(IFERROR(IF(TRIM(INDEX($A76:$AL76,MATCH(Lists!$F$7,$A$1:$AL$1,0))&amp;"")="","",IF(ISNUMBER(INDEX($A76:$AL76,MATCH(Lists!$F$7,$A$1:$AL$1,0))),ROUND(MOD(INDEX($A76:$AL76,MATCH(Lists!$F$7,$A$1:$AL$1,0)),1)*1440,0),VALUE(LEFT(INDEX($A76:$AL76,MATCH(Lists!$F$7,$A$1:$AL$1,0)),2))*60+VALUE(MID(INDEX($A76:$AL76,MATCH(Lists!$F$7,$A$1:$AL$1,0)),4,2)))),"")),IFERROR(IF(TRIM(INDEX($A76:$AL76,MATCH(Lists!$F$7,$A$1:$AL$1,0))&amp;"")="","",IF(ISNUMBER(INDEX($A76:$AL76,MATCH(Lists!$F$7,$A$1:$AL$1,0))),ROUND(MOD(INDEX($A76:$AL76,MATCH(Lists!$F$7,$A$1:$AL$1,0)),1)*1440,0),VALUE(LEFT(INDEX($A76:$AL76,MATCH(Lists!$F$7,$A$1:$AL$1,0)),2))*60+VALUE(MID(INDEX($A76:$AL76,MATCH(Lists!$F$7,$A$1:$AL$1,0)),4,2)))),""),-1))</f>
        <v/>
      </c>
      <c r="AW76" s="21">
        <f>IF(IFERROR(TRIM(INDEX($A76:$AL76,MATCH(Lists!$F$2,$A$1:$AL$1,0))&amp;""),"")="","",IF(IFERROR(TRIM(INDEX($A76:$AL76,MATCH(Lists!$F$8,$A$1:$AL$1,0))&amp;""),"")&lt;&gt;"",IFERROR(TRIM(INDEX($A76:$AL76,MATCH(Lists!$F$8,$A$1:$AL$1,0))&amp;""),""),IFERROR(TRIM(INDEX($A76:$AL76,MATCH(Lists!$F$9,$A$1:$AL$1,0))&amp;""),"")))</f>
        <v/>
      </c>
      <c r="AX76" s="21">
        <f>IFERROR(IF(TRIM(INDEX($A76:$AL76,MATCH(Lists!$F$10,$A$1:$AL$1,0))&amp;"")="","",VALUE(TRIM(INDEX($A76:$AL76,MATCH(Lists!$F$10,$A$1:$AL$1,0))&amp;""))),"")</f>
        <v/>
      </c>
      <c r="AY76" s="21">
        <f>IF(IFERROR(TRIM(INDEX($A76:$AL76,MATCH(Lists!$F$2,$A$1:$AL$1,0))&amp;""),"")="","",IF(AN76="","New",AN76))</f>
        <v/>
      </c>
      <c r="AZ76" s="21">
        <f>IF(IFERROR(TRIM(INDEX($A76:$AL76,MATCH(Lists!$F$2,$A$1:$AL$1,0))&amp;""),"")="","",IF(OR(IFERROR(TRIM(INDEX($A76:$AL76,MATCH(Lists!$F$13,$A$1:$AL$1,0))&amp;""),"")="Paid",IFERROR(TRIM(INDEX($A76:$AL76,MATCH(Lists!$F$13,$A$1:$AL$1,0))&amp;""),"")="Partially refunded"),"Paid",IF(AP76="Yes","Paid (by hand)",IFERROR(TRIM(INDEX($A76:$AL76,MATCH(Lists!$F$13,$A$1:$AL$1,0))&amp;""),""))))</f>
        <v/>
      </c>
      <c r="BA76" s="21">
        <f>IF(AND(IFERROR(TRIM(INDEX($A76:$AL76,MATCH(Lists!$F$2,$A$1:$AL$1,0))&amp;""),"")&lt;&gt;"",AT76&gt;0,AU76&gt;=0,AV76&gt;AU76,AY76&lt;&gt;"Declined"),1,0)</f>
        <v/>
      </c>
      <c r="BB76" s="21">
        <f>IF(BA76=1,COUNTIFS($AS$2:$AS$501,AS76,$AT$2:$AT$501,AT76,$AU$2:$AU$501,"&lt;"&amp;AV76,$AV$2:$AV$501,"&gt;"&amp;AU76,$BA$2:$BA$501,1)-1,"")</f>
        <v/>
      </c>
      <c r="BC76" s="21">
        <f>IF(N(BB76)&gt;0,"Clashes with "&amp;INDEX($AW$2:$AW$501,SUMPRODUCT(MAX(($AS$2:$AS$501=AS76)*($AT$2:$AT$501=AT76)*($AU$2:$AU$501&lt;AV76)*($AV$2:$AV$501&gt;AU76)*($BA$2:$BA$501=1)*(ROW($AS$2:$AS$501)&lt;&gt;ROW())*ROW($AS$2:$AS$501)))-1)&amp;" ("&amp;INDEX($AY$2:$AY$501,SUMPRODUCT(MAX(($AS$2:$AS$501=AS76)*($AT$2:$AT$501=AT76)*($AU$2:$AU$501&lt;AV76)*($AV$2:$AV$501&gt;AU76)*($BA$2:$BA$501=1)*(ROW($AS$2:$AS$501)&lt;&gt;ROW())*ROW($AS$2:$AS$501)))-1)&amp;")"&amp;IF(BB76&gt;1," and "&amp;(BB76-1)&amp;" more",""),"")</f>
        <v/>
      </c>
      <c r="BD76" s="21">
        <f>IF(AND(BA76=1,AY76="Confirmed"),AT76*10000000+AU76*1000+ROW(),"")</f>
        <v/>
      </c>
      <c r="BE76" s="21">
        <f>IF(IFERROR(TRIM(INDEX($A76:$AL76,MATCH(Lists!$F$2,$A$1:$AL$1,0))&amp;""),"")="","",IFERROR(TRIM(INDEX($A76:$AL76,MATCH(Lists!$F$11,$A$1:$AL$1,0))&amp;""),""))</f>
        <v/>
      </c>
      <c r="BF76" s="21">
        <f>IF(IFERROR(TRIM(INDEX($A76:$AL76,MATCH(Lists!$F$2,$A$1:$AL$1,0))&amp;""),"")="","",IFERROR(TRIM(INDEX($A76:$AL76,MATCH(Lists!$F$12,$A$1:$AL$1,0))&amp;""),""))</f>
        <v/>
      </c>
    </row>
    <row r="77">
      <c r="AM77" s="19" t="n"/>
      <c r="AN77" s="23" t="n"/>
      <c r="AO77" s="23" t="n"/>
      <c r="AP77" s="23" t="n"/>
      <c r="AQ77" s="23" t="n"/>
      <c r="AR77" s="19" t="n"/>
      <c r="AS77" s="21">
        <f>IF(IFERROR(TRIM(INDEX($A77:$AL77,MATCH(Lists!$F$2,$A$1:$AL$1,0))&amp;""),"")="","",IF(AND(IFERROR(TRIM(INDEX($A77:$AL77,MATCH(Lists!$F$3,$A$1:$AL$1,0))&amp;""),"")="Other",IFERROR(TRIM(INDEX($A77:$AL77,MATCH(Lists!$F$4,$A$1:$AL$1,0))&amp;""),"")&lt;&gt;""),IFERROR(TRIM(INDEX($A77:$AL77,MATCH(Lists!$F$4,$A$1:$AL$1,0))&amp;""),""),IF(IFERROR(TRIM(INDEX($A77:$AL77,MATCH(Lists!$F$3,$A$1:$AL$1,0))&amp;""),"")="","(no space)",IFERROR(TRIM(INDEX($A77:$AL77,MATCH(Lists!$F$3,$A$1:$AL$1,0))&amp;""),""))))</f>
        <v/>
      </c>
      <c r="AT77" s="22">
        <f>IF(IFERROR(TRIM(INDEX($A77:$AL77,MATCH(Lists!$F$2,$A$1:$AL$1,0))&amp;""),"")="",0,N(IFERROR(IF(TRIM(INDEX($A77:$AL77,MATCH(Lists!$F$5,$A$1:$AL$1,0))&amp;"")="","",IF(ISNUMBER(INDEX($A77:$AL77,MATCH(Lists!$F$5,$A$1:$AL$1,0))),INT(INDEX($A77:$AL77,MATCH(Lists!$F$5,$A$1:$AL$1,0))),DATE(VALUE(LEFT(INDEX($A77:$AL77,MATCH(Lists!$F$5,$A$1:$AL$1,0)),4)),VALUE(MID(INDEX($A77:$AL77,MATCH(Lists!$F$5,$A$1:$AL$1,0)),6,2)),VALUE(MID(INDEX($A77:$AL77,MATCH(Lists!$F$5,$A$1:$AL$1,0)),9,2))))),"")))</f>
        <v/>
      </c>
      <c r="AU77" s="21">
        <f>IF(IFERROR(TRIM(INDEX($A77:$AL77,MATCH(Lists!$F$2,$A$1:$AL$1,0))&amp;""),"")="",-1,IF(ISNUMBER(IFERROR(IF(TRIM(INDEX($A77:$AL77,MATCH(Lists!$F$6,$A$1:$AL$1,0))&amp;"")="","",IF(ISNUMBER(INDEX($A77:$AL77,MATCH(Lists!$F$6,$A$1:$AL$1,0))),ROUND(MOD(INDEX($A77:$AL77,MATCH(Lists!$F$6,$A$1:$AL$1,0)),1)*1440,0),VALUE(LEFT(INDEX($A77:$AL77,MATCH(Lists!$F$6,$A$1:$AL$1,0)),2))*60+VALUE(MID(INDEX($A77:$AL77,MATCH(Lists!$F$6,$A$1:$AL$1,0)),4,2)))),"")),IFERROR(IF(TRIM(INDEX($A77:$AL77,MATCH(Lists!$F$6,$A$1:$AL$1,0))&amp;"")="","",IF(ISNUMBER(INDEX($A77:$AL77,MATCH(Lists!$F$6,$A$1:$AL$1,0))),ROUND(MOD(INDEX($A77:$AL77,MATCH(Lists!$F$6,$A$1:$AL$1,0)),1)*1440,0),VALUE(LEFT(INDEX($A77:$AL77,MATCH(Lists!$F$6,$A$1:$AL$1,0)),2))*60+VALUE(MID(INDEX($A77:$AL77,MATCH(Lists!$F$6,$A$1:$AL$1,0)),4,2)))),""),-1))</f>
        <v/>
      </c>
      <c r="AV77" s="21">
        <f>IF(IFERROR(TRIM(INDEX($A77:$AL77,MATCH(Lists!$F$2,$A$1:$AL$1,0))&amp;""),"")="",-1,IF(ISNUMBER(IFERROR(IF(TRIM(INDEX($A77:$AL77,MATCH(Lists!$F$7,$A$1:$AL$1,0))&amp;"")="","",IF(ISNUMBER(INDEX($A77:$AL77,MATCH(Lists!$F$7,$A$1:$AL$1,0))),ROUND(MOD(INDEX($A77:$AL77,MATCH(Lists!$F$7,$A$1:$AL$1,0)),1)*1440,0),VALUE(LEFT(INDEX($A77:$AL77,MATCH(Lists!$F$7,$A$1:$AL$1,0)),2))*60+VALUE(MID(INDEX($A77:$AL77,MATCH(Lists!$F$7,$A$1:$AL$1,0)),4,2)))),"")),IFERROR(IF(TRIM(INDEX($A77:$AL77,MATCH(Lists!$F$7,$A$1:$AL$1,0))&amp;"")="","",IF(ISNUMBER(INDEX($A77:$AL77,MATCH(Lists!$F$7,$A$1:$AL$1,0))),ROUND(MOD(INDEX($A77:$AL77,MATCH(Lists!$F$7,$A$1:$AL$1,0)),1)*1440,0),VALUE(LEFT(INDEX($A77:$AL77,MATCH(Lists!$F$7,$A$1:$AL$1,0)),2))*60+VALUE(MID(INDEX($A77:$AL77,MATCH(Lists!$F$7,$A$1:$AL$1,0)),4,2)))),""),-1))</f>
        <v/>
      </c>
      <c r="AW77" s="21">
        <f>IF(IFERROR(TRIM(INDEX($A77:$AL77,MATCH(Lists!$F$2,$A$1:$AL$1,0))&amp;""),"")="","",IF(IFERROR(TRIM(INDEX($A77:$AL77,MATCH(Lists!$F$8,$A$1:$AL$1,0))&amp;""),"")&lt;&gt;"",IFERROR(TRIM(INDEX($A77:$AL77,MATCH(Lists!$F$8,$A$1:$AL$1,0))&amp;""),""),IFERROR(TRIM(INDEX($A77:$AL77,MATCH(Lists!$F$9,$A$1:$AL$1,0))&amp;""),"")))</f>
        <v/>
      </c>
      <c r="AX77" s="21">
        <f>IFERROR(IF(TRIM(INDEX($A77:$AL77,MATCH(Lists!$F$10,$A$1:$AL$1,0))&amp;"")="","",VALUE(TRIM(INDEX($A77:$AL77,MATCH(Lists!$F$10,$A$1:$AL$1,0))&amp;""))),"")</f>
        <v/>
      </c>
      <c r="AY77" s="21">
        <f>IF(IFERROR(TRIM(INDEX($A77:$AL77,MATCH(Lists!$F$2,$A$1:$AL$1,0))&amp;""),"")="","",IF(AN77="","New",AN77))</f>
        <v/>
      </c>
      <c r="AZ77" s="21">
        <f>IF(IFERROR(TRIM(INDEX($A77:$AL77,MATCH(Lists!$F$2,$A$1:$AL$1,0))&amp;""),"")="","",IF(OR(IFERROR(TRIM(INDEX($A77:$AL77,MATCH(Lists!$F$13,$A$1:$AL$1,0))&amp;""),"")="Paid",IFERROR(TRIM(INDEX($A77:$AL77,MATCH(Lists!$F$13,$A$1:$AL$1,0))&amp;""),"")="Partially refunded"),"Paid",IF(AP77="Yes","Paid (by hand)",IFERROR(TRIM(INDEX($A77:$AL77,MATCH(Lists!$F$13,$A$1:$AL$1,0))&amp;""),""))))</f>
        <v/>
      </c>
      <c r="BA77" s="21">
        <f>IF(AND(IFERROR(TRIM(INDEX($A77:$AL77,MATCH(Lists!$F$2,$A$1:$AL$1,0))&amp;""),"")&lt;&gt;"",AT77&gt;0,AU77&gt;=0,AV77&gt;AU77,AY77&lt;&gt;"Declined"),1,0)</f>
        <v/>
      </c>
      <c r="BB77" s="21">
        <f>IF(BA77=1,COUNTIFS($AS$2:$AS$501,AS77,$AT$2:$AT$501,AT77,$AU$2:$AU$501,"&lt;"&amp;AV77,$AV$2:$AV$501,"&gt;"&amp;AU77,$BA$2:$BA$501,1)-1,"")</f>
        <v/>
      </c>
      <c r="BC77" s="21">
        <f>IF(N(BB77)&gt;0,"Clashes with "&amp;INDEX($AW$2:$AW$501,SUMPRODUCT(MAX(($AS$2:$AS$501=AS77)*($AT$2:$AT$501=AT77)*($AU$2:$AU$501&lt;AV77)*($AV$2:$AV$501&gt;AU77)*($BA$2:$BA$501=1)*(ROW($AS$2:$AS$501)&lt;&gt;ROW())*ROW($AS$2:$AS$501)))-1)&amp;" ("&amp;INDEX($AY$2:$AY$501,SUMPRODUCT(MAX(($AS$2:$AS$501=AS77)*($AT$2:$AT$501=AT77)*($AU$2:$AU$501&lt;AV77)*($AV$2:$AV$501&gt;AU77)*($BA$2:$BA$501=1)*(ROW($AS$2:$AS$501)&lt;&gt;ROW())*ROW($AS$2:$AS$501)))-1)&amp;")"&amp;IF(BB77&gt;1," and "&amp;(BB77-1)&amp;" more",""),"")</f>
        <v/>
      </c>
      <c r="BD77" s="21">
        <f>IF(AND(BA77=1,AY77="Confirmed"),AT77*10000000+AU77*1000+ROW(),"")</f>
        <v/>
      </c>
      <c r="BE77" s="21">
        <f>IF(IFERROR(TRIM(INDEX($A77:$AL77,MATCH(Lists!$F$2,$A$1:$AL$1,0))&amp;""),"")="","",IFERROR(TRIM(INDEX($A77:$AL77,MATCH(Lists!$F$11,$A$1:$AL$1,0))&amp;""),""))</f>
        <v/>
      </c>
      <c r="BF77" s="21">
        <f>IF(IFERROR(TRIM(INDEX($A77:$AL77,MATCH(Lists!$F$2,$A$1:$AL$1,0))&amp;""),"")="","",IFERROR(TRIM(INDEX($A77:$AL77,MATCH(Lists!$F$12,$A$1:$AL$1,0))&amp;""),""))</f>
        <v/>
      </c>
    </row>
    <row r="78">
      <c r="AM78" s="19" t="n"/>
      <c r="AN78" s="23" t="n"/>
      <c r="AO78" s="23" t="n"/>
      <c r="AP78" s="23" t="n"/>
      <c r="AQ78" s="23" t="n"/>
      <c r="AR78" s="19" t="n"/>
      <c r="AS78" s="21">
        <f>IF(IFERROR(TRIM(INDEX($A78:$AL78,MATCH(Lists!$F$2,$A$1:$AL$1,0))&amp;""),"")="","",IF(AND(IFERROR(TRIM(INDEX($A78:$AL78,MATCH(Lists!$F$3,$A$1:$AL$1,0))&amp;""),"")="Other",IFERROR(TRIM(INDEX($A78:$AL78,MATCH(Lists!$F$4,$A$1:$AL$1,0))&amp;""),"")&lt;&gt;""),IFERROR(TRIM(INDEX($A78:$AL78,MATCH(Lists!$F$4,$A$1:$AL$1,0))&amp;""),""),IF(IFERROR(TRIM(INDEX($A78:$AL78,MATCH(Lists!$F$3,$A$1:$AL$1,0))&amp;""),"")="","(no space)",IFERROR(TRIM(INDEX($A78:$AL78,MATCH(Lists!$F$3,$A$1:$AL$1,0))&amp;""),""))))</f>
        <v/>
      </c>
      <c r="AT78" s="22">
        <f>IF(IFERROR(TRIM(INDEX($A78:$AL78,MATCH(Lists!$F$2,$A$1:$AL$1,0))&amp;""),"")="",0,N(IFERROR(IF(TRIM(INDEX($A78:$AL78,MATCH(Lists!$F$5,$A$1:$AL$1,0))&amp;"")="","",IF(ISNUMBER(INDEX($A78:$AL78,MATCH(Lists!$F$5,$A$1:$AL$1,0))),INT(INDEX($A78:$AL78,MATCH(Lists!$F$5,$A$1:$AL$1,0))),DATE(VALUE(LEFT(INDEX($A78:$AL78,MATCH(Lists!$F$5,$A$1:$AL$1,0)),4)),VALUE(MID(INDEX($A78:$AL78,MATCH(Lists!$F$5,$A$1:$AL$1,0)),6,2)),VALUE(MID(INDEX($A78:$AL78,MATCH(Lists!$F$5,$A$1:$AL$1,0)),9,2))))),"")))</f>
        <v/>
      </c>
      <c r="AU78" s="21">
        <f>IF(IFERROR(TRIM(INDEX($A78:$AL78,MATCH(Lists!$F$2,$A$1:$AL$1,0))&amp;""),"")="",-1,IF(ISNUMBER(IFERROR(IF(TRIM(INDEX($A78:$AL78,MATCH(Lists!$F$6,$A$1:$AL$1,0))&amp;"")="","",IF(ISNUMBER(INDEX($A78:$AL78,MATCH(Lists!$F$6,$A$1:$AL$1,0))),ROUND(MOD(INDEX($A78:$AL78,MATCH(Lists!$F$6,$A$1:$AL$1,0)),1)*1440,0),VALUE(LEFT(INDEX($A78:$AL78,MATCH(Lists!$F$6,$A$1:$AL$1,0)),2))*60+VALUE(MID(INDEX($A78:$AL78,MATCH(Lists!$F$6,$A$1:$AL$1,0)),4,2)))),"")),IFERROR(IF(TRIM(INDEX($A78:$AL78,MATCH(Lists!$F$6,$A$1:$AL$1,0))&amp;"")="","",IF(ISNUMBER(INDEX($A78:$AL78,MATCH(Lists!$F$6,$A$1:$AL$1,0))),ROUND(MOD(INDEX($A78:$AL78,MATCH(Lists!$F$6,$A$1:$AL$1,0)),1)*1440,0),VALUE(LEFT(INDEX($A78:$AL78,MATCH(Lists!$F$6,$A$1:$AL$1,0)),2))*60+VALUE(MID(INDEX($A78:$AL78,MATCH(Lists!$F$6,$A$1:$AL$1,0)),4,2)))),""),-1))</f>
        <v/>
      </c>
      <c r="AV78" s="21">
        <f>IF(IFERROR(TRIM(INDEX($A78:$AL78,MATCH(Lists!$F$2,$A$1:$AL$1,0))&amp;""),"")="",-1,IF(ISNUMBER(IFERROR(IF(TRIM(INDEX($A78:$AL78,MATCH(Lists!$F$7,$A$1:$AL$1,0))&amp;"")="","",IF(ISNUMBER(INDEX($A78:$AL78,MATCH(Lists!$F$7,$A$1:$AL$1,0))),ROUND(MOD(INDEX($A78:$AL78,MATCH(Lists!$F$7,$A$1:$AL$1,0)),1)*1440,0),VALUE(LEFT(INDEX($A78:$AL78,MATCH(Lists!$F$7,$A$1:$AL$1,0)),2))*60+VALUE(MID(INDEX($A78:$AL78,MATCH(Lists!$F$7,$A$1:$AL$1,0)),4,2)))),"")),IFERROR(IF(TRIM(INDEX($A78:$AL78,MATCH(Lists!$F$7,$A$1:$AL$1,0))&amp;"")="","",IF(ISNUMBER(INDEX($A78:$AL78,MATCH(Lists!$F$7,$A$1:$AL$1,0))),ROUND(MOD(INDEX($A78:$AL78,MATCH(Lists!$F$7,$A$1:$AL$1,0)),1)*1440,0),VALUE(LEFT(INDEX($A78:$AL78,MATCH(Lists!$F$7,$A$1:$AL$1,0)),2))*60+VALUE(MID(INDEX($A78:$AL78,MATCH(Lists!$F$7,$A$1:$AL$1,0)),4,2)))),""),-1))</f>
        <v/>
      </c>
      <c r="AW78" s="21">
        <f>IF(IFERROR(TRIM(INDEX($A78:$AL78,MATCH(Lists!$F$2,$A$1:$AL$1,0))&amp;""),"")="","",IF(IFERROR(TRIM(INDEX($A78:$AL78,MATCH(Lists!$F$8,$A$1:$AL$1,0))&amp;""),"")&lt;&gt;"",IFERROR(TRIM(INDEX($A78:$AL78,MATCH(Lists!$F$8,$A$1:$AL$1,0))&amp;""),""),IFERROR(TRIM(INDEX($A78:$AL78,MATCH(Lists!$F$9,$A$1:$AL$1,0))&amp;""),"")))</f>
        <v/>
      </c>
      <c r="AX78" s="21">
        <f>IFERROR(IF(TRIM(INDEX($A78:$AL78,MATCH(Lists!$F$10,$A$1:$AL$1,0))&amp;"")="","",VALUE(TRIM(INDEX($A78:$AL78,MATCH(Lists!$F$10,$A$1:$AL$1,0))&amp;""))),"")</f>
        <v/>
      </c>
      <c r="AY78" s="21">
        <f>IF(IFERROR(TRIM(INDEX($A78:$AL78,MATCH(Lists!$F$2,$A$1:$AL$1,0))&amp;""),"")="","",IF(AN78="","New",AN78))</f>
        <v/>
      </c>
      <c r="AZ78" s="21">
        <f>IF(IFERROR(TRIM(INDEX($A78:$AL78,MATCH(Lists!$F$2,$A$1:$AL$1,0))&amp;""),"")="","",IF(OR(IFERROR(TRIM(INDEX($A78:$AL78,MATCH(Lists!$F$13,$A$1:$AL$1,0))&amp;""),"")="Paid",IFERROR(TRIM(INDEX($A78:$AL78,MATCH(Lists!$F$13,$A$1:$AL$1,0))&amp;""),"")="Partially refunded"),"Paid",IF(AP78="Yes","Paid (by hand)",IFERROR(TRIM(INDEX($A78:$AL78,MATCH(Lists!$F$13,$A$1:$AL$1,0))&amp;""),""))))</f>
        <v/>
      </c>
      <c r="BA78" s="21">
        <f>IF(AND(IFERROR(TRIM(INDEX($A78:$AL78,MATCH(Lists!$F$2,$A$1:$AL$1,0))&amp;""),"")&lt;&gt;"",AT78&gt;0,AU78&gt;=0,AV78&gt;AU78,AY78&lt;&gt;"Declined"),1,0)</f>
        <v/>
      </c>
      <c r="BB78" s="21">
        <f>IF(BA78=1,COUNTIFS($AS$2:$AS$501,AS78,$AT$2:$AT$501,AT78,$AU$2:$AU$501,"&lt;"&amp;AV78,$AV$2:$AV$501,"&gt;"&amp;AU78,$BA$2:$BA$501,1)-1,"")</f>
        <v/>
      </c>
      <c r="BC78" s="21">
        <f>IF(N(BB78)&gt;0,"Clashes with "&amp;INDEX($AW$2:$AW$501,SUMPRODUCT(MAX(($AS$2:$AS$501=AS78)*($AT$2:$AT$501=AT78)*($AU$2:$AU$501&lt;AV78)*($AV$2:$AV$501&gt;AU78)*($BA$2:$BA$501=1)*(ROW($AS$2:$AS$501)&lt;&gt;ROW())*ROW($AS$2:$AS$501)))-1)&amp;" ("&amp;INDEX($AY$2:$AY$501,SUMPRODUCT(MAX(($AS$2:$AS$501=AS78)*($AT$2:$AT$501=AT78)*($AU$2:$AU$501&lt;AV78)*($AV$2:$AV$501&gt;AU78)*($BA$2:$BA$501=1)*(ROW($AS$2:$AS$501)&lt;&gt;ROW())*ROW($AS$2:$AS$501)))-1)&amp;")"&amp;IF(BB78&gt;1," and "&amp;(BB78-1)&amp;" more",""),"")</f>
        <v/>
      </c>
      <c r="BD78" s="21">
        <f>IF(AND(BA78=1,AY78="Confirmed"),AT78*10000000+AU78*1000+ROW(),"")</f>
        <v/>
      </c>
      <c r="BE78" s="21">
        <f>IF(IFERROR(TRIM(INDEX($A78:$AL78,MATCH(Lists!$F$2,$A$1:$AL$1,0))&amp;""),"")="","",IFERROR(TRIM(INDEX($A78:$AL78,MATCH(Lists!$F$11,$A$1:$AL$1,0))&amp;""),""))</f>
        <v/>
      </c>
      <c r="BF78" s="21">
        <f>IF(IFERROR(TRIM(INDEX($A78:$AL78,MATCH(Lists!$F$2,$A$1:$AL$1,0))&amp;""),"")="","",IFERROR(TRIM(INDEX($A78:$AL78,MATCH(Lists!$F$12,$A$1:$AL$1,0))&amp;""),""))</f>
        <v/>
      </c>
    </row>
    <row r="79">
      <c r="AM79" s="19" t="n"/>
      <c r="AN79" s="23" t="n"/>
      <c r="AO79" s="23" t="n"/>
      <c r="AP79" s="23" t="n"/>
      <c r="AQ79" s="23" t="n"/>
      <c r="AR79" s="19" t="n"/>
      <c r="AS79" s="21">
        <f>IF(IFERROR(TRIM(INDEX($A79:$AL79,MATCH(Lists!$F$2,$A$1:$AL$1,0))&amp;""),"")="","",IF(AND(IFERROR(TRIM(INDEX($A79:$AL79,MATCH(Lists!$F$3,$A$1:$AL$1,0))&amp;""),"")="Other",IFERROR(TRIM(INDEX($A79:$AL79,MATCH(Lists!$F$4,$A$1:$AL$1,0))&amp;""),"")&lt;&gt;""),IFERROR(TRIM(INDEX($A79:$AL79,MATCH(Lists!$F$4,$A$1:$AL$1,0))&amp;""),""),IF(IFERROR(TRIM(INDEX($A79:$AL79,MATCH(Lists!$F$3,$A$1:$AL$1,0))&amp;""),"")="","(no space)",IFERROR(TRIM(INDEX($A79:$AL79,MATCH(Lists!$F$3,$A$1:$AL$1,0))&amp;""),""))))</f>
        <v/>
      </c>
      <c r="AT79" s="22">
        <f>IF(IFERROR(TRIM(INDEX($A79:$AL79,MATCH(Lists!$F$2,$A$1:$AL$1,0))&amp;""),"")="",0,N(IFERROR(IF(TRIM(INDEX($A79:$AL79,MATCH(Lists!$F$5,$A$1:$AL$1,0))&amp;"")="","",IF(ISNUMBER(INDEX($A79:$AL79,MATCH(Lists!$F$5,$A$1:$AL$1,0))),INT(INDEX($A79:$AL79,MATCH(Lists!$F$5,$A$1:$AL$1,0))),DATE(VALUE(LEFT(INDEX($A79:$AL79,MATCH(Lists!$F$5,$A$1:$AL$1,0)),4)),VALUE(MID(INDEX($A79:$AL79,MATCH(Lists!$F$5,$A$1:$AL$1,0)),6,2)),VALUE(MID(INDEX($A79:$AL79,MATCH(Lists!$F$5,$A$1:$AL$1,0)),9,2))))),"")))</f>
        <v/>
      </c>
      <c r="AU79" s="21">
        <f>IF(IFERROR(TRIM(INDEX($A79:$AL79,MATCH(Lists!$F$2,$A$1:$AL$1,0))&amp;""),"")="",-1,IF(ISNUMBER(IFERROR(IF(TRIM(INDEX($A79:$AL79,MATCH(Lists!$F$6,$A$1:$AL$1,0))&amp;"")="","",IF(ISNUMBER(INDEX($A79:$AL79,MATCH(Lists!$F$6,$A$1:$AL$1,0))),ROUND(MOD(INDEX($A79:$AL79,MATCH(Lists!$F$6,$A$1:$AL$1,0)),1)*1440,0),VALUE(LEFT(INDEX($A79:$AL79,MATCH(Lists!$F$6,$A$1:$AL$1,0)),2))*60+VALUE(MID(INDEX($A79:$AL79,MATCH(Lists!$F$6,$A$1:$AL$1,0)),4,2)))),"")),IFERROR(IF(TRIM(INDEX($A79:$AL79,MATCH(Lists!$F$6,$A$1:$AL$1,0))&amp;"")="","",IF(ISNUMBER(INDEX($A79:$AL79,MATCH(Lists!$F$6,$A$1:$AL$1,0))),ROUND(MOD(INDEX($A79:$AL79,MATCH(Lists!$F$6,$A$1:$AL$1,0)),1)*1440,0),VALUE(LEFT(INDEX($A79:$AL79,MATCH(Lists!$F$6,$A$1:$AL$1,0)),2))*60+VALUE(MID(INDEX($A79:$AL79,MATCH(Lists!$F$6,$A$1:$AL$1,0)),4,2)))),""),-1))</f>
        <v/>
      </c>
      <c r="AV79" s="21">
        <f>IF(IFERROR(TRIM(INDEX($A79:$AL79,MATCH(Lists!$F$2,$A$1:$AL$1,0))&amp;""),"")="",-1,IF(ISNUMBER(IFERROR(IF(TRIM(INDEX($A79:$AL79,MATCH(Lists!$F$7,$A$1:$AL$1,0))&amp;"")="","",IF(ISNUMBER(INDEX($A79:$AL79,MATCH(Lists!$F$7,$A$1:$AL$1,0))),ROUND(MOD(INDEX($A79:$AL79,MATCH(Lists!$F$7,$A$1:$AL$1,0)),1)*1440,0),VALUE(LEFT(INDEX($A79:$AL79,MATCH(Lists!$F$7,$A$1:$AL$1,0)),2))*60+VALUE(MID(INDEX($A79:$AL79,MATCH(Lists!$F$7,$A$1:$AL$1,0)),4,2)))),"")),IFERROR(IF(TRIM(INDEX($A79:$AL79,MATCH(Lists!$F$7,$A$1:$AL$1,0))&amp;"")="","",IF(ISNUMBER(INDEX($A79:$AL79,MATCH(Lists!$F$7,$A$1:$AL$1,0))),ROUND(MOD(INDEX($A79:$AL79,MATCH(Lists!$F$7,$A$1:$AL$1,0)),1)*1440,0),VALUE(LEFT(INDEX($A79:$AL79,MATCH(Lists!$F$7,$A$1:$AL$1,0)),2))*60+VALUE(MID(INDEX($A79:$AL79,MATCH(Lists!$F$7,$A$1:$AL$1,0)),4,2)))),""),-1))</f>
        <v/>
      </c>
      <c r="AW79" s="21">
        <f>IF(IFERROR(TRIM(INDEX($A79:$AL79,MATCH(Lists!$F$2,$A$1:$AL$1,0))&amp;""),"")="","",IF(IFERROR(TRIM(INDEX($A79:$AL79,MATCH(Lists!$F$8,$A$1:$AL$1,0))&amp;""),"")&lt;&gt;"",IFERROR(TRIM(INDEX($A79:$AL79,MATCH(Lists!$F$8,$A$1:$AL$1,0))&amp;""),""),IFERROR(TRIM(INDEX($A79:$AL79,MATCH(Lists!$F$9,$A$1:$AL$1,0))&amp;""),"")))</f>
        <v/>
      </c>
      <c r="AX79" s="21">
        <f>IFERROR(IF(TRIM(INDEX($A79:$AL79,MATCH(Lists!$F$10,$A$1:$AL$1,0))&amp;"")="","",VALUE(TRIM(INDEX($A79:$AL79,MATCH(Lists!$F$10,$A$1:$AL$1,0))&amp;""))),"")</f>
        <v/>
      </c>
      <c r="AY79" s="21">
        <f>IF(IFERROR(TRIM(INDEX($A79:$AL79,MATCH(Lists!$F$2,$A$1:$AL$1,0))&amp;""),"")="","",IF(AN79="","New",AN79))</f>
        <v/>
      </c>
      <c r="AZ79" s="21">
        <f>IF(IFERROR(TRIM(INDEX($A79:$AL79,MATCH(Lists!$F$2,$A$1:$AL$1,0))&amp;""),"")="","",IF(OR(IFERROR(TRIM(INDEX($A79:$AL79,MATCH(Lists!$F$13,$A$1:$AL$1,0))&amp;""),"")="Paid",IFERROR(TRIM(INDEX($A79:$AL79,MATCH(Lists!$F$13,$A$1:$AL$1,0))&amp;""),"")="Partially refunded"),"Paid",IF(AP79="Yes","Paid (by hand)",IFERROR(TRIM(INDEX($A79:$AL79,MATCH(Lists!$F$13,$A$1:$AL$1,0))&amp;""),""))))</f>
        <v/>
      </c>
      <c r="BA79" s="21">
        <f>IF(AND(IFERROR(TRIM(INDEX($A79:$AL79,MATCH(Lists!$F$2,$A$1:$AL$1,0))&amp;""),"")&lt;&gt;"",AT79&gt;0,AU79&gt;=0,AV79&gt;AU79,AY79&lt;&gt;"Declined"),1,0)</f>
        <v/>
      </c>
      <c r="BB79" s="21">
        <f>IF(BA79=1,COUNTIFS($AS$2:$AS$501,AS79,$AT$2:$AT$501,AT79,$AU$2:$AU$501,"&lt;"&amp;AV79,$AV$2:$AV$501,"&gt;"&amp;AU79,$BA$2:$BA$501,1)-1,"")</f>
        <v/>
      </c>
      <c r="BC79" s="21">
        <f>IF(N(BB79)&gt;0,"Clashes with "&amp;INDEX($AW$2:$AW$501,SUMPRODUCT(MAX(($AS$2:$AS$501=AS79)*($AT$2:$AT$501=AT79)*($AU$2:$AU$501&lt;AV79)*($AV$2:$AV$501&gt;AU79)*($BA$2:$BA$501=1)*(ROW($AS$2:$AS$501)&lt;&gt;ROW())*ROW($AS$2:$AS$501)))-1)&amp;" ("&amp;INDEX($AY$2:$AY$501,SUMPRODUCT(MAX(($AS$2:$AS$501=AS79)*($AT$2:$AT$501=AT79)*($AU$2:$AU$501&lt;AV79)*($AV$2:$AV$501&gt;AU79)*($BA$2:$BA$501=1)*(ROW($AS$2:$AS$501)&lt;&gt;ROW())*ROW($AS$2:$AS$501)))-1)&amp;")"&amp;IF(BB79&gt;1," and "&amp;(BB79-1)&amp;" more",""),"")</f>
        <v/>
      </c>
      <c r="BD79" s="21">
        <f>IF(AND(BA79=1,AY79="Confirmed"),AT79*10000000+AU79*1000+ROW(),"")</f>
        <v/>
      </c>
      <c r="BE79" s="21">
        <f>IF(IFERROR(TRIM(INDEX($A79:$AL79,MATCH(Lists!$F$2,$A$1:$AL$1,0))&amp;""),"")="","",IFERROR(TRIM(INDEX($A79:$AL79,MATCH(Lists!$F$11,$A$1:$AL$1,0))&amp;""),""))</f>
        <v/>
      </c>
      <c r="BF79" s="21">
        <f>IF(IFERROR(TRIM(INDEX($A79:$AL79,MATCH(Lists!$F$2,$A$1:$AL$1,0))&amp;""),"")="","",IFERROR(TRIM(INDEX($A79:$AL79,MATCH(Lists!$F$12,$A$1:$AL$1,0))&amp;""),""))</f>
        <v/>
      </c>
    </row>
    <row r="80">
      <c r="AM80" s="19" t="n"/>
      <c r="AN80" s="23" t="n"/>
      <c r="AO80" s="23" t="n"/>
      <c r="AP80" s="23" t="n"/>
      <c r="AQ80" s="23" t="n"/>
      <c r="AR80" s="19" t="n"/>
      <c r="AS80" s="21">
        <f>IF(IFERROR(TRIM(INDEX($A80:$AL80,MATCH(Lists!$F$2,$A$1:$AL$1,0))&amp;""),"")="","",IF(AND(IFERROR(TRIM(INDEX($A80:$AL80,MATCH(Lists!$F$3,$A$1:$AL$1,0))&amp;""),"")="Other",IFERROR(TRIM(INDEX($A80:$AL80,MATCH(Lists!$F$4,$A$1:$AL$1,0))&amp;""),"")&lt;&gt;""),IFERROR(TRIM(INDEX($A80:$AL80,MATCH(Lists!$F$4,$A$1:$AL$1,0))&amp;""),""),IF(IFERROR(TRIM(INDEX($A80:$AL80,MATCH(Lists!$F$3,$A$1:$AL$1,0))&amp;""),"")="","(no space)",IFERROR(TRIM(INDEX($A80:$AL80,MATCH(Lists!$F$3,$A$1:$AL$1,0))&amp;""),""))))</f>
        <v/>
      </c>
      <c r="AT80" s="22">
        <f>IF(IFERROR(TRIM(INDEX($A80:$AL80,MATCH(Lists!$F$2,$A$1:$AL$1,0))&amp;""),"")="",0,N(IFERROR(IF(TRIM(INDEX($A80:$AL80,MATCH(Lists!$F$5,$A$1:$AL$1,0))&amp;"")="","",IF(ISNUMBER(INDEX($A80:$AL80,MATCH(Lists!$F$5,$A$1:$AL$1,0))),INT(INDEX($A80:$AL80,MATCH(Lists!$F$5,$A$1:$AL$1,0))),DATE(VALUE(LEFT(INDEX($A80:$AL80,MATCH(Lists!$F$5,$A$1:$AL$1,0)),4)),VALUE(MID(INDEX($A80:$AL80,MATCH(Lists!$F$5,$A$1:$AL$1,0)),6,2)),VALUE(MID(INDEX($A80:$AL80,MATCH(Lists!$F$5,$A$1:$AL$1,0)),9,2))))),"")))</f>
        <v/>
      </c>
      <c r="AU80" s="21">
        <f>IF(IFERROR(TRIM(INDEX($A80:$AL80,MATCH(Lists!$F$2,$A$1:$AL$1,0))&amp;""),"")="",-1,IF(ISNUMBER(IFERROR(IF(TRIM(INDEX($A80:$AL80,MATCH(Lists!$F$6,$A$1:$AL$1,0))&amp;"")="","",IF(ISNUMBER(INDEX($A80:$AL80,MATCH(Lists!$F$6,$A$1:$AL$1,0))),ROUND(MOD(INDEX($A80:$AL80,MATCH(Lists!$F$6,$A$1:$AL$1,0)),1)*1440,0),VALUE(LEFT(INDEX($A80:$AL80,MATCH(Lists!$F$6,$A$1:$AL$1,0)),2))*60+VALUE(MID(INDEX($A80:$AL80,MATCH(Lists!$F$6,$A$1:$AL$1,0)),4,2)))),"")),IFERROR(IF(TRIM(INDEX($A80:$AL80,MATCH(Lists!$F$6,$A$1:$AL$1,0))&amp;"")="","",IF(ISNUMBER(INDEX($A80:$AL80,MATCH(Lists!$F$6,$A$1:$AL$1,0))),ROUND(MOD(INDEX($A80:$AL80,MATCH(Lists!$F$6,$A$1:$AL$1,0)),1)*1440,0),VALUE(LEFT(INDEX($A80:$AL80,MATCH(Lists!$F$6,$A$1:$AL$1,0)),2))*60+VALUE(MID(INDEX($A80:$AL80,MATCH(Lists!$F$6,$A$1:$AL$1,0)),4,2)))),""),-1))</f>
        <v/>
      </c>
      <c r="AV80" s="21">
        <f>IF(IFERROR(TRIM(INDEX($A80:$AL80,MATCH(Lists!$F$2,$A$1:$AL$1,0))&amp;""),"")="",-1,IF(ISNUMBER(IFERROR(IF(TRIM(INDEX($A80:$AL80,MATCH(Lists!$F$7,$A$1:$AL$1,0))&amp;"")="","",IF(ISNUMBER(INDEX($A80:$AL80,MATCH(Lists!$F$7,$A$1:$AL$1,0))),ROUND(MOD(INDEX($A80:$AL80,MATCH(Lists!$F$7,$A$1:$AL$1,0)),1)*1440,0),VALUE(LEFT(INDEX($A80:$AL80,MATCH(Lists!$F$7,$A$1:$AL$1,0)),2))*60+VALUE(MID(INDEX($A80:$AL80,MATCH(Lists!$F$7,$A$1:$AL$1,0)),4,2)))),"")),IFERROR(IF(TRIM(INDEX($A80:$AL80,MATCH(Lists!$F$7,$A$1:$AL$1,0))&amp;"")="","",IF(ISNUMBER(INDEX($A80:$AL80,MATCH(Lists!$F$7,$A$1:$AL$1,0))),ROUND(MOD(INDEX($A80:$AL80,MATCH(Lists!$F$7,$A$1:$AL$1,0)),1)*1440,0),VALUE(LEFT(INDEX($A80:$AL80,MATCH(Lists!$F$7,$A$1:$AL$1,0)),2))*60+VALUE(MID(INDEX($A80:$AL80,MATCH(Lists!$F$7,$A$1:$AL$1,0)),4,2)))),""),-1))</f>
        <v/>
      </c>
      <c r="AW80" s="21">
        <f>IF(IFERROR(TRIM(INDEX($A80:$AL80,MATCH(Lists!$F$2,$A$1:$AL$1,0))&amp;""),"")="","",IF(IFERROR(TRIM(INDEX($A80:$AL80,MATCH(Lists!$F$8,$A$1:$AL$1,0))&amp;""),"")&lt;&gt;"",IFERROR(TRIM(INDEX($A80:$AL80,MATCH(Lists!$F$8,$A$1:$AL$1,0))&amp;""),""),IFERROR(TRIM(INDEX($A80:$AL80,MATCH(Lists!$F$9,$A$1:$AL$1,0))&amp;""),"")))</f>
        <v/>
      </c>
      <c r="AX80" s="21">
        <f>IFERROR(IF(TRIM(INDEX($A80:$AL80,MATCH(Lists!$F$10,$A$1:$AL$1,0))&amp;"")="","",VALUE(TRIM(INDEX($A80:$AL80,MATCH(Lists!$F$10,$A$1:$AL$1,0))&amp;""))),"")</f>
        <v/>
      </c>
      <c r="AY80" s="21">
        <f>IF(IFERROR(TRIM(INDEX($A80:$AL80,MATCH(Lists!$F$2,$A$1:$AL$1,0))&amp;""),"")="","",IF(AN80="","New",AN80))</f>
        <v/>
      </c>
      <c r="AZ80" s="21">
        <f>IF(IFERROR(TRIM(INDEX($A80:$AL80,MATCH(Lists!$F$2,$A$1:$AL$1,0))&amp;""),"")="","",IF(OR(IFERROR(TRIM(INDEX($A80:$AL80,MATCH(Lists!$F$13,$A$1:$AL$1,0))&amp;""),"")="Paid",IFERROR(TRIM(INDEX($A80:$AL80,MATCH(Lists!$F$13,$A$1:$AL$1,0))&amp;""),"")="Partially refunded"),"Paid",IF(AP80="Yes","Paid (by hand)",IFERROR(TRIM(INDEX($A80:$AL80,MATCH(Lists!$F$13,$A$1:$AL$1,0))&amp;""),""))))</f>
        <v/>
      </c>
      <c r="BA80" s="21">
        <f>IF(AND(IFERROR(TRIM(INDEX($A80:$AL80,MATCH(Lists!$F$2,$A$1:$AL$1,0))&amp;""),"")&lt;&gt;"",AT80&gt;0,AU80&gt;=0,AV80&gt;AU80,AY80&lt;&gt;"Declined"),1,0)</f>
        <v/>
      </c>
      <c r="BB80" s="21">
        <f>IF(BA80=1,COUNTIFS($AS$2:$AS$501,AS80,$AT$2:$AT$501,AT80,$AU$2:$AU$501,"&lt;"&amp;AV80,$AV$2:$AV$501,"&gt;"&amp;AU80,$BA$2:$BA$501,1)-1,"")</f>
        <v/>
      </c>
      <c r="BC80" s="21">
        <f>IF(N(BB80)&gt;0,"Clashes with "&amp;INDEX($AW$2:$AW$501,SUMPRODUCT(MAX(($AS$2:$AS$501=AS80)*($AT$2:$AT$501=AT80)*($AU$2:$AU$501&lt;AV80)*($AV$2:$AV$501&gt;AU80)*($BA$2:$BA$501=1)*(ROW($AS$2:$AS$501)&lt;&gt;ROW())*ROW($AS$2:$AS$501)))-1)&amp;" ("&amp;INDEX($AY$2:$AY$501,SUMPRODUCT(MAX(($AS$2:$AS$501=AS80)*($AT$2:$AT$501=AT80)*($AU$2:$AU$501&lt;AV80)*($AV$2:$AV$501&gt;AU80)*($BA$2:$BA$501=1)*(ROW($AS$2:$AS$501)&lt;&gt;ROW())*ROW($AS$2:$AS$501)))-1)&amp;")"&amp;IF(BB80&gt;1," and "&amp;(BB80-1)&amp;" more",""),"")</f>
        <v/>
      </c>
      <c r="BD80" s="21">
        <f>IF(AND(BA80=1,AY80="Confirmed"),AT80*10000000+AU80*1000+ROW(),"")</f>
        <v/>
      </c>
      <c r="BE80" s="21">
        <f>IF(IFERROR(TRIM(INDEX($A80:$AL80,MATCH(Lists!$F$2,$A$1:$AL$1,0))&amp;""),"")="","",IFERROR(TRIM(INDEX($A80:$AL80,MATCH(Lists!$F$11,$A$1:$AL$1,0))&amp;""),""))</f>
        <v/>
      </c>
      <c r="BF80" s="21">
        <f>IF(IFERROR(TRIM(INDEX($A80:$AL80,MATCH(Lists!$F$2,$A$1:$AL$1,0))&amp;""),"")="","",IFERROR(TRIM(INDEX($A80:$AL80,MATCH(Lists!$F$12,$A$1:$AL$1,0))&amp;""),""))</f>
        <v/>
      </c>
    </row>
    <row r="81">
      <c r="AM81" s="19" t="n"/>
      <c r="AN81" s="23" t="n"/>
      <c r="AO81" s="23" t="n"/>
      <c r="AP81" s="23" t="n"/>
      <c r="AQ81" s="23" t="n"/>
      <c r="AR81" s="19" t="n"/>
      <c r="AS81" s="21">
        <f>IF(IFERROR(TRIM(INDEX($A81:$AL81,MATCH(Lists!$F$2,$A$1:$AL$1,0))&amp;""),"")="","",IF(AND(IFERROR(TRIM(INDEX($A81:$AL81,MATCH(Lists!$F$3,$A$1:$AL$1,0))&amp;""),"")="Other",IFERROR(TRIM(INDEX($A81:$AL81,MATCH(Lists!$F$4,$A$1:$AL$1,0))&amp;""),"")&lt;&gt;""),IFERROR(TRIM(INDEX($A81:$AL81,MATCH(Lists!$F$4,$A$1:$AL$1,0))&amp;""),""),IF(IFERROR(TRIM(INDEX($A81:$AL81,MATCH(Lists!$F$3,$A$1:$AL$1,0))&amp;""),"")="","(no space)",IFERROR(TRIM(INDEX($A81:$AL81,MATCH(Lists!$F$3,$A$1:$AL$1,0))&amp;""),""))))</f>
        <v/>
      </c>
      <c r="AT81" s="22">
        <f>IF(IFERROR(TRIM(INDEX($A81:$AL81,MATCH(Lists!$F$2,$A$1:$AL$1,0))&amp;""),"")="",0,N(IFERROR(IF(TRIM(INDEX($A81:$AL81,MATCH(Lists!$F$5,$A$1:$AL$1,0))&amp;"")="","",IF(ISNUMBER(INDEX($A81:$AL81,MATCH(Lists!$F$5,$A$1:$AL$1,0))),INT(INDEX($A81:$AL81,MATCH(Lists!$F$5,$A$1:$AL$1,0))),DATE(VALUE(LEFT(INDEX($A81:$AL81,MATCH(Lists!$F$5,$A$1:$AL$1,0)),4)),VALUE(MID(INDEX($A81:$AL81,MATCH(Lists!$F$5,$A$1:$AL$1,0)),6,2)),VALUE(MID(INDEX($A81:$AL81,MATCH(Lists!$F$5,$A$1:$AL$1,0)),9,2))))),"")))</f>
        <v/>
      </c>
      <c r="AU81" s="21">
        <f>IF(IFERROR(TRIM(INDEX($A81:$AL81,MATCH(Lists!$F$2,$A$1:$AL$1,0))&amp;""),"")="",-1,IF(ISNUMBER(IFERROR(IF(TRIM(INDEX($A81:$AL81,MATCH(Lists!$F$6,$A$1:$AL$1,0))&amp;"")="","",IF(ISNUMBER(INDEX($A81:$AL81,MATCH(Lists!$F$6,$A$1:$AL$1,0))),ROUND(MOD(INDEX($A81:$AL81,MATCH(Lists!$F$6,$A$1:$AL$1,0)),1)*1440,0),VALUE(LEFT(INDEX($A81:$AL81,MATCH(Lists!$F$6,$A$1:$AL$1,0)),2))*60+VALUE(MID(INDEX($A81:$AL81,MATCH(Lists!$F$6,$A$1:$AL$1,0)),4,2)))),"")),IFERROR(IF(TRIM(INDEX($A81:$AL81,MATCH(Lists!$F$6,$A$1:$AL$1,0))&amp;"")="","",IF(ISNUMBER(INDEX($A81:$AL81,MATCH(Lists!$F$6,$A$1:$AL$1,0))),ROUND(MOD(INDEX($A81:$AL81,MATCH(Lists!$F$6,$A$1:$AL$1,0)),1)*1440,0),VALUE(LEFT(INDEX($A81:$AL81,MATCH(Lists!$F$6,$A$1:$AL$1,0)),2))*60+VALUE(MID(INDEX($A81:$AL81,MATCH(Lists!$F$6,$A$1:$AL$1,0)),4,2)))),""),-1))</f>
        <v/>
      </c>
      <c r="AV81" s="21">
        <f>IF(IFERROR(TRIM(INDEX($A81:$AL81,MATCH(Lists!$F$2,$A$1:$AL$1,0))&amp;""),"")="",-1,IF(ISNUMBER(IFERROR(IF(TRIM(INDEX($A81:$AL81,MATCH(Lists!$F$7,$A$1:$AL$1,0))&amp;"")="","",IF(ISNUMBER(INDEX($A81:$AL81,MATCH(Lists!$F$7,$A$1:$AL$1,0))),ROUND(MOD(INDEX($A81:$AL81,MATCH(Lists!$F$7,$A$1:$AL$1,0)),1)*1440,0),VALUE(LEFT(INDEX($A81:$AL81,MATCH(Lists!$F$7,$A$1:$AL$1,0)),2))*60+VALUE(MID(INDEX($A81:$AL81,MATCH(Lists!$F$7,$A$1:$AL$1,0)),4,2)))),"")),IFERROR(IF(TRIM(INDEX($A81:$AL81,MATCH(Lists!$F$7,$A$1:$AL$1,0))&amp;"")="","",IF(ISNUMBER(INDEX($A81:$AL81,MATCH(Lists!$F$7,$A$1:$AL$1,0))),ROUND(MOD(INDEX($A81:$AL81,MATCH(Lists!$F$7,$A$1:$AL$1,0)),1)*1440,0),VALUE(LEFT(INDEX($A81:$AL81,MATCH(Lists!$F$7,$A$1:$AL$1,0)),2))*60+VALUE(MID(INDEX($A81:$AL81,MATCH(Lists!$F$7,$A$1:$AL$1,0)),4,2)))),""),-1))</f>
        <v/>
      </c>
      <c r="AW81" s="21">
        <f>IF(IFERROR(TRIM(INDEX($A81:$AL81,MATCH(Lists!$F$2,$A$1:$AL$1,0))&amp;""),"")="","",IF(IFERROR(TRIM(INDEX($A81:$AL81,MATCH(Lists!$F$8,$A$1:$AL$1,0))&amp;""),"")&lt;&gt;"",IFERROR(TRIM(INDEX($A81:$AL81,MATCH(Lists!$F$8,$A$1:$AL$1,0))&amp;""),""),IFERROR(TRIM(INDEX($A81:$AL81,MATCH(Lists!$F$9,$A$1:$AL$1,0))&amp;""),"")))</f>
        <v/>
      </c>
      <c r="AX81" s="21">
        <f>IFERROR(IF(TRIM(INDEX($A81:$AL81,MATCH(Lists!$F$10,$A$1:$AL$1,0))&amp;"")="","",VALUE(TRIM(INDEX($A81:$AL81,MATCH(Lists!$F$10,$A$1:$AL$1,0))&amp;""))),"")</f>
        <v/>
      </c>
      <c r="AY81" s="21">
        <f>IF(IFERROR(TRIM(INDEX($A81:$AL81,MATCH(Lists!$F$2,$A$1:$AL$1,0))&amp;""),"")="","",IF(AN81="","New",AN81))</f>
        <v/>
      </c>
      <c r="AZ81" s="21">
        <f>IF(IFERROR(TRIM(INDEX($A81:$AL81,MATCH(Lists!$F$2,$A$1:$AL$1,0))&amp;""),"")="","",IF(OR(IFERROR(TRIM(INDEX($A81:$AL81,MATCH(Lists!$F$13,$A$1:$AL$1,0))&amp;""),"")="Paid",IFERROR(TRIM(INDEX($A81:$AL81,MATCH(Lists!$F$13,$A$1:$AL$1,0))&amp;""),"")="Partially refunded"),"Paid",IF(AP81="Yes","Paid (by hand)",IFERROR(TRIM(INDEX($A81:$AL81,MATCH(Lists!$F$13,$A$1:$AL$1,0))&amp;""),""))))</f>
        <v/>
      </c>
      <c r="BA81" s="21">
        <f>IF(AND(IFERROR(TRIM(INDEX($A81:$AL81,MATCH(Lists!$F$2,$A$1:$AL$1,0))&amp;""),"")&lt;&gt;"",AT81&gt;0,AU81&gt;=0,AV81&gt;AU81,AY81&lt;&gt;"Declined"),1,0)</f>
        <v/>
      </c>
      <c r="BB81" s="21">
        <f>IF(BA81=1,COUNTIFS($AS$2:$AS$501,AS81,$AT$2:$AT$501,AT81,$AU$2:$AU$501,"&lt;"&amp;AV81,$AV$2:$AV$501,"&gt;"&amp;AU81,$BA$2:$BA$501,1)-1,"")</f>
        <v/>
      </c>
      <c r="BC81" s="21">
        <f>IF(N(BB81)&gt;0,"Clashes with "&amp;INDEX($AW$2:$AW$501,SUMPRODUCT(MAX(($AS$2:$AS$501=AS81)*($AT$2:$AT$501=AT81)*($AU$2:$AU$501&lt;AV81)*($AV$2:$AV$501&gt;AU81)*($BA$2:$BA$501=1)*(ROW($AS$2:$AS$501)&lt;&gt;ROW())*ROW($AS$2:$AS$501)))-1)&amp;" ("&amp;INDEX($AY$2:$AY$501,SUMPRODUCT(MAX(($AS$2:$AS$501=AS81)*($AT$2:$AT$501=AT81)*($AU$2:$AU$501&lt;AV81)*($AV$2:$AV$501&gt;AU81)*($BA$2:$BA$501=1)*(ROW($AS$2:$AS$501)&lt;&gt;ROW())*ROW($AS$2:$AS$501)))-1)&amp;")"&amp;IF(BB81&gt;1," and "&amp;(BB81-1)&amp;" more",""),"")</f>
        <v/>
      </c>
      <c r="BD81" s="21">
        <f>IF(AND(BA81=1,AY81="Confirmed"),AT81*10000000+AU81*1000+ROW(),"")</f>
        <v/>
      </c>
      <c r="BE81" s="21">
        <f>IF(IFERROR(TRIM(INDEX($A81:$AL81,MATCH(Lists!$F$2,$A$1:$AL$1,0))&amp;""),"")="","",IFERROR(TRIM(INDEX($A81:$AL81,MATCH(Lists!$F$11,$A$1:$AL$1,0))&amp;""),""))</f>
        <v/>
      </c>
      <c r="BF81" s="21">
        <f>IF(IFERROR(TRIM(INDEX($A81:$AL81,MATCH(Lists!$F$2,$A$1:$AL$1,0))&amp;""),"")="","",IFERROR(TRIM(INDEX($A81:$AL81,MATCH(Lists!$F$12,$A$1:$AL$1,0))&amp;""),""))</f>
        <v/>
      </c>
    </row>
    <row r="82">
      <c r="AM82" s="19" t="n"/>
      <c r="AN82" s="23" t="n"/>
      <c r="AO82" s="23" t="n"/>
      <c r="AP82" s="23" t="n"/>
      <c r="AQ82" s="23" t="n"/>
      <c r="AR82" s="19" t="n"/>
      <c r="AS82" s="21">
        <f>IF(IFERROR(TRIM(INDEX($A82:$AL82,MATCH(Lists!$F$2,$A$1:$AL$1,0))&amp;""),"")="","",IF(AND(IFERROR(TRIM(INDEX($A82:$AL82,MATCH(Lists!$F$3,$A$1:$AL$1,0))&amp;""),"")="Other",IFERROR(TRIM(INDEX($A82:$AL82,MATCH(Lists!$F$4,$A$1:$AL$1,0))&amp;""),"")&lt;&gt;""),IFERROR(TRIM(INDEX($A82:$AL82,MATCH(Lists!$F$4,$A$1:$AL$1,0))&amp;""),""),IF(IFERROR(TRIM(INDEX($A82:$AL82,MATCH(Lists!$F$3,$A$1:$AL$1,0))&amp;""),"")="","(no space)",IFERROR(TRIM(INDEX($A82:$AL82,MATCH(Lists!$F$3,$A$1:$AL$1,0))&amp;""),""))))</f>
        <v/>
      </c>
      <c r="AT82" s="22">
        <f>IF(IFERROR(TRIM(INDEX($A82:$AL82,MATCH(Lists!$F$2,$A$1:$AL$1,0))&amp;""),"")="",0,N(IFERROR(IF(TRIM(INDEX($A82:$AL82,MATCH(Lists!$F$5,$A$1:$AL$1,0))&amp;"")="","",IF(ISNUMBER(INDEX($A82:$AL82,MATCH(Lists!$F$5,$A$1:$AL$1,0))),INT(INDEX($A82:$AL82,MATCH(Lists!$F$5,$A$1:$AL$1,0))),DATE(VALUE(LEFT(INDEX($A82:$AL82,MATCH(Lists!$F$5,$A$1:$AL$1,0)),4)),VALUE(MID(INDEX($A82:$AL82,MATCH(Lists!$F$5,$A$1:$AL$1,0)),6,2)),VALUE(MID(INDEX($A82:$AL82,MATCH(Lists!$F$5,$A$1:$AL$1,0)),9,2))))),"")))</f>
        <v/>
      </c>
      <c r="AU82" s="21">
        <f>IF(IFERROR(TRIM(INDEX($A82:$AL82,MATCH(Lists!$F$2,$A$1:$AL$1,0))&amp;""),"")="",-1,IF(ISNUMBER(IFERROR(IF(TRIM(INDEX($A82:$AL82,MATCH(Lists!$F$6,$A$1:$AL$1,0))&amp;"")="","",IF(ISNUMBER(INDEX($A82:$AL82,MATCH(Lists!$F$6,$A$1:$AL$1,0))),ROUND(MOD(INDEX($A82:$AL82,MATCH(Lists!$F$6,$A$1:$AL$1,0)),1)*1440,0),VALUE(LEFT(INDEX($A82:$AL82,MATCH(Lists!$F$6,$A$1:$AL$1,0)),2))*60+VALUE(MID(INDEX($A82:$AL82,MATCH(Lists!$F$6,$A$1:$AL$1,0)),4,2)))),"")),IFERROR(IF(TRIM(INDEX($A82:$AL82,MATCH(Lists!$F$6,$A$1:$AL$1,0))&amp;"")="","",IF(ISNUMBER(INDEX($A82:$AL82,MATCH(Lists!$F$6,$A$1:$AL$1,0))),ROUND(MOD(INDEX($A82:$AL82,MATCH(Lists!$F$6,$A$1:$AL$1,0)),1)*1440,0),VALUE(LEFT(INDEX($A82:$AL82,MATCH(Lists!$F$6,$A$1:$AL$1,0)),2))*60+VALUE(MID(INDEX($A82:$AL82,MATCH(Lists!$F$6,$A$1:$AL$1,0)),4,2)))),""),-1))</f>
        <v/>
      </c>
      <c r="AV82" s="21">
        <f>IF(IFERROR(TRIM(INDEX($A82:$AL82,MATCH(Lists!$F$2,$A$1:$AL$1,0))&amp;""),"")="",-1,IF(ISNUMBER(IFERROR(IF(TRIM(INDEX($A82:$AL82,MATCH(Lists!$F$7,$A$1:$AL$1,0))&amp;"")="","",IF(ISNUMBER(INDEX($A82:$AL82,MATCH(Lists!$F$7,$A$1:$AL$1,0))),ROUND(MOD(INDEX($A82:$AL82,MATCH(Lists!$F$7,$A$1:$AL$1,0)),1)*1440,0),VALUE(LEFT(INDEX($A82:$AL82,MATCH(Lists!$F$7,$A$1:$AL$1,0)),2))*60+VALUE(MID(INDEX($A82:$AL82,MATCH(Lists!$F$7,$A$1:$AL$1,0)),4,2)))),"")),IFERROR(IF(TRIM(INDEX($A82:$AL82,MATCH(Lists!$F$7,$A$1:$AL$1,0))&amp;"")="","",IF(ISNUMBER(INDEX($A82:$AL82,MATCH(Lists!$F$7,$A$1:$AL$1,0))),ROUND(MOD(INDEX($A82:$AL82,MATCH(Lists!$F$7,$A$1:$AL$1,0)),1)*1440,0),VALUE(LEFT(INDEX($A82:$AL82,MATCH(Lists!$F$7,$A$1:$AL$1,0)),2))*60+VALUE(MID(INDEX($A82:$AL82,MATCH(Lists!$F$7,$A$1:$AL$1,0)),4,2)))),""),-1))</f>
        <v/>
      </c>
      <c r="AW82" s="21">
        <f>IF(IFERROR(TRIM(INDEX($A82:$AL82,MATCH(Lists!$F$2,$A$1:$AL$1,0))&amp;""),"")="","",IF(IFERROR(TRIM(INDEX($A82:$AL82,MATCH(Lists!$F$8,$A$1:$AL$1,0))&amp;""),"")&lt;&gt;"",IFERROR(TRIM(INDEX($A82:$AL82,MATCH(Lists!$F$8,$A$1:$AL$1,0))&amp;""),""),IFERROR(TRIM(INDEX($A82:$AL82,MATCH(Lists!$F$9,$A$1:$AL$1,0))&amp;""),"")))</f>
        <v/>
      </c>
      <c r="AX82" s="21">
        <f>IFERROR(IF(TRIM(INDEX($A82:$AL82,MATCH(Lists!$F$10,$A$1:$AL$1,0))&amp;"")="","",VALUE(TRIM(INDEX($A82:$AL82,MATCH(Lists!$F$10,$A$1:$AL$1,0))&amp;""))),"")</f>
        <v/>
      </c>
      <c r="AY82" s="21">
        <f>IF(IFERROR(TRIM(INDEX($A82:$AL82,MATCH(Lists!$F$2,$A$1:$AL$1,0))&amp;""),"")="","",IF(AN82="","New",AN82))</f>
        <v/>
      </c>
      <c r="AZ82" s="21">
        <f>IF(IFERROR(TRIM(INDEX($A82:$AL82,MATCH(Lists!$F$2,$A$1:$AL$1,0))&amp;""),"")="","",IF(OR(IFERROR(TRIM(INDEX($A82:$AL82,MATCH(Lists!$F$13,$A$1:$AL$1,0))&amp;""),"")="Paid",IFERROR(TRIM(INDEX($A82:$AL82,MATCH(Lists!$F$13,$A$1:$AL$1,0))&amp;""),"")="Partially refunded"),"Paid",IF(AP82="Yes","Paid (by hand)",IFERROR(TRIM(INDEX($A82:$AL82,MATCH(Lists!$F$13,$A$1:$AL$1,0))&amp;""),""))))</f>
        <v/>
      </c>
      <c r="BA82" s="21">
        <f>IF(AND(IFERROR(TRIM(INDEX($A82:$AL82,MATCH(Lists!$F$2,$A$1:$AL$1,0))&amp;""),"")&lt;&gt;"",AT82&gt;0,AU82&gt;=0,AV82&gt;AU82,AY82&lt;&gt;"Declined"),1,0)</f>
        <v/>
      </c>
      <c r="BB82" s="21">
        <f>IF(BA82=1,COUNTIFS($AS$2:$AS$501,AS82,$AT$2:$AT$501,AT82,$AU$2:$AU$501,"&lt;"&amp;AV82,$AV$2:$AV$501,"&gt;"&amp;AU82,$BA$2:$BA$501,1)-1,"")</f>
        <v/>
      </c>
      <c r="BC82" s="21">
        <f>IF(N(BB82)&gt;0,"Clashes with "&amp;INDEX($AW$2:$AW$501,SUMPRODUCT(MAX(($AS$2:$AS$501=AS82)*($AT$2:$AT$501=AT82)*($AU$2:$AU$501&lt;AV82)*($AV$2:$AV$501&gt;AU82)*($BA$2:$BA$501=1)*(ROW($AS$2:$AS$501)&lt;&gt;ROW())*ROW($AS$2:$AS$501)))-1)&amp;" ("&amp;INDEX($AY$2:$AY$501,SUMPRODUCT(MAX(($AS$2:$AS$501=AS82)*($AT$2:$AT$501=AT82)*($AU$2:$AU$501&lt;AV82)*($AV$2:$AV$501&gt;AU82)*($BA$2:$BA$501=1)*(ROW($AS$2:$AS$501)&lt;&gt;ROW())*ROW($AS$2:$AS$501)))-1)&amp;")"&amp;IF(BB82&gt;1," and "&amp;(BB82-1)&amp;" more",""),"")</f>
        <v/>
      </c>
      <c r="BD82" s="21">
        <f>IF(AND(BA82=1,AY82="Confirmed"),AT82*10000000+AU82*1000+ROW(),"")</f>
        <v/>
      </c>
      <c r="BE82" s="21">
        <f>IF(IFERROR(TRIM(INDEX($A82:$AL82,MATCH(Lists!$F$2,$A$1:$AL$1,0))&amp;""),"")="","",IFERROR(TRIM(INDEX($A82:$AL82,MATCH(Lists!$F$11,$A$1:$AL$1,0))&amp;""),""))</f>
        <v/>
      </c>
      <c r="BF82" s="21">
        <f>IF(IFERROR(TRIM(INDEX($A82:$AL82,MATCH(Lists!$F$2,$A$1:$AL$1,0))&amp;""),"")="","",IFERROR(TRIM(INDEX($A82:$AL82,MATCH(Lists!$F$12,$A$1:$AL$1,0))&amp;""),""))</f>
        <v/>
      </c>
    </row>
    <row r="83">
      <c r="AM83" s="19" t="n"/>
      <c r="AN83" s="23" t="n"/>
      <c r="AO83" s="23" t="n"/>
      <c r="AP83" s="23" t="n"/>
      <c r="AQ83" s="23" t="n"/>
      <c r="AR83" s="19" t="n"/>
      <c r="AS83" s="21">
        <f>IF(IFERROR(TRIM(INDEX($A83:$AL83,MATCH(Lists!$F$2,$A$1:$AL$1,0))&amp;""),"")="","",IF(AND(IFERROR(TRIM(INDEX($A83:$AL83,MATCH(Lists!$F$3,$A$1:$AL$1,0))&amp;""),"")="Other",IFERROR(TRIM(INDEX($A83:$AL83,MATCH(Lists!$F$4,$A$1:$AL$1,0))&amp;""),"")&lt;&gt;""),IFERROR(TRIM(INDEX($A83:$AL83,MATCH(Lists!$F$4,$A$1:$AL$1,0))&amp;""),""),IF(IFERROR(TRIM(INDEX($A83:$AL83,MATCH(Lists!$F$3,$A$1:$AL$1,0))&amp;""),"")="","(no space)",IFERROR(TRIM(INDEX($A83:$AL83,MATCH(Lists!$F$3,$A$1:$AL$1,0))&amp;""),""))))</f>
        <v/>
      </c>
      <c r="AT83" s="22">
        <f>IF(IFERROR(TRIM(INDEX($A83:$AL83,MATCH(Lists!$F$2,$A$1:$AL$1,0))&amp;""),"")="",0,N(IFERROR(IF(TRIM(INDEX($A83:$AL83,MATCH(Lists!$F$5,$A$1:$AL$1,0))&amp;"")="","",IF(ISNUMBER(INDEX($A83:$AL83,MATCH(Lists!$F$5,$A$1:$AL$1,0))),INT(INDEX($A83:$AL83,MATCH(Lists!$F$5,$A$1:$AL$1,0))),DATE(VALUE(LEFT(INDEX($A83:$AL83,MATCH(Lists!$F$5,$A$1:$AL$1,0)),4)),VALUE(MID(INDEX($A83:$AL83,MATCH(Lists!$F$5,$A$1:$AL$1,0)),6,2)),VALUE(MID(INDEX($A83:$AL83,MATCH(Lists!$F$5,$A$1:$AL$1,0)),9,2))))),"")))</f>
        <v/>
      </c>
      <c r="AU83" s="21">
        <f>IF(IFERROR(TRIM(INDEX($A83:$AL83,MATCH(Lists!$F$2,$A$1:$AL$1,0))&amp;""),"")="",-1,IF(ISNUMBER(IFERROR(IF(TRIM(INDEX($A83:$AL83,MATCH(Lists!$F$6,$A$1:$AL$1,0))&amp;"")="","",IF(ISNUMBER(INDEX($A83:$AL83,MATCH(Lists!$F$6,$A$1:$AL$1,0))),ROUND(MOD(INDEX($A83:$AL83,MATCH(Lists!$F$6,$A$1:$AL$1,0)),1)*1440,0),VALUE(LEFT(INDEX($A83:$AL83,MATCH(Lists!$F$6,$A$1:$AL$1,0)),2))*60+VALUE(MID(INDEX($A83:$AL83,MATCH(Lists!$F$6,$A$1:$AL$1,0)),4,2)))),"")),IFERROR(IF(TRIM(INDEX($A83:$AL83,MATCH(Lists!$F$6,$A$1:$AL$1,0))&amp;"")="","",IF(ISNUMBER(INDEX($A83:$AL83,MATCH(Lists!$F$6,$A$1:$AL$1,0))),ROUND(MOD(INDEX($A83:$AL83,MATCH(Lists!$F$6,$A$1:$AL$1,0)),1)*1440,0),VALUE(LEFT(INDEX($A83:$AL83,MATCH(Lists!$F$6,$A$1:$AL$1,0)),2))*60+VALUE(MID(INDEX($A83:$AL83,MATCH(Lists!$F$6,$A$1:$AL$1,0)),4,2)))),""),-1))</f>
        <v/>
      </c>
      <c r="AV83" s="21">
        <f>IF(IFERROR(TRIM(INDEX($A83:$AL83,MATCH(Lists!$F$2,$A$1:$AL$1,0))&amp;""),"")="",-1,IF(ISNUMBER(IFERROR(IF(TRIM(INDEX($A83:$AL83,MATCH(Lists!$F$7,$A$1:$AL$1,0))&amp;"")="","",IF(ISNUMBER(INDEX($A83:$AL83,MATCH(Lists!$F$7,$A$1:$AL$1,0))),ROUND(MOD(INDEX($A83:$AL83,MATCH(Lists!$F$7,$A$1:$AL$1,0)),1)*1440,0),VALUE(LEFT(INDEX($A83:$AL83,MATCH(Lists!$F$7,$A$1:$AL$1,0)),2))*60+VALUE(MID(INDEX($A83:$AL83,MATCH(Lists!$F$7,$A$1:$AL$1,0)),4,2)))),"")),IFERROR(IF(TRIM(INDEX($A83:$AL83,MATCH(Lists!$F$7,$A$1:$AL$1,0))&amp;"")="","",IF(ISNUMBER(INDEX($A83:$AL83,MATCH(Lists!$F$7,$A$1:$AL$1,0))),ROUND(MOD(INDEX($A83:$AL83,MATCH(Lists!$F$7,$A$1:$AL$1,0)),1)*1440,0),VALUE(LEFT(INDEX($A83:$AL83,MATCH(Lists!$F$7,$A$1:$AL$1,0)),2))*60+VALUE(MID(INDEX($A83:$AL83,MATCH(Lists!$F$7,$A$1:$AL$1,0)),4,2)))),""),-1))</f>
        <v/>
      </c>
      <c r="AW83" s="21">
        <f>IF(IFERROR(TRIM(INDEX($A83:$AL83,MATCH(Lists!$F$2,$A$1:$AL$1,0))&amp;""),"")="","",IF(IFERROR(TRIM(INDEX($A83:$AL83,MATCH(Lists!$F$8,$A$1:$AL$1,0))&amp;""),"")&lt;&gt;"",IFERROR(TRIM(INDEX($A83:$AL83,MATCH(Lists!$F$8,$A$1:$AL$1,0))&amp;""),""),IFERROR(TRIM(INDEX($A83:$AL83,MATCH(Lists!$F$9,$A$1:$AL$1,0))&amp;""),"")))</f>
        <v/>
      </c>
      <c r="AX83" s="21">
        <f>IFERROR(IF(TRIM(INDEX($A83:$AL83,MATCH(Lists!$F$10,$A$1:$AL$1,0))&amp;"")="","",VALUE(TRIM(INDEX($A83:$AL83,MATCH(Lists!$F$10,$A$1:$AL$1,0))&amp;""))),"")</f>
        <v/>
      </c>
      <c r="AY83" s="21">
        <f>IF(IFERROR(TRIM(INDEX($A83:$AL83,MATCH(Lists!$F$2,$A$1:$AL$1,0))&amp;""),"")="","",IF(AN83="","New",AN83))</f>
        <v/>
      </c>
      <c r="AZ83" s="21">
        <f>IF(IFERROR(TRIM(INDEX($A83:$AL83,MATCH(Lists!$F$2,$A$1:$AL$1,0))&amp;""),"")="","",IF(OR(IFERROR(TRIM(INDEX($A83:$AL83,MATCH(Lists!$F$13,$A$1:$AL$1,0))&amp;""),"")="Paid",IFERROR(TRIM(INDEX($A83:$AL83,MATCH(Lists!$F$13,$A$1:$AL$1,0))&amp;""),"")="Partially refunded"),"Paid",IF(AP83="Yes","Paid (by hand)",IFERROR(TRIM(INDEX($A83:$AL83,MATCH(Lists!$F$13,$A$1:$AL$1,0))&amp;""),""))))</f>
        <v/>
      </c>
      <c r="BA83" s="21">
        <f>IF(AND(IFERROR(TRIM(INDEX($A83:$AL83,MATCH(Lists!$F$2,$A$1:$AL$1,0))&amp;""),"")&lt;&gt;"",AT83&gt;0,AU83&gt;=0,AV83&gt;AU83,AY83&lt;&gt;"Declined"),1,0)</f>
        <v/>
      </c>
      <c r="BB83" s="21">
        <f>IF(BA83=1,COUNTIFS($AS$2:$AS$501,AS83,$AT$2:$AT$501,AT83,$AU$2:$AU$501,"&lt;"&amp;AV83,$AV$2:$AV$501,"&gt;"&amp;AU83,$BA$2:$BA$501,1)-1,"")</f>
        <v/>
      </c>
      <c r="BC83" s="21">
        <f>IF(N(BB83)&gt;0,"Clashes with "&amp;INDEX($AW$2:$AW$501,SUMPRODUCT(MAX(($AS$2:$AS$501=AS83)*($AT$2:$AT$501=AT83)*($AU$2:$AU$501&lt;AV83)*($AV$2:$AV$501&gt;AU83)*($BA$2:$BA$501=1)*(ROW($AS$2:$AS$501)&lt;&gt;ROW())*ROW($AS$2:$AS$501)))-1)&amp;" ("&amp;INDEX($AY$2:$AY$501,SUMPRODUCT(MAX(($AS$2:$AS$501=AS83)*($AT$2:$AT$501=AT83)*($AU$2:$AU$501&lt;AV83)*($AV$2:$AV$501&gt;AU83)*($BA$2:$BA$501=1)*(ROW($AS$2:$AS$501)&lt;&gt;ROW())*ROW($AS$2:$AS$501)))-1)&amp;")"&amp;IF(BB83&gt;1," and "&amp;(BB83-1)&amp;" more",""),"")</f>
        <v/>
      </c>
      <c r="BD83" s="21">
        <f>IF(AND(BA83=1,AY83="Confirmed"),AT83*10000000+AU83*1000+ROW(),"")</f>
        <v/>
      </c>
      <c r="BE83" s="21">
        <f>IF(IFERROR(TRIM(INDEX($A83:$AL83,MATCH(Lists!$F$2,$A$1:$AL$1,0))&amp;""),"")="","",IFERROR(TRIM(INDEX($A83:$AL83,MATCH(Lists!$F$11,$A$1:$AL$1,0))&amp;""),""))</f>
        <v/>
      </c>
      <c r="BF83" s="21">
        <f>IF(IFERROR(TRIM(INDEX($A83:$AL83,MATCH(Lists!$F$2,$A$1:$AL$1,0))&amp;""),"")="","",IFERROR(TRIM(INDEX($A83:$AL83,MATCH(Lists!$F$12,$A$1:$AL$1,0))&amp;""),""))</f>
        <v/>
      </c>
    </row>
    <row r="84">
      <c r="AM84" s="19" t="n"/>
      <c r="AN84" s="23" t="n"/>
      <c r="AO84" s="23" t="n"/>
      <c r="AP84" s="23" t="n"/>
      <c r="AQ84" s="23" t="n"/>
      <c r="AR84" s="19" t="n"/>
      <c r="AS84" s="21">
        <f>IF(IFERROR(TRIM(INDEX($A84:$AL84,MATCH(Lists!$F$2,$A$1:$AL$1,0))&amp;""),"")="","",IF(AND(IFERROR(TRIM(INDEX($A84:$AL84,MATCH(Lists!$F$3,$A$1:$AL$1,0))&amp;""),"")="Other",IFERROR(TRIM(INDEX($A84:$AL84,MATCH(Lists!$F$4,$A$1:$AL$1,0))&amp;""),"")&lt;&gt;""),IFERROR(TRIM(INDEX($A84:$AL84,MATCH(Lists!$F$4,$A$1:$AL$1,0))&amp;""),""),IF(IFERROR(TRIM(INDEX($A84:$AL84,MATCH(Lists!$F$3,$A$1:$AL$1,0))&amp;""),"")="","(no space)",IFERROR(TRIM(INDEX($A84:$AL84,MATCH(Lists!$F$3,$A$1:$AL$1,0))&amp;""),""))))</f>
        <v/>
      </c>
      <c r="AT84" s="22">
        <f>IF(IFERROR(TRIM(INDEX($A84:$AL84,MATCH(Lists!$F$2,$A$1:$AL$1,0))&amp;""),"")="",0,N(IFERROR(IF(TRIM(INDEX($A84:$AL84,MATCH(Lists!$F$5,$A$1:$AL$1,0))&amp;"")="","",IF(ISNUMBER(INDEX($A84:$AL84,MATCH(Lists!$F$5,$A$1:$AL$1,0))),INT(INDEX($A84:$AL84,MATCH(Lists!$F$5,$A$1:$AL$1,0))),DATE(VALUE(LEFT(INDEX($A84:$AL84,MATCH(Lists!$F$5,$A$1:$AL$1,0)),4)),VALUE(MID(INDEX($A84:$AL84,MATCH(Lists!$F$5,$A$1:$AL$1,0)),6,2)),VALUE(MID(INDEX($A84:$AL84,MATCH(Lists!$F$5,$A$1:$AL$1,0)),9,2))))),"")))</f>
        <v/>
      </c>
      <c r="AU84" s="21">
        <f>IF(IFERROR(TRIM(INDEX($A84:$AL84,MATCH(Lists!$F$2,$A$1:$AL$1,0))&amp;""),"")="",-1,IF(ISNUMBER(IFERROR(IF(TRIM(INDEX($A84:$AL84,MATCH(Lists!$F$6,$A$1:$AL$1,0))&amp;"")="","",IF(ISNUMBER(INDEX($A84:$AL84,MATCH(Lists!$F$6,$A$1:$AL$1,0))),ROUND(MOD(INDEX($A84:$AL84,MATCH(Lists!$F$6,$A$1:$AL$1,0)),1)*1440,0),VALUE(LEFT(INDEX($A84:$AL84,MATCH(Lists!$F$6,$A$1:$AL$1,0)),2))*60+VALUE(MID(INDEX($A84:$AL84,MATCH(Lists!$F$6,$A$1:$AL$1,0)),4,2)))),"")),IFERROR(IF(TRIM(INDEX($A84:$AL84,MATCH(Lists!$F$6,$A$1:$AL$1,0))&amp;"")="","",IF(ISNUMBER(INDEX($A84:$AL84,MATCH(Lists!$F$6,$A$1:$AL$1,0))),ROUND(MOD(INDEX($A84:$AL84,MATCH(Lists!$F$6,$A$1:$AL$1,0)),1)*1440,0),VALUE(LEFT(INDEX($A84:$AL84,MATCH(Lists!$F$6,$A$1:$AL$1,0)),2))*60+VALUE(MID(INDEX($A84:$AL84,MATCH(Lists!$F$6,$A$1:$AL$1,0)),4,2)))),""),-1))</f>
        <v/>
      </c>
      <c r="AV84" s="21">
        <f>IF(IFERROR(TRIM(INDEX($A84:$AL84,MATCH(Lists!$F$2,$A$1:$AL$1,0))&amp;""),"")="",-1,IF(ISNUMBER(IFERROR(IF(TRIM(INDEX($A84:$AL84,MATCH(Lists!$F$7,$A$1:$AL$1,0))&amp;"")="","",IF(ISNUMBER(INDEX($A84:$AL84,MATCH(Lists!$F$7,$A$1:$AL$1,0))),ROUND(MOD(INDEX($A84:$AL84,MATCH(Lists!$F$7,$A$1:$AL$1,0)),1)*1440,0),VALUE(LEFT(INDEX($A84:$AL84,MATCH(Lists!$F$7,$A$1:$AL$1,0)),2))*60+VALUE(MID(INDEX($A84:$AL84,MATCH(Lists!$F$7,$A$1:$AL$1,0)),4,2)))),"")),IFERROR(IF(TRIM(INDEX($A84:$AL84,MATCH(Lists!$F$7,$A$1:$AL$1,0))&amp;"")="","",IF(ISNUMBER(INDEX($A84:$AL84,MATCH(Lists!$F$7,$A$1:$AL$1,0))),ROUND(MOD(INDEX($A84:$AL84,MATCH(Lists!$F$7,$A$1:$AL$1,0)),1)*1440,0),VALUE(LEFT(INDEX($A84:$AL84,MATCH(Lists!$F$7,$A$1:$AL$1,0)),2))*60+VALUE(MID(INDEX($A84:$AL84,MATCH(Lists!$F$7,$A$1:$AL$1,0)),4,2)))),""),-1))</f>
        <v/>
      </c>
      <c r="AW84" s="21">
        <f>IF(IFERROR(TRIM(INDEX($A84:$AL84,MATCH(Lists!$F$2,$A$1:$AL$1,0))&amp;""),"")="","",IF(IFERROR(TRIM(INDEX($A84:$AL84,MATCH(Lists!$F$8,$A$1:$AL$1,0))&amp;""),"")&lt;&gt;"",IFERROR(TRIM(INDEX($A84:$AL84,MATCH(Lists!$F$8,$A$1:$AL$1,0))&amp;""),""),IFERROR(TRIM(INDEX($A84:$AL84,MATCH(Lists!$F$9,$A$1:$AL$1,0))&amp;""),"")))</f>
        <v/>
      </c>
      <c r="AX84" s="21">
        <f>IFERROR(IF(TRIM(INDEX($A84:$AL84,MATCH(Lists!$F$10,$A$1:$AL$1,0))&amp;"")="","",VALUE(TRIM(INDEX($A84:$AL84,MATCH(Lists!$F$10,$A$1:$AL$1,0))&amp;""))),"")</f>
        <v/>
      </c>
      <c r="AY84" s="21">
        <f>IF(IFERROR(TRIM(INDEX($A84:$AL84,MATCH(Lists!$F$2,$A$1:$AL$1,0))&amp;""),"")="","",IF(AN84="","New",AN84))</f>
        <v/>
      </c>
      <c r="AZ84" s="21">
        <f>IF(IFERROR(TRIM(INDEX($A84:$AL84,MATCH(Lists!$F$2,$A$1:$AL$1,0))&amp;""),"")="","",IF(OR(IFERROR(TRIM(INDEX($A84:$AL84,MATCH(Lists!$F$13,$A$1:$AL$1,0))&amp;""),"")="Paid",IFERROR(TRIM(INDEX($A84:$AL84,MATCH(Lists!$F$13,$A$1:$AL$1,0))&amp;""),"")="Partially refunded"),"Paid",IF(AP84="Yes","Paid (by hand)",IFERROR(TRIM(INDEX($A84:$AL84,MATCH(Lists!$F$13,$A$1:$AL$1,0))&amp;""),""))))</f>
        <v/>
      </c>
      <c r="BA84" s="21">
        <f>IF(AND(IFERROR(TRIM(INDEX($A84:$AL84,MATCH(Lists!$F$2,$A$1:$AL$1,0))&amp;""),"")&lt;&gt;"",AT84&gt;0,AU84&gt;=0,AV84&gt;AU84,AY84&lt;&gt;"Declined"),1,0)</f>
        <v/>
      </c>
      <c r="BB84" s="21">
        <f>IF(BA84=1,COUNTIFS($AS$2:$AS$501,AS84,$AT$2:$AT$501,AT84,$AU$2:$AU$501,"&lt;"&amp;AV84,$AV$2:$AV$501,"&gt;"&amp;AU84,$BA$2:$BA$501,1)-1,"")</f>
        <v/>
      </c>
      <c r="BC84" s="21">
        <f>IF(N(BB84)&gt;0,"Clashes with "&amp;INDEX($AW$2:$AW$501,SUMPRODUCT(MAX(($AS$2:$AS$501=AS84)*($AT$2:$AT$501=AT84)*($AU$2:$AU$501&lt;AV84)*($AV$2:$AV$501&gt;AU84)*($BA$2:$BA$501=1)*(ROW($AS$2:$AS$501)&lt;&gt;ROW())*ROW($AS$2:$AS$501)))-1)&amp;" ("&amp;INDEX($AY$2:$AY$501,SUMPRODUCT(MAX(($AS$2:$AS$501=AS84)*($AT$2:$AT$501=AT84)*($AU$2:$AU$501&lt;AV84)*($AV$2:$AV$501&gt;AU84)*($BA$2:$BA$501=1)*(ROW($AS$2:$AS$501)&lt;&gt;ROW())*ROW($AS$2:$AS$501)))-1)&amp;")"&amp;IF(BB84&gt;1," and "&amp;(BB84-1)&amp;" more",""),"")</f>
        <v/>
      </c>
      <c r="BD84" s="21">
        <f>IF(AND(BA84=1,AY84="Confirmed"),AT84*10000000+AU84*1000+ROW(),"")</f>
        <v/>
      </c>
      <c r="BE84" s="21">
        <f>IF(IFERROR(TRIM(INDEX($A84:$AL84,MATCH(Lists!$F$2,$A$1:$AL$1,0))&amp;""),"")="","",IFERROR(TRIM(INDEX($A84:$AL84,MATCH(Lists!$F$11,$A$1:$AL$1,0))&amp;""),""))</f>
        <v/>
      </c>
      <c r="BF84" s="21">
        <f>IF(IFERROR(TRIM(INDEX($A84:$AL84,MATCH(Lists!$F$2,$A$1:$AL$1,0))&amp;""),"")="","",IFERROR(TRIM(INDEX($A84:$AL84,MATCH(Lists!$F$12,$A$1:$AL$1,0))&amp;""),""))</f>
        <v/>
      </c>
    </row>
    <row r="85">
      <c r="AM85" s="19" t="n"/>
      <c r="AN85" s="23" t="n"/>
      <c r="AO85" s="23" t="n"/>
      <c r="AP85" s="23" t="n"/>
      <c r="AQ85" s="23" t="n"/>
      <c r="AR85" s="19" t="n"/>
      <c r="AS85" s="21">
        <f>IF(IFERROR(TRIM(INDEX($A85:$AL85,MATCH(Lists!$F$2,$A$1:$AL$1,0))&amp;""),"")="","",IF(AND(IFERROR(TRIM(INDEX($A85:$AL85,MATCH(Lists!$F$3,$A$1:$AL$1,0))&amp;""),"")="Other",IFERROR(TRIM(INDEX($A85:$AL85,MATCH(Lists!$F$4,$A$1:$AL$1,0))&amp;""),"")&lt;&gt;""),IFERROR(TRIM(INDEX($A85:$AL85,MATCH(Lists!$F$4,$A$1:$AL$1,0))&amp;""),""),IF(IFERROR(TRIM(INDEX($A85:$AL85,MATCH(Lists!$F$3,$A$1:$AL$1,0))&amp;""),"")="","(no space)",IFERROR(TRIM(INDEX($A85:$AL85,MATCH(Lists!$F$3,$A$1:$AL$1,0))&amp;""),""))))</f>
        <v/>
      </c>
      <c r="AT85" s="22">
        <f>IF(IFERROR(TRIM(INDEX($A85:$AL85,MATCH(Lists!$F$2,$A$1:$AL$1,0))&amp;""),"")="",0,N(IFERROR(IF(TRIM(INDEX($A85:$AL85,MATCH(Lists!$F$5,$A$1:$AL$1,0))&amp;"")="","",IF(ISNUMBER(INDEX($A85:$AL85,MATCH(Lists!$F$5,$A$1:$AL$1,0))),INT(INDEX($A85:$AL85,MATCH(Lists!$F$5,$A$1:$AL$1,0))),DATE(VALUE(LEFT(INDEX($A85:$AL85,MATCH(Lists!$F$5,$A$1:$AL$1,0)),4)),VALUE(MID(INDEX($A85:$AL85,MATCH(Lists!$F$5,$A$1:$AL$1,0)),6,2)),VALUE(MID(INDEX($A85:$AL85,MATCH(Lists!$F$5,$A$1:$AL$1,0)),9,2))))),"")))</f>
        <v/>
      </c>
      <c r="AU85" s="21">
        <f>IF(IFERROR(TRIM(INDEX($A85:$AL85,MATCH(Lists!$F$2,$A$1:$AL$1,0))&amp;""),"")="",-1,IF(ISNUMBER(IFERROR(IF(TRIM(INDEX($A85:$AL85,MATCH(Lists!$F$6,$A$1:$AL$1,0))&amp;"")="","",IF(ISNUMBER(INDEX($A85:$AL85,MATCH(Lists!$F$6,$A$1:$AL$1,0))),ROUND(MOD(INDEX($A85:$AL85,MATCH(Lists!$F$6,$A$1:$AL$1,0)),1)*1440,0),VALUE(LEFT(INDEX($A85:$AL85,MATCH(Lists!$F$6,$A$1:$AL$1,0)),2))*60+VALUE(MID(INDEX($A85:$AL85,MATCH(Lists!$F$6,$A$1:$AL$1,0)),4,2)))),"")),IFERROR(IF(TRIM(INDEX($A85:$AL85,MATCH(Lists!$F$6,$A$1:$AL$1,0))&amp;"")="","",IF(ISNUMBER(INDEX($A85:$AL85,MATCH(Lists!$F$6,$A$1:$AL$1,0))),ROUND(MOD(INDEX($A85:$AL85,MATCH(Lists!$F$6,$A$1:$AL$1,0)),1)*1440,0),VALUE(LEFT(INDEX($A85:$AL85,MATCH(Lists!$F$6,$A$1:$AL$1,0)),2))*60+VALUE(MID(INDEX($A85:$AL85,MATCH(Lists!$F$6,$A$1:$AL$1,0)),4,2)))),""),-1))</f>
        <v/>
      </c>
      <c r="AV85" s="21">
        <f>IF(IFERROR(TRIM(INDEX($A85:$AL85,MATCH(Lists!$F$2,$A$1:$AL$1,0))&amp;""),"")="",-1,IF(ISNUMBER(IFERROR(IF(TRIM(INDEX($A85:$AL85,MATCH(Lists!$F$7,$A$1:$AL$1,0))&amp;"")="","",IF(ISNUMBER(INDEX($A85:$AL85,MATCH(Lists!$F$7,$A$1:$AL$1,0))),ROUND(MOD(INDEX($A85:$AL85,MATCH(Lists!$F$7,$A$1:$AL$1,0)),1)*1440,0),VALUE(LEFT(INDEX($A85:$AL85,MATCH(Lists!$F$7,$A$1:$AL$1,0)),2))*60+VALUE(MID(INDEX($A85:$AL85,MATCH(Lists!$F$7,$A$1:$AL$1,0)),4,2)))),"")),IFERROR(IF(TRIM(INDEX($A85:$AL85,MATCH(Lists!$F$7,$A$1:$AL$1,0))&amp;"")="","",IF(ISNUMBER(INDEX($A85:$AL85,MATCH(Lists!$F$7,$A$1:$AL$1,0))),ROUND(MOD(INDEX($A85:$AL85,MATCH(Lists!$F$7,$A$1:$AL$1,0)),1)*1440,0),VALUE(LEFT(INDEX($A85:$AL85,MATCH(Lists!$F$7,$A$1:$AL$1,0)),2))*60+VALUE(MID(INDEX($A85:$AL85,MATCH(Lists!$F$7,$A$1:$AL$1,0)),4,2)))),""),-1))</f>
        <v/>
      </c>
      <c r="AW85" s="21">
        <f>IF(IFERROR(TRIM(INDEX($A85:$AL85,MATCH(Lists!$F$2,$A$1:$AL$1,0))&amp;""),"")="","",IF(IFERROR(TRIM(INDEX($A85:$AL85,MATCH(Lists!$F$8,$A$1:$AL$1,0))&amp;""),"")&lt;&gt;"",IFERROR(TRIM(INDEX($A85:$AL85,MATCH(Lists!$F$8,$A$1:$AL$1,0))&amp;""),""),IFERROR(TRIM(INDEX($A85:$AL85,MATCH(Lists!$F$9,$A$1:$AL$1,0))&amp;""),"")))</f>
        <v/>
      </c>
      <c r="AX85" s="21">
        <f>IFERROR(IF(TRIM(INDEX($A85:$AL85,MATCH(Lists!$F$10,$A$1:$AL$1,0))&amp;"")="","",VALUE(TRIM(INDEX($A85:$AL85,MATCH(Lists!$F$10,$A$1:$AL$1,0))&amp;""))),"")</f>
        <v/>
      </c>
      <c r="AY85" s="21">
        <f>IF(IFERROR(TRIM(INDEX($A85:$AL85,MATCH(Lists!$F$2,$A$1:$AL$1,0))&amp;""),"")="","",IF(AN85="","New",AN85))</f>
        <v/>
      </c>
      <c r="AZ85" s="21">
        <f>IF(IFERROR(TRIM(INDEX($A85:$AL85,MATCH(Lists!$F$2,$A$1:$AL$1,0))&amp;""),"")="","",IF(OR(IFERROR(TRIM(INDEX($A85:$AL85,MATCH(Lists!$F$13,$A$1:$AL$1,0))&amp;""),"")="Paid",IFERROR(TRIM(INDEX($A85:$AL85,MATCH(Lists!$F$13,$A$1:$AL$1,0))&amp;""),"")="Partially refunded"),"Paid",IF(AP85="Yes","Paid (by hand)",IFERROR(TRIM(INDEX($A85:$AL85,MATCH(Lists!$F$13,$A$1:$AL$1,0))&amp;""),""))))</f>
        <v/>
      </c>
      <c r="BA85" s="21">
        <f>IF(AND(IFERROR(TRIM(INDEX($A85:$AL85,MATCH(Lists!$F$2,$A$1:$AL$1,0))&amp;""),"")&lt;&gt;"",AT85&gt;0,AU85&gt;=0,AV85&gt;AU85,AY85&lt;&gt;"Declined"),1,0)</f>
        <v/>
      </c>
      <c r="BB85" s="21">
        <f>IF(BA85=1,COUNTIFS($AS$2:$AS$501,AS85,$AT$2:$AT$501,AT85,$AU$2:$AU$501,"&lt;"&amp;AV85,$AV$2:$AV$501,"&gt;"&amp;AU85,$BA$2:$BA$501,1)-1,"")</f>
        <v/>
      </c>
      <c r="BC85" s="21">
        <f>IF(N(BB85)&gt;0,"Clashes with "&amp;INDEX($AW$2:$AW$501,SUMPRODUCT(MAX(($AS$2:$AS$501=AS85)*($AT$2:$AT$501=AT85)*($AU$2:$AU$501&lt;AV85)*($AV$2:$AV$501&gt;AU85)*($BA$2:$BA$501=1)*(ROW($AS$2:$AS$501)&lt;&gt;ROW())*ROW($AS$2:$AS$501)))-1)&amp;" ("&amp;INDEX($AY$2:$AY$501,SUMPRODUCT(MAX(($AS$2:$AS$501=AS85)*($AT$2:$AT$501=AT85)*($AU$2:$AU$501&lt;AV85)*($AV$2:$AV$501&gt;AU85)*($BA$2:$BA$501=1)*(ROW($AS$2:$AS$501)&lt;&gt;ROW())*ROW($AS$2:$AS$501)))-1)&amp;")"&amp;IF(BB85&gt;1," and "&amp;(BB85-1)&amp;" more",""),"")</f>
        <v/>
      </c>
      <c r="BD85" s="21">
        <f>IF(AND(BA85=1,AY85="Confirmed"),AT85*10000000+AU85*1000+ROW(),"")</f>
        <v/>
      </c>
      <c r="BE85" s="21">
        <f>IF(IFERROR(TRIM(INDEX($A85:$AL85,MATCH(Lists!$F$2,$A$1:$AL$1,0))&amp;""),"")="","",IFERROR(TRIM(INDEX($A85:$AL85,MATCH(Lists!$F$11,$A$1:$AL$1,0))&amp;""),""))</f>
        <v/>
      </c>
      <c r="BF85" s="21">
        <f>IF(IFERROR(TRIM(INDEX($A85:$AL85,MATCH(Lists!$F$2,$A$1:$AL$1,0))&amp;""),"")="","",IFERROR(TRIM(INDEX($A85:$AL85,MATCH(Lists!$F$12,$A$1:$AL$1,0))&amp;""),""))</f>
        <v/>
      </c>
    </row>
    <row r="86">
      <c r="AM86" s="19" t="n"/>
      <c r="AN86" s="23" t="n"/>
      <c r="AO86" s="23" t="n"/>
      <c r="AP86" s="23" t="n"/>
      <c r="AQ86" s="23" t="n"/>
      <c r="AR86" s="19" t="n"/>
      <c r="AS86" s="21">
        <f>IF(IFERROR(TRIM(INDEX($A86:$AL86,MATCH(Lists!$F$2,$A$1:$AL$1,0))&amp;""),"")="","",IF(AND(IFERROR(TRIM(INDEX($A86:$AL86,MATCH(Lists!$F$3,$A$1:$AL$1,0))&amp;""),"")="Other",IFERROR(TRIM(INDEX($A86:$AL86,MATCH(Lists!$F$4,$A$1:$AL$1,0))&amp;""),"")&lt;&gt;""),IFERROR(TRIM(INDEX($A86:$AL86,MATCH(Lists!$F$4,$A$1:$AL$1,0))&amp;""),""),IF(IFERROR(TRIM(INDEX($A86:$AL86,MATCH(Lists!$F$3,$A$1:$AL$1,0))&amp;""),"")="","(no space)",IFERROR(TRIM(INDEX($A86:$AL86,MATCH(Lists!$F$3,$A$1:$AL$1,0))&amp;""),""))))</f>
        <v/>
      </c>
      <c r="AT86" s="22">
        <f>IF(IFERROR(TRIM(INDEX($A86:$AL86,MATCH(Lists!$F$2,$A$1:$AL$1,0))&amp;""),"")="",0,N(IFERROR(IF(TRIM(INDEX($A86:$AL86,MATCH(Lists!$F$5,$A$1:$AL$1,0))&amp;"")="","",IF(ISNUMBER(INDEX($A86:$AL86,MATCH(Lists!$F$5,$A$1:$AL$1,0))),INT(INDEX($A86:$AL86,MATCH(Lists!$F$5,$A$1:$AL$1,0))),DATE(VALUE(LEFT(INDEX($A86:$AL86,MATCH(Lists!$F$5,$A$1:$AL$1,0)),4)),VALUE(MID(INDEX($A86:$AL86,MATCH(Lists!$F$5,$A$1:$AL$1,0)),6,2)),VALUE(MID(INDEX($A86:$AL86,MATCH(Lists!$F$5,$A$1:$AL$1,0)),9,2))))),"")))</f>
        <v/>
      </c>
      <c r="AU86" s="21">
        <f>IF(IFERROR(TRIM(INDEX($A86:$AL86,MATCH(Lists!$F$2,$A$1:$AL$1,0))&amp;""),"")="",-1,IF(ISNUMBER(IFERROR(IF(TRIM(INDEX($A86:$AL86,MATCH(Lists!$F$6,$A$1:$AL$1,0))&amp;"")="","",IF(ISNUMBER(INDEX($A86:$AL86,MATCH(Lists!$F$6,$A$1:$AL$1,0))),ROUND(MOD(INDEX($A86:$AL86,MATCH(Lists!$F$6,$A$1:$AL$1,0)),1)*1440,0),VALUE(LEFT(INDEX($A86:$AL86,MATCH(Lists!$F$6,$A$1:$AL$1,0)),2))*60+VALUE(MID(INDEX($A86:$AL86,MATCH(Lists!$F$6,$A$1:$AL$1,0)),4,2)))),"")),IFERROR(IF(TRIM(INDEX($A86:$AL86,MATCH(Lists!$F$6,$A$1:$AL$1,0))&amp;"")="","",IF(ISNUMBER(INDEX($A86:$AL86,MATCH(Lists!$F$6,$A$1:$AL$1,0))),ROUND(MOD(INDEX($A86:$AL86,MATCH(Lists!$F$6,$A$1:$AL$1,0)),1)*1440,0),VALUE(LEFT(INDEX($A86:$AL86,MATCH(Lists!$F$6,$A$1:$AL$1,0)),2))*60+VALUE(MID(INDEX($A86:$AL86,MATCH(Lists!$F$6,$A$1:$AL$1,0)),4,2)))),""),-1))</f>
        <v/>
      </c>
      <c r="AV86" s="21">
        <f>IF(IFERROR(TRIM(INDEX($A86:$AL86,MATCH(Lists!$F$2,$A$1:$AL$1,0))&amp;""),"")="",-1,IF(ISNUMBER(IFERROR(IF(TRIM(INDEX($A86:$AL86,MATCH(Lists!$F$7,$A$1:$AL$1,0))&amp;"")="","",IF(ISNUMBER(INDEX($A86:$AL86,MATCH(Lists!$F$7,$A$1:$AL$1,0))),ROUND(MOD(INDEX($A86:$AL86,MATCH(Lists!$F$7,$A$1:$AL$1,0)),1)*1440,0),VALUE(LEFT(INDEX($A86:$AL86,MATCH(Lists!$F$7,$A$1:$AL$1,0)),2))*60+VALUE(MID(INDEX($A86:$AL86,MATCH(Lists!$F$7,$A$1:$AL$1,0)),4,2)))),"")),IFERROR(IF(TRIM(INDEX($A86:$AL86,MATCH(Lists!$F$7,$A$1:$AL$1,0))&amp;"")="","",IF(ISNUMBER(INDEX($A86:$AL86,MATCH(Lists!$F$7,$A$1:$AL$1,0))),ROUND(MOD(INDEX($A86:$AL86,MATCH(Lists!$F$7,$A$1:$AL$1,0)),1)*1440,0),VALUE(LEFT(INDEX($A86:$AL86,MATCH(Lists!$F$7,$A$1:$AL$1,0)),2))*60+VALUE(MID(INDEX($A86:$AL86,MATCH(Lists!$F$7,$A$1:$AL$1,0)),4,2)))),""),-1))</f>
        <v/>
      </c>
      <c r="AW86" s="21">
        <f>IF(IFERROR(TRIM(INDEX($A86:$AL86,MATCH(Lists!$F$2,$A$1:$AL$1,0))&amp;""),"")="","",IF(IFERROR(TRIM(INDEX($A86:$AL86,MATCH(Lists!$F$8,$A$1:$AL$1,0))&amp;""),"")&lt;&gt;"",IFERROR(TRIM(INDEX($A86:$AL86,MATCH(Lists!$F$8,$A$1:$AL$1,0))&amp;""),""),IFERROR(TRIM(INDEX($A86:$AL86,MATCH(Lists!$F$9,$A$1:$AL$1,0))&amp;""),"")))</f>
        <v/>
      </c>
      <c r="AX86" s="21">
        <f>IFERROR(IF(TRIM(INDEX($A86:$AL86,MATCH(Lists!$F$10,$A$1:$AL$1,0))&amp;"")="","",VALUE(TRIM(INDEX($A86:$AL86,MATCH(Lists!$F$10,$A$1:$AL$1,0))&amp;""))),"")</f>
        <v/>
      </c>
      <c r="AY86" s="21">
        <f>IF(IFERROR(TRIM(INDEX($A86:$AL86,MATCH(Lists!$F$2,$A$1:$AL$1,0))&amp;""),"")="","",IF(AN86="","New",AN86))</f>
        <v/>
      </c>
      <c r="AZ86" s="21">
        <f>IF(IFERROR(TRIM(INDEX($A86:$AL86,MATCH(Lists!$F$2,$A$1:$AL$1,0))&amp;""),"")="","",IF(OR(IFERROR(TRIM(INDEX($A86:$AL86,MATCH(Lists!$F$13,$A$1:$AL$1,0))&amp;""),"")="Paid",IFERROR(TRIM(INDEX($A86:$AL86,MATCH(Lists!$F$13,$A$1:$AL$1,0))&amp;""),"")="Partially refunded"),"Paid",IF(AP86="Yes","Paid (by hand)",IFERROR(TRIM(INDEX($A86:$AL86,MATCH(Lists!$F$13,$A$1:$AL$1,0))&amp;""),""))))</f>
        <v/>
      </c>
      <c r="BA86" s="21">
        <f>IF(AND(IFERROR(TRIM(INDEX($A86:$AL86,MATCH(Lists!$F$2,$A$1:$AL$1,0))&amp;""),"")&lt;&gt;"",AT86&gt;0,AU86&gt;=0,AV86&gt;AU86,AY86&lt;&gt;"Declined"),1,0)</f>
        <v/>
      </c>
      <c r="BB86" s="21">
        <f>IF(BA86=1,COUNTIFS($AS$2:$AS$501,AS86,$AT$2:$AT$501,AT86,$AU$2:$AU$501,"&lt;"&amp;AV86,$AV$2:$AV$501,"&gt;"&amp;AU86,$BA$2:$BA$501,1)-1,"")</f>
        <v/>
      </c>
      <c r="BC86" s="21">
        <f>IF(N(BB86)&gt;0,"Clashes with "&amp;INDEX($AW$2:$AW$501,SUMPRODUCT(MAX(($AS$2:$AS$501=AS86)*($AT$2:$AT$501=AT86)*($AU$2:$AU$501&lt;AV86)*($AV$2:$AV$501&gt;AU86)*($BA$2:$BA$501=1)*(ROW($AS$2:$AS$501)&lt;&gt;ROW())*ROW($AS$2:$AS$501)))-1)&amp;" ("&amp;INDEX($AY$2:$AY$501,SUMPRODUCT(MAX(($AS$2:$AS$501=AS86)*($AT$2:$AT$501=AT86)*($AU$2:$AU$501&lt;AV86)*($AV$2:$AV$501&gt;AU86)*($BA$2:$BA$501=1)*(ROW($AS$2:$AS$501)&lt;&gt;ROW())*ROW($AS$2:$AS$501)))-1)&amp;")"&amp;IF(BB86&gt;1," and "&amp;(BB86-1)&amp;" more",""),"")</f>
        <v/>
      </c>
      <c r="BD86" s="21">
        <f>IF(AND(BA86=1,AY86="Confirmed"),AT86*10000000+AU86*1000+ROW(),"")</f>
        <v/>
      </c>
      <c r="BE86" s="21">
        <f>IF(IFERROR(TRIM(INDEX($A86:$AL86,MATCH(Lists!$F$2,$A$1:$AL$1,0))&amp;""),"")="","",IFERROR(TRIM(INDEX($A86:$AL86,MATCH(Lists!$F$11,$A$1:$AL$1,0))&amp;""),""))</f>
        <v/>
      </c>
      <c r="BF86" s="21">
        <f>IF(IFERROR(TRIM(INDEX($A86:$AL86,MATCH(Lists!$F$2,$A$1:$AL$1,0))&amp;""),"")="","",IFERROR(TRIM(INDEX($A86:$AL86,MATCH(Lists!$F$12,$A$1:$AL$1,0))&amp;""),""))</f>
        <v/>
      </c>
    </row>
    <row r="87">
      <c r="AM87" s="19" t="n"/>
      <c r="AN87" s="23" t="n"/>
      <c r="AO87" s="23" t="n"/>
      <c r="AP87" s="23" t="n"/>
      <c r="AQ87" s="23" t="n"/>
      <c r="AR87" s="19" t="n"/>
      <c r="AS87" s="21">
        <f>IF(IFERROR(TRIM(INDEX($A87:$AL87,MATCH(Lists!$F$2,$A$1:$AL$1,0))&amp;""),"")="","",IF(AND(IFERROR(TRIM(INDEX($A87:$AL87,MATCH(Lists!$F$3,$A$1:$AL$1,0))&amp;""),"")="Other",IFERROR(TRIM(INDEX($A87:$AL87,MATCH(Lists!$F$4,$A$1:$AL$1,0))&amp;""),"")&lt;&gt;""),IFERROR(TRIM(INDEX($A87:$AL87,MATCH(Lists!$F$4,$A$1:$AL$1,0))&amp;""),""),IF(IFERROR(TRIM(INDEX($A87:$AL87,MATCH(Lists!$F$3,$A$1:$AL$1,0))&amp;""),"")="","(no space)",IFERROR(TRIM(INDEX($A87:$AL87,MATCH(Lists!$F$3,$A$1:$AL$1,0))&amp;""),""))))</f>
        <v/>
      </c>
      <c r="AT87" s="22">
        <f>IF(IFERROR(TRIM(INDEX($A87:$AL87,MATCH(Lists!$F$2,$A$1:$AL$1,0))&amp;""),"")="",0,N(IFERROR(IF(TRIM(INDEX($A87:$AL87,MATCH(Lists!$F$5,$A$1:$AL$1,0))&amp;"")="","",IF(ISNUMBER(INDEX($A87:$AL87,MATCH(Lists!$F$5,$A$1:$AL$1,0))),INT(INDEX($A87:$AL87,MATCH(Lists!$F$5,$A$1:$AL$1,0))),DATE(VALUE(LEFT(INDEX($A87:$AL87,MATCH(Lists!$F$5,$A$1:$AL$1,0)),4)),VALUE(MID(INDEX($A87:$AL87,MATCH(Lists!$F$5,$A$1:$AL$1,0)),6,2)),VALUE(MID(INDEX($A87:$AL87,MATCH(Lists!$F$5,$A$1:$AL$1,0)),9,2))))),"")))</f>
        <v/>
      </c>
      <c r="AU87" s="21">
        <f>IF(IFERROR(TRIM(INDEX($A87:$AL87,MATCH(Lists!$F$2,$A$1:$AL$1,0))&amp;""),"")="",-1,IF(ISNUMBER(IFERROR(IF(TRIM(INDEX($A87:$AL87,MATCH(Lists!$F$6,$A$1:$AL$1,0))&amp;"")="","",IF(ISNUMBER(INDEX($A87:$AL87,MATCH(Lists!$F$6,$A$1:$AL$1,0))),ROUND(MOD(INDEX($A87:$AL87,MATCH(Lists!$F$6,$A$1:$AL$1,0)),1)*1440,0),VALUE(LEFT(INDEX($A87:$AL87,MATCH(Lists!$F$6,$A$1:$AL$1,0)),2))*60+VALUE(MID(INDEX($A87:$AL87,MATCH(Lists!$F$6,$A$1:$AL$1,0)),4,2)))),"")),IFERROR(IF(TRIM(INDEX($A87:$AL87,MATCH(Lists!$F$6,$A$1:$AL$1,0))&amp;"")="","",IF(ISNUMBER(INDEX($A87:$AL87,MATCH(Lists!$F$6,$A$1:$AL$1,0))),ROUND(MOD(INDEX($A87:$AL87,MATCH(Lists!$F$6,$A$1:$AL$1,0)),1)*1440,0),VALUE(LEFT(INDEX($A87:$AL87,MATCH(Lists!$F$6,$A$1:$AL$1,0)),2))*60+VALUE(MID(INDEX($A87:$AL87,MATCH(Lists!$F$6,$A$1:$AL$1,0)),4,2)))),""),-1))</f>
        <v/>
      </c>
      <c r="AV87" s="21">
        <f>IF(IFERROR(TRIM(INDEX($A87:$AL87,MATCH(Lists!$F$2,$A$1:$AL$1,0))&amp;""),"")="",-1,IF(ISNUMBER(IFERROR(IF(TRIM(INDEX($A87:$AL87,MATCH(Lists!$F$7,$A$1:$AL$1,0))&amp;"")="","",IF(ISNUMBER(INDEX($A87:$AL87,MATCH(Lists!$F$7,$A$1:$AL$1,0))),ROUND(MOD(INDEX($A87:$AL87,MATCH(Lists!$F$7,$A$1:$AL$1,0)),1)*1440,0),VALUE(LEFT(INDEX($A87:$AL87,MATCH(Lists!$F$7,$A$1:$AL$1,0)),2))*60+VALUE(MID(INDEX($A87:$AL87,MATCH(Lists!$F$7,$A$1:$AL$1,0)),4,2)))),"")),IFERROR(IF(TRIM(INDEX($A87:$AL87,MATCH(Lists!$F$7,$A$1:$AL$1,0))&amp;"")="","",IF(ISNUMBER(INDEX($A87:$AL87,MATCH(Lists!$F$7,$A$1:$AL$1,0))),ROUND(MOD(INDEX($A87:$AL87,MATCH(Lists!$F$7,$A$1:$AL$1,0)),1)*1440,0),VALUE(LEFT(INDEX($A87:$AL87,MATCH(Lists!$F$7,$A$1:$AL$1,0)),2))*60+VALUE(MID(INDEX($A87:$AL87,MATCH(Lists!$F$7,$A$1:$AL$1,0)),4,2)))),""),-1))</f>
        <v/>
      </c>
      <c r="AW87" s="21">
        <f>IF(IFERROR(TRIM(INDEX($A87:$AL87,MATCH(Lists!$F$2,$A$1:$AL$1,0))&amp;""),"")="","",IF(IFERROR(TRIM(INDEX($A87:$AL87,MATCH(Lists!$F$8,$A$1:$AL$1,0))&amp;""),"")&lt;&gt;"",IFERROR(TRIM(INDEX($A87:$AL87,MATCH(Lists!$F$8,$A$1:$AL$1,0))&amp;""),""),IFERROR(TRIM(INDEX($A87:$AL87,MATCH(Lists!$F$9,$A$1:$AL$1,0))&amp;""),"")))</f>
        <v/>
      </c>
      <c r="AX87" s="21">
        <f>IFERROR(IF(TRIM(INDEX($A87:$AL87,MATCH(Lists!$F$10,$A$1:$AL$1,0))&amp;"")="","",VALUE(TRIM(INDEX($A87:$AL87,MATCH(Lists!$F$10,$A$1:$AL$1,0))&amp;""))),"")</f>
        <v/>
      </c>
      <c r="AY87" s="21">
        <f>IF(IFERROR(TRIM(INDEX($A87:$AL87,MATCH(Lists!$F$2,$A$1:$AL$1,0))&amp;""),"")="","",IF(AN87="","New",AN87))</f>
        <v/>
      </c>
      <c r="AZ87" s="21">
        <f>IF(IFERROR(TRIM(INDEX($A87:$AL87,MATCH(Lists!$F$2,$A$1:$AL$1,0))&amp;""),"")="","",IF(OR(IFERROR(TRIM(INDEX($A87:$AL87,MATCH(Lists!$F$13,$A$1:$AL$1,0))&amp;""),"")="Paid",IFERROR(TRIM(INDEX($A87:$AL87,MATCH(Lists!$F$13,$A$1:$AL$1,0))&amp;""),"")="Partially refunded"),"Paid",IF(AP87="Yes","Paid (by hand)",IFERROR(TRIM(INDEX($A87:$AL87,MATCH(Lists!$F$13,$A$1:$AL$1,0))&amp;""),""))))</f>
        <v/>
      </c>
      <c r="BA87" s="21">
        <f>IF(AND(IFERROR(TRIM(INDEX($A87:$AL87,MATCH(Lists!$F$2,$A$1:$AL$1,0))&amp;""),"")&lt;&gt;"",AT87&gt;0,AU87&gt;=0,AV87&gt;AU87,AY87&lt;&gt;"Declined"),1,0)</f>
        <v/>
      </c>
      <c r="BB87" s="21">
        <f>IF(BA87=1,COUNTIFS($AS$2:$AS$501,AS87,$AT$2:$AT$501,AT87,$AU$2:$AU$501,"&lt;"&amp;AV87,$AV$2:$AV$501,"&gt;"&amp;AU87,$BA$2:$BA$501,1)-1,"")</f>
        <v/>
      </c>
      <c r="BC87" s="21">
        <f>IF(N(BB87)&gt;0,"Clashes with "&amp;INDEX($AW$2:$AW$501,SUMPRODUCT(MAX(($AS$2:$AS$501=AS87)*($AT$2:$AT$501=AT87)*($AU$2:$AU$501&lt;AV87)*($AV$2:$AV$501&gt;AU87)*($BA$2:$BA$501=1)*(ROW($AS$2:$AS$501)&lt;&gt;ROW())*ROW($AS$2:$AS$501)))-1)&amp;" ("&amp;INDEX($AY$2:$AY$501,SUMPRODUCT(MAX(($AS$2:$AS$501=AS87)*($AT$2:$AT$501=AT87)*($AU$2:$AU$501&lt;AV87)*($AV$2:$AV$501&gt;AU87)*($BA$2:$BA$501=1)*(ROW($AS$2:$AS$501)&lt;&gt;ROW())*ROW($AS$2:$AS$501)))-1)&amp;")"&amp;IF(BB87&gt;1," and "&amp;(BB87-1)&amp;" more",""),"")</f>
        <v/>
      </c>
      <c r="BD87" s="21">
        <f>IF(AND(BA87=1,AY87="Confirmed"),AT87*10000000+AU87*1000+ROW(),"")</f>
        <v/>
      </c>
      <c r="BE87" s="21">
        <f>IF(IFERROR(TRIM(INDEX($A87:$AL87,MATCH(Lists!$F$2,$A$1:$AL$1,0))&amp;""),"")="","",IFERROR(TRIM(INDEX($A87:$AL87,MATCH(Lists!$F$11,$A$1:$AL$1,0))&amp;""),""))</f>
        <v/>
      </c>
      <c r="BF87" s="21">
        <f>IF(IFERROR(TRIM(INDEX($A87:$AL87,MATCH(Lists!$F$2,$A$1:$AL$1,0))&amp;""),"")="","",IFERROR(TRIM(INDEX($A87:$AL87,MATCH(Lists!$F$12,$A$1:$AL$1,0))&amp;""),""))</f>
        <v/>
      </c>
    </row>
    <row r="88">
      <c r="AM88" s="19" t="n"/>
      <c r="AN88" s="23" t="n"/>
      <c r="AO88" s="23" t="n"/>
      <c r="AP88" s="23" t="n"/>
      <c r="AQ88" s="23" t="n"/>
      <c r="AR88" s="19" t="n"/>
      <c r="AS88" s="21">
        <f>IF(IFERROR(TRIM(INDEX($A88:$AL88,MATCH(Lists!$F$2,$A$1:$AL$1,0))&amp;""),"")="","",IF(AND(IFERROR(TRIM(INDEX($A88:$AL88,MATCH(Lists!$F$3,$A$1:$AL$1,0))&amp;""),"")="Other",IFERROR(TRIM(INDEX($A88:$AL88,MATCH(Lists!$F$4,$A$1:$AL$1,0))&amp;""),"")&lt;&gt;""),IFERROR(TRIM(INDEX($A88:$AL88,MATCH(Lists!$F$4,$A$1:$AL$1,0))&amp;""),""),IF(IFERROR(TRIM(INDEX($A88:$AL88,MATCH(Lists!$F$3,$A$1:$AL$1,0))&amp;""),"")="","(no space)",IFERROR(TRIM(INDEX($A88:$AL88,MATCH(Lists!$F$3,$A$1:$AL$1,0))&amp;""),""))))</f>
        <v/>
      </c>
      <c r="AT88" s="22">
        <f>IF(IFERROR(TRIM(INDEX($A88:$AL88,MATCH(Lists!$F$2,$A$1:$AL$1,0))&amp;""),"")="",0,N(IFERROR(IF(TRIM(INDEX($A88:$AL88,MATCH(Lists!$F$5,$A$1:$AL$1,0))&amp;"")="","",IF(ISNUMBER(INDEX($A88:$AL88,MATCH(Lists!$F$5,$A$1:$AL$1,0))),INT(INDEX($A88:$AL88,MATCH(Lists!$F$5,$A$1:$AL$1,0))),DATE(VALUE(LEFT(INDEX($A88:$AL88,MATCH(Lists!$F$5,$A$1:$AL$1,0)),4)),VALUE(MID(INDEX($A88:$AL88,MATCH(Lists!$F$5,$A$1:$AL$1,0)),6,2)),VALUE(MID(INDEX($A88:$AL88,MATCH(Lists!$F$5,$A$1:$AL$1,0)),9,2))))),"")))</f>
        <v/>
      </c>
      <c r="AU88" s="21">
        <f>IF(IFERROR(TRIM(INDEX($A88:$AL88,MATCH(Lists!$F$2,$A$1:$AL$1,0))&amp;""),"")="",-1,IF(ISNUMBER(IFERROR(IF(TRIM(INDEX($A88:$AL88,MATCH(Lists!$F$6,$A$1:$AL$1,0))&amp;"")="","",IF(ISNUMBER(INDEX($A88:$AL88,MATCH(Lists!$F$6,$A$1:$AL$1,0))),ROUND(MOD(INDEX($A88:$AL88,MATCH(Lists!$F$6,$A$1:$AL$1,0)),1)*1440,0),VALUE(LEFT(INDEX($A88:$AL88,MATCH(Lists!$F$6,$A$1:$AL$1,0)),2))*60+VALUE(MID(INDEX($A88:$AL88,MATCH(Lists!$F$6,$A$1:$AL$1,0)),4,2)))),"")),IFERROR(IF(TRIM(INDEX($A88:$AL88,MATCH(Lists!$F$6,$A$1:$AL$1,0))&amp;"")="","",IF(ISNUMBER(INDEX($A88:$AL88,MATCH(Lists!$F$6,$A$1:$AL$1,0))),ROUND(MOD(INDEX($A88:$AL88,MATCH(Lists!$F$6,$A$1:$AL$1,0)),1)*1440,0),VALUE(LEFT(INDEX($A88:$AL88,MATCH(Lists!$F$6,$A$1:$AL$1,0)),2))*60+VALUE(MID(INDEX($A88:$AL88,MATCH(Lists!$F$6,$A$1:$AL$1,0)),4,2)))),""),-1))</f>
        <v/>
      </c>
      <c r="AV88" s="21">
        <f>IF(IFERROR(TRIM(INDEX($A88:$AL88,MATCH(Lists!$F$2,$A$1:$AL$1,0))&amp;""),"")="",-1,IF(ISNUMBER(IFERROR(IF(TRIM(INDEX($A88:$AL88,MATCH(Lists!$F$7,$A$1:$AL$1,0))&amp;"")="","",IF(ISNUMBER(INDEX($A88:$AL88,MATCH(Lists!$F$7,$A$1:$AL$1,0))),ROUND(MOD(INDEX($A88:$AL88,MATCH(Lists!$F$7,$A$1:$AL$1,0)),1)*1440,0),VALUE(LEFT(INDEX($A88:$AL88,MATCH(Lists!$F$7,$A$1:$AL$1,0)),2))*60+VALUE(MID(INDEX($A88:$AL88,MATCH(Lists!$F$7,$A$1:$AL$1,0)),4,2)))),"")),IFERROR(IF(TRIM(INDEX($A88:$AL88,MATCH(Lists!$F$7,$A$1:$AL$1,0))&amp;"")="","",IF(ISNUMBER(INDEX($A88:$AL88,MATCH(Lists!$F$7,$A$1:$AL$1,0))),ROUND(MOD(INDEX($A88:$AL88,MATCH(Lists!$F$7,$A$1:$AL$1,0)),1)*1440,0),VALUE(LEFT(INDEX($A88:$AL88,MATCH(Lists!$F$7,$A$1:$AL$1,0)),2))*60+VALUE(MID(INDEX($A88:$AL88,MATCH(Lists!$F$7,$A$1:$AL$1,0)),4,2)))),""),-1))</f>
        <v/>
      </c>
      <c r="AW88" s="21">
        <f>IF(IFERROR(TRIM(INDEX($A88:$AL88,MATCH(Lists!$F$2,$A$1:$AL$1,0))&amp;""),"")="","",IF(IFERROR(TRIM(INDEX($A88:$AL88,MATCH(Lists!$F$8,$A$1:$AL$1,0))&amp;""),"")&lt;&gt;"",IFERROR(TRIM(INDEX($A88:$AL88,MATCH(Lists!$F$8,$A$1:$AL$1,0))&amp;""),""),IFERROR(TRIM(INDEX($A88:$AL88,MATCH(Lists!$F$9,$A$1:$AL$1,0))&amp;""),"")))</f>
        <v/>
      </c>
      <c r="AX88" s="21">
        <f>IFERROR(IF(TRIM(INDEX($A88:$AL88,MATCH(Lists!$F$10,$A$1:$AL$1,0))&amp;"")="","",VALUE(TRIM(INDEX($A88:$AL88,MATCH(Lists!$F$10,$A$1:$AL$1,0))&amp;""))),"")</f>
        <v/>
      </c>
      <c r="AY88" s="21">
        <f>IF(IFERROR(TRIM(INDEX($A88:$AL88,MATCH(Lists!$F$2,$A$1:$AL$1,0))&amp;""),"")="","",IF(AN88="","New",AN88))</f>
        <v/>
      </c>
      <c r="AZ88" s="21">
        <f>IF(IFERROR(TRIM(INDEX($A88:$AL88,MATCH(Lists!$F$2,$A$1:$AL$1,0))&amp;""),"")="","",IF(OR(IFERROR(TRIM(INDEX($A88:$AL88,MATCH(Lists!$F$13,$A$1:$AL$1,0))&amp;""),"")="Paid",IFERROR(TRIM(INDEX($A88:$AL88,MATCH(Lists!$F$13,$A$1:$AL$1,0))&amp;""),"")="Partially refunded"),"Paid",IF(AP88="Yes","Paid (by hand)",IFERROR(TRIM(INDEX($A88:$AL88,MATCH(Lists!$F$13,$A$1:$AL$1,0))&amp;""),""))))</f>
        <v/>
      </c>
      <c r="BA88" s="21">
        <f>IF(AND(IFERROR(TRIM(INDEX($A88:$AL88,MATCH(Lists!$F$2,$A$1:$AL$1,0))&amp;""),"")&lt;&gt;"",AT88&gt;0,AU88&gt;=0,AV88&gt;AU88,AY88&lt;&gt;"Declined"),1,0)</f>
        <v/>
      </c>
      <c r="BB88" s="21">
        <f>IF(BA88=1,COUNTIFS($AS$2:$AS$501,AS88,$AT$2:$AT$501,AT88,$AU$2:$AU$501,"&lt;"&amp;AV88,$AV$2:$AV$501,"&gt;"&amp;AU88,$BA$2:$BA$501,1)-1,"")</f>
        <v/>
      </c>
      <c r="BC88" s="21">
        <f>IF(N(BB88)&gt;0,"Clashes with "&amp;INDEX($AW$2:$AW$501,SUMPRODUCT(MAX(($AS$2:$AS$501=AS88)*($AT$2:$AT$501=AT88)*($AU$2:$AU$501&lt;AV88)*($AV$2:$AV$501&gt;AU88)*($BA$2:$BA$501=1)*(ROW($AS$2:$AS$501)&lt;&gt;ROW())*ROW($AS$2:$AS$501)))-1)&amp;" ("&amp;INDEX($AY$2:$AY$501,SUMPRODUCT(MAX(($AS$2:$AS$501=AS88)*($AT$2:$AT$501=AT88)*($AU$2:$AU$501&lt;AV88)*($AV$2:$AV$501&gt;AU88)*($BA$2:$BA$501=1)*(ROW($AS$2:$AS$501)&lt;&gt;ROW())*ROW($AS$2:$AS$501)))-1)&amp;")"&amp;IF(BB88&gt;1," and "&amp;(BB88-1)&amp;" more",""),"")</f>
        <v/>
      </c>
      <c r="BD88" s="21">
        <f>IF(AND(BA88=1,AY88="Confirmed"),AT88*10000000+AU88*1000+ROW(),"")</f>
        <v/>
      </c>
      <c r="BE88" s="21">
        <f>IF(IFERROR(TRIM(INDEX($A88:$AL88,MATCH(Lists!$F$2,$A$1:$AL$1,0))&amp;""),"")="","",IFERROR(TRIM(INDEX($A88:$AL88,MATCH(Lists!$F$11,$A$1:$AL$1,0))&amp;""),""))</f>
        <v/>
      </c>
      <c r="BF88" s="21">
        <f>IF(IFERROR(TRIM(INDEX($A88:$AL88,MATCH(Lists!$F$2,$A$1:$AL$1,0))&amp;""),"")="","",IFERROR(TRIM(INDEX($A88:$AL88,MATCH(Lists!$F$12,$A$1:$AL$1,0))&amp;""),""))</f>
        <v/>
      </c>
    </row>
    <row r="89">
      <c r="AM89" s="19" t="n"/>
      <c r="AN89" s="23" t="n"/>
      <c r="AO89" s="23" t="n"/>
      <c r="AP89" s="23" t="n"/>
      <c r="AQ89" s="23" t="n"/>
      <c r="AR89" s="19" t="n"/>
      <c r="AS89" s="21">
        <f>IF(IFERROR(TRIM(INDEX($A89:$AL89,MATCH(Lists!$F$2,$A$1:$AL$1,0))&amp;""),"")="","",IF(AND(IFERROR(TRIM(INDEX($A89:$AL89,MATCH(Lists!$F$3,$A$1:$AL$1,0))&amp;""),"")="Other",IFERROR(TRIM(INDEX($A89:$AL89,MATCH(Lists!$F$4,$A$1:$AL$1,0))&amp;""),"")&lt;&gt;""),IFERROR(TRIM(INDEX($A89:$AL89,MATCH(Lists!$F$4,$A$1:$AL$1,0))&amp;""),""),IF(IFERROR(TRIM(INDEX($A89:$AL89,MATCH(Lists!$F$3,$A$1:$AL$1,0))&amp;""),"")="","(no space)",IFERROR(TRIM(INDEX($A89:$AL89,MATCH(Lists!$F$3,$A$1:$AL$1,0))&amp;""),""))))</f>
        <v/>
      </c>
      <c r="AT89" s="22">
        <f>IF(IFERROR(TRIM(INDEX($A89:$AL89,MATCH(Lists!$F$2,$A$1:$AL$1,0))&amp;""),"")="",0,N(IFERROR(IF(TRIM(INDEX($A89:$AL89,MATCH(Lists!$F$5,$A$1:$AL$1,0))&amp;"")="","",IF(ISNUMBER(INDEX($A89:$AL89,MATCH(Lists!$F$5,$A$1:$AL$1,0))),INT(INDEX($A89:$AL89,MATCH(Lists!$F$5,$A$1:$AL$1,0))),DATE(VALUE(LEFT(INDEX($A89:$AL89,MATCH(Lists!$F$5,$A$1:$AL$1,0)),4)),VALUE(MID(INDEX($A89:$AL89,MATCH(Lists!$F$5,$A$1:$AL$1,0)),6,2)),VALUE(MID(INDEX($A89:$AL89,MATCH(Lists!$F$5,$A$1:$AL$1,0)),9,2))))),"")))</f>
        <v/>
      </c>
      <c r="AU89" s="21">
        <f>IF(IFERROR(TRIM(INDEX($A89:$AL89,MATCH(Lists!$F$2,$A$1:$AL$1,0))&amp;""),"")="",-1,IF(ISNUMBER(IFERROR(IF(TRIM(INDEX($A89:$AL89,MATCH(Lists!$F$6,$A$1:$AL$1,0))&amp;"")="","",IF(ISNUMBER(INDEX($A89:$AL89,MATCH(Lists!$F$6,$A$1:$AL$1,0))),ROUND(MOD(INDEX($A89:$AL89,MATCH(Lists!$F$6,$A$1:$AL$1,0)),1)*1440,0),VALUE(LEFT(INDEX($A89:$AL89,MATCH(Lists!$F$6,$A$1:$AL$1,0)),2))*60+VALUE(MID(INDEX($A89:$AL89,MATCH(Lists!$F$6,$A$1:$AL$1,0)),4,2)))),"")),IFERROR(IF(TRIM(INDEX($A89:$AL89,MATCH(Lists!$F$6,$A$1:$AL$1,0))&amp;"")="","",IF(ISNUMBER(INDEX($A89:$AL89,MATCH(Lists!$F$6,$A$1:$AL$1,0))),ROUND(MOD(INDEX($A89:$AL89,MATCH(Lists!$F$6,$A$1:$AL$1,0)),1)*1440,0),VALUE(LEFT(INDEX($A89:$AL89,MATCH(Lists!$F$6,$A$1:$AL$1,0)),2))*60+VALUE(MID(INDEX($A89:$AL89,MATCH(Lists!$F$6,$A$1:$AL$1,0)),4,2)))),""),-1))</f>
        <v/>
      </c>
      <c r="AV89" s="21">
        <f>IF(IFERROR(TRIM(INDEX($A89:$AL89,MATCH(Lists!$F$2,$A$1:$AL$1,0))&amp;""),"")="",-1,IF(ISNUMBER(IFERROR(IF(TRIM(INDEX($A89:$AL89,MATCH(Lists!$F$7,$A$1:$AL$1,0))&amp;"")="","",IF(ISNUMBER(INDEX($A89:$AL89,MATCH(Lists!$F$7,$A$1:$AL$1,0))),ROUND(MOD(INDEX($A89:$AL89,MATCH(Lists!$F$7,$A$1:$AL$1,0)),1)*1440,0),VALUE(LEFT(INDEX($A89:$AL89,MATCH(Lists!$F$7,$A$1:$AL$1,0)),2))*60+VALUE(MID(INDEX($A89:$AL89,MATCH(Lists!$F$7,$A$1:$AL$1,0)),4,2)))),"")),IFERROR(IF(TRIM(INDEX($A89:$AL89,MATCH(Lists!$F$7,$A$1:$AL$1,0))&amp;"")="","",IF(ISNUMBER(INDEX($A89:$AL89,MATCH(Lists!$F$7,$A$1:$AL$1,0))),ROUND(MOD(INDEX($A89:$AL89,MATCH(Lists!$F$7,$A$1:$AL$1,0)),1)*1440,0),VALUE(LEFT(INDEX($A89:$AL89,MATCH(Lists!$F$7,$A$1:$AL$1,0)),2))*60+VALUE(MID(INDEX($A89:$AL89,MATCH(Lists!$F$7,$A$1:$AL$1,0)),4,2)))),""),-1))</f>
        <v/>
      </c>
      <c r="AW89" s="21">
        <f>IF(IFERROR(TRIM(INDEX($A89:$AL89,MATCH(Lists!$F$2,$A$1:$AL$1,0))&amp;""),"")="","",IF(IFERROR(TRIM(INDEX($A89:$AL89,MATCH(Lists!$F$8,$A$1:$AL$1,0))&amp;""),"")&lt;&gt;"",IFERROR(TRIM(INDEX($A89:$AL89,MATCH(Lists!$F$8,$A$1:$AL$1,0))&amp;""),""),IFERROR(TRIM(INDEX($A89:$AL89,MATCH(Lists!$F$9,$A$1:$AL$1,0))&amp;""),"")))</f>
        <v/>
      </c>
      <c r="AX89" s="21">
        <f>IFERROR(IF(TRIM(INDEX($A89:$AL89,MATCH(Lists!$F$10,$A$1:$AL$1,0))&amp;"")="","",VALUE(TRIM(INDEX($A89:$AL89,MATCH(Lists!$F$10,$A$1:$AL$1,0))&amp;""))),"")</f>
        <v/>
      </c>
      <c r="AY89" s="21">
        <f>IF(IFERROR(TRIM(INDEX($A89:$AL89,MATCH(Lists!$F$2,$A$1:$AL$1,0))&amp;""),"")="","",IF(AN89="","New",AN89))</f>
        <v/>
      </c>
      <c r="AZ89" s="21">
        <f>IF(IFERROR(TRIM(INDEX($A89:$AL89,MATCH(Lists!$F$2,$A$1:$AL$1,0))&amp;""),"")="","",IF(OR(IFERROR(TRIM(INDEX($A89:$AL89,MATCH(Lists!$F$13,$A$1:$AL$1,0))&amp;""),"")="Paid",IFERROR(TRIM(INDEX($A89:$AL89,MATCH(Lists!$F$13,$A$1:$AL$1,0))&amp;""),"")="Partially refunded"),"Paid",IF(AP89="Yes","Paid (by hand)",IFERROR(TRIM(INDEX($A89:$AL89,MATCH(Lists!$F$13,$A$1:$AL$1,0))&amp;""),""))))</f>
        <v/>
      </c>
      <c r="BA89" s="21">
        <f>IF(AND(IFERROR(TRIM(INDEX($A89:$AL89,MATCH(Lists!$F$2,$A$1:$AL$1,0))&amp;""),"")&lt;&gt;"",AT89&gt;0,AU89&gt;=0,AV89&gt;AU89,AY89&lt;&gt;"Declined"),1,0)</f>
        <v/>
      </c>
      <c r="BB89" s="21">
        <f>IF(BA89=1,COUNTIFS($AS$2:$AS$501,AS89,$AT$2:$AT$501,AT89,$AU$2:$AU$501,"&lt;"&amp;AV89,$AV$2:$AV$501,"&gt;"&amp;AU89,$BA$2:$BA$501,1)-1,"")</f>
        <v/>
      </c>
      <c r="BC89" s="21">
        <f>IF(N(BB89)&gt;0,"Clashes with "&amp;INDEX($AW$2:$AW$501,SUMPRODUCT(MAX(($AS$2:$AS$501=AS89)*($AT$2:$AT$501=AT89)*($AU$2:$AU$501&lt;AV89)*($AV$2:$AV$501&gt;AU89)*($BA$2:$BA$501=1)*(ROW($AS$2:$AS$501)&lt;&gt;ROW())*ROW($AS$2:$AS$501)))-1)&amp;" ("&amp;INDEX($AY$2:$AY$501,SUMPRODUCT(MAX(($AS$2:$AS$501=AS89)*($AT$2:$AT$501=AT89)*($AU$2:$AU$501&lt;AV89)*($AV$2:$AV$501&gt;AU89)*($BA$2:$BA$501=1)*(ROW($AS$2:$AS$501)&lt;&gt;ROW())*ROW($AS$2:$AS$501)))-1)&amp;")"&amp;IF(BB89&gt;1," and "&amp;(BB89-1)&amp;" more",""),"")</f>
        <v/>
      </c>
      <c r="BD89" s="21">
        <f>IF(AND(BA89=1,AY89="Confirmed"),AT89*10000000+AU89*1000+ROW(),"")</f>
        <v/>
      </c>
      <c r="BE89" s="21">
        <f>IF(IFERROR(TRIM(INDEX($A89:$AL89,MATCH(Lists!$F$2,$A$1:$AL$1,0))&amp;""),"")="","",IFERROR(TRIM(INDEX($A89:$AL89,MATCH(Lists!$F$11,$A$1:$AL$1,0))&amp;""),""))</f>
        <v/>
      </c>
      <c r="BF89" s="21">
        <f>IF(IFERROR(TRIM(INDEX($A89:$AL89,MATCH(Lists!$F$2,$A$1:$AL$1,0))&amp;""),"")="","",IFERROR(TRIM(INDEX($A89:$AL89,MATCH(Lists!$F$12,$A$1:$AL$1,0))&amp;""),""))</f>
        <v/>
      </c>
    </row>
    <row r="90">
      <c r="AM90" s="19" t="n"/>
      <c r="AN90" s="23" t="n"/>
      <c r="AO90" s="23" t="n"/>
      <c r="AP90" s="23" t="n"/>
      <c r="AQ90" s="23" t="n"/>
      <c r="AR90" s="19" t="n"/>
      <c r="AS90" s="21">
        <f>IF(IFERROR(TRIM(INDEX($A90:$AL90,MATCH(Lists!$F$2,$A$1:$AL$1,0))&amp;""),"")="","",IF(AND(IFERROR(TRIM(INDEX($A90:$AL90,MATCH(Lists!$F$3,$A$1:$AL$1,0))&amp;""),"")="Other",IFERROR(TRIM(INDEX($A90:$AL90,MATCH(Lists!$F$4,$A$1:$AL$1,0))&amp;""),"")&lt;&gt;""),IFERROR(TRIM(INDEX($A90:$AL90,MATCH(Lists!$F$4,$A$1:$AL$1,0))&amp;""),""),IF(IFERROR(TRIM(INDEX($A90:$AL90,MATCH(Lists!$F$3,$A$1:$AL$1,0))&amp;""),"")="","(no space)",IFERROR(TRIM(INDEX($A90:$AL90,MATCH(Lists!$F$3,$A$1:$AL$1,0))&amp;""),""))))</f>
        <v/>
      </c>
      <c r="AT90" s="22">
        <f>IF(IFERROR(TRIM(INDEX($A90:$AL90,MATCH(Lists!$F$2,$A$1:$AL$1,0))&amp;""),"")="",0,N(IFERROR(IF(TRIM(INDEX($A90:$AL90,MATCH(Lists!$F$5,$A$1:$AL$1,0))&amp;"")="","",IF(ISNUMBER(INDEX($A90:$AL90,MATCH(Lists!$F$5,$A$1:$AL$1,0))),INT(INDEX($A90:$AL90,MATCH(Lists!$F$5,$A$1:$AL$1,0))),DATE(VALUE(LEFT(INDEX($A90:$AL90,MATCH(Lists!$F$5,$A$1:$AL$1,0)),4)),VALUE(MID(INDEX($A90:$AL90,MATCH(Lists!$F$5,$A$1:$AL$1,0)),6,2)),VALUE(MID(INDEX($A90:$AL90,MATCH(Lists!$F$5,$A$1:$AL$1,0)),9,2))))),"")))</f>
        <v/>
      </c>
      <c r="AU90" s="21">
        <f>IF(IFERROR(TRIM(INDEX($A90:$AL90,MATCH(Lists!$F$2,$A$1:$AL$1,0))&amp;""),"")="",-1,IF(ISNUMBER(IFERROR(IF(TRIM(INDEX($A90:$AL90,MATCH(Lists!$F$6,$A$1:$AL$1,0))&amp;"")="","",IF(ISNUMBER(INDEX($A90:$AL90,MATCH(Lists!$F$6,$A$1:$AL$1,0))),ROUND(MOD(INDEX($A90:$AL90,MATCH(Lists!$F$6,$A$1:$AL$1,0)),1)*1440,0),VALUE(LEFT(INDEX($A90:$AL90,MATCH(Lists!$F$6,$A$1:$AL$1,0)),2))*60+VALUE(MID(INDEX($A90:$AL90,MATCH(Lists!$F$6,$A$1:$AL$1,0)),4,2)))),"")),IFERROR(IF(TRIM(INDEX($A90:$AL90,MATCH(Lists!$F$6,$A$1:$AL$1,0))&amp;"")="","",IF(ISNUMBER(INDEX($A90:$AL90,MATCH(Lists!$F$6,$A$1:$AL$1,0))),ROUND(MOD(INDEX($A90:$AL90,MATCH(Lists!$F$6,$A$1:$AL$1,0)),1)*1440,0),VALUE(LEFT(INDEX($A90:$AL90,MATCH(Lists!$F$6,$A$1:$AL$1,0)),2))*60+VALUE(MID(INDEX($A90:$AL90,MATCH(Lists!$F$6,$A$1:$AL$1,0)),4,2)))),""),-1))</f>
        <v/>
      </c>
      <c r="AV90" s="21">
        <f>IF(IFERROR(TRIM(INDEX($A90:$AL90,MATCH(Lists!$F$2,$A$1:$AL$1,0))&amp;""),"")="",-1,IF(ISNUMBER(IFERROR(IF(TRIM(INDEX($A90:$AL90,MATCH(Lists!$F$7,$A$1:$AL$1,0))&amp;"")="","",IF(ISNUMBER(INDEX($A90:$AL90,MATCH(Lists!$F$7,$A$1:$AL$1,0))),ROUND(MOD(INDEX($A90:$AL90,MATCH(Lists!$F$7,$A$1:$AL$1,0)),1)*1440,0),VALUE(LEFT(INDEX($A90:$AL90,MATCH(Lists!$F$7,$A$1:$AL$1,0)),2))*60+VALUE(MID(INDEX($A90:$AL90,MATCH(Lists!$F$7,$A$1:$AL$1,0)),4,2)))),"")),IFERROR(IF(TRIM(INDEX($A90:$AL90,MATCH(Lists!$F$7,$A$1:$AL$1,0))&amp;"")="","",IF(ISNUMBER(INDEX($A90:$AL90,MATCH(Lists!$F$7,$A$1:$AL$1,0))),ROUND(MOD(INDEX($A90:$AL90,MATCH(Lists!$F$7,$A$1:$AL$1,0)),1)*1440,0),VALUE(LEFT(INDEX($A90:$AL90,MATCH(Lists!$F$7,$A$1:$AL$1,0)),2))*60+VALUE(MID(INDEX($A90:$AL90,MATCH(Lists!$F$7,$A$1:$AL$1,0)),4,2)))),""),-1))</f>
        <v/>
      </c>
      <c r="AW90" s="21">
        <f>IF(IFERROR(TRIM(INDEX($A90:$AL90,MATCH(Lists!$F$2,$A$1:$AL$1,0))&amp;""),"")="","",IF(IFERROR(TRIM(INDEX($A90:$AL90,MATCH(Lists!$F$8,$A$1:$AL$1,0))&amp;""),"")&lt;&gt;"",IFERROR(TRIM(INDEX($A90:$AL90,MATCH(Lists!$F$8,$A$1:$AL$1,0))&amp;""),""),IFERROR(TRIM(INDEX($A90:$AL90,MATCH(Lists!$F$9,$A$1:$AL$1,0))&amp;""),"")))</f>
        <v/>
      </c>
      <c r="AX90" s="21">
        <f>IFERROR(IF(TRIM(INDEX($A90:$AL90,MATCH(Lists!$F$10,$A$1:$AL$1,0))&amp;"")="","",VALUE(TRIM(INDEX($A90:$AL90,MATCH(Lists!$F$10,$A$1:$AL$1,0))&amp;""))),"")</f>
        <v/>
      </c>
      <c r="AY90" s="21">
        <f>IF(IFERROR(TRIM(INDEX($A90:$AL90,MATCH(Lists!$F$2,$A$1:$AL$1,0))&amp;""),"")="","",IF(AN90="","New",AN90))</f>
        <v/>
      </c>
      <c r="AZ90" s="21">
        <f>IF(IFERROR(TRIM(INDEX($A90:$AL90,MATCH(Lists!$F$2,$A$1:$AL$1,0))&amp;""),"")="","",IF(OR(IFERROR(TRIM(INDEX($A90:$AL90,MATCH(Lists!$F$13,$A$1:$AL$1,0))&amp;""),"")="Paid",IFERROR(TRIM(INDEX($A90:$AL90,MATCH(Lists!$F$13,$A$1:$AL$1,0))&amp;""),"")="Partially refunded"),"Paid",IF(AP90="Yes","Paid (by hand)",IFERROR(TRIM(INDEX($A90:$AL90,MATCH(Lists!$F$13,$A$1:$AL$1,0))&amp;""),""))))</f>
        <v/>
      </c>
      <c r="BA90" s="21">
        <f>IF(AND(IFERROR(TRIM(INDEX($A90:$AL90,MATCH(Lists!$F$2,$A$1:$AL$1,0))&amp;""),"")&lt;&gt;"",AT90&gt;0,AU90&gt;=0,AV90&gt;AU90,AY90&lt;&gt;"Declined"),1,0)</f>
        <v/>
      </c>
      <c r="BB90" s="21">
        <f>IF(BA90=1,COUNTIFS($AS$2:$AS$501,AS90,$AT$2:$AT$501,AT90,$AU$2:$AU$501,"&lt;"&amp;AV90,$AV$2:$AV$501,"&gt;"&amp;AU90,$BA$2:$BA$501,1)-1,"")</f>
        <v/>
      </c>
      <c r="BC90" s="21">
        <f>IF(N(BB90)&gt;0,"Clashes with "&amp;INDEX($AW$2:$AW$501,SUMPRODUCT(MAX(($AS$2:$AS$501=AS90)*($AT$2:$AT$501=AT90)*($AU$2:$AU$501&lt;AV90)*($AV$2:$AV$501&gt;AU90)*($BA$2:$BA$501=1)*(ROW($AS$2:$AS$501)&lt;&gt;ROW())*ROW($AS$2:$AS$501)))-1)&amp;" ("&amp;INDEX($AY$2:$AY$501,SUMPRODUCT(MAX(($AS$2:$AS$501=AS90)*($AT$2:$AT$501=AT90)*($AU$2:$AU$501&lt;AV90)*($AV$2:$AV$501&gt;AU90)*($BA$2:$BA$501=1)*(ROW($AS$2:$AS$501)&lt;&gt;ROW())*ROW($AS$2:$AS$501)))-1)&amp;")"&amp;IF(BB90&gt;1," and "&amp;(BB90-1)&amp;" more",""),"")</f>
        <v/>
      </c>
      <c r="BD90" s="21">
        <f>IF(AND(BA90=1,AY90="Confirmed"),AT90*10000000+AU90*1000+ROW(),"")</f>
        <v/>
      </c>
      <c r="BE90" s="21">
        <f>IF(IFERROR(TRIM(INDEX($A90:$AL90,MATCH(Lists!$F$2,$A$1:$AL$1,0))&amp;""),"")="","",IFERROR(TRIM(INDEX($A90:$AL90,MATCH(Lists!$F$11,$A$1:$AL$1,0))&amp;""),""))</f>
        <v/>
      </c>
      <c r="BF90" s="21">
        <f>IF(IFERROR(TRIM(INDEX($A90:$AL90,MATCH(Lists!$F$2,$A$1:$AL$1,0))&amp;""),"")="","",IFERROR(TRIM(INDEX($A90:$AL90,MATCH(Lists!$F$12,$A$1:$AL$1,0))&amp;""),""))</f>
        <v/>
      </c>
    </row>
    <row r="91">
      <c r="AM91" s="19" t="n"/>
      <c r="AN91" s="23" t="n"/>
      <c r="AO91" s="23" t="n"/>
      <c r="AP91" s="23" t="n"/>
      <c r="AQ91" s="23" t="n"/>
      <c r="AR91" s="19" t="n"/>
      <c r="AS91" s="21">
        <f>IF(IFERROR(TRIM(INDEX($A91:$AL91,MATCH(Lists!$F$2,$A$1:$AL$1,0))&amp;""),"")="","",IF(AND(IFERROR(TRIM(INDEX($A91:$AL91,MATCH(Lists!$F$3,$A$1:$AL$1,0))&amp;""),"")="Other",IFERROR(TRIM(INDEX($A91:$AL91,MATCH(Lists!$F$4,$A$1:$AL$1,0))&amp;""),"")&lt;&gt;""),IFERROR(TRIM(INDEX($A91:$AL91,MATCH(Lists!$F$4,$A$1:$AL$1,0))&amp;""),""),IF(IFERROR(TRIM(INDEX($A91:$AL91,MATCH(Lists!$F$3,$A$1:$AL$1,0))&amp;""),"")="","(no space)",IFERROR(TRIM(INDEX($A91:$AL91,MATCH(Lists!$F$3,$A$1:$AL$1,0))&amp;""),""))))</f>
        <v/>
      </c>
      <c r="AT91" s="22">
        <f>IF(IFERROR(TRIM(INDEX($A91:$AL91,MATCH(Lists!$F$2,$A$1:$AL$1,0))&amp;""),"")="",0,N(IFERROR(IF(TRIM(INDEX($A91:$AL91,MATCH(Lists!$F$5,$A$1:$AL$1,0))&amp;"")="","",IF(ISNUMBER(INDEX($A91:$AL91,MATCH(Lists!$F$5,$A$1:$AL$1,0))),INT(INDEX($A91:$AL91,MATCH(Lists!$F$5,$A$1:$AL$1,0))),DATE(VALUE(LEFT(INDEX($A91:$AL91,MATCH(Lists!$F$5,$A$1:$AL$1,0)),4)),VALUE(MID(INDEX($A91:$AL91,MATCH(Lists!$F$5,$A$1:$AL$1,0)),6,2)),VALUE(MID(INDEX($A91:$AL91,MATCH(Lists!$F$5,$A$1:$AL$1,0)),9,2))))),"")))</f>
        <v/>
      </c>
      <c r="AU91" s="21">
        <f>IF(IFERROR(TRIM(INDEX($A91:$AL91,MATCH(Lists!$F$2,$A$1:$AL$1,0))&amp;""),"")="",-1,IF(ISNUMBER(IFERROR(IF(TRIM(INDEX($A91:$AL91,MATCH(Lists!$F$6,$A$1:$AL$1,0))&amp;"")="","",IF(ISNUMBER(INDEX($A91:$AL91,MATCH(Lists!$F$6,$A$1:$AL$1,0))),ROUND(MOD(INDEX($A91:$AL91,MATCH(Lists!$F$6,$A$1:$AL$1,0)),1)*1440,0),VALUE(LEFT(INDEX($A91:$AL91,MATCH(Lists!$F$6,$A$1:$AL$1,0)),2))*60+VALUE(MID(INDEX($A91:$AL91,MATCH(Lists!$F$6,$A$1:$AL$1,0)),4,2)))),"")),IFERROR(IF(TRIM(INDEX($A91:$AL91,MATCH(Lists!$F$6,$A$1:$AL$1,0))&amp;"")="","",IF(ISNUMBER(INDEX($A91:$AL91,MATCH(Lists!$F$6,$A$1:$AL$1,0))),ROUND(MOD(INDEX($A91:$AL91,MATCH(Lists!$F$6,$A$1:$AL$1,0)),1)*1440,0),VALUE(LEFT(INDEX($A91:$AL91,MATCH(Lists!$F$6,$A$1:$AL$1,0)),2))*60+VALUE(MID(INDEX($A91:$AL91,MATCH(Lists!$F$6,$A$1:$AL$1,0)),4,2)))),""),-1))</f>
        <v/>
      </c>
      <c r="AV91" s="21">
        <f>IF(IFERROR(TRIM(INDEX($A91:$AL91,MATCH(Lists!$F$2,$A$1:$AL$1,0))&amp;""),"")="",-1,IF(ISNUMBER(IFERROR(IF(TRIM(INDEX($A91:$AL91,MATCH(Lists!$F$7,$A$1:$AL$1,0))&amp;"")="","",IF(ISNUMBER(INDEX($A91:$AL91,MATCH(Lists!$F$7,$A$1:$AL$1,0))),ROUND(MOD(INDEX($A91:$AL91,MATCH(Lists!$F$7,$A$1:$AL$1,0)),1)*1440,0),VALUE(LEFT(INDEX($A91:$AL91,MATCH(Lists!$F$7,$A$1:$AL$1,0)),2))*60+VALUE(MID(INDEX($A91:$AL91,MATCH(Lists!$F$7,$A$1:$AL$1,0)),4,2)))),"")),IFERROR(IF(TRIM(INDEX($A91:$AL91,MATCH(Lists!$F$7,$A$1:$AL$1,0))&amp;"")="","",IF(ISNUMBER(INDEX($A91:$AL91,MATCH(Lists!$F$7,$A$1:$AL$1,0))),ROUND(MOD(INDEX($A91:$AL91,MATCH(Lists!$F$7,$A$1:$AL$1,0)),1)*1440,0),VALUE(LEFT(INDEX($A91:$AL91,MATCH(Lists!$F$7,$A$1:$AL$1,0)),2))*60+VALUE(MID(INDEX($A91:$AL91,MATCH(Lists!$F$7,$A$1:$AL$1,0)),4,2)))),""),-1))</f>
        <v/>
      </c>
      <c r="AW91" s="21">
        <f>IF(IFERROR(TRIM(INDEX($A91:$AL91,MATCH(Lists!$F$2,$A$1:$AL$1,0))&amp;""),"")="","",IF(IFERROR(TRIM(INDEX($A91:$AL91,MATCH(Lists!$F$8,$A$1:$AL$1,0))&amp;""),"")&lt;&gt;"",IFERROR(TRIM(INDEX($A91:$AL91,MATCH(Lists!$F$8,$A$1:$AL$1,0))&amp;""),""),IFERROR(TRIM(INDEX($A91:$AL91,MATCH(Lists!$F$9,$A$1:$AL$1,0))&amp;""),"")))</f>
        <v/>
      </c>
      <c r="AX91" s="21">
        <f>IFERROR(IF(TRIM(INDEX($A91:$AL91,MATCH(Lists!$F$10,$A$1:$AL$1,0))&amp;"")="","",VALUE(TRIM(INDEX($A91:$AL91,MATCH(Lists!$F$10,$A$1:$AL$1,0))&amp;""))),"")</f>
        <v/>
      </c>
      <c r="AY91" s="21">
        <f>IF(IFERROR(TRIM(INDEX($A91:$AL91,MATCH(Lists!$F$2,$A$1:$AL$1,0))&amp;""),"")="","",IF(AN91="","New",AN91))</f>
        <v/>
      </c>
      <c r="AZ91" s="21">
        <f>IF(IFERROR(TRIM(INDEX($A91:$AL91,MATCH(Lists!$F$2,$A$1:$AL$1,0))&amp;""),"")="","",IF(OR(IFERROR(TRIM(INDEX($A91:$AL91,MATCH(Lists!$F$13,$A$1:$AL$1,0))&amp;""),"")="Paid",IFERROR(TRIM(INDEX($A91:$AL91,MATCH(Lists!$F$13,$A$1:$AL$1,0))&amp;""),"")="Partially refunded"),"Paid",IF(AP91="Yes","Paid (by hand)",IFERROR(TRIM(INDEX($A91:$AL91,MATCH(Lists!$F$13,$A$1:$AL$1,0))&amp;""),""))))</f>
        <v/>
      </c>
      <c r="BA91" s="21">
        <f>IF(AND(IFERROR(TRIM(INDEX($A91:$AL91,MATCH(Lists!$F$2,$A$1:$AL$1,0))&amp;""),"")&lt;&gt;"",AT91&gt;0,AU91&gt;=0,AV91&gt;AU91,AY91&lt;&gt;"Declined"),1,0)</f>
        <v/>
      </c>
      <c r="BB91" s="21">
        <f>IF(BA91=1,COUNTIFS($AS$2:$AS$501,AS91,$AT$2:$AT$501,AT91,$AU$2:$AU$501,"&lt;"&amp;AV91,$AV$2:$AV$501,"&gt;"&amp;AU91,$BA$2:$BA$501,1)-1,"")</f>
        <v/>
      </c>
      <c r="BC91" s="21">
        <f>IF(N(BB91)&gt;0,"Clashes with "&amp;INDEX($AW$2:$AW$501,SUMPRODUCT(MAX(($AS$2:$AS$501=AS91)*($AT$2:$AT$501=AT91)*($AU$2:$AU$501&lt;AV91)*($AV$2:$AV$501&gt;AU91)*($BA$2:$BA$501=1)*(ROW($AS$2:$AS$501)&lt;&gt;ROW())*ROW($AS$2:$AS$501)))-1)&amp;" ("&amp;INDEX($AY$2:$AY$501,SUMPRODUCT(MAX(($AS$2:$AS$501=AS91)*($AT$2:$AT$501=AT91)*($AU$2:$AU$501&lt;AV91)*($AV$2:$AV$501&gt;AU91)*($BA$2:$BA$501=1)*(ROW($AS$2:$AS$501)&lt;&gt;ROW())*ROW($AS$2:$AS$501)))-1)&amp;")"&amp;IF(BB91&gt;1," and "&amp;(BB91-1)&amp;" more",""),"")</f>
        <v/>
      </c>
      <c r="BD91" s="21">
        <f>IF(AND(BA91=1,AY91="Confirmed"),AT91*10000000+AU91*1000+ROW(),"")</f>
        <v/>
      </c>
      <c r="BE91" s="21">
        <f>IF(IFERROR(TRIM(INDEX($A91:$AL91,MATCH(Lists!$F$2,$A$1:$AL$1,0))&amp;""),"")="","",IFERROR(TRIM(INDEX($A91:$AL91,MATCH(Lists!$F$11,$A$1:$AL$1,0))&amp;""),""))</f>
        <v/>
      </c>
      <c r="BF91" s="21">
        <f>IF(IFERROR(TRIM(INDEX($A91:$AL91,MATCH(Lists!$F$2,$A$1:$AL$1,0))&amp;""),"")="","",IFERROR(TRIM(INDEX($A91:$AL91,MATCH(Lists!$F$12,$A$1:$AL$1,0))&amp;""),""))</f>
        <v/>
      </c>
    </row>
    <row r="92">
      <c r="AM92" s="19" t="n"/>
      <c r="AN92" s="23" t="n"/>
      <c r="AO92" s="23" t="n"/>
      <c r="AP92" s="23" t="n"/>
      <c r="AQ92" s="23" t="n"/>
      <c r="AR92" s="19" t="n"/>
      <c r="AS92" s="21">
        <f>IF(IFERROR(TRIM(INDEX($A92:$AL92,MATCH(Lists!$F$2,$A$1:$AL$1,0))&amp;""),"")="","",IF(AND(IFERROR(TRIM(INDEX($A92:$AL92,MATCH(Lists!$F$3,$A$1:$AL$1,0))&amp;""),"")="Other",IFERROR(TRIM(INDEX($A92:$AL92,MATCH(Lists!$F$4,$A$1:$AL$1,0))&amp;""),"")&lt;&gt;""),IFERROR(TRIM(INDEX($A92:$AL92,MATCH(Lists!$F$4,$A$1:$AL$1,0))&amp;""),""),IF(IFERROR(TRIM(INDEX($A92:$AL92,MATCH(Lists!$F$3,$A$1:$AL$1,0))&amp;""),"")="","(no space)",IFERROR(TRIM(INDEX($A92:$AL92,MATCH(Lists!$F$3,$A$1:$AL$1,0))&amp;""),""))))</f>
        <v/>
      </c>
      <c r="AT92" s="22">
        <f>IF(IFERROR(TRIM(INDEX($A92:$AL92,MATCH(Lists!$F$2,$A$1:$AL$1,0))&amp;""),"")="",0,N(IFERROR(IF(TRIM(INDEX($A92:$AL92,MATCH(Lists!$F$5,$A$1:$AL$1,0))&amp;"")="","",IF(ISNUMBER(INDEX($A92:$AL92,MATCH(Lists!$F$5,$A$1:$AL$1,0))),INT(INDEX($A92:$AL92,MATCH(Lists!$F$5,$A$1:$AL$1,0))),DATE(VALUE(LEFT(INDEX($A92:$AL92,MATCH(Lists!$F$5,$A$1:$AL$1,0)),4)),VALUE(MID(INDEX($A92:$AL92,MATCH(Lists!$F$5,$A$1:$AL$1,0)),6,2)),VALUE(MID(INDEX($A92:$AL92,MATCH(Lists!$F$5,$A$1:$AL$1,0)),9,2))))),"")))</f>
        <v/>
      </c>
      <c r="AU92" s="21">
        <f>IF(IFERROR(TRIM(INDEX($A92:$AL92,MATCH(Lists!$F$2,$A$1:$AL$1,0))&amp;""),"")="",-1,IF(ISNUMBER(IFERROR(IF(TRIM(INDEX($A92:$AL92,MATCH(Lists!$F$6,$A$1:$AL$1,0))&amp;"")="","",IF(ISNUMBER(INDEX($A92:$AL92,MATCH(Lists!$F$6,$A$1:$AL$1,0))),ROUND(MOD(INDEX($A92:$AL92,MATCH(Lists!$F$6,$A$1:$AL$1,0)),1)*1440,0),VALUE(LEFT(INDEX($A92:$AL92,MATCH(Lists!$F$6,$A$1:$AL$1,0)),2))*60+VALUE(MID(INDEX($A92:$AL92,MATCH(Lists!$F$6,$A$1:$AL$1,0)),4,2)))),"")),IFERROR(IF(TRIM(INDEX($A92:$AL92,MATCH(Lists!$F$6,$A$1:$AL$1,0))&amp;"")="","",IF(ISNUMBER(INDEX($A92:$AL92,MATCH(Lists!$F$6,$A$1:$AL$1,0))),ROUND(MOD(INDEX($A92:$AL92,MATCH(Lists!$F$6,$A$1:$AL$1,0)),1)*1440,0),VALUE(LEFT(INDEX($A92:$AL92,MATCH(Lists!$F$6,$A$1:$AL$1,0)),2))*60+VALUE(MID(INDEX($A92:$AL92,MATCH(Lists!$F$6,$A$1:$AL$1,0)),4,2)))),""),-1))</f>
        <v/>
      </c>
      <c r="AV92" s="21">
        <f>IF(IFERROR(TRIM(INDEX($A92:$AL92,MATCH(Lists!$F$2,$A$1:$AL$1,0))&amp;""),"")="",-1,IF(ISNUMBER(IFERROR(IF(TRIM(INDEX($A92:$AL92,MATCH(Lists!$F$7,$A$1:$AL$1,0))&amp;"")="","",IF(ISNUMBER(INDEX($A92:$AL92,MATCH(Lists!$F$7,$A$1:$AL$1,0))),ROUND(MOD(INDEX($A92:$AL92,MATCH(Lists!$F$7,$A$1:$AL$1,0)),1)*1440,0),VALUE(LEFT(INDEX($A92:$AL92,MATCH(Lists!$F$7,$A$1:$AL$1,0)),2))*60+VALUE(MID(INDEX($A92:$AL92,MATCH(Lists!$F$7,$A$1:$AL$1,0)),4,2)))),"")),IFERROR(IF(TRIM(INDEX($A92:$AL92,MATCH(Lists!$F$7,$A$1:$AL$1,0))&amp;"")="","",IF(ISNUMBER(INDEX($A92:$AL92,MATCH(Lists!$F$7,$A$1:$AL$1,0))),ROUND(MOD(INDEX($A92:$AL92,MATCH(Lists!$F$7,$A$1:$AL$1,0)),1)*1440,0),VALUE(LEFT(INDEX($A92:$AL92,MATCH(Lists!$F$7,$A$1:$AL$1,0)),2))*60+VALUE(MID(INDEX($A92:$AL92,MATCH(Lists!$F$7,$A$1:$AL$1,0)),4,2)))),""),-1))</f>
        <v/>
      </c>
      <c r="AW92" s="21">
        <f>IF(IFERROR(TRIM(INDEX($A92:$AL92,MATCH(Lists!$F$2,$A$1:$AL$1,0))&amp;""),"")="","",IF(IFERROR(TRIM(INDEX($A92:$AL92,MATCH(Lists!$F$8,$A$1:$AL$1,0))&amp;""),"")&lt;&gt;"",IFERROR(TRIM(INDEX($A92:$AL92,MATCH(Lists!$F$8,$A$1:$AL$1,0))&amp;""),""),IFERROR(TRIM(INDEX($A92:$AL92,MATCH(Lists!$F$9,$A$1:$AL$1,0))&amp;""),"")))</f>
        <v/>
      </c>
      <c r="AX92" s="21">
        <f>IFERROR(IF(TRIM(INDEX($A92:$AL92,MATCH(Lists!$F$10,$A$1:$AL$1,0))&amp;"")="","",VALUE(TRIM(INDEX($A92:$AL92,MATCH(Lists!$F$10,$A$1:$AL$1,0))&amp;""))),"")</f>
        <v/>
      </c>
      <c r="AY92" s="21">
        <f>IF(IFERROR(TRIM(INDEX($A92:$AL92,MATCH(Lists!$F$2,$A$1:$AL$1,0))&amp;""),"")="","",IF(AN92="","New",AN92))</f>
        <v/>
      </c>
      <c r="AZ92" s="21">
        <f>IF(IFERROR(TRIM(INDEX($A92:$AL92,MATCH(Lists!$F$2,$A$1:$AL$1,0))&amp;""),"")="","",IF(OR(IFERROR(TRIM(INDEX($A92:$AL92,MATCH(Lists!$F$13,$A$1:$AL$1,0))&amp;""),"")="Paid",IFERROR(TRIM(INDEX($A92:$AL92,MATCH(Lists!$F$13,$A$1:$AL$1,0))&amp;""),"")="Partially refunded"),"Paid",IF(AP92="Yes","Paid (by hand)",IFERROR(TRIM(INDEX($A92:$AL92,MATCH(Lists!$F$13,$A$1:$AL$1,0))&amp;""),""))))</f>
        <v/>
      </c>
      <c r="BA92" s="21">
        <f>IF(AND(IFERROR(TRIM(INDEX($A92:$AL92,MATCH(Lists!$F$2,$A$1:$AL$1,0))&amp;""),"")&lt;&gt;"",AT92&gt;0,AU92&gt;=0,AV92&gt;AU92,AY92&lt;&gt;"Declined"),1,0)</f>
        <v/>
      </c>
      <c r="BB92" s="21">
        <f>IF(BA92=1,COUNTIFS($AS$2:$AS$501,AS92,$AT$2:$AT$501,AT92,$AU$2:$AU$501,"&lt;"&amp;AV92,$AV$2:$AV$501,"&gt;"&amp;AU92,$BA$2:$BA$501,1)-1,"")</f>
        <v/>
      </c>
      <c r="BC92" s="21">
        <f>IF(N(BB92)&gt;0,"Clashes with "&amp;INDEX($AW$2:$AW$501,SUMPRODUCT(MAX(($AS$2:$AS$501=AS92)*($AT$2:$AT$501=AT92)*($AU$2:$AU$501&lt;AV92)*($AV$2:$AV$501&gt;AU92)*($BA$2:$BA$501=1)*(ROW($AS$2:$AS$501)&lt;&gt;ROW())*ROW($AS$2:$AS$501)))-1)&amp;" ("&amp;INDEX($AY$2:$AY$501,SUMPRODUCT(MAX(($AS$2:$AS$501=AS92)*($AT$2:$AT$501=AT92)*($AU$2:$AU$501&lt;AV92)*($AV$2:$AV$501&gt;AU92)*($BA$2:$BA$501=1)*(ROW($AS$2:$AS$501)&lt;&gt;ROW())*ROW($AS$2:$AS$501)))-1)&amp;")"&amp;IF(BB92&gt;1," and "&amp;(BB92-1)&amp;" more",""),"")</f>
        <v/>
      </c>
      <c r="BD92" s="21">
        <f>IF(AND(BA92=1,AY92="Confirmed"),AT92*10000000+AU92*1000+ROW(),"")</f>
        <v/>
      </c>
      <c r="BE92" s="21">
        <f>IF(IFERROR(TRIM(INDEX($A92:$AL92,MATCH(Lists!$F$2,$A$1:$AL$1,0))&amp;""),"")="","",IFERROR(TRIM(INDEX($A92:$AL92,MATCH(Lists!$F$11,$A$1:$AL$1,0))&amp;""),""))</f>
        <v/>
      </c>
      <c r="BF92" s="21">
        <f>IF(IFERROR(TRIM(INDEX($A92:$AL92,MATCH(Lists!$F$2,$A$1:$AL$1,0))&amp;""),"")="","",IFERROR(TRIM(INDEX($A92:$AL92,MATCH(Lists!$F$12,$A$1:$AL$1,0))&amp;""),""))</f>
        <v/>
      </c>
    </row>
    <row r="93">
      <c r="AM93" s="19" t="n"/>
      <c r="AN93" s="23" t="n"/>
      <c r="AO93" s="23" t="n"/>
      <c r="AP93" s="23" t="n"/>
      <c r="AQ93" s="23" t="n"/>
      <c r="AR93" s="19" t="n"/>
      <c r="AS93" s="21">
        <f>IF(IFERROR(TRIM(INDEX($A93:$AL93,MATCH(Lists!$F$2,$A$1:$AL$1,0))&amp;""),"")="","",IF(AND(IFERROR(TRIM(INDEX($A93:$AL93,MATCH(Lists!$F$3,$A$1:$AL$1,0))&amp;""),"")="Other",IFERROR(TRIM(INDEX($A93:$AL93,MATCH(Lists!$F$4,$A$1:$AL$1,0))&amp;""),"")&lt;&gt;""),IFERROR(TRIM(INDEX($A93:$AL93,MATCH(Lists!$F$4,$A$1:$AL$1,0))&amp;""),""),IF(IFERROR(TRIM(INDEX($A93:$AL93,MATCH(Lists!$F$3,$A$1:$AL$1,0))&amp;""),"")="","(no space)",IFERROR(TRIM(INDEX($A93:$AL93,MATCH(Lists!$F$3,$A$1:$AL$1,0))&amp;""),""))))</f>
        <v/>
      </c>
      <c r="AT93" s="22">
        <f>IF(IFERROR(TRIM(INDEX($A93:$AL93,MATCH(Lists!$F$2,$A$1:$AL$1,0))&amp;""),"")="",0,N(IFERROR(IF(TRIM(INDEX($A93:$AL93,MATCH(Lists!$F$5,$A$1:$AL$1,0))&amp;"")="","",IF(ISNUMBER(INDEX($A93:$AL93,MATCH(Lists!$F$5,$A$1:$AL$1,0))),INT(INDEX($A93:$AL93,MATCH(Lists!$F$5,$A$1:$AL$1,0))),DATE(VALUE(LEFT(INDEX($A93:$AL93,MATCH(Lists!$F$5,$A$1:$AL$1,0)),4)),VALUE(MID(INDEX($A93:$AL93,MATCH(Lists!$F$5,$A$1:$AL$1,0)),6,2)),VALUE(MID(INDEX($A93:$AL93,MATCH(Lists!$F$5,$A$1:$AL$1,0)),9,2))))),"")))</f>
        <v/>
      </c>
      <c r="AU93" s="21">
        <f>IF(IFERROR(TRIM(INDEX($A93:$AL93,MATCH(Lists!$F$2,$A$1:$AL$1,0))&amp;""),"")="",-1,IF(ISNUMBER(IFERROR(IF(TRIM(INDEX($A93:$AL93,MATCH(Lists!$F$6,$A$1:$AL$1,0))&amp;"")="","",IF(ISNUMBER(INDEX($A93:$AL93,MATCH(Lists!$F$6,$A$1:$AL$1,0))),ROUND(MOD(INDEX($A93:$AL93,MATCH(Lists!$F$6,$A$1:$AL$1,0)),1)*1440,0),VALUE(LEFT(INDEX($A93:$AL93,MATCH(Lists!$F$6,$A$1:$AL$1,0)),2))*60+VALUE(MID(INDEX($A93:$AL93,MATCH(Lists!$F$6,$A$1:$AL$1,0)),4,2)))),"")),IFERROR(IF(TRIM(INDEX($A93:$AL93,MATCH(Lists!$F$6,$A$1:$AL$1,0))&amp;"")="","",IF(ISNUMBER(INDEX($A93:$AL93,MATCH(Lists!$F$6,$A$1:$AL$1,0))),ROUND(MOD(INDEX($A93:$AL93,MATCH(Lists!$F$6,$A$1:$AL$1,0)),1)*1440,0),VALUE(LEFT(INDEX($A93:$AL93,MATCH(Lists!$F$6,$A$1:$AL$1,0)),2))*60+VALUE(MID(INDEX($A93:$AL93,MATCH(Lists!$F$6,$A$1:$AL$1,0)),4,2)))),""),-1))</f>
        <v/>
      </c>
      <c r="AV93" s="21">
        <f>IF(IFERROR(TRIM(INDEX($A93:$AL93,MATCH(Lists!$F$2,$A$1:$AL$1,0))&amp;""),"")="",-1,IF(ISNUMBER(IFERROR(IF(TRIM(INDEX($A93:$AL93,MATCH(Lists!$F$7,$A$1:$AL$1,0))&amp;"")="","",IF(ISNUMBER(INDEX($A93:$AL93,MATCH(Lists!$F$7,$A$1:$AL$1,0))),ROUND(MOD(INDEX($A93:$AL93,MATCH(Lists!$F$7,$A$1:$AL$1,0)),1)*1440,0),VALUE(LEFT(INDEX($A93:$AL93,MATCH(Lists!$F$7,$A$1:$AL$1,0)),2))*60+VALUE(MID(INDEX($A93:$AL93,MATCH(Lists!$F$7,$A$1:$AL$1,0)),4,2)))),"")),IFERROR(IF(TRIM(INDEX($A93:$AL93,MATCH(Lists!$F$7,$A$1:$AL$1,0))&amp;"")="","",IF(ISNUMBER(INDEX($A93:$AL93,MATCH(Lists!$F$7,$A$1:$AL$1,0))),ROUND(MOD(INDEX($A93:$AL93,MATCH(Lists!$F$7,$A$1:$AL$1,0)),1)*1440,0),VALUE(LEFT(INDEX($A93:$AL93,MATCH(Lists!$F$7,$A$1:$AL$1,0)),2))*60+VALUE(MID(INDEX($A93:$AL93,MATCH(Lists!$F$7,$A$1:$AL$1,0)),4,2)))),""),-1))</f>
        <v/>
      </c>
      <c r="AW93" s="21">
        <f>IF(IFERROR(TRIM(INDEX($A93:$AL93,MATCH(Lists!$F$2,$A$1:$AL$1,0))&amp;""),"")="","",IF(IFERROR(TRIM(INDEX($A93:$AL93,MATCH(Lists!$F$8,$A$1:$AL$1,0))&amp;""),"")&lt;&gt;"",IFERROR(TRIM(INDEX($A93:$AL93,MATCH(Lists!$F$8,$A$1:$AL$1,0))&amp;""),""),IFERROR(TRIM(INDEX($A93:$AL93,MATCH(Lists!$F$9,$A$1:$AL$1,0))&amp;""),"")))</f>
        <v/>
      </c>
      <c r="AX93" s="21">
        <f>IFERROR(IF(TRIM(INDEX($A93:$AL93,MATCH(Lists!$F$10,$A$1:$AL$1,0))&amp;"")="","",VALUE(TRIM(INDEX($A93:$AL93,MATCH(Lists!$F$10,$A$1:$AL$1,0))&amp;""))),"")</f>
        <v/>
      </c>
      <c r="AY93" s="21">
        <f>IF(IFERROR(TRIM(INDEX($A93:$AL93,MATCH(Lists!$F$2,$A$1:$AL$1,0))&amp;""),"")="","",IF(AN93="","New",AN93))</f>
        <v/>
      </c>
      <c r="AZ93" s="21">
        <f>IF(IFERROR(TRIM(INDEX($A93:$AL93,MATCH(Lists!$F$2,$A$1:$AL$1,0))&amp;""),"")="","",IF(OR(IFERROR(TRIM(INDEX($A93:$AL93,MATCH(Lists!$F$13,$A$1:$AL$1,0))&amp;""),"")="Paid",IFERROR(TRIM(INDEX($A93:$AL93,MATCH(Lists!$F$13,$A$1:$AL$1,0))&amp;""),"")="Partially refunded"),"Paid",IF(AP93="Yes","Paid (by hand)",IFERROR(TRIM(INDEX($A93:$AL93,MATCH(Lists!$F$13,$A$1:$AL$1,0))&amp;""),""))))</f>
        <v/>
      </c>
      <c r="BA93" s="21">
        <f>IF(AND(IFERROR(TRIM(INDEX($A93:$AL93,MATCH(Lists!$F$2,$A$1:$AL$1,0))&amp;""),"")&lt;&gt;"",AT93&gt;0,AU93&gt;=0,AV93&gt;AU93,AY93&lt;&gt;"Declined"),1,0)</f>
        <v/>
      </c>
      <c r="BB93" s="21">
        <f>IF(BA93=1,COUNTIFS($AS$2:$AS$501,AS93,$AT$2:$AT$501,AT93,$AU$2:$AU$501,"&lt;"&amp;AV93,$AV$2:$AV$501,"&gt;"&amp;AU93,$BA$2:$BA$501,1)-1,"")</f>
        <v/>
      </c>
      <c r="BC93" s="21">
        <f>IF(N(BB93)&gt;0,"Clashes with "&amp;INDEX($AW$2:$AW$501,SUMPRODUCT(MAX(($AS$2:$AS$501=AS93)*($AT$2:$AT$501=AT93)*($AU$2:$AU$501&lt;AV93)*($AV$2:$AV$501&gt;AU93)*($BA$2:$BA$501=1)*(ROW($AS$2:$AS$501)&lt;&gt;ROW())*ROW($AS$2:$AS$501)))-1)&amp;" ("&amp;INDEX($AY$2:$AY$501,SUMPRODUCT(MAX(($AS$2:$AS$501=AS93)*($AT$2:$AT$501=AT93)*($AU$2:$AU$501&lt;AV93)*($AV$2:$AV$501&gt;AU93)*($BA$2:$BA$501=1)*(ROW($AS$2:$AS$501)&lt;&gt;ROW())*ROW($AS$2:$AS$501)))-1)&amp;")"&amp;IF(BB93&gt;1," and "&amp;(BB93-1)&amp;" more",""),"")</f>
        <v/>
      </c>
      <c r="BD93" s="21">
        <f>IF(AND(BA93=1,AY93="Confirmed"),AT93*10000000+AU93*1000+ROW(),"")</f>
        <v/>
      </c>
      <c r="BE93" s="21">
        <f>IF(IFERROR(TRIM(INDEX($A93:$AL93,MATCH(Lists!$F$2,$A$1:$AL$1,0))&amp;""),"")="","",IFERROR(TRIM(INDEX($A93:$AL93,MATCH(Lists!$F$11,$A$1:$AL$1,0))&amp;""),""))</f>
        <v/>
      </c>
      <c r="BF93" s="21">
        <f>IF(IFERROR(TRIM(INDEX($A93:$AL93,MATCH(Lists!$F$2,$A$1:$AL$1,0))&amp;""),"")="","",IFERROR(TRIM(INDEX($A93:$AL93,MATCH(Lists!$F$12,$A$1:$AL$1,0))&amp;""),""))</f>
        <v/>
      </c>
    </row>
    <row r="94">
      <c r="AM94" s="19" t="n"/>
      <c r="AN94" s="23" t="n"/>
      <c r="AO94" s="23" t="n"/>
      <c r="AP94" s="23" t="n"/>
      <c r="AQ94" s="23" t="n"/>
      <c r="AR94" s="19" t="n"/>
      <c r="AS94" s="21">
        <f>IF(IFERROR(TRIM(INDEX($A94:$AL94,MATCH(Lists!$F$2,$A$1:$AL$1,0))&amp;""),"")="","",IF(AND(IFERROR(TRIM(INDEX($A94:$AL94,MATCH(Lists!$F$3,$A$1:$AL$1,0))&amp;""),"")="Other",IFERROR(TRIM(INDEX($A94:$AL94,MATCH(Lists!$F$4,$A$1:$AL$1,0))&amp;""),"")&lt;&gt;""),IFERROR(TRIM(INDEX($A94:$AL94,MATCH(Lists!$F$4,$A$1:$AL$1,0))&amp;""),""),IF(IFERROR(TRIM(INDEX($A94:$AL94,MATCH(Lists!$F$3,$A$1:$AL$1,0))&amp;""),"")="","(no space)",IFERROR(TRIM(INDEX($A94:$AL94,MATCH(Lists!$F$3,$A$1:$AL$1,0))&amp;""),""))))</f>
        <v/>
      </c>
      <c r="AT94" s="22">
        <f>IF(IFERROR(TRIM(INDEX($A94:$AL94,MATCH(Lists!$F$2,$A$1:$AL$1,0))&amp;""),"")="",0,N(IFERROR(IF(TRIM(INDEX($A94:$AL94,MATCH(Lists!$F$5,$A$1:$AL$1,0))&amp;"")="","",IF(ISNUMBER(INDEX($A94:$AL94,MATCH(Lists!$F$5,$A$1:$AL$1,0))),INT(INDEX($A94:$AL94,MATCH(Lists!$F$5,$A$1:$AL$1,0))),DATE(VALUE(LEFT(INDEX($A94:$AL94,MATCH(Lists!$F$5,$A$1:$AL$1,0)),4)),VALUE(MID(INDEX($A94:$AL94,MATCH(Lists!$F$5,$A$1:$AL$1,0)),6,2)),VALUE(MID(INDEX($A94:$AL94,MATCH(Lists!$F$5,$A$1:$AL$1,0)),9,2))))),"")))</f>
        <v/>
      </c>
      <c r="AU94" s="21">
        <f>IF(IFERROR(TRIM(INDEX($A94:$AL94,MATCH(Lists!$F$2,$A$1:$AL$1,0))&amp;""),"")="",-1,IF(ISNUMBER(IFERROR(IF(TRIM(INDEX($A94:$AL94,MATCH(Lists!$F$6,$A$1:$AL$1,0))&amp;"")="","",IF(ISNUMBER(INDEX($A94:$AL94,MATCH(Lists!$F$6,$A$1:$AL$1,0))),ROUND(MOD(INDEX($A94:$AL94,MATCH(Lists!$F$6,$A$1:$AL$1,0)),1)*1440,0),VALUE(LEFT(INDEX($A94:$AL94,MATCH(Lists!$F$6,$A$1:$AL$1,0)),2))*60+VALUE(MID(INDEX($A94:$AL94,MATCH(Lists!$F$6,$A$1:$AL$1,0)),4,2)))),"")),IFERROR(IF(TRIM(INDEX($A94:$AL94,MATCH(Lists!$F$6,$A$1:$AL$1,0))&amp;"")="","",IF(ISNUMBER(INDEX($A94:$AL94,MATCH(Lists!$F$6,$A$1:$AL$1,0))),ROUND(MOD(INDEX($A94:$AL94,MATCH(Lists!$F$6,$A$1:$AL$1,0)),1)*1440,0),VALUE(LEFT(INDEX($A94:$AL94,MATCH(Lists!$F$6,$A$1:$AL$1,0)),2))*60+VALUE(MID(INDEX($A94:$AL94,MATCH(Lists!$F$6,$A$1:$AL$1,0)),4,2)))),""),-1))</f>
        <v/>
      </c>
      <c r="AV94" s="21">
        <f>IF(IFERROR(TRIM(INDEX($A94:$AL94,MATCH(Lists!$F$2,$A$1:$AL$1,0))&amp;""),"")="",-1,IF(ISNUMBER(IFERROR(IF(TRIM(INDEX($A94:$AL94,MATCH(Lists!$F$7,$A$1:$AL$1,0))&amp;"")="","",IF(ISNUMBER(INDEX($A94:$AL94,MATCH(Lists!$F$7,$A$1:$AL$1,0))),ROUND(MOD(INDEX($A94:$AL94,MATCH(Lists!$F$7,$A$1:$AL$1,0)),1)*1440,0),VALUE(LEFT(INDEX($A94:$AL94,MATCH(Lists!$F$7,$A$1:$AL$1,0)),2))*60+VALUE(MID(INDEX($A94:$AL94,MATCH(Lists!$F$7,$A$1:$AL$1,0)),4,2)))),"")),IFERROR(IF(TRIM(INDEX($A94:$AL94,MATCH(Lists!$F$7,$A$1:$AL$1,0))&amp;"")="","",IF(ISNUMBER(INDEX($A94:$AL94,MATCH(Lists!$F$7,$A$1:$AL$1,0))),ROUND(MOD(INDEX($A94:$AL94,MATCH(Lists!$F$7,$A$1:$AL$1,0)),1)*1440,0),VALUE(LEFT(INDEX($A94:$AL94,MATCH(Lists!$F$7,$A$1:$AL$1,0)),2))*60+VALUE(MID(INDEX($A94:$AL94,MATCH(Lists!$F$7,$A$1:$AL$1,0)),4,2)))),""),-1))</f>
        <v/>
      </c>
      <c r="AW94" s="21">
        <f>IF(IFERROR(TRIM(INDEX($A94:$AL94,MATCH(Lists!$F$2,$A$1:$AL$1,0))&amp;""),"")="","",IF(IFERROR(TRIM(INDEX($A94:$AL94,MATCH(Lists!$F$8,$A$1:$AL$1,0))&amp;""),"")&lt;&gt;"",IFERROR(TRIM(INDEX($A94:$AL94,MATCH(Lists!$F$8,$A$1:$AL$1,0))&amp;""),""),IFERROR(TRIM(INDEX($A94:$AL94,MATCH(Lists!$F$9,$A$1:$AL$1,0))&amp;""),"")))</f>
        <v/>
      </c>
      <c r="AX94" s="21">
        <f>IFERROR(IF(TRIM(INDEX($A94:$AL94,MATCH(Lists!$F$10,$A$1:$AL$1,0))&amp;"")="","",VALUE(TRIM(INDEX($A94:$AL94,MATCH(Lists!$F$10,$A$1:$AL$1,0))&amp;""))),"")</f>
        <v/>
      </c>
      <c r="AY94" s="21">
        <f>IF(IFERROR(TRIM(INDEX($A94:$AL94,MATCH(Lists!$F$2,$A$1:$AL$1,0))&amp;""),"")="","",IF(AN94="","New",AN94))</f>
        <v/>
      </c>
      <c r="AZ94" s="21">
        <f>IF(IFERROR(TRIM(INDEX($A94:$AL94,MATCH(Lists!$F$2,$A$1:$AL$1,0))&amp;""),"")="","",IF(OR(IFERROR(TRIM(INDEX($A94:$AL94,MATCH(Lists!$F$13,$A$1:$AL$1,0))&amp;""),"")="Paid",IFERROR(TRIM(INDEX($A94:$AL94,MATCH(Lists!$F$13,$A$1:$AL$1,0))&amp;""),"")="Partially refunded"),"Paid",IF(AP94="Yes","Paid (by hand)",IFERROR(TRIM(INDEX($A94:$AL94,MATCH(Lists!$F$13,$A$1:$AL$1,0))&amp;""),""))))</f>
        <v/>
      </c>
      <c r="BA94" s="21">
        <f>IF(AND(IFERROR(TRIM(INDEX($A94:$AL94,MATCH(Lists!$F$2,$A$1:$AL$1,0))&amp;""),"")&lt;&gt;"",AT94&gt;0,AU94&gt;=0,AV94&gt;AU94,AY94&lt;&gt;"Declined"),1,0)</f>
        <v/>
      </c>
      <c r="BB94" s="21">
        <f>IF(BA94=1,COUNTIFS($AS$2:$AS$501,AS94,$AT$2:$AT$501,AT94,$AU$2:$AU$501,"&lt;"&amp;AV94,$AV$2:$AV$501,"&gt;"&amp;AU94,$BA$2:$BA$501,1)-1,"")</f>
        <v/>
      </c>
      <c r="BC94" s="21">
        <f>IF(N(BB94)&gt;0,"Clashes with "&amp;INDEX($AW$2:$AW$501,SUMPRODUCT(MAX(($AS$2:$AS$501=AS94)*($AT$2:$AT$501=AT94)*($AU$2:$AU$501&lt;AV94)*($AV$2:$AV$501&gt;AU94)*($BA$2:$BA$501=1)*(ROW($AS$2:$AS$501)&lt;&gt;ROW())*ROW($AS$2:$AS$501)))-1)&amp;" ("&amp;INDEX($AY$2:$AY$501,SUMPRODUCT(MAX(($AS$2:$AS$501=AS94)*($AT$2:$AT$501=AT94)*($AU$2:$AU$501&lt;AV94)*($AV$2:$AV$501&gt;AU94)*($BA$2:$BA$501=1)*(ROW($AS$2:$AS$501)&lt;&gt;ROW())*ROW($AS$2:$AS$501)))-1)&amp;")"&amp;IF(BB94&gt;1," and "&amp;(BB94-1)&amp;" more",""),"")</f>
        <v/>
      </c>
      <c r="BD94" s="21">
        <f>IF(AND(BA94=1,AY94="Confirmed"),AT94*10000000+AU94*1000+ROW(),"")</f>
        <v/>
      </c>
      <c r="BE94" s="21">
        <f>IF(IFERROR(TRIM(INDEX($A94:$AL94,MATCH(Lists!$F$2,$A$1:$AL$1,0))&amp;""),"")="","",IFERROR(TRIM(INDEX($A94:$AL94,MATCH(Lists!$F$11,$A$1:$AL$1,0))&amp;""),""))</f>
        <v/>
      </c>
      <c r="BF94" s="21">
        <f>IF(IFERROR(TRIM(INDEX($A94:$AL94,MATCH(Lists!$F$2,$A$1:$AL$1,0))&amp;""),"")="","",IFERROR(TRIM(INDEX($A94:$AL94,MATCH(Lists!$F$12,$A$1:$AL$1,0))&amp;""),""))</f>
        <v/>
      </c>
    </row>
    <row r="95">
      <c r="AM95" s="19" t="n"/>
      <c r="AN95" s="23" t="n"/>
      <c r="AO95" s="23" t="n"/>
      <c r="AP95" s="23" t="n"/>
      <c r="AQ95" s="23" t="n"/>
      <c r="AR95" s="19" t="n"/>
      <c r="AS95" s="21">
        <f>IF(IFERROR(TRIM(INDEX($A95:$AL95,MATCH(Lists!$F$2,$A$1:$AL$1,0))&amp;""),"")="","",IF(AND(IFERROR(TRIM(INDEX($A95:$AL95,MATCH(Lists!$F$3,$A$1:$AL$1,0))&amp;""),"")="Other",IFERROR(TRIM(INDEX($A95:$AL95,MATCH(Lists!$F$4,$A$1:$AL$1,0))&amp;""),"")&lt;&gt;""),IFERROR(TRIM(INDEX($A95:$AL95,MATCH(Lists!$F$4,$A$1:$AL$1,0))&amp;""),""),IF(IFERROR(TRIM(INDEX($A95:$AL95,MATCH(Lists!$F$3,$A$1:$AL$1,0))&amp;""),"")="","(no space)",IFERROR(TRIM(INDEX($A95:$AL95,MATCH(Lists!$F$3,$A$1:$AL$1,0))&amp;""),""))))</f>
        <v/>
      </c>
      <c r="AT95" s="22">
        <f>IF(IFERROR(TRIM(INDEX($A95:$AL95,MATCH(Lists!$F$2,$A$1:$AL$1,0))&amp;""),"")="",0,N(IFERROR(IF(TRIM(INDEX($A95:$AL95,MATCH(Lists!$F$5,$A$1:$AL$1,0))&amp;"")="","",IF(ISNUMBER(INDEX($A95:$AL95,MATCH(Lists!$F$5,$A$1:$AL$1,0))),INT(INDEX($A95:$AL95,MATCH(Lists!$F$5,$A$1:$AL$1,0))),DATE(VALUE(LEFT(INDEX($A95:$AL95,MATCH(Lists!$F$5,$A$1:$AL$1,0)),4)),VALUE(MID(INDEX($A95:$AL95,MATCH(Lists!$F$5,$A$1:$AL$1,0)),6,2)),VALUE(MID(INDEX($A95:$AL95,MATCH(Lists!$F$5,$A$1:$AL$1,0)),9,2))))),"")))</f>
        <v/>
      </c>
      <c r="AU95" s="21">
        <f>IF(IFERROR(TRIM(INDEX($A95:$AL95,MATCH(Lists!$F$2,$A$1:$AL$1,0))&amp;""),"")="",-1,IF(ISNUMBER(IFERROR(IF(TRIM(INDEX($A95:$AL95,MATCH(Lists!$F$6,$A$1:$AL$1,0))&amp;"")="","",IF(ISNUMBER(INDEX($A95:$AL95,MATCH(Lists!$F$6,$A$1:$AL$1,0))),ROUND(MOD(INDEX($A95:$AL95,MATCH(Lists!$F$6,$A$1:$AL$1,0)),1)*1440,0),VALUE(LEFT(INDEX($A95:$AL95,MATCH(Lists!$F$6,$A$1:$AL$1,0)),2))*60+VALUE(MID(INDEX($A95:$AL95,MATCH(Lists!$F$6,$A$1:$AL$1,0)),4,2)))),"")),IFERROR(IF(TRIM(INDEX($A95:$AL95,MATCH(Lists!$F$6,$A$1:$AL$1,0))&amp;"")="","",IF(ISNUMBER(INDEX($A95:$AL95,MATCH(Lists!$F$6,$A$1:$AL$1,0))),ROUND(MOD(INDEX($A95:$AL95,MATCH(Lists!$F$6,$A$1:$AL$1,0)),1)*1440,0),VALUE(LEFT(INDEX($A95:$AL95,MATCH(Lists!$F$6,$A$1:$AL$1,0)),2))*60+VALUE(MID(INDEX($A95:$AL95,MATCH(Lists!$F$6,$A$1:$AL$1,0)),4,2)))),""),-1))</f>
        <v/>
      </c>
      <c r="AV95" s="21">
        <f>IF(IFERROR(TRIM(INDEX($A95:$AL95,MATCH(Lists!$F$2,$A$1:$AL$1,0))&amp;""),"")="",-1,IF(ISNUMBER(IFERROR(IF(TRIM(INDEX($A95:$AL95,MATCH(Lists!$F$7,$A$1:$AL$1,0))&amp;"")="","",IF(ISNUMBER(INDEX($A95:$AL95,MATCH(Lists!$F$7,$A$1:$AL$1,0))),ROUND(MOD(INDEX($A95:$AL95,MATCH(Lists!$F$7,$A$1:$AL$1,0)),1)*1440,0),VALUE(LEFT(INDEX($A95:$AL95,MATCH(Lists!$F$7,$A$1:$AL$1,0)),2))*60+VALUE(MID(INDEX($A95:$AL95,MATCH(Lists!$F$7,$A$1:$AL$1,0)),4,2)))),"")),IFERROR(IF(TRIM(INDEX($A95:$AL95,MATCH(Lists!$F$7,$A$1:$AL$1,0))&amp;"")="","",IF(ISNUMBER(INDEX($A95:$AL95,MATCH(Lists!$F$7,$A$1:$AL$1,0))),ROUND(MOD(INDEX($A95:$AL95,MATCH(Lists!$F$7,$A$1:$AL$1,0)),1)*1440,0),VALUE(LEFT(INDEX($A95:$AL95,MATCH(Lists!$F$7,$A$1:$AL$1,0)),2))*60+VALUE(MID(INDEX($A95:$AL95,MATCH(Lists!$F$7,$A$1:$AL$1,0)),4,2)))),""),-1))</f>
        <v/>
      </c>
      <c r="AW95" s="21">
        <f>IF(IFERROR(TRIM(INDEX($A95:$AL95,MATCH(Lists!$F$2,$A$1:$AL$1,0))&amp;""),"")="","",IF(IFERROR(TRIM(INDEX($A95:$AL95,MATCH(Lists!$F$8,$A$1:$AL$1,0))&amp;""),"")&lt;&gt;"",IFERROR(TRIM(INDEX($A95:$AL95,MATCH(Lists!$F$8,$A$1:$AL$1,0))&amp;""),""),IFERROR(TRIM(INDEX($A95:$AL95,MATCH(Lists!$F$9,$A$1:$AL$1,0))&amp;""),"")))</f>
        <v/>
      </c>
      <c r="AX95" s="21">
        <f>IFERROR(IF(TRIM(INDEX($A95:$AL95,MATCH(Lists!$F$10,$A$1:$AL$1,0))&amp;"")="","",VALUE(TRIM(INDEX($A95:$AL95,MATCH(Lists!$F$10,$A$1:$AL$1,0))&amp;""))),"")</f>
        <v/>
      </c>
      <c r="AY95" s="21">
        <f>IF(IFERROR(TRIM(INDEX($A95:$AL95,MATCH(Lists!$F$2,$A$1:$AL$1,0))&amp;""),"")="","",IF(AN95="","New",AN95))</f>
        <v/>
      </c>
      <c r="AZ95" s="21">
        <f>IF(IFERROR(TRIM(INDEX($A95:$AL95,MATCH(Lists!$F$2,$A$1:$AL$1,0))&amp;""),"")="","",IF(OR(IFERROR(TRIM(INDEX($A95:$AL95,MATCH(Lists!$F$13,$A$1:$AL$1,0))&amp;""),"")="Paid",IFERROR(TRIM(INDEX($A95:$AL95,MATCH(Lists!$F$13,$A$1:$AL$1,0))&amp;""),"")="Partially refunded"),"Paid",IF(AP95="Yes","Paid (by hand)",IFERROR(TRIM(INDEX($A95:$AL95,MATCH(Lists!$F$13,$A$1:$AL$1,0))&amp;""),""))))</f>
        <v/>
      </c>
      <c r="BA95" s="21">
        <f>IF(AND(IFERROR(TRIM(INDEX($A95:$AL95,MATCH(Lists!$F$2,$A$1:$AL$1,0))&amp;""),"")&lt;&gt;"",AT95&gt;0,AU95&gt;=0,AV95&gt;AU95,AY95&lt;&gt;"Declined"),1,0)</f>
        <v/>
      </c>
      <c r="BB95" s="21">
        <f>IF(BA95=1,COUNTIFS($AS$2:$AS$501,AS95,$AT$2:$AT$501,AT95,$AU$2:$AU$501,"&lt;"&amp;AV95,$AV$2:$AV$501,"&gt;"&amp;AU95,$BA$2:$BA$501,1)-1,"")</f>
        <v/>
      </c>
      <c r="BC95" s="21">
        <f>IF(N(BB95)&gt;0,"Clashes with "&amp;INDEX($AW$2:$AW$501,SUMPRODUCT(MAX(($AS$2:$AS$501=AS95)*($AT$2:$AT$501=AT95)*($AU$2:$AU$501&lt;AV95)*($AV$2:$AV$501&gt;AU95)*($BA$2:$BA$501=1)*(ROW($AS$2:$AS$501)&lt;&gt;ROW())*ROW($AS$2:$AS$501)))-1)&amp;" ("&amp;INDEX($AY$2:$AY$501,SUMPRODUCT(MAX(($AS$2:$AS$501=AS95)*($AT$2:$AT$501=AT95)*($AU$2:$AU$501&lt;AV95)*($AV$2:$AV$501&gt;AU95)*($BA$2:$BA$501=1)*(ROW($AS$2:$AS$501)&lt;&gt;ROW())*ROW($AS$2:$AS$501)))-1)&amp;")"&amp;IF(BB95&gt;1," and "&amp;(BB95-1)&amp;" more",""),"")</f>
        <v/>
      </c>
      <c r="BD95" s="21">
        <f>IF(AND(BA95=1,AY95="Confirmed"),AT95*10000000+AU95*1000+ROW(),"")</f>
        <v/>
      </c>
      <c r="BE95" s="21">
        <f>IF(IFERROR(TRIM(INDEX($A95:$AL95,MATCH(Lists!$F$2,$A$1:$AL$1,0))&amp;""),"")="","",IFERROR(TRIM(INDEX($A95:$AL95,MATCH(Lists!$F$11,$A$1:$AL$1,0))&amp;""),""))</f>
        <v/>
      </c>
      <c r="BF95" s="21">
        <f>IF(IFERROR(TRIM(INDEX($A95:$AL95,MATCH(Lists!$F$2,$A$1:$AL$1,0))&amp;""),"")="","",IFERROR(TRIM(INDEX($A95:$AL95,MATCH(Lists!$F$12,$A$1:$AL$1,0))&amp;""),""))</f>
        <v/>
      </c>
    </row>
    <row r="96">
      <c r="AM96" s="19" t="n"/>
      <c r="AN96" s="23" t="n"/>
      <c r="AO96" s="23" t="n"/>
      <c r="AP96" s="23" t="n"/>
      <c r="AQ96" s="23" t="n"/>
      <c r="AR96" s="19" t="n"/>
      <c r="AS96" s="21">
        <f>IF(IFERROR(TRIM(INDEX($A96:$AL96,MATCH(Lists!$F$2,$A$1:$AL$1,0))&amp;""),"")="","",IF(AND(IFERROR(TRIM(INDEX($A96:$AL96,MATCH(Lists!$F$3,$A$1:$AL$1,0))&amp;""),"")="Other",IFERROR(TRIM(INDEX($A96:$AL96,MATCH(Lists!$F$4,$A$1:$AL$1,0))&amp;""),"")&lt;&gt;""),IFERROR(TRIM(INDEX($A96:$AL96,MATCH(Lists!$F$4,$A$1:$AL$1,0))&amp;""),""),IF(IFERROR(TRIM(INDEX($A96:$AL96,MATCH(Lists!$F$3,$A$1:$AL$1,0))&amp;""),"")="","(no space)",IFERROR(TRIM(INDEX($A96:$AL96,MATCH(Lists!$F$3,$A$1:$AL$1,0))&amp;""),""))))</f>
        <v/>
      </c>
      <c r="AT96" s="22">
        <f>IF(IFERROR(TRIM(INDEX($A96:$AL96,MATCH(Lists!$F$2,$A$1:$AL$1,0))&amp;""),"")="",0,N(IFERROR(IF(TRIM(INDEX($A96:$AL96,MATCH(Lists!$F$5,$A$1:$AL$1,0))&amp;"")="","",IF(ISNUMBER(INDEX($A96:$AL96,MATCH(Lists!$F$5,$A$1:$AL$1,0))),INT(INDEX($A96:$AL96,MATCH(Lists!$F$5,$A$1:$AL$1,0))),DATE(VALUE(LEFT(INDEX($A96:$AL96,MATCH(Lists!$F$5,$A$1:$AL$1,0)),4)),VALUE(MID(INDEX($A96:$AL96,MATCH(Lists!$F$5,$A$1:$AL$1,0)),6,2)),VALUE(MID(INDEX($A96:$AL96,MATCH(Lists!$F$5,$A$1:$AL$1,0)),9,2))))),"")))</f>
        <v/>
      </c>
      <c r="AU96" s="21">
        <f>IF(IFERROR(TRIM(INDEX($A96:$AL96,MATCH(Lists!$F$2,$A$1:$AL$1,0))&amp;""),"")="",-1,IF(ISNUMBER(IFERROR(IF(TRIM(INDEX($A96:$AL96,MATCH(Lists!$F$6,$A$1:$AL$1,0))&amp;"")="","",IF(ISNUMBER(INDEX($A96:$AL96,MATCH(Lists!$F$6,$A$1:$AL$1,0))),ROUND(MOD(INDEX($A96:$AL96,MATCH(Lists!$F$6,$A$1:$AL$1,0)),1)*1440,0),VALUE(LEFT(INDEX($A96:$AL96,MATCH(Lists!$F$6,$A$1:$AL$1,0)),2))*60+VALUE(MID(INDEX($A96:$AL96,MATCH(Lists!$F$6,$A$1:$AL$1,0)),4,2)))),"")),IFERROR(IF(TRIM(INDEX($A96:$AL96,MATCH(Lists!$F$6,$A$1:$AL$1,0))&amp;"")="","",IF(ISNUMBER(INDEX($A96:$AL96,MATCH(Lists!$F$6,$A$1:$AL$1,0))),ROUND(MOD(INDEX($A96:$AL96,MATCH(Lists!$F$6,$A$1:$AL$1,0)),1)*1440,0),VALUE(LEFT(INDEX($A96:$AL96,MATCH(Lists!$F$6,$A$1:$AL$1,0)),2))*60+VALUE(MID(INDEX($A96:$AL96,MATCH(Lists!$F$6,$A$1:$AL$1,0)),4,2)))),""),-1))</f>
        <v/>
      </c>
      <c r="AV96" s="21">
        <f>IF(IFERROR(TRIM(INDEX($A96:$AL96,MATCH(Lists!$F$2,$A$1:$AL$1,0))&amp;""),"")="",-1,IF(ISNUMBER(IFERROR(IF(TRIM(INDEX($A96:$AL96,MATCH(Lists!$F$7,$A$1:$AL$1,0))&amp;"")="","",IF(ISNUMBER(INDEX($A96:$AL96,MATCH(Lists!$F$7,$A$1:$AL$1,0))),ROUND(MOD(INDEX($A96:$AL96,MATCH(Lists!$F$7,$A$1:$AL$1,0)),1)*1440,0),VALUE(LEFT(INDEX($A96:$AL96,MATCH(Lists!$F$7,$A$1:$AL$1,0)),2))*60+VALUE(MID(INDEX($A96:$AL96,MATCH(Lists!$F$7,$A$1:$AL$1,0)),4,2)))),"")),IFERROR(IF(TRIM(INDEX($A96:$AL96,MATCH(Lists!$F$7,$A$1:$AL$1,0))&amp;"")="","",IF(ISNUMBER(INDEX($A96:$AL96,MATCH(Lists!$F$7,$A$1:$AL$1,0))),ROUND(MOD(INDEX($A96:$AL96,MATCH(Lists!$F$7,$A$1:$AL$1,0)),1)*1440,0),VALUE(LEFT(INDEX($A96:$AL96,MATCH(Lists!$F$7,$A$1:$AL$1,0)),2))*60+VALUE(MID(INDEX($A96:$AL96,MATCH(Lists!$F$7,$A$1:$AL$1,0)),4,2)))),""),-1))</f>
        <v/>
      </c>
      <c r="AW96" s="21">
        <f>IF(IFERROR(TRIM(INDEX($A96:$AL96,MATCH(Lists!$F$2,$A$1:$AL$1,0))&amp;""),"")="","",IF(IFERROR(TRIM(INDEX($A96:$AL96,MATCH(Lists!$F$8,$A$1:$AL$1,0))&amp;""),"")&lt;&gt;"",IFERROR(TRIM(INDEX($A96:$AL96,MATCH(Lists!$F$8,$A$1:$AL$1,0))&amp;""),""),IFERROR(TRIM(INDEX($A96:$AL96,MATCH(Lists!$F$9,$A$1:$AL$1,0))&amp;""),"")))</f>
        <v/>
      </c>
      <c r="AX96" s="21">
        <f>IFERROR(IF(TRIM(INDEX($A96:$AL96,MATCH(Lists!$F$10,$A$1:$AL$1,0))&amp;"")="","",VALUE(TRIM(INDEX($A96:$AL96,MATCH(Lists!$F$10,$A$1:$AL$1,0))&amp;""))),"")</f>
        <v/>
      </c>
      <c r="AY96" s="21">
        <f>IF(IFERROR(TRIM(INDEX($A96:$AL96,MATCH(Lists!$F$2,$A$1:$AL$1,0))&amp;""),"")="","",IF(AN96="","New",AN96))</f>
        <v/>
      </c>
      <c r="AZ96" s="21">
        <f>IF(IFERROR(TRIM(INDEX($A96:$AL96,MATCH(Lists!$F$2,$A$1:$AL$1,0))&amp;""),"")="","",IF(OR(IFERROR(TRIM(INDEX($A96:$AL96,MATCH(Lists!$F$13,$A$1:$AL$1,0))&amp;""),"")="Paid",IFERROR(TRIM(INDEX($A96:$AL96,MATCH(Lists!$F$13,$A$1:$AL$1,0))&amp;""),"")="Partially refunded"),"Paid",IF(AP96="Yes","Paid (by hand)",IFERROR(TRIM(INDEX($A96:$AL96,MATCH(Lists!$F$13,$A$1:$AL$1,0))&amp;""),""))))</f>
        <v/>
      </c>
      <c r="BA96" s="21">
        <f>IF(AND(IFERROR(TRIM(INDEX($A96:$AL96,MATCH(Lists!$F$2,$A$1:$AL$1,0))&amp;""),"")&lt;&gt;"",AT96&gt;0,AU96&gt;=0,AV96&gt;AU96,AY96&lt;&gt;"Declined"),1,0)</f>
        <v/>
      </c>
      <c r="BB96" s="21">
        <f>IF(BA96=1,COUNTIFS($AS$2:$AS$501,AS96,$AT$2:$AT$501,AT96,$AU$2:$AU$501,"&lt;"&amp;AV96,$AV$2:$AV$501,"&gt;"&amp;AU96,$BA$2:$BA$501,1)-1,"")</f>
        <v/>
      </c>
      <c r="BC96" s="21">
        <f>IF(N(BB96)&gt;0,"Clashes with "&amp;INDEX($AW$2:$AW$501,SUMPRODUCT(MAX(($AS$2:$AS$501=AS96)*($AT$2:$AT$501=AT96)*($AU$2:$AU$501&lt;AV96)*($AV$2:$AV$501&gt;AU96)*($BA$2:$BA$501=1)*(ROW($AS$2:$AS$501)&lt;&gt;ROW())*ROW($AS$2:$AS$501)))-1)&amp;" ("&amp;INDEX($AY$2:$AY$501,SUMPRODUCT(MAX(($AS$2:$AS$501=AS96)*($AT$2:$AT$501=AT96)*($AU$2:$AU$501&lt;AV96)*($AV$2:$AV$501&gt;AU96)*($BA$2:$BA$501=1)*(ROW($AS$2:$AS$501)&lt;&gt;ROW())*ROW($AS$2:$AS$501)))-1)&amp;")"&amp;IF(BB96&gt;1," and "&amp;(BB96-1)&amp;" more",""),"")</f>
        <v/>
      </c>
      <c r="BD96" s="21">
        <f>IF(AND(BA96=1,AY96="Confirmed"),AT96*10000000+AU96*1000+ROW(),"")</f>
        <v/>
      </c>
      <c r="BE96" s="21">
        <f>IF(IFERROR(TRIM(INDEX($A96:$AL96,MATCH(Lists!$F$2,$A$1:$AL$1,0))&amp;""),"")="","",IFERROR(TRIM(INDEX($A96:$AL96,MATCH(Lists!$F$11,$A$1:$AL$1,0))&amp;""),""))</f>
        <v/>
      </c>
      <c r="BF96" s="21">
        <f>IF(IFERROR(TRIM(INDEX($A96:$AL96,MATCH(Lists!$F$2,$A$1:$AL$1,0))&amp;""),"")="","",IFERROR(TRIM(INDEX($A96:$AL96,MATCH(Lists!$F$12,$A$1:$AL$1,0))&amp;""),""))</f>
        <v/>
      </c>
    </row>
    <row r="97">
      <c r="AM97" s="19" t="n"/>
      <c r="AN97" s="23" t="n"/>
      <c r="AO97" s="23" t="n"/>
      <c r="AP97" s="23" t="n"/>
      <c r="AQ97" s="23" t="n"/>
      <c r="AR97" s="19" t="n"/>
      <c r="AS97" s="21">
        <f>IF(IFERROR(TRIM(INDEX($A97:$AL97,MATCH(Lists!$F$2,$A$1:$AL$1,0))&amp;""),"")="","",IF(AND(IFERROR(TRIM(INDEX($A97:$AL97,MATCH(Lists!$F$3,$A$1:$AL$1,0))&amp;""),"")="Other",IFERROR(TRIM(INDEX($A97:$AL97,MATCH(Lists!$F$4,$A$1:$AL$1,0))&amp;""),"")&lt;&gt;""),IFERROR(TRIM(INDEX($A97:$AL97,MATCH(Lists!$F$4,$A$1:$AL$1,0))&amp;""),""),IF(IFERROR(TRIM(INDEX($A97:$AL97,MATCH(Lists!$F$3,$A$1:$AL$1,0))&amp;""),"")="","(no space)",IFERROR(TRIM(INDEX($A97:$AL97,MATCH(Lists!$F$3,$A$1:$AL$1,0))&amp;""),""))))</f>
        <v/>
      </c>
      <c r="AT97" s="22">
        <f>IF(IFERROR(TRIM(INDEX($A97:$AL97,MATCH(Lists!$F$2,$A$1:$AL$1,0))&amp;""),"")="",0,N(IFERROR(IF(TRIM(INDEX($A97:$AL97,MATCH(Lists!$F$5,$A$1:$AL$1,0))&amp;"")="","",IF(ISNUMBER(INDEX($A97:$AL97,MATCH(Lists!$F$5,$A$1:$AL$1,0))),INT(INDEX($A97:$AL97,MATCH(Lists!$F$5,$A$1:$AL$1,0))),DATE(VALUE(LEFT(INDEX($A97:$AL97,MATCH(Lists!$F$5,$A$1:$AL$1,0)),4)),VALUE(MID(INDEX($A97:$AL97,MATCH(Lists!$F$5,$A$1:$AL$1,0)),6,2)),VALUE(MID(INDEX($A97:$AL97,MATCH(Lists!$F$5,$A$1:$AL$1,0)),9,2))))),"")))</f>
        <v/>
      </c>
      <c r="AU97" s="21">
        <f>IF(IFERROR(TRIM(INDEX($A97:$AL97,MATCH(Lists!$F$2,$A$1:$AL$1,0))&amp;""),"")="",-1,IF(ISNUMBER(IFERROR(IF(TRIM(INDEX($A97:$AL97,MATCH(Lists!$F$6,$A$1:$AL$1,0))&amp;"")="","",IF(ISNUMBER(INDEX($A97:$AL97,MATCH(Lists!$F$6,$A$1:$AL$1,0))),ROUND(MOD(INDEX($A97:$AL97,MATCH(Lists!$F$6,$A$1:$AL$1,0)),1)*1440,0),VALUE(LEFT(INDEX($A97:$AL97,MATCH(Lists!$F$6,$A$1:$AL$1,0)),2))*60+VALUE(MID(INDEX($A97:$AL97,MATCH(Lists!$F$6,$A$1:$AL$1,0)),4,2)))),"")),IFERROR(IF(TRIM(INDEX($A97:$AL97,MATCH(Lists!$F$6,$A$1:$AL$1,0))&amp;"")="","",IF(ISNUMBER(INDEX($A97:$AL97,MATCH(Lists!$F$6,$A$1:$AL$1,0))),ROUND(MOD(INDEX($A97:$AL97,MATCH(Lists!$F$6,$A$1:$AL$1,0)),1)*1440,0),VALUE(LEFT(INDEX($A97:$AL97,MATCH(Lists!$F$6,$A$1:$AL$1,0)),2))*60+VALUE(MID(INDEX($A97:$AL97,MATCH(Lists!$F$6,$A$1:$AL$1,0)),4,2)))),""),-1))</f>
        <v/>
      </c>
      <c r="AV97" s="21">
        <f>IF(IFERROR(TRIM(INDEX($A97:$AL97,MATCH(Lists!$F$2,$A$1:$AL$1,0))&amp;""),"")="",-1,IF(ISNUMBER(IFERROR(IF(TRIM(INDEX($A97:$AL97,MATCH(Lists!$F$7,$A$1:$AL$1,0))&amp;"")="","",IF(ISNUMBER(INDEX($A97:$AL97,MATCH(Lists!$F$7,$A$1:$AL$1,0))),ROUND(MOD(INDEX($A97:$AL97,MATCH(Lists!$F$7,$A$1:$AL$1,0)),1)*1440,0),VALUE(LEFT(INDEX($A97:$AL97,MATCH(Lists!$F$7,$A$1:$AL$1,0)),2))*60+VALUE(MID(INDEX($A97:$AL97,MATCH(Lists!$F$7,$A$1:$AL$1,0)),4,2)))),"")),IFERROR(IF(TRIM(INDEX($A97:$AL97,MATCH(Lists!$F$7,$A$1:$AL$1,0))&amp;"")="","",IF(ISNUMBER(INDEX($A97:$AL97,MATCH(Lists!$F$7,$A$1:$AL$1,0))),ROUND(MOD(INDEX($A97:$AL97,MATCH(Lists!$F$7,$A$1:$AL$1,0)),1)*1440,0),VALUE(LEFT(INDEX($A97:$AL97,MATCH(Lists!$F$7,$A$1:$AL$1,0)),2))*60+VALUE(MID(INDEX($A97:$AL97,MATCH(Lists!$F$7,$A$1:$AL$1,0)),4,2)))),""),-1))</f>
        <v/>
      </c>
      <c r="AW97" s="21">
        <f>IF(IFERROR(TRIM(INDEX($A97:$AL97,MATCH(Lists!$F$2,$A$1:$AL$1,0))&amp;""),"")="","",IF(IFERROR(TRIM(INDEX($A97:$AL97,MATCH(Lists!$F$8,$A$1:$AL$1,0))&amp;""),"")&lt;&gt;"",IFERROR(TRIM(INDEX($A97:$AL97,MATCH(Lists!$F$8,$A$1:$AL$1,0))&amp;""),""),IFERROR(TRIM(INDEX($A97:$AL97,MATCH(Lists!$F$9,$A$1:$AL$1,0))&amp;""),"")))</f>
        <v/>
      </c>
      <c r="AX97" s="21">
        <f>IFERROR(IF(TRIM(INDEX($A97:$AL97,MATCH(Lists!$F$10,$A$1:$AL$1,0))&amp;"")="","",VALUE(TRIM(INDEX($A97:$AL97,MATCH(Lists!$F$10,$A$1:$AL$1,0))&amp;""))),"")</f>
        <v/>
      </c>
      <c r="AY97" s="21">
        <f>IF(IFERROR(TRIM(INDEX($A97:$AL97,MATCH(Lists!$F$2,$A$1:$AL$1,0))&amp;""),"")="","",IF(AN97="","New",AN97))</f>
        <v/>
      </c>
      <c r="AZ97" s="21">
        <f>IF(IFERROR(TRIM(INDEX($A97:$AL97,MATCH(Lists!$F$2,$A$1:$AL$1,0))&amp;""),"")="","",IF(OR(IFERROR(TRIM(INDEX($A97:$AL97,MATCH(Lists!$F$13,$A$1:$AL$1,0))&amp;""),"")="Paid",IFERROR(TRIM(INDEX($A97:$AL97,MATCH(Lists!$F$13,$A$1:$AL$1,0))&amp;""),"")="Partially refunded"),"Paid",IF(AP97="Yes","Paid (by hand)",IFERROR(TRIM(INDEX($A97:$AL97,MATCH(Lists!$F$13,$A$1:$AL$1,0))&amp;""),""))))</f>
        <v/>
      </c>
      <c r="BA97" s="21">
        <f>IF(AND(IFERROR(TRIM(INDEX($A97:$AL97,MATCH(Lists!$F$2,$A$1:$AL$1,0))&amp;""),"")&lt;&gt;"",AT97&gt;0,AU97&gt;=0,AV97&gt;AU97,AY97&lt;&gt;"Declined"),1,0)</f>
        <v/>
      </c>
      <c r="BB97" s="21">
        <f>IF(BA97=1,COUNTIFS($AS$2:$AS$501,AS97,$AT$2:$AT$501,AT97,$AU$2:$AU$501,"&lt;"&amp;AV97,$AV$2:$AV$501,"&gt;"&amp;AU97,$BA$2:$BA$501,1)-1,"")</f>
        <v/>
      </c>
      <c r="BC97" s="21">
        <f>IF(N(BB97)&gt;0,"Clashes with "&amp;INDEX($AW$2:$AW$501,SUMPRODUCT(MAX(($AS$2:$AS$501=AS97)*($AT$2:$AT$501=AT97)*($AU$2:$AU$501&lt;AV97)*($AV$2:$AV$501&gt;AU97)*($BA$2:$BA$501=1)*(ROW($AS$2:$AS$501)&lt;&gt;ROW())*ROW($AS$2:$AS$501)))-1)&amp;" ("&amp;INDEX($AY$2:$AY$501,SUMPRODUCT(MAX(($AS$2:$AS$501=AS97)*($AT$2:$AT$501=AT97)*($AU$2:$AU$501&lt;AV97)*($AV$2:$AV$501&gt;AU97)*($BA$2:$BA$501=1)*(ROW($AS$2:$AS$501)&lt;&gt;ROW())*ROW($AS$2:$AS$501)))-1)&amp;")"&amp;IF(BB97&gt;1," and "&amp;(BB97-1)&amp;" more",""),"")</f>
        <v/>
      </c>
      <c r="BD97" s="21">
        <f>IF(AND(BA97=1,AY97="Confirmed"),AT97*10000000+AU97*1000+ROW(),"")</f>
        <v/>
      </c>
      <c r="BE97" s="21">
        <f>IF(IFERROR(TRIM(INDEX($A97:$AL97,MATCH(Lists!$F$2,$A$1:$AL$1,0))&amp;""),"")="","",IFERROR(TRIM(INDEX($A97:$AL97,MATCH(Lists!$F$11,$A$1:$AL$1,0))&amp;""),""))</f>
        <v/>
      </c>
      <c r="BF97" s="21">
        <f>IF(IFERROR(TRIM(INDEX($A97:$AL97,MATCH(Lists!$F$2,$A$1:$AL$1,0))&amp;""),"")="","",IFERROR(TRIM(INDEX($A97:$AL97,MATCH(Lists!$F$12,$A$1:$AL$1,0))&amp;""),""))</f>
        <v/>
      </c>
    </row>
    <row r="98">
      <c r="AM98" s="19" t="n"/>
      <c r="AN98" s="23" t="n"/>
      <c r="AO98" s="23" t="n"/>
      <c r="AP98" s="23" t="n"/>
      <c r="AQ98" s="23" t="n"/>
      <c r="AR98" s="19" t="n"/>
      <c r="AS98" s="21">
        <f>IF(IFERROR(TRIM(INDEX($A98:$AL98,MATCH(Lists!$F$2,$A$1:$AL$1,0))&amp;""),"")="","",IF(AND(IFERROR(TRIM(INDEX($A98:$AL98,MATCH(Lists!$F$3,$A$1:$AL$1,0))&amp;""),"")="Other",IFERROR(TRIM(INDEX($A98:$AL98,MATCH(Lists!$F$4,$A$1:$AL$1,0))&amp;""),"")&lt;&gt;""),IFERROR(TRIM(INDEX($A98:$AL98,MATCH(Lists!$F$4,$A$1:$AL$1,0))&amp;""),""),IF(IFERROR(TRIM(INDEX($A98:$AL98,MATCH(Lists!$F$3,$A$1:$AL$1,0))&amp;""),"")="","(no space)",IFERROR(TRIM(INDEX($A98:$AL98,MATCH(Lists!$F$3,$A$1:$AL$1,0))&amp;""),""))))</f>
        <v/>
      </c>
      <c r="AT98" s="22">
        <f>IF(IFERROR(TRIM(INDEX($A98:$AL98,MATCH(Lists!$F$2,$A$1:$AL$1,0))&amp;""),"")="",0,N(IFERROR(IF(TRIM(INDEX($A98:$AL98,MATCH(Lists!$F$5,$A$1:$AL$1,0))&amp;"")="","",IF(ISNUMBER(INDEX($A98:$AL98,MATCH(Lists!$F$5,$A$1:$AL$1,0))),INT(INDEX($A98:$AL98,MATCH(Lists!$F$5,$A$1:$AL$1,0))),DATE(VALUE(LEFT(INDEX($A98:$AL98,MATCH(Lists!$F$5,$A$1:$AL$1,0)),4)),VALUE(MID(INDEX($A98:$AL98,MATCH(Lists!$F$5,$A$1:$AL$1,0)),6,2)),VALUE(MID(INDEX($A98:$AL98,MATCH(Lists!$F$5,$A$1:$AL$1,0)),9,2))))),"")))</f>
        <v/>
      </c>
      <c r="AU98" s="21">
        <f>IF(IFERROR(TRIM(INDEX($A98:$AL98,MATCH(Lists!$F$2,$A$1:$AL$1,0))&amp;""),"")="",-1,IF(ISNUMBER(IFERROR(IF(TRIM(INDEX($A98:$AL98,MATCH(Lists!$F$6,$A$1:$AL$1,0))&amp;"")="","",IF(ISNUMBER(INDEX($A98:$AL98,MATCH(Lists!$F$6,$A$1:$AL$1,0))),ROUND(MOD(INDEX($A98:$AL98,MATCH(Lists!$F$6,$A$1:$AL$1,0)),1)*1440,0),VALUE(LEFT(INDEX($A98:$AL98,MATCH(Lists!$F$6,$A$1:$AL$1,0)),2))*60+VALUE(MID(INDEX($A98:$AL98,MATCH(Lists!$F$6,$A$1:$AL$1,0)),4,2)))),"")),IFERROR(IF(TRIM(INDEX($A98:$AL98,MATCH(Lists!$F$6,$A$1:$AL$1,0))&amp;"")="","",IF(ISNUMBER(INDEX($A98:$AL98,MATCH(Lists!$F$6,$A$1:$AL$1,0))),ROUND(MOD(INDEX($A98:$AL98,MATCH(Lists!$F$6,$A$1:$AL$1,0)),1)*1440,0),VALUE(LEFT(INDEX($A98:$AL98,MATCH(Lists!$F$6,$A$1:$AL$1,0)),2))*60+VALUE(MID(INDEX($A98:$AL98,MATCH(Lists!$F$6,$A$1:$AL$1,0)),4,2)))),""),-1))</f>
        <v/>
      </c>
      <c r="AV98" s="21">
        <f>IF(IFERROR(TRIM(INDEX($A98:$AL98,MATCH(Lists!$F$2,$A$1:$AL$1,0))&amp;""),"")="",-1,IF(ISNUMBER(IFERROR(IF(TRIM(INDEX($A98:$AL98,MATCH(Lists!$F$7,$A$1:$AL$1,0))&amp;"")="","",IF(ISNUMBER(INDEX($A98:$AL98,MATCH(Lists!$F$7,$A$1:$AL$1,0))),ROUND(MOD(INDEX($A98:$AL98,MATCH(Lists!$F$7,$A$1:$AL$1,0)),1)*1440,0),VALUE(LEFT(INDEX($A98:$AL98,MATCH(Lists!$F$7,$A$1:$AL$1,0)),2))*60+VALUE(MID(INDEX($A98:$AL98,MATCH(Lists!$F$7,$A$1:$AL$1,0)),4,2)))),"")),IFERROR(IF(TRIM(INDEX($A98:$AL98,MATCH(Lists!$F$7,$A$1:$AL$1,0))&amp;"")="","",IF(ISNUMBER(INDEX($A98:$AL98,MATCH(Lists!$F$7,$A$1:$AL$1,0))),ROUND(MOD(INDEX($A98:$AL98,MATCH(Lists!$F$7,$A$1:$AL$1,0)),1)*1440,0),VALUE(LEFT(INDEX($A98:$AL98,MATCH(Lists!$F$7,$A$1:$AL$1,0)),2))*60+VALUE(MID(INDEX($A98:$AL98,MATCH(Lists!$F$7,$A$1:$AL$1,0)),4,2)))),""),-1))</f>
        <v/>
      </c>
      <c r="AW98" s="21">
        <f>IF(IFERROR(TRIM(INDEX($A98:$AL98,MATCH(Lists!$F$2,$A$1:$AL$1,0))&amp;""),"")="","",IF(IFERROR(TRIM(INDEX($A98:$AL98,MATCH(Lists!$F$8,$A$1:$AL$1,0))&amp;""),"")&lt;&gt;"",IFERROR(TRIM(INDEX($A98:$AL98,MATCH(Lists!$F$8,$A$1:$AL$1,0))&amp;""),""),IFERROR(TRIM(INDEX($A98:$AL98,MATCH(Lists!$F$9,$A$1:$AL$1,0))&amp;""),"")))</f>
        <v/>
      </c>
      <c r="AX98" s="21">
        <f>IFERROR(IF(TRIM(INDEX($A98:$AL98,MATCH(Lists!$F$10,$A$1:$AL$1,0))&amp;"")="","",VALUE(TRIM(INDEX($A98:$AL98,MATCH(Lists!$F$10,$A$1:$AL$1,0))&amp;""))),"")</f>
        <v/>
      </c>
      <c r="AY98" s="21">
        <f>IF(IFERROR(TRIM(INDEX($A98:$AL98,MATCH(Lists!$F$2,$A$1:$AL$1,0))&amp;""),"")="","",IF(AN98="","New",AN98))</f>
        <v/>
      </c>
      <c r="AZ98" s="21">
        <f>IF(IFERROR(TRIM(INDEX($A98:$AL98,MATCH(Lists!$F$2,$A$1:$AL$1,0))&amp;""),"")="","",IF(OR(IFERROR(TRIM(INDEX($A98:$AL98,MATCH(Lists!$F$13,$A$1:$AL$1,0))&amp;""),"")="Paid",IFERROR(TRIM(INDEX($A98:$AL98,MATCH(Lists!$F$13,$A$1:$AL$1,0))&amp;""),"")="Partially refunded"),"Paid",IF(AP98="Yes","Paid (by hand)",IFERROR(TRIM(INDEX($A98:$AL98,MATCH(Lists!$F$13,$A$1:$AL$1,0))&amp;""),""))))</f>
        <v/>
      </c>
      <c r="BA98" s="21">
        <f>IF(AND(IFERROR(TRIM(INDEX($A98:$AL98,MATCH(Lists!$F$2,$A$1:$AL$1,0))&amp;""),"")&lt;&gt;"",AT98&gt;0,AU98&gt;=0,AV98&gt;AU98,AY98&lt;&gt;"Declined"),1,0)</f>
        <v/>
      </c>
      <c r="BB98" s="21">
        <f>IF(BA98=1,COUNTIFS($AS$2:$AS$501,AS98,$AT$2:$AT$501,AT98,$AU$2:$AU$501,"&lt;"&amp;AV98,$AV$2:$AV$501,"&gt;"&amp;AU98,$BA$2:$BA$501,1)-1,"")</f>
        <v/>
      </c>
      <c r="BC98" s="21">
        <f>IF(N(BB98)&gt;0,"Clashes with "&amp;INDEX($AW$2:$AW$501,SUMPRODUCT(MAX(($AS$2:$AS$501=AS98)*($AT$2:$AT$501=AT98)*($AU$2:$AU$501&lt;AV98)*($AV$2:$AV$501&gt;AU98)*($BA$2:$BA$501=1)*(ROW($AS$2:$AS$501)&lt;&gt;ROW())*ROW($AS$2:$AS$501)))-1)&amp;" ("&amp;INDEX($AY$2:$AY$501,SUMPRODUCT(MAX(($AS$2:$AS$501=AS98)*($AT$2:$AT$501=AT98)*($AU$2:$AU$501&lt;AV98)*($AV$2:$AV$501&gt;AU98)*($BA$2:$BA$501=1)*(ROW($AS$2:$AS$501)&lt;&gt;ROW())*ROW($AS$2:$AS$501)))-1)&amp;")"&amp;IF(BB98&gt;1," and "&amp;(BB98-1)&amp;" more",""),"")</f>
        <v/>
      </c>
      <c r="BD98" s="21">
        <f>IF(AND(BA98=1,AY98="Confirmed"),AT98*10000000+AU98*1000+ROW(),"")</f>
        <v/>
      </c>
      <c r="BE98" s="21">
        <f>IF(IFERROR(TRIM(INDEX($A98:$AL98,MATCH(Lists!$F$2,$A$1:$AL$1,0))&amp;""),"")="","",IFERROR(TRIM(INDEX($A98:$AL98,MATCH(Lists!$F$11,$A$1:$AL$1,0))&amp;""),""))</f>
        <v/>
      </c>
      <c r="BF98" s="21">
        <f>IF(IFERROR(TRIM(INDEX($A98:$AL98,MATCH(Lists!$F$2,$A$1:$AL$1,0))&amp;""),"")="","",IFERROR(TRIM(INDEX($A98:$AL98,MATCH(Lists!$F$12,$A$1:$AL$1,0))&amp;""),""))</f>
        <v/>
      </c>
    </row>
    <row r="99">
      <c r="AM99" s="19" t="n"/>
      <c r="AN99" s="23" t="n"/>
      <c r="AO99" s="23" t="n"/>
      <c r="AP99" s="23" t="n"/>
      <c r="AQ99" s="23" t="n"/>
      <c r="AR99" s="19" t="n"/>
      <c r="AS99" s="21">
        <f>IF(IFERROR(TRIM(INDEX($A99:$AL99,MATCH(Lists!$F$2,$A$1:$AL$1,0))&amp;""),"")="","",IF(AND(IFERROR(TRIM(INDEX($A99:$AL99,MATCH(Lists!$F$3,$A$1:$AL$1,0))&amp;""),"")="Other",IFERROR(TRIM(INDEX($A99:$AL99,MATCH(Lists!$F$4,$A$1:$AL$1,0))&amp;""),"")&lt;&gt;""),IFERROR(TRIM(INDEX($A99:$AL99,MATCH(Lists!$F$4,$A$1:$AL$1,0))&amp;""),""),IF(IFERROR(TRIM(INDEX($A99:$AL99,MATCH(Lists!$F$3,$A$1:$AL$1,0))&amp;""),"")="","(no space)",IFERROR(TRIM(INDEX($A99:$AL99,MATCH(Lists!$F$3,$A$1:$AL$1,0))&amp;""),""))))</f>
        <v/>
      </c>
      <c r="AT99" s="22">
        <f>IF(IFERROR(TRIM(INDEX($A99:$AL99,MATCH(Lists!$F$2,$A$1:$AL$1,0))&amp;""),"")="",0,N(IFERROR(IF(TRIM(INDEX($A99:$AL99,MATCH(Lists!$F$5,$A$1:$AL$1,0))&amp;"")="","",IF(ISNUMBER(INDEX($A99:$AL99,MATCH(Lists!$F$5,$A$1:$AL$1,0))),INT(INDEX($A99:$AL99,MATCH(Lists!$F$5,$A$1:$AL$1,0))),DATE(VALUE(LEFT(INDEX($A99:$AL99,MATCH(Lists!$F$5,$A$1:$AL$1,0)),4)),VALUE(MID(INDEX($A99:$AL99,MATCH(Lists!$F$5,$A$1:$AL$1,0)),6,2)),VALUE(MID(INDEX($A99:$AL99,MATCH(Lists!$F$5,$A$1:$AL$1,0)),9,2))))),"")))</f>
        <v/>
      </c>
      <c r="AU99" s="21">
        <f>IF(IFERROR(TRIM(INDEX($A99:$AL99,MATCH(Lists!$F$2,$A$1:$AL$1,0))&amp;""),"")="",-1,IF(ISNUMBER(IFERROR(IF(TRIM(INDEX($A99:$AL99,MATCH(Lists!$F$6,$A$1:$AL$1,0))&amp;"")="","",IF(ISNUMBER(INDEX($A99:$AL99,MATCH(Lists!$F$6,$A$1:$AL$1,0))),ROUND(MOD(INDEX($A99:$AL99,MATCH(Lists!$F$6,$A$1:$AL$1,0)),1)*1440,0),VALUE(LEFT(INDEX($A99:$AL99,MATCH(Lists!$F$6,$A$1:$AL$1,0)),2))*60+VALUE(MID(INDEX($A99:$AL99,MATCH(Lists!$F$6,$A$1:$AL$1,0)),4,2)))),"")),IFERROR(IF(TRIM(INDEX($A99:$AL99,MATCH(Lists!$F$6,$A$1:$AL$1,0))&amp;"")="","",IF(ISNUMBER(INDEX($A99:$AL99,MATCH(Lists!$F$6,$A$1:$AL$1,0))),ROUND(MOD(INDEX($A99:$AL99,MATCH(Lists!$F$6,$A$1:$AL$1,0)),1)*1440,0),VALUE(LEFT(INDEX($A99:$AL99,MATCH(Lists!$F$6,$A$1:$AL$1,0)),2))*60+VALUE(MID(INDEX($A99:$AL99,MATCH(Lists!$F$6,$A$1:$AL$1,0)),4,2)))),""),-1))</f>
        <v/>
      </c>
      <c r="AV99" s="21">
        <f>IF(IFERROR(TRIM(INDEX($A99:$AL99,MATCH(Lists!$F$2,$A$1:$AL$1,0))&amp;""),"")="",-1,IF(ISNUMBER(IFERROR(IF(TRIM(INDEX($A99:$AL99,MATCH(Lists!$F$7,$A$1:$AL$1,0))&amp;"")="","",IF(ISNUMBER(INDEX($A99:$AL99,MATCH(Lists!$F$7,$A$1:$AL$1,0))),ROUND(MOD(INDEX($A99:$AL99,MATCH(Lists!$F$7,$A$1:$AL$1,0)),1)*1440,0),VALUE(LEFT(INDEX($A99:$AL99,MATCH(Lists!$F$7,$A$1:$AL$1,0)),2))*60+VALUE(MID(INDEX($A99:$AL99,MATCH(Lists!$F$7,$A$1:$AL$1,0)),4,2)))),"")),IFERROR(IF(TRIM(INDEX($A99:$AL99,MATCH(Lists!$F$7,$A$1:$AL$1,0))&amp;"")="","",IF(ISNUMBER(INDEX($A99:$AL99,MATCH(Lists!$F$7,$A$1:$AL$1,0))),ROUND(MOD(INDEX($A99:$AL99,MATCH(Lists!$F$7,$A$1:$AL$1,0)),1)*1440,0),VALUE(LEFT(INDEX($A99:$AL99,MATCH(Lists!$F$7,$A$1:$AL$1,0)),2))*60+VALUE(MID(INDEX($A99:$AL99,MATCH(Lists!$F$7,$A$1:$AL$1,0)),4,2)))),""),-1))</f>
        <v/>
      </c>
      <c r="AW99" s="21">
        <f>IF(IFERROR(TRIM(INDEX($A99:$AL99,MATCH(Lists!$F$2,$A$1:$AL$1,0))&amp;""),"")="","",IF(IFERROR(TRIM(INDEX($A99:$AL99,MATCH(Lists!$F$8,$A$1:$AL$1,0))&amp;""),"")&lt;&gt;"",IFERROR(TRIM(INDEX($A99:$AL99,MATCH(Lists!$F$8,$A$1:$AL$1,0))&amp;""),""),IFERROR(TRIM(INDEX($A99:$AL99,MATCH(Lists!$F$9,$A$1:$AL$1,0))&amp;""),"")))</f>
        <v/>
      </c>
      <c r="AX99" s="21">
        <f>IFERROR(IF(TRIM(INDEX($A99:$AL99,MATCH(Lists!$F$10,$A$1:$AL$1,0))&amp;"")="","",VALUE(TRIM(INDEX($A99:$AL99,MATCH(Lists!$F$10,$A$1:$AL$1,0))&amp;""))),"")</f>
        <v/>
      </c>
      <c r="AY99" s="21">
        <f>IF(IFERROR(TRIM(INDEX($A99:$AL99,MATCH(Lists!$F$2,$A$1:$AL$1,0))&amp;""),"")="","",IF(AN99="","New",AN99))</f>
        <v/>
      </c>
      <c r="AZ99" s="21">
        <f>IF(IFERROR(TRIM(INDEX($A99:$AL99,MATCH(Lists!$F$2,$A$1:$AL$1,0))&amp;""),"")="","",IF(OR(IFERROR(TRIM(INDEX($A99:$AL99,MATCH(Lists!$F$13,$A$1:$AL$1,0))&amp;""),"")="Paid",IFERROR(TRIM(INDEX($A99:$AL99,MATCH(Lists!$F$13,$A$1:$AL$1,0))&amp;""),"")="Partially refunded"),"Paid",IF(AP99="Yes","Paid (by hand)",IFERROR(TRIM(INDEX($A99:$AL99,MATCH(Lists!$F$13,$A$1:$AL$1,0))&amp;""),""))))</f>
        <v/>
      </c>
      <c r="BA99" s="21">
        <f>IF(AND(IFERROR(TRIM(INDEX($A99:$AL99,MATCH(Lists!$F$2,$A$1:$AL$1,0))&amp;""),"")&lt;&gt;"",AT99&gt;0,AU99&gt;=0,AV99&gt;AU99,AY99&lt;&gt;"Declined"),1,0)</f>
        <v/>
      </c>
      <c r="BB99" s="21">
        <f>IF(BA99=1,COUNTIFS($AS$2:$AS$501,AS99,$AT$2:$AT$501,AT99,$AU$2:$AU$501,"&lt;"&amp;AV99,$AV$2:$AV$501,"&gt;"&amp;AU99,$BA$2:$BA$501,1)-1,"")</f>
        <v/>
      </c>
      <c r="BC99" s="21">
        <f>IF(N(BB99)&gt;0,"Clashes with "&amp;INDEX($AW$2:$AW$501,SUMPRODUCT(MAX(($AS$2:$AS$501=AS99)*($AT$2:$AT$501=AT99)*($AU$2:$AU$501&lt;AV99)*($AV$2:$AV$501&gt;AU99)*($BA$2:$BA$501=1)*(ROW($AS$2:$AS$501)&lt;&gt;ROW())*ROW($AS$2:$AS$501)))-1)&amp;" ("&amp;INDEX($AY$2:$AY$501,SUMPRODUCT(MAX(($AS$2:$AS$501=AS99)*($AT$2:$AT$501=AT99)*($AU$2:$AU$501&lt;AV99)*($AV$2:$AV$501&gt;AU99)*($BA$2:$BA$501=1)*(ROW($AS$2:$AS$501)&lt;&gt;ROW())*ROW($AS$2:$AS$501)))-1)&amp;")"&amp;IF(BB99&gt;1," and "&amp;(BB99-1)&amp;" more",""),"")</f>
        <v/>
      </c>
      <c r="BD99" s="21">
        <f>IF(AND(BA99=1,AY99="Confirmed"),AT99*10000000+AU99*1000+ROW(),"")</f>
        <v/>
      </c>
      <c r="BE99" s="21">
        <f>IF(IFERROR(TRIM(INDEX($A99:$AL99,MATCH(Lists!$F$2,$A$1:$AL$1,0))&amp;""),"")="","",IFERROR(TRIM(INDEX($A99:$AL99,MATCH(Lists!$F$11,$A$1:$AL$1,0))&amp;""),""))</f>
        <v/>
      </c>
      <c r="BF99" s="21">
        <f>IF(IFERROR(TRIM(INDEX($A99:$AL99,MATCH(Lists!$F$2,$A$1:$AL$1,0))&amp;""),"")="","",IFERROR(TRIM(INDEX($A99:$AL99,MATCH(Lists!$F$12,$A$1:$AL$1,0))&amp;""),""))</f>
        <v/>
      </c>
    </row>
    <row r="100">
      <c r="AM100" s="19" t="n"/>
      <c r="AN100" s="23" t="n"/>
      <c r="AO100" s="23" t="n"/>
      <c r="AP100" s="23" t="n"/>
      <c r="AQ100" s="23" t="n"/>
      <c r="AR100" s="19" t="n"/>
      <c r="AS100" s="21">
        <f>IF(IFERROR(TRIM(INDEX($A100:$AL100,MATCH(Lists!$F$2,$A$1:$AL$1,0))&amp;""),"")="","",IF(AND(IFERROR(TRIM(INDEX($A100:$AL100,MATCH(Lists!$F$3,$A$1:$AL$1,0))&amp;""),"")="Other",IFERROR(TRIM(INDEX($A100:$AL100,MATCH(Lists!$F$4,$A$1:$AL$1,0))&amp;""),"")&lt;&gt;""),IFERROR(TRIM(INDEX($A100:$AL100,MATCH(Lists!$F$4,$A$1:$AL$1,0))&amp;""),""),IF(IFERROR(TRIM(INDEX($A100:$AL100,MATCH(Lists!$F$3,$A$1:$AL$1,0))&amp;""),"")="","(no space)",IFERROR(TRIM(INDEX($A100:$AL100,MATCH(Lists!$F$3,$A$1:$AL$1,0))&amp;""),""))))</f>
        <v/>
      </c>
      <c r="AT100" s="22">
        <f>IF(IFERROR(TRIM(INDEX($A100:$AL100,MATCH(Lists!$F$2,$A$1:$AL$1,0))&amp;""),"")="",0,N(IFERROR(IF(TRIM(INDEX($A100:$AL100,MATCH(Lists!$F$5,$A$1:$AL$1,0))&amp;"")="","",IF(ISNUMBER(INDEX($A100:$AL100,MATCH(Lists!$F$5,$A$1:$AL$1,0))),INT(INDEX($A100:$AL100,MATCH(Lists!$F$5,$A$1:$AL$1,0))),DATE(VALUE(LEFT(INDEX($A100:$AL100,MATCH(Lists!$F$5,$A$1:$AL$1,0)),4)),VALUE(MID(INDEX($A100:$AL100,MATCH(Lists!$F$5,$A$1:$AL$1,0)),6,2)),VALUE(MID(INDEX($A100:$AL100,MATCH(Lists!$F$5,$A$1:$AL$1,0)),9,2))))),"")))</f>
        <v/>
      </c>
      <c r="AU100" s="21">
        <f>IF(IFERROR(TRIM(INDEX($A100:$AL100,MATCH(Lists!$F$2,$A$1:$AL$1,0))&amp;""),"")="",-1,IF(ISNUMBER(IFERROR(IF(TRIM(INDEX($A100:$AL100,MATCH(Lists!$F$6,$A$1:$AL$1,0))&amp;"")="","",IF(ISNUMBER(INDEX($A100:$AL100,MATCH(Lists!$F$6,$A$1:$AL$1,0))),ROUND(MOD(INDEX($A100:$AL100,MATCH(Lists!$F$6,$A$1:$AL$1,0)),1)*1440,0),VALUE(LEFT(INDEX($A100:$AL100,MATCH(Lists!$F$6,$A$1:$AL$1,0)),2))*60+VALUE(MID(INDEX($A100:$AL100,MATCH(Lists!$F$6,$A$1:$AL$1,0)),4,2)))),"")),IFERROR(IF(TRIM(INDEX($A100:$AL100,MATCH(Lists!$F$6,$A$1:$AL$1,0))&amp;"")="","",IF(ISNUMBER(INDEX($A100:$AL100,MATCH(Lists!$F$6,$A$1:$AL$1,0))),ROUND(MOD(INDEX($A100:$AL100,MATCH(Lists!$F$6,$A$1:$AL$1,0)),1)*1440,0),VALUE(LEFT(INDEX($A100:$AL100,MATCH(Lists!$F$6,$A$1:$AL$1,0)),2))*60+VALUE(MID(INDEX($A100:$AL100,MATCH(Lists!$F$6,$A$1:$AL$1,0)),4,2)))),""),-1))</f>
        <v/>
      </c>
      <c r="AV100" s="21">
        <f>IF(IFERROR(TRIM(INDEX($A100:$AL100,MATCH(Lists!$F$2,$A$1:$AL$1,0))&amp;""),"")="",-1,IF(ISNUMBER(IFERROR(IF(TRIM(INDEX($A100:$AL100,MATCH(Lists!$F$7,$A$1:$AL$1,0))&amp;"")="","",IF(ISNUMBER(INDEX($A100:$AL100,MATCH(Lists!$F$7,$A$1:$AL$1,0))),ROUND(MOD(INDEX($A100:$AL100,MATCH(Lists!$F$7,$A$1:$AL$1,0)),1)*1440,0),VALUE(LEFT(INDEX($A100:$AL100,MATCH(Lists!$F$7,$A$1:$AL$1,0)),2))*60+VALUE(MID(INDEX($A100:$AL100,MATCH(Lists!$F$7,$A$1:$AL$1,0)),4,2)))),"")),IFERROR(IF(TRIM(INDEX($A100:$AL100,MATCH(Lists!$F$7,$A$1:$AL$1,0))&amp;"")="","",IF(ISNUMBER(INDEX($A100:$AL100,MATCH(Lists!$F$7,$A$1:$AL$1,0))),ROUND(MOD(INDEX($A100:$AL100,MATCH(Lists!$F$7,$A$1:$AL$1,0)),1)*1440,0),VALUE(LEFT(INDEX($A100:$AL100,MATCH(Lists!$F$7,$A$1:$AL$1,0)),2))*60+VALUE(MID(INDEX($A100:$AL100,MATCH(Lists!$F$7,$A$1:$AL$1,0)),4,2)))),""),-1))</f>
        <v/>
      </c>
      <c r="AW100" s="21">
        <f>IF(IFERROR(TRIM(INDEX($A100:$AL100,MATCH(Lists!$F$2,$A$1:$AL$1,0))&amp;""),"")="","",IF(IFERROR(TRIM(INDEX($A100:$AL100,MATCH(Lists!$F$8,$A$1:$AL$1,0))&amp;""),"")&lt;&gt;"",IFERROR(TRIM(INDEX($A100:$AL100,MATCH(Lists!$F$8,$A$1:$AL$1,0))&amp;""),""),IFERROR(TRIM(INDEX($A100:$AL100,MATCH(Lists!$F$9,$A$1:$AL$1,0))&amp;""),"")))</f>
        <v/>
      </c>
      <c r="AX100" s="21">
        <f>IFERROR(IF(TRIM(INDEX($A100:$AL100,MATCH(Lists!$F$10,$A$1:$AL$1,0))&amp;"")="","",VALUE(TRIM(INDEX($A100:$AL100,MATCH(Lists!$F$10,$A$1:$AL$1,0))&amp;""))),"")</f>
        <v/>
      </c>
      <c r="AY100" s="21">
        <f>IF(IFERROR(TRIM(INDEX($A100:$AL100,MATCH(Lists!$F$2,$A$1:$AL$1,0))&amp;""),"")="","",IF(AN100="","New",AN100))</f>
        <v/>
      </c>
      <c r="AZ100" s="21">
        <f>IF(IFERROR(TRIM(INDEX($A100:$AL100,MATCH(Lists!$F$2,$A$1:$AL$1,0))&amp;""),"")="","",IF(OR(IFERROR(TRIM(INDEX($A100:$AL100,MATCH(Lists!$F$13,$A$1:$AL$1,0))&amp;""),"")="Paid",IFERROR(TRIM(INDEX($A100:$AL100,MATCH(Lists!$F$13,$A$1:$AL$1,0))&amp;""),"")="Partially refunded"),"Paid",IF(AP100="Yes","Paid (by hand)",IFERROR(TRIM(INDEX($A100:$AL100,MATCH(Lists!$F$13,$A$1:$AL$1,0))&amp;""),""))))</f>
        <v/>
      </c>
      <c r="BA100" s="21">
        <f>IF(AND(IFERROR(TRIM(INDEX($A100:$AL100,MATCH(Lists!$F$2,$A$1:$AL$1,0))&amp;""),"")&lt;&gt;"",AT100&gt;0,AU100&gt;=0,AV100&gt;AU100,AY100&lt;&gt;"Declined"),1,0)</f>
        <v/>
      </c>
      <c r="BB100" s="21">
        <f>IF(BA100=1,COUNTIFS($AS$2:$AS$501,AS100,$AT$2:$AT$501,AT100,$AU$2:$AU$501,"&lt;"&amp;AV100,$AV$2:$AV$501,"&gt;"&amp;AU100,$BA$2:$BA$501,1)-1,"")</f>
        <v/>
      </c>
      <c r="BC100" s="21">
        <f>IF(N(BB100)&gt;0,"Clashes with "&amp;INDEX($AW$2:$AW$501,SUMPRODUCT(MAX(($AS$2:$AS$501=AS100)*($AT$2:$AT$501=AT100)*($AU$2:$AU$501&lt;AV100)*($AV$2:$AV$501&gt;AU100)*($BA$2:$BA$501=1)*(ROW($AS$2:$AS$501)&lt;&gt;ROW())*ROW($AS$2:$AS$501)))-1)&amp;" ("&amp;INDEX($AY$2:$AY$501,SUMPRODUCT(MAX(($AS$2:$AS$501=AS100)*($AT$2:$AT$501=AT100)*($AU$2:$AU$501&lt;AV100)*($AV$2:$AV$501&gt;AU100)*($BA$2:$BA$501=1)*(ROW($AS$2:$AS$501)&lt;&gt;ROW())*ROW($AS$2:$AS$501)))-1)&amp;")"&amp;IF(BB100&gt;1," and "&amp;(BB100-1)&amp;" more",""),"")</f>
        <v/>
      </c>
      <c r="BD100" s="21">
        <f>IF(AND(BA100=1,AY100="Confirmed"),AT100*10000000+AU100*1000+ROW(),"")</f>
        <v/>
      </c>
      <c r="BE100" s="21">
        <f>IF(IFERROR(TRIM(INDEX($A100:$AL100,MATCH(Lists!$F$2,$A$1:$AL$1,0))&amp;""),"")="","",IFERROR(TRIM(INDEX($A100:$AL100,MATCH(Lists!$F$11,$A$1:$AL$1,0))&amp;""),""))</f>
        <v/>
      </c>
      <c r="BF100" s="21">
        <f>IF(IFERROR(TRIM(INDEX($A100:$AL100,MATCH(Lists!$F$2,$A$1:$AL$1,0))&amp;""),"")="","",IFERROR(TRIM(INDEX($A100:$AL100,MATCH(Lists!$F$12,$A$1:$AL$1,0))&amp;""),""))</f>
        <v/>
      </c>
    </row>
    <row r="101">
      <c r="AM101" s="19" t="n"/>
      <c r="AN101" s="23" t="n"/>
      <c r="AO101" s="23" t="n"/>
      <c r="AP101" s="23" t="n"/>
      <c r="AQ101" s="23" t="n"/>
      <c r="AR101" s="19" t="n"/>
      <c r="AS101" s="21">
        <f>IF(IFERROR(TRIM(INDEX($A101:$AL101,MATCH(Lists!$F$2,$A$1:$AL$1,0))&amp;""),"")="","",IF(AND(IFERROR(TRIM(INDEX($A101:$AL101,MATCH(Lists!$F$3,$A$1:$AL$1,0))&amp;""),"")="Other",IFERROR(TRIM(INDEX($A101:$AL101,MATCH(Lists!$F$4,$A$1:$AL$1,0))&amp;""),"")&lt;&gt;""),IFERROR(TRIM(INDEX($A101:$AL101,MATCH(Lists!$F$4,$A$1:$AL$1,0))&amp;""),""),IF(IFERROR(TRIM(INDEX($A101:$AL101,MATCH(Lists!$F$3,$A$1:$AL$1,0))&amp;""),"")="","(no space)",IFERROR(TRIM(INDEX($A101:$AL101,MATCH(Lists!$F$3,$A$1:$AL$1,0))&amp;""),""))))</f>
        <v/>
      </c>
      <c r="AT101" s="22">
        <f>IF(IFERROR(TRIM(INDEX($A101:$AL101,MATCH(Lists!$F$2,$A$1:$AL$1,0))&amp;""),"")="",0,N(IFERROR(IF(TRIM(INDEX($A101:$AL101,MATCH(Lists!$F$5,$A$1:$AL$1,0))&amp;"")="","",IF(ISNUMBER(INDEX($A101:$AL101,MATCH(Lists!$F$5,$A$1:$AL$1,0))),INT(INDEX($A101:$AL101,MATCH(Lists!$F$5,$A$1:$AL$1,0))),DATE(VALUE(LEFT(INDEX($A101:$AL101,MATCH(Lists!$F$5,$A$1:$AL$1,0)),4)),VALUE(MID(INDEX($A101:$AL101,MATCH(Lists!$F$5,$A$1:$AL$1,0)),6,2)),VALUE(MID(INDEX($A101:$AL101,MATCH(Lists!$F$5,$A$1:$AL$1,0)),9,2))))),"")))</f>
        <v/>
      </c>
      <c r="AU101" s="21">
        <f>IF(IFERROR(TRIM(INDEX($A101:$AL101,MATCH(Lists!$F$2,$A$1:$AL$1,0))&amp;""),"")="",-1,IF(ISNUMBER(IFERROR(IF(TRIM(INDEX($A101:$AL101,MATCH(Lists!$F$6,$A$1:$AL$1,0))&amp;"")="","",IF(ISNUMBER(INDEX($A101:$AL101,MATCH(Lists!$F$6,$A$1:$AL$1,0))),ROUND(MOD(INDEX($A101:$AL101,MATCH(Lists!$F$6,$A$1:$AL$1,0)),1)*1440,0),VALUE(LEFT(INDEX($A101:$AL101,MATCH(Lists!$F$6,$A$1:$AL$1,0)),2))*60+VALUE(MID(INDEX($A101:$AL101,MATCH(Lists!$F$6,$A$1:$AL$1,0)),4,2)))),"")),IFERROR(IF(TRIM(INDEX($A101:$AL101,MATCH(Lists!$F$6,$A$1:$AL$1,0))&amp;"")="","",IF(ISNUMBER(INDEX($A101:$AL101,MATCH(Lists!$F$6,$A$1:$AL$1,0))),ROUND(MOD(INDEX($A101:$AL101,MATCH(Lists!$F$6,$A$1:$AL$1,0)),1)*1440,0),VALUE(LEFT(INDEX($A101:$AL101,MATCH(Lists!$F$6,$A$1:$AL$1,0)),2))*60+VALUE(MID(INDEX($A101:$AL101,MATCH(Lists!$F$6,$A$1:$AL$1,0)),4,2)))),""),-1))</f>
        <v/>
      </c>
      <c r="AV101" s="21">
        <f>IF(IFERROR(TRIM(INDEX($A101:$AL101,MATCH(Lists!$F$2,$A$1:$AL$1,0))&amp;""),"")="",-1,IF(ISNUMBER(IFERROR(IF(TRIM(INDEX($A101:$AL101,MATCH(Lists!$F$7,$A$1:$AL$1,0))&amp;"")="","",IF(ISNUMBER(INDEX($A101:$AL101,MATCH(Lists!$F$7,$A$1:$AL$1,0))),ROUND(MOD(INDEX($A101:$AL101,MATCH(Lists!$F$7,$A$1:$AL$1,0)),1)*1440,0),VALUE(LEFT(INDEX($A101:$AL101,MATCH(Lists!$F$7,$A$1:$AL$1,0)),2))*60+VALUE(MID(INDEX($A101:$AL101,MATCH(Lists!$F$7,$A$1:$AL$1,0)),4,2)))),"")),IFERROR(IF(TRIM(INDEX($A101:$AL101,MATCH(Lists!$F$7,$A$1:$AL$1,0))&amp;"")="","",IF(ISNUMBER(INDEX($A101:$AL101,MATCH(Lists!$F$7,$A$1:$AL$1,0))),ROUND(MOD(INDEX($A101:$AL101,MATCH(Lists!$F$7,$A$1:$AL$1,0)),1)*1440,0),VALUE(LEFT(INDEX($A101:$AL101,MATCH(Lists!$F$7,$A$1:$AL$1,0)),2))*60+VALUE(MID(INDEX($A101:$AL101,MATCH(Lists!$F$7,$A$1:$AL$1,0)),4,2)))),""),-1))</f>
        <v/>
      </c>
      <c r="AW101" s="21">
        <f>IF(IFERROR(TRIM(INDEX($A101:$AL101,MATCH(Lists!$F$2,$A$1:$AL$1,0))&amp;""),"")="","",IF(IFERROR(TRIM(INDEX($A101:$AL101,MATCH(Lists!$F$8,$A$1:$AL$1,0))&amp;""),"")&lt;&gt;"",IFERROR(TRIM(INDEX($A101:$AL101,MATCH(Lists!$F$8,$A$1:$AL$1,0))&amp;""),""),IFERROR(TRIM(INDEX($A101:$AL101,MATCH(Lists!$F$9,$A$1:$AL$1,0))&amp;""),"")))</f>
        <v/>
      </c>
      <c r="AX101" s="21">
        <f>IFERROR(IF(TRIM(INDEX($A101:$AL101,MATCH(Lists!$F$10,$A$1:$AL$1,0))&amp;"")="","",VALUE(TRIM(INDEX($A101:$AL101,MATCH(Lists!$F$10,$A$1:$AL$1,0))&amp;""))),"")</f>
        <v/>
      </c>
      <c r="AY101" s="21">
        <f>IF(IFERROR(TRIM(INDEX($A101:$AL101,MATCH(Lists!$F$2,$A$1:$AL$1,0))&amp;""),"")="","",IF(AN101="","New",AN101))</f>
        <v/>
      </c>
      <c r="AZ101" s="21">
        <f>IF(IFERROR(TRIM(INDEX($A101:$AL101,MATCH(Lists!$F$2,$A$1:$AL$1,0))&amp;""),"")="","",IF(OR(IFERROR(TRIM(INDEX($A101:$AL101,MATCH(Lists!$F$13,$A$1:$AL$1,0))&amp;""),"")="Paid",IFERROR(TRIM(INDEX($A101:$AL101,MATCH(Lists!$F$13,$A$1:$AL$1,0))&amp;""),"")="Partially refunded"),"Paid",IF(AP101="Yes","Paid (by hand)",IFERROR(TRIM(INDEX($A101:$AL101,MATCH(Lists!$F$13,$A$1:$AL$1,0))&amp;""),""))))</f>
        <v/>
      </c>
      <c r="BA101" s="21">
        <f>IF(AND(IFERROR(TRIM(INDEX($A101:$AL101,MATCH(Lists!$F$2,$A$1:$AL$1,0))&amp;""),"")&lt;&gt;"",AT101&gt;0,AU101&gt;=0,AV101&gt;AU101,AY101&lt;&gt;"Declined"),1,0)</f>
        <v/>
      </c>
      <c r="BB101" s="21">
        <f>IF(BA101=1,COUNTIFS($AS$2:$AS$501,AS101,$AT$2:$AT$501,AT101,$AU$2:$AU$501,"&lt;"&amp;AV101,$AV$2:$AV$501,"&gt;"&amp;AU101,$BA$2:$BA$501,1)-1,"")</f>
        <v/>
      </c>
      <c r="BC101" s="21">
        <f>IF(N(BB101)&gt;0,"Clashes with "&amp;INDEX($AW$2:$AW$501,SUMPRODUCT(MAX(($AS$2:$AS$501=AS101)*($AT$2:$AT$501=AT101)*($AU$2:$AU$501&lt;AV101)*($AV$2:$AV$501&gt;AU101)*($BA$2:$BA$501=1)*(ROW($AS$2:$AS$501)&lt;&gt;ROW())*ROW($AS$2:$AS$501)))-1)&amp;" ("&amp;INDEX($AY$2:$AY$501,SUMPRODUCT(MAX(($AS$2:$AS$501=AS101)*($AT$2:$AT$501=AT101)*($AU$2:$AU$501&lt;AV101)*($AV$2:$AV$501&gt;AU101)*($BA$2:$BA$501=1)*(ROW($AS$2:$AS$501)&lt;&gt;ROW())*ROW($AS$2:$AS$501)))-1)&amp;")"&amp;IF(BB101&gt;1," and "&amp;(BB101-1)&amp;" more",""),"")</f>
        <v/>
      </c>
      <c r="BD101" s="21">
        <f>IF(AND(BA101=1,AY101="Confirmed"),AT101*10000000+AU101*1000+ROW(),"")</f>
        <v/>
      </c>
      <c r="BE101" s="21">
        <f>IF(IFERROR(TRIM(INDEX($A101:$AL101,MATCH(Lists!$F$2,$A$1:$AL$1,0))&amp;""),"")="","",IFERROR(TRIM(INDEX($A101:$AL101,MATCH(Lists!$F$11,$A$1:$AL$1,0))&amp;""),""))</f>
        <v/>
      </c>
      <c r="BF101" s="21">
        <f>IF(IFERROR(TRIM(INDEX($A101:$AL101,MATCH(Lists!$F$2,$A$1:$AL$1,0))&amp;""),"")="","",IFERROR(TRIM(INDEX($A101:$AL101,MATCH(Lists!$F$12,$A$1:$AL$1,0))&amp;""),""))</f>
        <v/>
      </c>
    </row>
    <row r="102">
      <c r="AM102" s="19" t="n"/>
      <c r="AN102" s="23" t="n"/>
      <c r="AO102" s="23" t="n"/>
      <c r="AP102" s="23" t="n"/>
      <c r="AQ102" s="23" t="n"/>
      <c r="AR102" s="19" t="n"/>
      <c r="AS102" s="21">
        <f>IF(IFERROR(TRIM(INDEX($A102:$AL102,MATCH(Lists!$F$2,$A$1:$AL$1,0))&amp;""),"")="","",IF(AND(IFERROR(TRIM(INDEX($A102:$AL102,MATCH(Lists!$F$3,$A$1:$AL$1,0))&amp;""),"")="Other",IFERROR(TRIM(INDEX($A102:$AL102,MATCH(Lists!$F$4,$A$1:$AL$1,0))&amp;""),"")&lt;&gt;""),IFERROR(TRIM(INDEX($A102:$AL102,MATCH(Lists!$F$4,$A$1:$AL$1,0))&amp;""),""),IF(IFERROR(TRIM(INDEX($A102:$AL102,MATCH(Lists!$F$3,$A$1:$AL$1,0))&amp;""),"")="","(no space)",IFERROR(TRIM(INDEX($A102:$AL102,MATCH(Lists!$F$3,$A$1:$AL$1,0))&amp;""),""))))</f>
        <v/>
      </c>
      <c r="AT102" s="22">
        <f>IF(IFERROR(TRIM(INDEX($A102:$AL102,MATCH(Lists!$F$2,$A$1:$AL$1,0))&amp;""),"")="",0,N(IFERROR(IF(TRIM(INDEX($A102:$AL102,MATCH(Lists!$F$5,$A$1:$AL$1,0))&amp;"")="","",IF(ISNUMBER(INDEX($A102:$AL102,MATCH(Lists!$F$5,$A$1:$AL$1,0))),INT(INDEX($A102:$AL102,MATCH(Lists!$F$5,$A$1:$AL$1,0))),DATE(VALUE(LEFT(INDEX($A102:$AL102,MATCH(Lists!$F$5,$A$1:$AL$1,0)),4)),VALUE(MID(INDEX($A102:$AL102,MATCH(Lists!$F$5,$A$1:$AL$1,0)),6,2)),VALUE(MID(INDEX($A102:$AL102,MATCH(Lists!$F$5,$A$1:$AL$1,0)),9,2))))),"")))</f>
        <v/>
      </c>
      <c r="AU102" s="21">
        <f>IF(IFERROR(TRIM(INDEX($A102:$AL102,MATCH(Lists!$F$2,$A$1:$AL$1,0))&amp;""),"")="",-1,IF(ISNUMBER(IFERROR(IF(TRIM(INDEX($A102:$AL102,MATCH(Lists!$F$6,$A$1:$AL$1,0))&amp;"")="","",IF(ISNUMBER(INDEX($A102:$AL102,MATCH(Lists!$F$6,$A$1:$AL$1,0))),ROUND(MOD(INDEX($A102:$AL102,MATCH(Lists!$F$6,$A$1:$AL$1,0)),1)*1440,0),VALUE(LEFT(INDEX($A102:$AL102,MATCH(Lists!$F$6,$A$1:$AL$1,0)),2))*60+VALUE(MID(INDEX($A102:$AL102,MATCH(Lists!$F$6,$A$1:$AL$1,0)),4,2)))),"")),IFERROR(IF(TRIM(INDEX($A102:$AL102,MATCH(Lists!$F$6,$A$1:$AL$1,0))&amp;"")="","",IF(ISNUMBER(INDEX($A102:$AL102,MATCH(Lists!$F$6,$A$1:$AL$1,0))),ROUND(MOD(INDEX($A102:$AL102,MATCH(Lists!$F$6,$A$1:$AL$1,0)),1)*1440,0),VALUE(LEFT(INDEX($A102:$AL102,MATCH(Lists!$F$6,$A$1:$AL$1,0)),2))*60+VALUE(MID(INDEX($A102:$AL102,MATCH(Lists!$F$6,$A$1:$AL$1,0)),4,2)))),""),-1))</f>
        <v/>
      </c>
      <c r="AV102" s="21">
        <f>IF(IFERROR(TRIM(INDEX($A102:$AL102,MATCH(Lists!$F$2,$A$1:$AL$1,0))&amp;""),"")="",-1,IF(ISNUMBER(IFERROR(IF(TRIM(INDEX($A102:$AL102,MATCH(Lists!$F$7,$A$1:$AL$1,0))&amp;"")="","",IF(ISNUMBER(INDEX($A102:$AL102,MATCH(Lists!$F$7,$A$1:$AL$1,0))),ROUND(MOD(INDEX($A102:$AL102,MATCH(Lists!$F$7,$A$1:$AL$1,0)),1)*1440,0),VALUE(LEFT(INDEX($A102:$AL102,MATCH(Lists!$F$7,$A$1:$AL$1,0)),2))*60+VALUE(MID(INDEX($A102:$AL102,MATCH(Lists!$F$7,$A$1:$AL$1,0)),4,2)))),"")),IFERROR(IF(TRIM(INDEX($A102:$AL102,MATCH(Lists!$F$7,$A$1:$AL$1,0))&amp;"")="","",IF(ISNUMBER(INDEX($A102:$AL102,MATCH(Lists!$F$7,$A$1:$AL$1,0))),ROUND(MOD(INDEX($A102:$AL102,MATCH(Lists!$F$7,$A$1:$AL$1,0)),1)*1440,0),VALUE(LEFT(INDEX($A102:$AL102,MATCH(Lists!$F$7,$A$1:$AL$1,0)),2))*60+VALUE(MID(INDEX($A102:$AL102,MATCH(Lists!$F$7,$A$1:$AL$1,0)),4,2)))),""),-1))</f>
        <v/>
      </c>
      <c r="AW102" s="21">
        <f>IF(IFERROR(TRIM(INDEX($A102:$AL102,MATCH(Lists!$F$2,$A$1:$AL$1,0))&amp;""),"")="","",IF(IFERROR(TRIM(INDEX($A102:$AL102,MATCH(Lists!$F$8,$A$1:$AL$1,0))&amp;""),"")&lt;&gt;"",IFERROR(TRIM(INDEX($A102:$AL102,MATCH(Lists!$F$8,$A$1:$AL$1,0))&amp;""),""),IFERROR(TRIM(INDEX($A102:$AL102,MATCH(Lists!$F$9,$A$1:$AL$1,0))&amp;""),"")))</f>
        <v/>
      </c>
      <c r="AX102" s="21">
        <f>IFERROR(IF(TRIM(INDEX($A102:$AL102,MATCH(Lists!$F$10,$A$1:$AL$1,0))&amp;"")="","",VALUE(TRIM(INDEX($A102:$AL102,MATCH(Lists!$F$10,$A$1:$AL$1,0))&amp;""))),"")</f>
        <v/>
      </c>
      <c r="AY102" s="21">
        <f>IF(IFERROR(TRIM(INDEX($A102:$AL102,MATCH(Lists!$F$2,$A$1:$AL$1,0))&amp;""),"")="","",IF(AN102="","New",AN102))</f>
        <v/>
      </c>
      <c r="AZ102" s="21">
        <f>IF(IFERROR(TRIM(INDEX($A102:$AL102,MATCH(Lists!$F$2,$A$1:$AL$1,0))&amp;""),"")="","",IF(OR(IFERROR(TRIM(INDEX($A102:$AL102,MATCH(Lists!$F$13,$A$1:$AL$1,0))&amp;""),"")="Paid",IFERROR(TRIM(INDEX($A102:$AL102,MATCH(Lists!$F$13,$A$1:$AL$1,0))&amp;""),"")="Partially refunded"),"Paid",IF(AP102="Yes","Paid (by hand)",IFERROR(TRIM(INDEX($A102:$AL102,MATCH(Lists!$F$13,$A$1:$AL$1,0))&amp;""),""))))</f>
        <v/>
      </c>
      <c r="BA102" s="21">
        <f>IF(AND(IFERROR(TRIM(INDEX($A102:$AL102,MATCH(Lists!$F$2,$A$1:$AL$1,0))&amp;""),"")&lt;&gt;"",AT102&gt;0,AU102&gt;=0,AV102&gt;AU102,AY102&lt;&gt;"Declined"),1,0)</f>
        <v/>
      </c>
      <c r="BB102" s="21">
        <f>IF(BA102=1,COUNTIFS($AS$2:$AS$501,AS102,$AT$2:$AT$501,AT102,$AU$2:$AU$501,"&lt;"&amp;AV102,$AV$2:$AV$501,"&gt;"&amp;AU102,$BA$2:$BA$501,1)-1,"")</f>
        <v/>
      </c>
      <c r="BC102" s="21">
        <f>IF(N(BB102)&gt;0,"Clashes with "&amp;INDEX($AW$2:$AW$501,SUMPRODUCT(MAX(($AS$2:$AS$501=AS102)*($AT$2:$AT$501=AT102)*($AU$2:$AU$501&lt;AV102)*($AV$2:$AV$501&gt;AU102)*($BA$2:$BA$501=1)*(ROW($AS$2:$AS$501)&lt;&gt;ROW())*ROW($AS$2:$AS$501)))-1)&amp;" ("&amp;INDEX($AY$2:$AY$501,SUMPRODUCT(MAX(($AS$2:$AS$501=AS102)*($AT$2:$AT$501=AT102)*($AU$2:$AU$501&lt;AV102)*($AV$2:$AV$501&gt;AU102)*($BA$2:$BA$501=1)*(ROW($AS$2:$AS$501)&lt;&gt;ROW())*ROW($AS$2:$AS$501)))-1)&amp;")"&amp;IF(BB102&gt;1," and "&amp;(BB102-1)&amp;" more",""),"")</f>
        <v/>
      </c>
      <c r="BD102" s="21">
        <f>IF(AND(BA102=1,AY102="Confirmed"),AT102*10000000+AU102*1000+ROW(),"")</f>
        <v/>
      </c>
      <c r="BE102" s="21">
        <f>IF(IFERROR(TRIM(INDEX($A102:$AL102,MATCH(Lists!$F$2,$A$1:$AL$1,0))&amp;""),"")="","",IFERROR(TRIM(INDEX($A102:$AL102,MATCH(Lists!$F$11,$A$1:$AL$1,0))&amp;""),""))</f>
        <v/>
      </c>
      <c r="BF102" s="21">
        <f>IF(IFERROR(TRIM(INDEX($A102:$AL102,MATCH(Lists!$F$2,$A$1:$AL$1,0))&amp;""),"")="","",IFERROR(TRIM(INDEX($A102:$AL102,MATCH(Lists!$F$12,$A$1:$AL$1,0))&amp;""),""))</f>
        <v/>
      </c>
    </row>
    <row r="103">
      <c r="AM103" s="19" t="n"/>
      <c r="AN103" s="23" t="n"/>
      <c r="AO103" s="23" t="n"/>
      <c r="AP103" s="23" t="n"/>
      <c r="AQ103" s="23" t="n"/>
      <c r="AR103" s="19" t="n"/>
      <c r="AS103" s="21">
        <f>IF(IFERROR(TRIM(INDEX($A103:$AL103,MATCH(Lists!$F$2,$A$1:$AL$1,0))&amp;""),"")="","",IF(AND(IFERROR(TRIM(INDEX($A103:$AL103,MATCH(Lists!$F$3,$A$1:$AL$1,0))&amp;""),"")="Other",IFERROR(TRIM(INDEX($A103:$AL103,MATCH(Lists!$F$4,$A$1:$AL$1,0))&amp;""),"")&lt;&gt;""),IFERROR(TRIM(INDEX($A103:$AL103,MATCH(Lists!$F$4,$A$1:$AL$1,0))&amp;""),""),IF(IFERROR(TRIM(INDEX($A103:$AL103,MATCH(Lists!$F$3,$A$1:$AL$1,0))&amp;""),"")="","(no space)",IFERROR(TRIM(INDEX($A103:$AL103,MATCH(Lists!$F$3,$A$1:$AL$1,0))&amp;""),""))))</f>
        <v/>
      </c>
      <c r="AT103" s="22">
        <f>IF(IFERROR(TRIM(INDEX($A103:$AL103,MATCH(Lists!$F$2,$A$1:$AL$1,0))&amp;""),"")="",0,N(IFERROR(IF(TRIM(INDEX($A103:$AL103,MATCH(Lists!$F$5,$A$1:$AL$1,0))&amp;"")="","",IF(ISNUMBER(INDEX($A103:$AL103,MATCH(Lists!$F$5,$A$1:$AL$1,0))),INT(INDEX($A103:$AL103,MATCH(Lists!$F$5,$A$1:$AL$1,0))),DATE(VALUE(LEFT(INDEX($A103:$AL103,MATCH(Lists!$F$5,$A$1:$AL$1,0)),4)),VALUE(MID(INDEX($A103:$AL103,MATCH(Lists!$F$5,$A$1:$AL$1,0)),6,2)),VALUE(MID(INDEX($A103:$AL103,MATCH(Lists!$F$5,$A$1:$AL$1,0)),9,2))))),"")))</f>
        <v/>
      </c>
      <c r="AU103" s="21">
        <f>IF(IFERROR(TRIM(INDEX($A103:$AL103,MATCH(Lists!$F$2,$A$1:$AL$1,0))&amp;""),"")="",-1,IF(ISNUMBER(IFERROR(IF(TRIM(INDEX($A103:$AL103,MATCH(Lists!$F$6,$A$1:$AL$1,0))&amp;"")="","",IF(ISNUMBER(INDEX($A103:$AL103,MATCH(Lists!$F$6,$A$1:$AL$1,0))),ROUND(MOD(INDEX($A103:$AL103,MATCH(Lists!$F$6,$A$1:$AL$1,0)),1)*1440,0),VALUE(LEFT(INDEX($A103:$AL103,MATCH(Lists!$F$6,$A$1:$AL$1,0)),2))*60+VALUE(MID(INDEX($A103:$AL103,MATCH(Lists!$F$6,$A$1:$AL$1,0)),4,2)))),"")),IFERROR(IF(TRIM(INDEX($A103:$AL103,MATCH(Lists!$F$6,$A$1:$AL$1,0))&amp;"")="","",IF(ISNUMBER(INDEX($A103:$AL103,MATCH(Lists!$F$6,$A$1:$AL$1,0))),ROUND(MOD(INDEX($A103:$AL103,MATCH(Lists!$F$6,$A$1:$AL$1,0)),1)*1440,0),VALUE(LEFT(INDEX($A103:$AL103,MATCH(Lists!$F$6,$A$1:$AL$1,0)),2))*60+VALUE(MID(INDEX($A103:$AL103,MATCH(Lists!$F$6,$A$1:$AL$1,0)),4,2)))),""),-1))</f>
        <v/>
      </c>
      <c r="AV103" s="21">
        <f>IF(IFERROR(TRIM(INDEX($A103:$AL103,MATCH(Lists!$F$2,$A$1:$AL$1,0))&amp;""),"")="",-1,IF(ISNUMBER(IFERROR(IF(TRIM(INDEX($A103:$AL103,MATCH(Lists!$F$7,$A$1:$AL$1,0))&amp;"")="","",IF(ISNUMBER(INDEX($A103:$AL103,MATCH(Lists!$F$7,$A$1:$AL$1,0))),ROUND(MOD(INDEX($A103:$AL103,MATCH(Lists!$F$7,$A$1:$AL$1,0)),1)*1440,0),VALUE(LEFT(INDEX($A103:$AL103,MATCH(Lists!$F$7,$A$1:$AL$1,0)),2))*60+VALUE(MID(INDEX($A103:$AL103,MATCH(Lists!$F$7,$A$1:$AL$1,0)),4,2)))),"")),IFERROR(IF(TRIM(INDEX($A103:$AL103,MATCH(Lists!$F$7,$A$1:$AL$1,0))&amp;"")="","",IF(ISNUMBER(INDEX($A103:$AL103,MATCH(Lists!$F$7,$A$1:$AL$1,0))),ROUND(MOD(INDEX($A103:$AL103,MATCH(Lists!$F$7,$A$1:$AL$1,0)),1)*1440,0),VALUE(LEFT(INDEX($A103:$AL103,MATCH(Lists!$F$7,$A$1:$AL$1,0)),2))*60+VALUE(MID(INDEX($A103:$AL103,MATCH(Lists!$F$7,$A$1:$AL$1,0)),4,2)))),""),-1))</f>
        <v/>
      </c>
      <c r="AW103" s="21">
        <f>IF(IFERROR(TRIM(INDEX($A103:$AL103,MATCH(Lists!$F$2,$A$1:$AL$1,0))&amp;""),"")="","",IF(IFERROR(TRIM(INDEX($A103:$AL103,MATCH(Lists!$F$8,$A$1:$AL$1,0))&amp;""),"")&lt;&gt;"",IFERROR(TRIM(INDEX($A103:$AL103,MATCH(Lists!$F$8,$A$1:$AL$1,0))&amp;""),""),IFERROR(TRIM(INDEX($A103:$AL103,MATCH(Lists!$F$9,$A$1:$AL$1,0))&amp;""),"")))</f>
        <v/>
      </c>
      <c r="AX103" s="21">
        <f>IFERROR(IF(TRIM(INDEX($A103:$AL103,MATCH(Lists!$F$10,$A$1:$AL$1,0))&amp;"")="","",VALUE(TRIM(INDEX($A103:$AL103,MATCH(Lists!$F$10,$A$1:$AL$1,0))&amp;""))),"")</f>
        <v/>
      </c>
      <c r="AY103" s="21">
        <f>IF(IFERROR(TRIM(INDEX($A103:$AL103,MATCH(Lists!$F$2,$A$1:$AL$1,0))&amp;""),"")="","",IF(AN103="","New",AN103))</f>
        <v/>
      </c>
      <c r="AZ103" s="21">
        <f>IF(IFERROR(TRIM(INDEX($A103:$AL103,MATCH(Lists!$F$2,$A$1:$AL$1,0))&amp;""),"")="","",IF(OR(IFERROR(TRIM(INDEX($A103:$AL103,MATCH(Lists!$F$13,$A$1:$AL$1,0))&amp;""),"")="Paid",IFERROR(TRIM(INDEX($A103:$AL103,MATCH(Lists!$F$13,$A$1:$AL$1,0))&amp;""),"")="Partially refunded"),"Paid",IF(AP103="Yes","Paid (by hand)",IFERROR(TRIM(INDEX($A103:$AL103,MATCH(Lists!$F$13,$A$1:$AL$1,0))&amp;""),""))))</f>
        <v/>
      </c>
      <c r="BA103" s="21">
        <f>IF(AND(IFERROR(TRIM(INDEX($A103:$AL103,MATCH(Lists!$F$2,$A$1:$AL$1,0))&amp;""),"")&lt;&gt;"",AT103&gt;0,AU103&gt;=0,AV103&gt;AU103,AY103&lt;&gt;"Declined"),1,0)</f>
        <v/>
      </c>
      <c r="BB103" s="21">
        <f>IF(BA103=1,COUNTIFS($AS$2:$AS$501,AS103,$AT$2:$AT$501,AT103,$AU$2:$AU$501,"&lt;"&amp;AV103,$AV$2:$AV$501,"&gt;"&amp;AU103,$BA$2:$BA$501,1)-1,"")</f>
        <v/>
      </c>
      <c r="BC103" s="21">
        <f>IF(N(BB103)&gt;0,"Clashes with "&amp;INDEX($AW$2:$AW$501,SUMPRODUCT(MAX(($AS$2:$AS$501=AS103)*($AT$2:$AT$501=AT103)*($AU$2:$AU$501&lt;AV103)*($AV$2:$AV$501&gt;AU103)*($BA$2:$BA$501=1)*(ROW($AS$2:$AS$501)&lt;&gt;ROW())*ROW($AS$2:$AS$501)))-1)&amp;" ("&amp;INDEX($AY$2:$AY$501,SUMPRODUCT(MAX(($AS$2:$AS$501=AS103)*($AT$2:$AT$501=AT103)*($AU$2:$AU$501&lt;AV103)*($AV$2:$AV$501&gt;AU103)*($BA$2:$BA$501=1)*(ROW($AS$2:$AS$501)&lt;&gt;ROW())*ROW($AS$2:$AS$501)))-1)&amp;")"&amp;IF(BB103&gt;1," and "&amp;(BB103-1)&amp;" more",""),"")</f>
        <v/>
      </c>
      <c r="BD103" s="21">
        <f>IF(AND(BA103=1,AY103="Confirmed"),AT103*10000000+AU103*1000+ROW(),"")</f>
        <v/>
      </c>
      <c r="BE103" s="21">
        <f>IF(IFERROR(TRIM(INDEX($A103:$AL103,MATCH(Lists!$F$2,$A$1:$AL$1,0))&amp;""),"")="","",IFERROR(TRIM(INDEX($A103:$AL103,MATCH(Lists!$F$11,$A$1:$AL$1,0))&amp;""),""))</f>
        <v/>
      </c>
      <c r="BF103" s="21">
        <f>IF(IFERROR(TRIM(INDEX($A103:$AL103,MATCH(Lists!$F$2,$A$1:$AL$1,0))&amp;""),"")="","",IFERROR(TRIM(INDEX($A103:$AL103,MATCH(Lists!$F$12,$A$1:$AL$1,0))&amp;""),""))</f>
        <v/>
      </c>
    </row>
    <row r="104">
      <c r="AM104" s="19" t="n"/>
      <c r="AN104" s="23" t="n"/>
      <c r="AO104" s="23" t="n"/>
      <c r="AP104" s="23" t="n"/>
      <c r="AQ104" s="23" t="n"/>
      <c r="AR104" s="19" t="n"/>
      <c r="AS104" s="21">
        <f>IF(IFERROR(TRIM(INDEX($A104:$AL104,MATCH(Lists!$F$2,$A$1:$AL$1,0))&amp;""),"")="","",IF(AND(IFERROR(TRIM(INDEX($A104:$AL104,MATCH(Lists!$F$3,$A$1:$AL$1,0))&amp;""),"")="Other",IFERROR(TRIM(INDEX($A104:$AL104,MATCH(Lists!$F$4,$A$1:$AL$1,0))&amp;""),"")&lt;&gt;""),IFERROR(TRIM(INDEX($A104:$AL104,MATCH(Lists!$F$4,$A$1:$AL$1,0))&amp;""),""),IF(IFERROR(TRIM(INDEX($A104:$AL104,MATCH(Lists!$F$3,$A$1:$AL$1,0))&amp;""),"")="","(no space)",IFERROR(TRIM(INDEX($A104:$AL104,MATCH(Lists!$F$3,$A$1:$AL$1,0))&amp;""),""))))</f>
        <v/>
      </c>
      <c r="AT104" s="22">
        <f>IF(IFERROR(TRIM(INDEX($A104:$AL104,MATCH(Lists!$F$2,$A$1:$AL$1,0))&amp;""),"")="",0,N(IFERROR(IF(TRIM(INDEX($A104:$AL104,MATCH(Lists!$F$5,$A$1:$AL$1,0))&amp;"")="","",IF(ISNUMBER(INDEX($A104:$AL104,MATCH(Lists!$F$5,$A$1:$AL$1,0))),INT(INDEX($A104:$AL104,MATCH(Lists!$F$5,$A$1:$AL$1,0))),DATE(VALUE(LEFT(INDEX($A104:$AL104,MATCH(Lists!$F$5,$A$1:$AL$1,0)),4)),VALUE(MID(INDEX($A104:$AL104,MATCH(Lists!$F$5,$A$1:$AL$1,0)),6,2)),VALUE(MID(INDEX($A104:$AL104,MATCH(Lists!$F$5,$A$1:$AL$1,0)),9,2))))),"")))</f>
        <v/>
      </c>
      <c r="AU104" s="21">
        <f>IF(IFERROR(TRIM(INDEX($A104:$AL104,MATCH(Lists!$F$2,$A$1:$AL$1,0))&amp;""),"")="",-1,IF(ISNUMBER(IFERROR(IF(TRIM(INDEX($A104:$AL104,MATCH(Lists!$F$6,$A$1:$AL$1,0))&amp;"")="","",IF(ISNUMBER(INDEX($A104:$AL104,MATCH(Lists!$F$6,$A$1:$AL$1,0))),ROUND(MOD(INDEX($A104:$AL104,MATCH(Lists!$F$6,$A$1:$AL$1,0)),1)*1440,0),VALUE(LEFT(INDEX($A104:$AL104,MATCH(Lists!$F$6,$A$1:$AL$1,0)),2))*60+VALUE(MID(INDEX($A104:$AL104,MATCH(Lists!$F$6,$A$1:$AL$1,0)),4,2)))),"")),IFERROR(IF(TRIM(INDEX($A104:$AL104,MATCH(Lists!$F$6,$A$1:$AL$1,0))&amp;"")="","",IF(ISNUMBER(INDEX($A104:$AL104,MATCH(Lists!$F$6,$A$1:$AL$1,0))),ROUND(MOD(INDEX($A104:$AL104,MATCH(Lists!$F$6,$A$1:$AL$1,0)),1)*1440,0),VALUE(LEFT(INDEX($A104:$AL104,MATCH(Lists!$F$6,$A$1:$AL$1,0)),2))*60+VALUE(MID(INDEX($A104:$AL104,MATCH(Lists!$F$6,$A$1:$AL$1,0)),4,2)))),""),-1))</f>
        <v/>
      </c>
      <c r="AV104" s="21">
        <f>IF(IFERROR(TRIM(INDEX($A104:$AL104,MATCH(Lists!$F$2,$A$1:$AL$1,0))&amp;""),"")="",-1,IF(ISNUMBER(IFERROR(IF(TRIM(INDEX($A104:$AL104,MATCH(Lists!$F$7,$A$1:$AL$1,0))&amp;"")="","",IF(ISNUMBER(INDEX($A104:$AL104,MATCH(Lists!$F$7,$A$1:$AL$1,0))),ROUND(MOD(INDEX($A104:$AL104,MATCH(Lists!$F$7,$A$1:$AL$1,0)),1)*1440,0),VALUE(LEFT(INDEX($A104:$AL104,MATCH(Lists!$F$7,$A$1:$AL$1,0)),2))*60+VALUE(MID(INDEX($A104:$AL104,MATCH(Lists!$F$7,$A$1:$AL$1,0)),4,2)))),"")),IFERROR(IF(TRIM(INDEX($A104:$AL104,MATCH(Lists!$F$7,$A$1:$AL$1,0))&amp;"")="","",IF(ISNUMBER(INDEX($A104:$AL104,MATCH(Lists!$F$7,$A$1:$AL$1,0))),ROUND(MOD(INDEX($A104:$AL104,MATCH(Lists!$F$7,$A$1:$AL$1,0)),1)*1440,0),VALUE(LEFT(INDEX($A104:$AL104,MATCH(Lists!$F$7,$A$1:$AL$1,0)),2))*60+VALUE(MID(INDEX($A104:$AL104,MATCH(Lists!$F$7,$A$1:$AL$1,0)),4,2)))),""),-1))</f>
        <v/>
      </c>
      <c r="AW104" s="21">
        <f>IF(IFERROR(TRIM(INDEX($A104:$AL104,MATCH(Lists!$F$2,$A$1:$AL$1,0))&amp;""),"")="","",IF(IFERROR(TRIM(INDEX($A104:$AL104,MATCH(Lists!$F$8,$A$1:$AL$1,0))&amp;""),"")&lt;&gt;"",IFERROR(TRIM(INDEX($A104:$AL104,MATCH(Lists!$F$8,$A$1:$AL$1,0))&amp;""),""),IFERROR(TRIM(INDEX($A104:$AL104,MATCH(Lists!$F$9,$A$1:$AL$1,0))&amp;""),"")))</f>
        <v/>
      </c>
      <c r="AX104" s="21">
        <f>IFERROR(IF(TRIM(INDEX($A104:$AL104,MATCH(Lists!$F$10,$A$1:$AL$1,0))&amp;"")="","",VALUE(TRIM(INDEX($A104:$AL104,MATCH(Lists!$F$10,$A$1:$AL$1,0))&amp;""))),"")</f>
        <v/>
      </c>
      <c r="AY104" s="21">
        <f>IF(IFERROR(TRIM(INDEX($A104:$AL104,MATCH(Lists!$F$2,$A$1:$AL$1,0))&amp;""),"")="","",IF(AN104="","New",AN104))</f>
        <v/>
      </c>
      <c r="AZ104" s="21">
        <f>IF(IFERROR(TRIM(INDEX($A104:$AL104,MATCH(Lists!$F$2,$A$1:$AL$1,0))&amp;""),"")="","",IF(OR(IFERROR(TRIM(INDEX($A104:$AL104,MATCH(Lists!$F$13,$A$1:$AL$1,0))&amp;""),"")="Paid",IFERROR(TRIM(INDEX($A104:$AL104,MATCH(Lists!$F$13,$A$1:$AL$1,0))&amp;""),"")="Partially refunded"),"Paid",IF(AP104="Yes","Paid (by hand)",IFERROR(TRIM(INDEX($A104:$AL104,MATCH(Lists!$F$13,$A$1:$AL$1,0))&amp;""),""))))</f>
        <v/>
      </c>
      <c r="BA104" s="21">
        <f>IF(AND(IFERROR(TRIM(INDEX($A104:$AL104,MATCH(Lists!$F$2,$A$1:$AL$1,0))&amp;""),"")&lt;&gt;"",AT104&gt;0,AU104&gt;=0,AV104&gt;AU104,AY104&lt;&gt;"Declined"),1,0)</f>
        <v/>
      </c>
      <c r="BB104" s="21">
        <f>IF(BA104=1,COUNTIFS($AS$2:$AS$501,AS104,$AT$2:$AT$501,AT104,$AU$2:$AU$501,"&lt;"&amp;AV104,$AV$2:$AV$501,"&gt;"&amp;AU104,$BA$2:$BA$501,1)-1,"")</f>
        <v/>
      </c>
      <c r="BC104" s="21">
        <f>IF(N(BB104)&gt;0,"Clashes with "&amp;INDEX($AW$2:$AW$501,SUMPRODUCT(MAX(($AS$2:$AS$501=AS104)*($AT$2:$AT$501=AT104)*($AU$2:$AU$501&lt;AV104)*($AV$2:$AV$501&gt;AU104)*($BA$2:$BA$501=1)*(ROW($AS$2:$AS$501)&lt;&gt;ROW())*ROW($AS$2:$AS$501)))-1)&amp;" ("&amp;INDEX($AY$2:$AY$501,SUMPRODUCT(MAX(($AS$2:$AS$501=AS104)*($AT$2:$AT$501=AT104)*($AU$2:$AU$501&lt;AV104)*($AV$2:$AV$501&gt;AU104)*($BA$2:$BA$501=1)*(ROW($AS$2:$AS$501)&lt;&gt;ROW())*ROW($AS$2:$AS$501)))-1)&amp;")"&amp;IF(BB104&gt;1," and "&amp;(BB104-1)&amp;" more",""),"")</f>
        <v/>
      </c>
      <c r="BD104" s="21">
        <f>IF(AND(BA104=1,AY104="Confirmed"),AT104*10000000+AU104*1000+ROW(),"")</f>
        <v/>
      </c>
      <c r="BE104" s="21">
        <f>IF(IFERROR(TRIM(INDEX($A104:$AL104,MATCH(Lists!$F$2,$A$1:$AL$1,0))&amp;""),"")="","",IFERROR(TRIM(INDEX($A104:$AL104,MATCH(Lists!$F$11,$A$1:$AL$1,0))&amp;""),""))</f>
        <v/>
      </c>
      <c r="BF104" s="21">
        <f>IF(IFERROR(TRIM(INDEX($A104:$AL104,MATCH(Lists!$F$2,$A$1:$AL$1,0))&amp;""),"")="","",IFERROR(TRIM(INDEX($A104:$AL104,MATCH(Lists!$F$12,$A$1:$AL$1,0))&amp;""),""))</f>
        <v/>
      </c>
    </row>
    <row r="105">
      <c r="AM105" s="19" t="n"/>
      <c r="AN105" s="23" t="n"/>
      <c r="AO105" s="23" t="n"/>
      <c r="AP105" s="23" t="n"/>
      <c r="AQ105" s="23" t="n"/>
      <c r="AR105" s="19" t="n"/>
      <c r="AS105" s="21">
        <f>IF(IFERROR(TRIM(INDEX($A105:$AL105,MATCH(Lists!$F$2,$A$1:$AL$1,0))&amp;""),"")="","",IF(AND(IFERROR(TRIM(INDEX($A105:$AL105,MATCH(Lists!$F$3,$A$1:$AL$1,0))&amp;""),"")="Other",IFERROR(TRIM(INDEX($A105:$AL105,MATCH(Lists!$F$4,$A$1:$AL$1,0))&amp;""),"")&lt;&gt;""),IFERROR(TRIM(INDEX($A105:$AL105,MATCH(Lists!$F$4,$A$1:$AL$1,0))&amp;""),""),IF(IFERROR(TRIM(INDEX($A105:$AL105,MATCH(Lists!$F$3,$A$1:$AL$1,0))&amp;""),"")="","(no space)",IFERROR(TRIM(INDEX($A105:$AL105,MATCH(Lists!$F$3,$A$1:$AL$1,0))&amp;""),""))))</f>
        <v/>
      </c>
      <c r="AT105" s="22">
        <f>IF(IFERROR(TRIM(INDEX($A105:$AL105,MATCH(Lists!$F$2,$A$1:$AL$1,0))&amp;""),"")="",0,N(IFERROR(IF(TRIM(INDEX($A105:$AL105,MATCH(Lists!$F$5,$A$1:$AL$1,0))&amp;"")="","",IF(ISNUMBER(INDEX($A105:$AL105,MATCH(Lists!$F$5,$A$1:$AL$1,0))),INT(INDEX($A105:$AL105,MATCH(Lists!$F$5,$A$1:$AL$1,0))),DATE(VALUE(LEFT(INDEX($A105:$AL105,MATCH(Lists!$F$5,$A$1:$AL$1,0)),4)),VALUE(MID(INDEX($A105:$AL105,MATCH(Lists!$F$5,$A$1:$AL$1,0)),6,2)),VALUE(MID(INDEX($A105:$AL105,MATCH(Lists!$F$5,$A$1:$AL$1,0)),9,2))))),"")))</f>
        <v/>
      </c>
      <c r="AU105" s="21">
        <f>IF(IFERROR(TRIM(INDEX($A105:$AL105,MATCH(Lists!$F$2,$A$1:$AL$1,0))&amp;""),"")="",-1,IF(ISNUMBER(IFERROR(IF(TRIM(INDEX($A105:$AL105,MATCH(Lists!$F$6,$A$1:$AL$1,0))&amp;"")="","",IF(ISNUMBER(INDEX($A105:$AL105,MATCH(Lists!$F$6,$A$1:$AL$1,0))),ROUND(MOD(INDEX($A105:$AL105,MATCH(Lists!$F$6,$A$1:$AL$1,0)),1)*1440,0),VALUE(LEFT(INDEX($A105:$AL105,MATCH(Lists!$F$6,$A$1:$AL$1,0)),2))*60+VALUE(MID(INDEX($A105:$AL105,MATCH(Lists!$F$6,$A$1:$AL$1,0)),4,2)))),"")),IFERROR(IF(TRIM(INDEX($A105:$AL105,MATCH(Lists!$F$6,$A$1:$AL$1,0))&amp;"")="","",IF(ISNUMBER(INDEX($A105:$AL105,MATCH(Lists!$F$6,$A$1:$AL$1,0))),ROUND(MOD(INDEX($A105:$AL105,MATCH(Lists!$F$6,$A$1:$AL$1,0)),1)*1440,0),VALUE(LEFT(INDEX($A105:$AL105,MATCH(Lists!$F$6,$A$1:$AL$1,0)),2))*60+VALUE(MID(INDEX($A105:$AL105,MATCH(Lists!$F$6,$A$1:$AL$1,0)),4,2)))),""),-1))</f>
        <v/>
      </c>
      <c r="AV105" s="21">
        <f>IF(IFERROR(TRIM(INDEX($A105:$AL105,MATCH(Lists!$F$2,$A$1:$AL$1,0))&amp;""),"")="",-1,IF(ISNUMBER(IFERROR(IF(TRIM(INDEX($A105:$AL105,MATCH(Lists!$F$7,$A$1:$AL$1,0))&amp;"")="","",IF(ISNUMBER(INDEX($A105:$AL105,MATCH(Lists!$F$7,$A$1:$AL$1,0))),ROUND(MOD(INDEX($A105:$AL105,MATCH(Lists!$F$7,$A$1:$AL$1,0)),1)*1440,0),VALUE(LEFT(INDEX($A105:$AL105,MATCH(Lists!$F$7,$A$1:$AL$1,0)),2))*60+VALUE(MID(INDEX($A105:$AL105,MATCH(Lists!$F$7,$A$1:$AL$1,0)),4,2)))),"")),IFERROR(IF(TRIM(INDEX($A105:$AL105,MATCH(Lists!$F$7,$A$1:$AL$1,0))&amp;"")="","",IF(ISNUMBER(INDEX($A105:$AL105,MATCH(Lists!$F$7,$A$1:$AL$1,0))),ROUND(MOD(INDEX($A105:$AL105,MATCH(Lists!$F$7,$A$1:$AL$1,0)),1)*1440,0),VALUE(LEFT(INDEX($A105:$AL105,MATCH(Lists!$F$7,$A$1:$AL$1,0)),2))*60+VALUE(MID(INDEX($A105:$AL105,MATCH(Lists!$F$7,$A$1:$AL$1,0)),4,2)))),""),-1))</f>
        <v/>
      </c>
      <c r="AW105" s="21">
        <f>IF(IFERROR(TRIM(INDEX($A105:$AL105,MATCH(Lists!$F$2,$A$1:$AL$1,0))&amp;""),"")="","",IF(IFERROR(TRIM(INDEX($A105:$AL105,MATCH(Lists!$F$8,$A$1:$AL$1,0))&amp;""),"")&lt;&gt;"",IFERROR(TRIM(INDEX($A105:$AL105,MATCH(Lists!$F$8,$A$1:$AL$1,0))&amp;""),""),IFERROR(TRIM(INDEX($A105:$AL105,MATCH(Lists!$F$9,$A$1:$AL$1,0))&amp;""),"")))</f>
        <v/>
      </c>
      <c r="AX105" s="21">
        <f>IFERROR(IF(TRIM(INDEX($A105:$AL105,MATCH(Lists!$F$10,$A$1:$AL$1,0))&amp;"")="","",VALUE(TRIM(INDEX($A105:$AL105,MATCH(Lists!$F$10,$A$1:$AL$1,0))&amp;""))),"")</f>
        <v/>
      </c>
      <c r="AY105" s="21">
        <f>IF(IFERROR(TRIM(INDEX($A105:$AL105,MATCH(Lists!$F$2,$A$1:$AL$1,0))&amp;""),"")="","",IF(AN105="","New",AN105))</f>
        <v/>
      </c>
      <c r="AZ105" s="21">
        <f>IF(IFERROR(TRIM(INDEX($A105:$AL105,MATCH(Lists!$F$2,$A$1:$AL$1,0))&amp;""),"")="","",IF(OR(IFERROR(TRIM(INDEX($A105:$AL105,MATCH(Lists!$F$13,$A$1:$AL$1,0))&amp;""),"")="Paid",IFERROR(TRIM(INDEX($A105:$AL105,MATCH(Lists!$F$13,$A$1:$AL$1,0))&amp;""),"")="Partially refunded"),"Paid",IF(AP105="Yes","Paid (by hand)",IFERROR(TRIM(INDEX($A105:$AL105,MATCH(Lists!$F$13,$A$1:$AL$1,0))&amp;""),""))))</f>
        <v/>
      </c>
      <c r="BA105" s="21">
        <f>IF(AND(IFERROR(TRIM(INDEX($A105:$AL105,MATCH(Lists!$F$2,$A$1:$AL$1,0))&amp;""),"")&lt;&gt;"",AT105&gt;0,AU105&gt;=0,AV105&gt;AU105,AY105&lt;&gt;"Declined"),1,0)</f>
        <v/>
      </c>
      <c r="BB105" s="21">
        <f>IF(BA105=1,COUNTIFS($AS$2:$AS$501,AS105,$AT$2:$AT$501,AT105,$AU$2:$AU$501,"&lt;"&amp;AV105,$AV$2:$AV$501,"&gt;"&amp;AU105,$BA$2:$BA$501,1)-1,"")</f>
        <v/>
      </c>
      <c r="BC105" s="21">
        <f>IF(N(BB105)&gt;0,"Clashes with "&amp;INDEX($AW$2:$AW$501,SUMPRODUCT(MAX(($AS$2:$AS$501=AS105)*($AT$2:$AT$501=AT105)*($AU$2:$AU$501&lt;AV105)*($AV$2:$AV$501&gt;AU105)*($BA$2:$BA$501=1)*(ROW($AS$2:$AS$501)&lt;&gt;ROW())*ROW($AS$2:$AS$501)))-1)&amp;" ("&amp;INDEX($AY$2:$AY$501,SUMPRODUCT(MAX(($AS$2:$AS$501=AS105)*($AT$2:$AT$501=AT105)*($AU$2:$AU$501&lt;AV105)*($AV$2:$AV$501&gt;AU105)*($BA$2:$BA$501=1)*(ROW($AS$2:$AS$501)&lt;&gt;ROW())*ROW($AS$2:$AS$501)))-1)&amp;")"&amp;IF(BB105&gt;1," and "&amp;(BB105-1)&amp;" more",""),"")</f>
        <v/>
      </c>
      <c r="BD105" s="21">
        <f>IF(AND(BA105=1,AY105="Confirmed"),AT105*10000000+AU105*1000+ROW(),"")</f>
        <v/>
      </c>
      <c r="BE105" s="21">
        <f>IF(IFERROR(TRIM(INDEX($A105:$AL105,MATCH(Lists!$F$2,$A$1:$AL$1,0))&amp;""),"")="","",IFERROR(TRIM(INDEX($A105:$AL105,MATCH(Lists!$F$11,$A$1:$AL$1,0))&amp;""),""))</f>
        <v/>
      </c>
      <c r="BF105" s="21">
        <f>IF(IFERROR(TRIM(INDEX($A105:$AL105,MATCH(Lists!$F$2,$A$1:$AL$1,0))&amp;""),"")="","",IFERROR(TRIM(INDEX($A105:$AL105,MATCH(Lists!$F$12,$A$1:$AL$1,0))&amp;""),""))</f>
        <v/>
      </c>
    </row>
    <row r="106">
      <c r="AM106" s="19" t="n"/>
      <c r="AN106" s="23" t="n"/>
      <c r="AO106" s="23" t="n"/>
      <c r="AP106" s="23" t="n"/>
      <c r="AQ106" s="23" t="n"/>
      <c r="AR106" s="19" t="n"/>
      <c r="AS106" s="21">
        <f>IF(IFERROR(TRIM(INDEX($A106:$AL106,MATCH(Lists!$F$2,$A$1:$AL$1,0))&amp;""),"")="","",IF(AND(IFERROR(TRIM(INDEX($A106:$AL106,MATCH(Lists!$F$3,$A$1:$AL$1,0))&amp;""),"")="Other",IFERROR(TRIM(INDEX($A106:$AL106,MATCH(Lists!$F$4,$A$1:$AL$1,0))&amp;""),"")&lt;&gt;""),IFERROR(TRIM(INDEX($A106:$AL106,MATCH(Lists!$F$4,$A$1:$AL$1,0))&amp;""),""),IF(IFERROR(TRIM(INDEX($A106:$AL106,MATCH(Lists!$F$3,$A$1:$AL$1,0))&amp;""),"")="","(no space)",IFERROR(TRIM(INDEX($A106:$AL106,MATCH(Lists!$F$3,$A$1:$AL$1,0))&amp;""),""))))</f>
        <v/>
      </c>
      <c r="AT106" s="22">
        <f>IF(IFERROR(TRIM(INDEX($A106:$AL106,MATCH(Lists!$F$2,$A$1:$AL$1,0))&amp;""),"")="",0,N(IFERROR(IF(TRIM(INDEX($A106:$AL106,MATCH(Lists!$F$5,$A$1:$AL$1,0))&amp;"")="","",IF(ISNUMBER(INDEX($A106:$AL106,MATCH(Lists!$F$5,$A$1:$AL$1,0))),INT(INDEX($A106:$AL106,MATCH(Lists!$F$5,$A$1:$AL$1,0))),DATE(VALUE(LEFT(INDEX($A106:$AL106,MATCH(Lists!$F$5,$A$1:$AL$1,0)),4)),VALUE(MID(INDEX($A106:$AL106,MATCH(Lists!$F$5,$A$1:$AL$1,0)),6,2)),VALUE(MID(INDEX($A106:$AL106,MATCH(Lists!$F$5,$A$1:$AL$1,0)),9,2))))),"")))</f>
        <v/>
      </c>
      <c r="AU106" s="21">
        <f>IF(IFERROR(TRIM(INDEX($A106:$AL106,MATCH(Lists!$F$2,$A$1:$AL$1,0))&amp;""),"")="",-1,IF(ISNUMBER(IFERROR(IF(TRIM(INDEX($A106:$AL106,MATCH(Lists!$F$6,$A$1:$AL$1,0))&amp;"")="","",IF(ISNUMBER(INDEX($A106:$AL106,MATCH(Lists!$F$6,$A$1:$AL$1,0))),ROUND(MOD(INDEX($A106:$AL106,MATCH(Lists!$F$6,$A$1:$AL$1,0)),1)*1440,0),VALUE(LEFT(INDEX($A106:$AL106,MATCH(Lists!$F$6,$A$1:$AL$1,0)),2))*60+VALUE(MID(INDEX($A106:$AL106,MATCH(Lists!$F$6,$A$1:$AL$1,0)),4,2)))),"")),IFERROR(IF(TRIM(INDEX($A106:$AL106,MATCH(Lists!$F$6,$A$1:$AL$1,0))&amp;"")="","",IF(ISNUMBER(INDEX($A106:$AL106,MATCH(Lists!$F$6,$A$1:$AL$1,0))),ROUND(MOD(INDEX($A106:$AL106,MATCH(Lists!$F$6,$A$1:$AL$1,0)),1)*1440,0),VALUE(LEFT(INDEX($A106:$AL106,MATCH(Lists!$F$6,$A$1:$AL$1,0)),2))*60+VALUE(MID(INDEX($A106:$AL106,MATCH(Lists!$F$6,$A$1:$AL$1,0)),4,2)))),""),-1))</f>
        <v/>
      </c>
      <c r="AV106" s="21">
        <f>IF(IFERROR(TRIM(INDEX($A106:$AL106,MATCH(Lists!$F$2,$A$1:$AL$1,0))&amp;""),"")="",-1,IF(ISNUMBER(IFERROR(IF(TRIM(INDEX($A106:$AL106,MATCH(Lists!$F$7,$A$1:$AL$1,0))&amp;"")="","",IF(ISNUMBER(INDEX($A106:$AL106,MATCH(Lists!$F$7,$A$1:$AL$1,0))),ROUND(MOD(INDEX($A106:$AL106,MATCH(Lists!$F$7,$A$1:$AL$1,0)),1)*1440,0),VALUE(LEFT(INDEX($A106:$AL106,MATCH(Lists!$F$7,$A$1:$AL$1,0)),2))*60+VALUE(MID(INDEX($A106:$AL106,MATCH(Lists!$F$7,$A$1:$AL$1,0)),4,2)))),"")),IFERROR(IF(TRIM(INDEX($A106:$AL106,MATCH(Lists!$F$7,$A$1:$AL$1,0))&amp;"")="","",IF(ISNUMBER(INDEX($A106:$AL106,MATCH(Lists!$F$7,$A$1:$AL$1,0))),ROUND(MOD(INDEX($A106:$AL106,MATCH(Lists!$F$7,$A$1:$AL$1,0)),1)*1440,0),VALUE(LEFT(INDEX($A106:$AL106,MATCH(Lists!$F$7,$A$1:$AL$1,0)),2))*60+VALUE(MID(INDEX($A106:$AL106,MATCH(Lists!$F$7,$A$1:$AL$1,0)),4,2)))),""),-1))</f>
        <v/>
      </c>
      <c r="AW106" s="21">
        <f>IF(IFERROR(TRIM(INDEX($A106:$AL106,MATCH(Lists!$F$2,$A$1:$AL$1,0))&amp;""),"")="","",IF(IFERROR(TRIM(INDEX($A106:$AL106,MATCH(Lists!$F$8,$A$1:$AL$1,0))&amp;""),"")&lt;&gt;"",IFERROR(TRIM(INDEX($A106:$AL106,MATCH(Lists!$F$8,$A$1:$AL$1,0))&amp;""),""),IFERROR(TRIM(INDEX($A106:$AL106,MATCH(Lists!$F$9,$A$1:$AL$1,0))&amp;""),"")))</f>
        <v/>
      </c>
      <c r="AX106" s="21">
        <f>IFERROR(IF(TRIM(INDEX($A106:$AL106,MATCH(Lists!$F$10,$A$1:$AL$1,0))&amp;"")="","",VALUE(TRIM(INDEX($A106:$AL106,MATCH(Lists!$F$10,$A$1:$AL$1,0))&amp;""))),"")</f>
        <v/>
      </c>
      <c r="AY106" s="21">
        <f>IF(IFERROR(TRIM(INDEX($A106:$AL106,MATCH(Lists!$F$2,$A$1:$AL$1,0))&amp;""),"")="","",IF(AN106="","New",AN106))</f>
        <v/>
      </c>
      <c r="AZ106" s="21">
        <f>IF(IFERROR(TRIM(INDEX($A106:$AL106,MATCH(Lists!$F$2,$A$1:$AL$1,0))&amp;""),"")="","",IF(OR(IFERROR(TRIM(INDEX($A106:$AL106,MATCH(Lists!$F$13,$A$1:$AL$1,0))&amp;""),"")="Paid",IFERROR(TRIM(INDEX($A106:$AL106,MATCH(Lists!$F$13,$A$1:$AL$1,0))&amp;""),"")="Partially refunded"),"Paid",IF(AP106="Yes","Paid (by hand)",IFERROR(TRIM(INDEX($A106:$AL106,MATCH(Lists!$F$13,$A$1:$AL$1,0))&amp;""),""))))</f>
        <v/>
      </c>
      <c r="BA106" s="21">
        <f>IF(AND(IFERROR(TRIM(INDEX($A106:$AL106,MATCH(Lists!$F$2,$A$1:$AL$1,0))&amp;""),"")&lt;&gt;"",AT106&gt;0,AU106&gt;=0,AV106&gt;AU106,AY106&lt;&gt;"Declined"),1,0)</f>
        <v/>
      </c>
      <c r="BB106" s="21">
        <f>IF(BA106=1,COUNTIFS($AS$2:$AS$501,AS106,$AT$2:$AT$501,AT106,$AU$2:$AU$501,"&lt;"&amp;AV106,$AV$2:$AV$501,"&gt;"&amp;AU106,$BA$2:$BA$501,1)-1,"")</f>
        <v/>
      </c>
      <c r="BC106" s="21">
        <f>IF(N(BB106)&gt;0,"Clashes with "&amp;INDEX($AW$2:$AW$501,SUMPRODUCT(MAX(($AS$2:$AS$501=AS106)*($AT$2:$AT$501=AT106)*($AU$2:$AU$501&lt;AV106)*($AV$2:$AV$501&gt;AU106)*($BA$2:$BA$501=1)*(ROW($AS$2:$AS$501)&lt;&gt;ROW())*ROW($AS$2:$AS$501)))-1)&amp;" ("&amp;INDEX($AY$2:$AY$501,SUMPRODUCT(MAX(($AS$2:$AS$501=AS106)*($AT$2:$AT$501=AT106)*($AU$2:$AU$501&lt;AV106)*($AV$2:$AV$501&gt;AU106)*($BA$2:$BA$501=1)*(ROW($AS$2:$AS$501)&lt;&gt;ROW())*ROW($AS$2:$AS$501)))-1)&amp;")"&amp;IF(BB106&gt;1," and "&amp;(BB106-1)&amp;" more",""),"")</f>
        <v/>
      </c>
      <c r="BD106" s="21">
        <f>IF(AND(BA106=1,AY106="Confirmed"),AT106*10000000+AU106*1000+ROW(),"")</f>
        <v/>
      </c>
      <c r="BE106" s="21">
        <f>IF(IFERROR(TRIM(INDEX($A106:$AL106,MATCH(Lists!$F$2,$A$1:$AL$1,0))&amp;""),"")="","",IFERROR(TRIM(INDEX($A106:$AL106,MATCH(Lists!$F$11,$A$1:$AL$1,0))&amp;""),""))</f>
        <v/>
      </c>
      <c r="BF106" s="21">
        <f>IF(IFERROR(TRIM(INDEX($A106:$AL106,MATCH(Lists!$F$2,$A$1:$AL$1,0))&amp;""),"")="","",IFERROR(TRIM(INDEX($A106:$AL106,MATCH(Lists!$F$12,$A$1:$AL$1,0))&amp;""),""))</f>
        <v/>
      </c>
    </row>
    <row r="107">
      <c r="AM107" s="19" t="n"/>
      <c r="AN107" s="23" t="n"/>
      <c r="AO107" s="23" t="n"/>
      <c r="AP107" s="23" t="n"/>
      <c r="AQ107" s="23" t="n"/>
      <c r="AR107" s="19" t="n"/>
      <c r="AS107" s="21">
        <f>IF(IFERROR(TRIM(INDEX($A107:$AL107,MATCH(Lists!$F$2,$A$1:$AL$1,0))&amp;""),"")="","",IF(AND(IFERROR(TRIM(INDEX($A107:$AL107,MATCH(Lists!$F$3,$A$1:$AL$1,0))&amp;""),"")="Other",IFERROR(TRIM(INDEX($A107:$AL107,MATCH(Lists!$F$4,$A$1:$AL$1,0))&amp;""),"")&lt;&gt;""),IFERROR(TRIM(INDEX($A107:$AL107,MATCH(Lists!$F$4,$A$1:$AL$1,0))&amp;""),""),IF(IFERROR(TRIM(INDEX($A107:$AL107,MATCH(Lists!$F$3,$A$1:$AL$1,0))&amp;""),"")="","(no space)",IFERROR(TRIM(INDEX($A107:$AL107,MATCH(Lists!$F$3,$A$1:$AL$1,0))&amp;""),""))))</f>
        <v/>
      </c>
      <c r="AT107" s="22">
        <f>IF(IFERROR(TRIM(INDEX($A107:$AL107,MATCH(Lists!$F$2,$A$1:$AL$1,0))&amp;""),"")="",0,N(IFERROR(IF(TRIM(INDEX($A107:$AL107,MATCH(Lists!$F$5,$A$1:$AL$1,0))&amp;"")="","",IF(ISNUMBER(INDEX($A107:$AL107,MATCH(Lists!$F$5,$A$1:$AL$1,0))),INT(INDEX($A107:$AL107,MATCH(Lists!$F$5,$A$1:$AL$1,0))),DATE(VALUE(LEFT(INDEX($A107:$AL107,MATCH(Lists!$F$5,$A$1:$AL$1,0)),4)),VALUE(MID(INDEX($A107:$AL107,MATCH(Lists!$F$5,$A$1:$AL$1,0)),6,2)),VALUE(MID(INDEX($A107:$AL107,MATCH(Lists!$F$5,$A$1:$AL$1,0)),9,2))))),"")))</f>
        <v/>
      </c>
      <c r="AU107" s="21">
        <f>IF(IFERROR(TRIM(INDEX($A107:$AL107,MATCH(Lists!$F$2,$A$1:$AL$1,0))&amp;""),"")="",-1,IF(ISNUMBER(IFERROR(IF(TRIM(INDEX($A107:$AL107,MATCH(Lists!$F$6,$A$1:$AL$1,0))&amp;"")="","",IF(ISNUMBER(INDEX($A107:$AL107,MATCH(Lists!$F$6,$A$1:$AL$1,0))),ROUND(MOD(INDEX($A107:$AL107,MATCH(Lists!$F$6,$A$1:$AL$1,0)),1)*1440,0),VALUE(LEFT(INDEX($A107:$AL107,MATCH(Lists!$F$6,$A$1:$AL$1,0)),2))*60+VALUE(MID(INDEX($A107:$AL107,MATCH(Lists!$F$6,$A$1:$AL$1,0)),4,2)))),"")),IFERROR(IF(TRIM(INDEX($A107:$AL107,MATCH(Lists!$F$6,$A$1:$AL$1,0))&amp;"")="","",IF(ISNUMBER(INDEX($A107:$AL107,MATCH(Lists!$F$6,$A$1:$AL$1,0))),ROUND(MOD(INDEX($A107:$AL107,MATCH(Lists!$F$6,$A$1:$AL$1,0)),1)*1440,0),VALUE(LEFT(INDEX($A107:$AL107,MATCH(Lists!$F$6,$A$1:$AL$1,0)),2))*60+VALUE(MID(INDEX($A107:$AL107,MATCH(Lists!$F$6,$A$1:$AL$1,0)),4,2)))),""),-1))</f>
        <v/>
      </c>
      <c r="AV107" s="21">
        <f>IF(IFERROR(TRIM(INDEX($A107:$AL107,MATCH(Lists!$F$2,$A$1:$AL$1,0))&amp;""),"")="",-1,IF(ISNUMBER(IFERROR(IF(TRIM(INDEX($A107:$AL107,MATCH(Lists!$F$7,$A$1:$AL$1,0))&amp;"")="","",IF(ISNUMBER(INDEX($A107:$AL107,MATCH(Lists!$F$7,$A$1:$AL$1,0))),ROUND(MOD(INDEX($A107:$AL107,MATCH(Lists!$F$7,$A$1:$AL$1,0)),1)*1440,0),VALUE(LEFT(INDEX($A107:$AL107,MATCH(Lists!$F$7,$A$1:$AL$1,0)),2))*60+VALUE(MID(INDEX($A107:$AL107,MATCH(Lists!$F$7,$A$1:$AL$1,0)),4,2)))),"")),IFERROR(IF(TRIM(INDEX($A107:$AL107,MATCH(Lists!$F$7,$A$1:$AL$1,0))&amp;"")="","",IF(ISNUMBER(INDEX($A107:$AL107,MATCH(Lists!$F$7,$A$1:$AL$1,0))),ROUND(MOD(INDEX($A107:$AL107,MATCH(Lists!$F$7,$A$1:$AL$1,0)),1)*1440,0),VALUE(LEFT(INDEX($A107:$AL107,MATCH(Lists!$F$7,$A$1:$AL$1,0)),2))*60+VALUE(MID(INDEX($A107:$AL107,MATCH(Lists!$F$7,$A$1:$AL$1,0)),4,2)))),""),-1))</f>
        <v/>
      </c>
      <c r="AW107" s="21">
        <f>IF(IFERROR(TRIM(INDEX($A107:$AL107,MATCH(Lists!$F$2,$A$1:$AL$1,0))&amp;""),"")="","",IF(IFERROR(TRIM(INDEX($A107:$AL107,MATCH(Lists!$F$8,$A$1:$AL$1,0))&amp;""),"")&lt;&gt;"",IFERROR(TRIM(INDEX($A107:$AL107,MATCH(Lists!$F$8,$A$1:$AL$1,0))&amp;""),""),IFERROR(TRIM(INDEX($A107:$AL107,MATCH(Lists!$F$9,$A$1:$AL$1,0))&amp;""),"")))</f>
        <v/>
      </c>
      <c r="AX107" s="21">
        <f>IFERROR(IF(TRIM(INDEX($A107:$AL107,MATCH(Lists!$F$10,$A$1:$AL$1,0))&amp;"")="","",VALUE(TRIM(INDEX($A107:$AL107,MATCH(Lists!$F$10,$A$1:$AL$1,0))&amp;""))),"")</f>
        <v/>
      </c>
      <c r="AY107" s="21">
        <f>IF(IFERROR(TRIM(INDEX($A107:$AL107,MATCH(Lists!$F$2,$A$1:$AL$1,0))&amp;""),"")="","",IF(AN107="","New",AN107))</f>
        <v/>
      </c>
      <c r="AZ107" s="21">
        <f>IF(IFERROR(TRIM(INDEX($A107:$AL107,MATCH(Lists!$F$2,$A$1:$AL$1,0))&amp;""),"")="","",IF(OR(IFERROR(TRIM(INDEX($A107:$AL107,MATCH(Lists!$F$13,$A$1:$AL$1,0))&amp;""),"")="Paid",IFERROR(TRIM(INDEX($A107:$AL107,MATCH(Lists!$F$13,$A$1:$AL$1,0))&amp;""),"")="Partially refunded"),"Paid",IF(AP107="Yes","Paid (by hand)",IFERROR(TRIM(INDEX($A107:$AL107,MATCH(Lists!$F$13,$A$1:$AL$1,0))&amp;""),""))))</f>
        <v/>
      </c>
      <c r="BA107" s="21">
        <f>IF(AND(IFERROR(TRIM(INDEX($A107:$AL107,MATCH(Lists!$F$2,$A$1:$AL$1,0))&amp;""),"")&lt;&gt;"",AT107&gt;0,AU107&gt;=0,AV107&gt;AU107,AY107&lt;&gt;"Declined"),1,0)</f>
        <v/>
      </c>
      <c r="BB107" s="21">
        <f>IF(BA107=1,COUNTIFS($AS$2:$AS$501,AS107,$AT$2:$AT$501,AT107,$AU$2:$AU$501,"&lt;"&amp;AV107,$AV$2:$AV$501,"&gt;"&amp;AU107,$BA$2:$BA$501,1)-1,"")</f>
        <v/>
      </c>
      <c r="BC107" s="21">
        <f>IF(N(BB107)&gt;0,"Clashes with "&amp;INDEX($AW$2:$AW$501,SUMPRODUCT(MAX(($AS$2:$AS$501=AS107)*($AT$2:$AT$501=AT107)*($AU$2:$AU$501&lt;AV107)*($AV$2:$AV$501&gt;AU107)*($BA$2:$BA$501=1)*(ROW($AS$2:$AS$501)&lt;&gt;ROW())*ROW($AS$2:$AS$501)))-1)&amp;" ("&amp;INDEX($AY$2:$AY$501,SUMPRODUCT(MAX(($AS$2:$AS$501=AS107)*($AT$2:$AT$501=AT107)*($AU$2:$AU$501&lt;AV107)*($AV$2:$AV$501&gt;AU107)*($BA$2:$BA$501=1)*(ROW($AS$2:$AS$501)&lt;&gt;ROW())*ROW($AS$2:$AS$501)))-1)&amp;")"&amp;IF(BB107&gt;1," and "&amp;(BB107-1)&amp;" more",""),"")</f>
        <v/>
      </c>
      <c r="BD107" s="21">
        <f>IF(AND(BA107=1,AY107="Confirmed"),AT107*10000000+AU107*1000+ROW(),"")</f>
        <v/>
      </c>
      <c r="BE107" s="21">
        <f>IF(IFERROR(TRIM(INDEX($A107:$AL107,MATCH(Lists!$F$2,$A$1:$AL$1,0))&amp;""),"")="","",IFERROR(TRIM(INDEX($A107:$AL107,MATCH(Lists!$F$11,$A$1:$AL$1,0))&amp;""),""))</f>
        <v/>
      </c>
      <c r="BF107" s="21">
        <f>IF(IFERROR(TRIM(INDEX($A107:$AL107,MATCH(Lists!$F$2,$A$1:$AL$1,0))&amp;""),"")="","",IFERROR(TRIM(INDEX($A107:$AL107,MATCH(Lists!$F$12,$A$1:$AL$1,0))&amp;""),""))</f>
        <v/>
      </c>
    </row>
    <row r="108">
      <c r="AM108" s="19" t="n"/>
      <c r="AN108" s="23" t="n"/>
      <c r="AO108" s="23" t="n"/>
      <c r="AP108" s="23" t="n"/>
      <c r="AQ108" s="23" t="n"/>
      <c r="AR108" s="19" t="n"/>
      <c r="AS108" s="21">
        <f>IF(IFERROR(TRIM(INDEX($A108:$AL108,MATCH(Lists!$F$2,$A$1:$AL$1,0))&amp;""),"")="","",IF(AND(IFERROR(TRIM(INDEX($A108:$AL108,MATCH(Lists!$F$3,$A$1:$AL$1,0))&amp;""),"")="Other",IFERROR(TRIM(INDEX($A108:$AL108,MATCH(Lists!$F$4,$A$1:$AL$1,0))&amp;""),"")&lt;&gt;""),IFERROR(TRIM(INDEX($A108:$AL108,MATCH(Lists!$F$4,$A$1:$AL$1,0))&amp;""),""),IF(IFERROR(TRIM(INDEX($A108:$AL108,MATCH(Lists!$F$3,$A$1:$AL$1,0))&amp;""),"")="","(no space)",IFERROR(TRIM(INDEX($A108:$AL108,MATCH(Lists!$F$3,$A$1:$AL$1,0))&amp;""),""))))</f>
        <v/>
      </c>
      <c r="AT108" s="22">
        <f>IF(IFERROR(TRIM(INDEX($A108:$AL108,MATCH(Lists!$F$2,$A$1:$AL$1,0))&amp;""),"")="",0,N(IFERROR(IF(TRIM(INDEX($A108:$AL108,MATCH(Lists!$F$5,$A$1:$AL$1,0))&amp;"")="","",IF(ISNUMBER(INDEX($A108:$AL108,MATCH(Lists!$F$5,$A$1:$AL$1,0))),INT(INDEX($A108:$AL108,MATCH(Lists!$F$5,$A$1:$AL$1,0))),DATE(VALUE(LEFT(INDEX($A108:$AL108,MATCH(Lists!$F$5,$A$1:$AL$1,0)),4)),VALUE(MID(INDEX($A108:$AL108,MATCH(Lists!$F$5,$A$1:$AL$1,0)),6,2)),VALUE(MID(INDEX($A108:$AL108,MATCH(Lists!$F$5,$A$1:$AL$1,0)),9,2))))),"")))</f>
        <v/>
      </c>
      <c r="AU108" s="21">
        <f>IF(IFERROR(TRIM(INDEX($A108:$AL108,MATCH(Lists!$F$2,$A$1:$AL$1,0))&amp;""),"")="",-1,IF(ISNUMBER(IFERROR(IF(TRIM(INDEX($A108:$AL108,MATCH(Lists!$F$6,$A$1:$AL$1,0))&amp;"")="","",IF(ISNUMBER(INDEX($A108:$AL108,MATCH(Lists!$F$6,$A$1:$AL$1,0))),ROUND(MOD(INDEX($A108:$AL108,MATCH(Lists!$F$6,$A$1:$AL$1,0)),1)*1440,0),VALUE(LEFT(INDEX($A108:$AL108,MATCH(Lists!$F$6,$A$1:$AL$1,0)),2))*60+VALUE(MID(INDEX($A108:$AL108,MATCH(Lists!$F$6,$A$1:$AL$1,0)),4,2)))),"")),IFERROR(IF(TRIM(INDEX($A108:$AL108,MATCH(Lists!$F$6,$A$1:$AL$1,0))&amp;"")="","",IF(ISNUMBER(INDEX($A108:$AL108,MATCH(Lists!$F$6,$A$1:$AL$1,0))),ROUND(MOD(INDEX($A108:$AL108,MATCH(Lists!$F$6,$A$1:$AL$1,0)),1)*1440,0),VALUE(LEFT(INDEX($A108:$AL108,MATCH(Lists!$F$6,$A$1:$AL$1,0)),2))*60+VALUE(MID(INDEX($A108:$AL108,MATCH(Lists!$F$6,$A$1:$AL$1,0)),4,2)))),""),-1))</f>
        <v/>
      </c>
      <c r="AV108" s="21">
        <f>IF(IFERROR(TRIM(INDEX($A108:$AL108,MATCH(Lists!$F$2,$A$1:$AL$1,0))&amp;""),"")="",-1,IF(ISNUMBER(IFERROR(IF(TRIM(INDEX($A108:$AL108,MATCH(Lists!$F$7,$A$1:$AL$1,0))&amp;"")="","",IF(ISNUMBER(INDEX($A108:$AL108,MATCH(Lists!$F$7,$A$1:$AL$1,0))),ROUND(MOD(INDEX($A108:$AL108,MATCH(Lists!$F$7,$A$1:$AL$1,0)),1)*1440,0),VALUE(LEFT(INDEX($A108:$AL108,MATCH(Lists!$F$7,$A$1:$AL$1,0)),2))*60+VALUE(MID(INDEX($A108:$AL108,MATCH(Lists!$F$7,$A$1:$AL$1,0)),4,2)))),"")),IFERROR(IF(TRIM(INDEX($A108:$AL108,MATCH(Lists!$F$7,$A$1:$AL$1,0))&amp;"")="","",IF(ISNUMBER(INDEX($A108:$AL108,MATCH(Lists!$F$7,$A$1:$AL$1,0))),ROUND(MOD(INDEX($A108:$AL108,MATCH(Lists!$F$7,$A$1:$AL$1,0)),1)*1440,0),VALUE(LEFT(INDEX($A108:$AL108,MATCH(Lists!$F$7,$A$1:$AL$1,0)),2))*60+VALUE(MID(INDEX($A108:$AL108,MATCH(Lists!$F$7,$A$1:$AL$1,0)),4,2)))),""),-1))</f>
        <v/>
      </c>
      <c r="AW108" s="21">
        <f>IF(IFERROR(TRIM(INDEX($A108:$AL108,MATCH(Lists!$F$2,$A$1:$AL$1,0))&amp;""),"")="","",IF(IFERROR(TRIM(INDEX($A108:$AL108,MATCH(Lists!$F$8,$A$1:$AL$1,0))&amp;""),"")&lt;&gt;"",IFERROR(TRIM(INDEX($A108:$AL108,MATCH(Lists!$F$8,$A$1:$AL$1,0))&amp;""),""),IFERROR(TRIM(INDEX($A108:$AL108,MATCH(Lists!$F$9,$A$1:$AL$1,0))&amp;""),"")))</f>
        <v/>
      </c>
      <c r="AX108" s="21">
        <f>IFERROR(IF(TRIM(INDEX($A108:$AL108,MATCH(Lists!$F$10,$A$1:$AL$1,0))&amp;"")="","",VALUE(TRIM(INDEX($A108:$AL108,MATCH(Lists!$F$10,$A$1:$AL$1,0))&amp;""))),"")</f>
        <v/>
      </c>
      <c r="AY108" s="21">
        <f>IF(IFERROR(TRIM(INDEX($A108:$AL108,MATCH(Lists!$F$2,$A$1:$AL$1,0))&amp;""),"")="","",IF(AN108="","New",AN108))</f>
        <v/>
      </c>
      <c r="AZ108" s="21">
        <f>IF(IFERROR(TRIM(INDEX($A108:$AL108,MATCH(Lists!$F$2,$A$1:$AL$1,0))&amp;""),"")="","",IF(OR(IFERROR(TRIM(INDEX($A108:$AL108,MATCH(Lists!$F$13,$A$1:$AL$1,0))&amp;""),"")="Paid",IFERROR(TRIM(INDEX($A108:$AL108,MATCH(Lists!$F$13,$A$1:$AL$1,0))&amp;""),"")="Partially refunded"),"Paid",IF(AP108="Yes","Paid (by hand)",IFERROR(TRIM(INDEX($A108:$AL108,MATCH(Lists!$F$13,$A$1:$AL$1,0))&amp;""),""))))</f>
        <v/>
      </c>
      <c r="BA108" s="21">
        <f>IF(AND(IFERROR(TRIM(INDEX($A108:$AL108,MATCH(Lists!$F$2,$A$1:$AL$1,0))&amp;""),"")&lt;&gt;"",AT108&gt;0,AU108&gt;=0,AV108&gt;AU108,AY108&lt;&gt;"Declined"),1,0)</f>
        <v/>
      </c>
      <c r="BB108" s="21">
        <f>IF(BA108=1,COUNTIFS($AS$2:$AS$501,AS108,$AT$2:$AT$501,AT108,$AU$2:$AU$501,"&lt;"&amp;AV108,$AV$2:$AV$501,"&gt;"&amp;AU108,$BA$2:$BA$501,1)-1,"")</f>
        <v/>
      </c>
      <c r="BC108" s="21">
        <f>IF(N(BB108)&gt;0,"Clashes with "&amp;INDEX($AW$2:$AW$501,SUMPRODUCT(MAX(($AS$2:$AS$501=AS108)*($AT$2:$AT$501=AT108)*($AU$2:$AU$501&lt;AV108)*($AV$2:$AV$501&gt;AU108)*($BA$2:$BA$501=1)*(ROW($AS$2:$AS$501)&lt;&gt;ROW())*ROW($AS$2:$AS$501)))-1)&amp;" ("&amp;INDEX($AY$2:$AY$501,SUMPRODUCT(MAX(($AS$2:$AS$501=AS108)*($AT$2:$AT$501=AT108)*($AU$2:$AU$501&lt;AV108)*($AV$2:$AV$501&gt;AU108)*($BA$2:$BA$501=1)*(ROW($AS$2:$AS$501)&lt;&gt;ROW())*ROW($AS$2:$AS$501)))-1)&amp;")"&amp;IF(BB108&gt;1," and "&amp;(BB108-1)&amp;" more",""),"")</f>
        <v/>
      </c>
      <c r="BD108" s="21">
        <f>IF(AND(BA108=1,AY108="Confirmed"),AT108*10000000+AU108*1000+ROW(),"")</f>
        <v/>
      </c>
      <c r="BE108" s="21">
        <f>IF(IFERROR(TRIM(INDEX($A108:$AL108,MATCH(Lists!$F$2,$A$1:$AL$1,0))&amp;""),"")="","",IFERROR(TRIM(INDEX($A108:$AL108,MATCH(Lists!$F$11,$A$1:$AL$1,0))&amp;""),""))</f>
        <v/>
      </c>
      <c r="BF108" s="21">
        <f>IF(IFERROR(TRIM(INDEX($A108:$AL108,MATCH(Lists!$F$2,$A$1:$AL$1,0))&amp;""),"")="","",IFERROR(TRIM(INDEX($A108:$AL108,MATCH(Lists!$F$12,$A$1:$AL$1,0))&amp;""),""))</f>
        <v/>
      </c>
    </row>
    <row r="109">
      <c r="AM109" s="19" t="n"/>
      <c r="AN109" s="23" t="n"/>
      <c r="AO109" s="23" t="n"/>
      <c r="AP109" s="23" t="n"/>
      <c r="AQ109" s="23" t="n"/>
      <c r="AR109" s="19" t="n"/>
      <c r="AS109" s="21">
        <f>IF(IFERROR(TRIM(INDEX($A109:$AL109,MATCH(Lists!$F$2,$A$1:$AL$1,0))&amp;""),"")="","",IF(AND(IFERROR(TRIM(INDEX($A109:$AL109,MATCH(Lists!$F$3,$A$1:$AL$1,0))&amp;""),"")="Other",IFERROR(TRIM(INDEX($A109:$AL109,MATCH(Lists!$F$4,$A$1:$AL$1,0))&amp;""),"")&lt;&gt;""),IFERROR(TRIM(INDEX($A109:$AL109,MATCH(Lists!$F$4,$A$1:$AL$1,0))&amp;""),""),IF(IFERROR(TRIM(INDEX($A109:$AL109,MATCH(Lists!$F$3,$A$1:$AL$1,0))&amp;""),"")="","(no space)",IFERROR(TRIM(INDEX($A109:$AL109,MATCH(Lists!$F$3,$A$1:$AL$1,0))&amp;""),""))))</f>
        <v/>
      </c>
      <c r="AT109" s="22">
        <f>IF(IFERROR(TRIM(INDEX($A109:$AL109,MATCH(Lists!$F$2,$A$1:$AL$1,0))&amp;""),"")="",0,N(IFERROR(IF(TRIM(INDEX($A109:$AL109,MATCH(Lists!$F$5,$A$1:$AL$1,0))&amp;"")="","",IF(ISNUMBER(INDEX($A109:$AL109,MATCH(Lists!$F$5,$A$1:$AL$1,0))),INT(INDEX($A109:$AL109,MATCH(Lists!$F$5,$A$1:$AL$1,0))),DATE(VALUE(LEFT(INDEX($A109:$AL109,MATCH(Lists!$F$5,$A$1:$AL$1,0)),4)),VALUE(MID(INDEX($A109:$AL109,MATCH(Lists!$F$5,$A$1:$AL$1,0)),6,2)),VALUE(MID(INDEX($A109:$AL109,MATCH(Lists!$F$5,$A$1:$AL$1,0)),9,2))))),"")))</f>
        <v/>
      </c>
      <c r="AU109" s="21">
        <f>IF(IFERROR(TRIM(INDEX($A109:$AL109,MATCH(Lists!$F$2,$A$1:$AL$1,0))&amp;""),"")="",-1,IF(ISNUMBER(IFERROR(IF(TRIM(INDEX($A109:$AL109,MATCH(Lists!$F$6,$A$1:$AL$1,0))&amp;"")="","",IF(ISNUMBER(INDEX($A109:$AL109,MATCH(Lists!$F$6,$A$1:$AL$1,0))),ROUND(MOD(INDEX($A109:$AL109,MATCH(Lists!$F$6,$A$1:$AL$1,0)),1)*1440,0),VALUE(LEFT(INDEX($A109:$AL109,MATCH(Lists!$F$6,$A$1:$AL$1,0)),2))*60+VALUE(MID(INDEX($A109:$AL109,MATCH(Lists!$F$6,$A$1:$AL$1,0)),4,2)))),"")),IFERROR(IF(TRIM(INDEX($A109:$AL109,MATCH(Lists!$F$6,$A$1:$AL$1,0))&amp;"")="","",IF(ISNUMBER(INDEX($A109:$AL109,MATCH(Lists!$F$6,$A$1:$AL$1,0))),ROUND(MOD(INDEX($A109:$AL109,MATCH(Lists!$F$6,$A$1:$AL$1,0)),1)*1440,0),VALUE(LEFT(INDEX($A109:$AL109,MATCH(Lists!$F$6,$A$1:$AL$1,0)),2))*60+VALUE(MID(INDEX($A109:$AL109,MATCH(Lists!$F$6,$A$1:$AL$1,0)),4,2)))),""),-1))</f>
        <v/>
      </c>
      <c r="AV109" s="21">
        <f>IF(IFERROR(TRIM(INDEX($A109:$AL109,MATCH(Lists!$F$2,$A$1:$AL$1,0))&amp;""),"")="",-1,IF(ISNUMBER(IFERROR(IF(TRIM(INDEX($A109:$AL109,MATCH(Lists!$F$7,$A$1:$AL$1,0))&amp;"")="","",IF(ISNUMBER(INDEX($A109:$AL109,MATCH(Lists!$F$7,$A$1:$AL$1,0))),ROUND(MOD(INDEX($A109:$AL109,MATCH(Lists!$F$7,$A$1:$AL$1,0)),1)*1440,0),VALUE(LEFT(INDEX($A109:$AL109,MATCH(Lists!$F$7,$A$1:$AL$1,0)),2))*60+VALUE(MID(INDEX($A109:$AL109,MATCH(Lists!$F$7,$A$1:$AL$1,0)),4,2)))),"")),IFERROR(IF(TRIM(INDEX($A109:$AL109,MATCH(Lists!$F$7,$A$1:$AL$1,0))&amp;"")="","",IF(ISNUMBER(INDEX($A109:$AL109,MATCH(Lists!$F$7,$A$1:$AL$1,0))),ROUND(MOD(INDEX($A109:$AL109,MATCH(Lists!$F$7,$A$1:$AL$1,0)),1)*1440,0),VALUE(LEFT(INDEX($A109:$AL109,MATCH(Lists!$F$7,$A$1:$AL$1,0)),2))*60+VALUE(MID(INDEX($A109:$AL109,MATCH(Lists!$F$7,$A$1:$AL$1,0)),4,2)))),""),-1))</f>
        <v/>
      </c>
      <c r="AW109" s="21">
        <f>IF(IFERROR(TRIM(INDEX($A109:$AL109,MATCH(Lists!$F$2,$A$1:$AL$1,0))&amp;""),"")="","",IF(IFERROR(TRIM(INDEX($A109:$AL109,MATCH(Lists!$F$8,$A$1:$AL$1,0))&amp;""),"")&lt;&gt;"",IFERROR(TRIM(INDEX($A109:$AL109,MATCH(Lists!$F$8,$A$1:$AL$1,0))&amp;""),""),IFERROR(TRIM(INDEX($A109:$AL109,MATCH(Lists!$F$9,$A$1:$AL$1,0))&amp;""),"")))</f>
        <v/>
      </c>
      <c r="AX109" s="21">
        <f>IFERROR(IF(TRIM(INDEX($A109:$AL109,MATCH(Lists!$F$10,$A$1:$AL$1,0))&amp;"")="","",VALUE(TRIM(INDEX($A109:$AL109,MATCH(Lists!$F$10,$A$1:$AL$1,0))&amp;""))),"")</f>
        <v/>
      </c>
      <c r="AY109" s="21">
        <f>IF(IFERROR(TRIM(INDEX($A109:$AL109,MATCH(Lists!$F$2,$A$1:$AL$1,0))&amp;""),"")="","",IF(AN109="","New",AN109))</f>
        <v/>
      </c>
      <c r="AZ109" s="21">
        <f>IF(IFERROR(TRIM(INDEX($A109:$AL109,MATCH(Lists!$F$2,$A$1:$AL$1,0))&amp;""),"")="","",IF(OR(IFERROR(TRIM(INDEX($A109:$AL109,MATCH(Lists!$F$13,$A$1:$AL$1,0))&amp;""),"")="Paid",IFERROR(TRIM(INDEX($A109:$AL109,MATCH(Lists!$F$13,$A$1:$AL$1,0))&amp;""),"")="Partially refunded"),"Paid",IF(AP109="Yes","Paid (by hand)",IFERROR(TRIM(INDEX($A109:$AL109,MATCH(Lists!$F$13,$A$1:$AL$1,0))&amp;""),""))))</f>
        <v/>
      </c>
      <c r="BA109" s="21">
        <f>IF(AND(IFERROR(TRIM(INDEX($A109:$AL109,MATCH(Lists!$F$2,$A$1:$AL$1,0))&amp;""),"")&lt;&gt;"",AT109&gt;0,AU109&gt;=0,AV109&gt;AU109,AY109&lt;&gt;"Declined"),1,0)</f>
        <v/>
      </c>
      <c r="BB109" s="21">
        <f>IF(BA109=1,COUNTIFS($AS$2:$AS$501,AS109,$AT$2:$AT$501,AT109,$AU$2:$AU$501,"&lt;"&amp;AV109,$AV$2:$AV$501,"&gt;"&amp;AU109,$BA$2:$BA$501,1)-1,"")</f>
        <v/>
      </c>
      <c r="BC109" s="21">
        <f>IF(N(BB109)&gt;0,"Clashes with "&amp;INDEX($AW$2:$AW$501,SUMPRODUCT(MAX(($AS$2:$AS$501=AS109)*($AT$2:$AT$501=AT109)*($AU$2:$AU$501&lt;AV109)*($AV$2:$AV$501&gt;AU109)*($BA$2:$BA$501=1)*(ROW($AS$2:$AS$501)&lt;&gt;ROW())*ROW($AS$2:$AS$501)))-1)&amp;" ("&amp;INDEX($AY$2:$AY$501,SUMPRODUCT(MAX(($AS$2:$AS$501=AS109)*($AT$2:$AT$501=AT109)*($AU$2:$AU$501&lt;AV109)*($AV$2:$AV$501&gt;AU109)*($BA$2:$BA$501=1)*(ROW($AS$2:$AS$501)&lt;&gt;ROW())*ROW($AS$2:$AS$501)))-1)&amp;")"&amp;IF(BB109&gt;1," and "&amp;(BB109-1)&amp;" more",""),"")</f>
        <v/>
      </c>
      <c r="BD109" s="21">
        <f>IF(AND(BA109=1,AY109="Confirmed"),AT109*10000000+AU109*1000+ROW(),"")</f>
        <v/>
      </c>
      <c r="BE109" s="21">
        <f>IF(IFERROR(TRIM(INDEX($A109:$AL109,MATCH(Lists!$F$2,$A$1:$AL$1,0))&amp;""),"")="","",IFERROR(TRIM(INDEX($A109:$AL109,MATCH(Lists!$F$11,$A$1:$AL$1,0))&amp;""),""))</f>
        <v/>
      </c>
      <c r="BF109" s="21">
        <f>IF(IFERROR(TRIM(INDEX($A109:$AL109,MATCH(Lists!$F$2,$A$1:$AL$1,0))&amp;""),"")="","",IFERROR(TRIM(INDEX($A109:$AL109,MATCH(Lists!$F$12,$A$1:$AL$1,0))&amp;""),""))</f>
        <v/>
      </c>
    </row>
    <row r="110">
      <c r="AM110" s="19" t="n"/>
      <c r="AN110" s="23" t="n"/>
      <c r="AO110" s="23" t="n"/>
      <c r="AP110" s="23" t="n"/>
      <c r="AQ110" s="23" t="n"/>
      <c r="AR110" s="19" t="n"/>
      <c r="AS110" s="21">
        <f>IF(IFERROR(TRIM(INDEX($A110:$AL110,MATCH(Lists!$F$2,$A$1:$AL$1,0))&amp;""),"")="","",IF(AND(IFERROR(TRIM(INDEX($A110:$AL110,MATCH(Lists!$F$3,$A$1:$AL$1,0))&amp;""),"")="Other",IFERROR(TRIM(INDEX($A110:$AL110,MATCH(Lists!$F$4,$A$1:$AL$1,0))&amp;""),"")&lt;&gt;""),IFERROR(TRIM(INDEX($A110:$AL110,MATCH(Lists!$F$4,$A$1:$AL$1,0))&amp;""),""),IF(IFERROR(TRIM(INDEX($A110:$AL110,MATCH(Lists!$F$3,$A$1:$AL$1,0))&amp;""),"")="","(no space)",IFERROR(TRIM(INDEX($A110:$AL110,MATCH(Lists!$F$3,$A$1:$AL$1,0))&amp;""),""))))</f>
        <v/>
      </c>
      <c r="AT110" s="22">
        <f>IF(IFERROR(TRIM(INDEX($A110:$AL110,MATCH(Lists!$F$2,$A$1:$AL$1,0))&amp;""),"")="",0,N(IFERROR(IF(TRIM(INDEX($A110:$AL110,MATCH(Lists!$F$5,$A$1:$AL$1,0))&amp;"")="","",IF(ISNUMBER(INDEX($A110:$AL110,MATCH(Lists!$F$5,$A$1:$AL$1,0))),INT(INDEX($A110:$AL110,MATCH(Lists!$F$5,$A$1:$AL$1,0))),DATE(VALUE(LEFT(INDEX($A110:$AL110,MATCH(Lists!$F$5,$A$1:$AL$1,0)),4)),VALUE(MID(INDEX($A110:$AL110,MATCH(Lists!$F$5,$A$1:$AL$1,0)),6,2)),VALUE(MID(INDEX($A110:$AL110,MATCH(Lists!$F$5,$A$1:$AL$1,0)),9,2))))),"")))</f>
        <v/>
      </c>
      <c r="AU110" s="21">
        <f>IF(IFERROR(TRIM(INDEX($A110:$AL110,MATCH(Lists!$F$2,$A$1:$AL$1,0))&amp;""),"")="",-1,IF(ISNUMBER(IFERROR(IF(TRIM(INDEX($A110:$AL110,MATCH(Lists!$F$6,$A$1:$AL$1,0))&amp;"")="","",IF(ISNUMBER(INDEX($A110:$AL110,MATCH(Lists!$F$6,$A$1:$AL$1,0))),ROUND(MOD(INDEX($A110:$AL110,MATCH(Lists!$F$6,$A$1:$AL$1,0)),1)*1440,0),VALUE(LEFT(INDEX($A110:$AL110,MATCH(Lists!$F$6,$A$1:$AL$1,0)),2))*60+VALUE(MID(INDEX($A110:$AL110,MATCH(Lists!$F$6,$A$1:$AL$1,0)),4,2)))),"")),IFERROR(IF(TRIM(INDEX($A110:$AL110,MATCH(Lists!$F$6,$A$1:$AL$1,0))&amp;"")="","",IF(ISNUMBER(INDEX($A110:$AL110,MATCH(Lists!$F$6,$A$1:$AL$1,0))),ROUND(MOD(INDEX($A110:$AL110,MATCH(Lists!$F$6,$A$1:$AL$1,0)),1)*1440,0),VALUE(LEFT(INDEX($A110:$AL110,MATCH(Lists!$F$6,$A$1:$AL$1,0)),2))*60+VALUE(MID(INDEX($A110:$AL110,MATCH(Lists!$F$6,$A$1:$AL$1,0)),4,2)))),""),-1))</f>
        <v/>
      </c>
      <c r="AV110" s="21">
        <f>IF(IFERROR(TRIM(INDEX($A110:$AL110,MATCH(Lists!$F$2,$A$1:$AL$1,0))&amp;""),"")="",-1,IF(ISNUMBER(IFERROR(IF(TRIM(INDEX($A110:$AL110,MATCH(Lists!$F$7,$A$1:$AL$1,0))&amp;"")="","",IF(ISNUMBER(INDEX($A110:$AL110,MATCH(Lists!$F$7,$A$1:$AL$1,0))),ROUND(MOD(INDEX($A110:$AL110,MATCH(Lists!$F$7,$A$1:$AL$1,0)),1)*1440,0),VALUE(LEFT(INDEX($A110:$AL110,MATCH(Lists!$F$7,$A$1:$AL$1,0)),2))*60+VALUE(MID(INDEX($A110:$AL110,MATCH(Lists!$F$7,$A$1:$AL$1,0)),4,2)))),"")),IFERROR(IF(TRIM(INDEX($A110:$AL110,MATCH(Lists!$F$7,$A$1:$AL$1,0))&amp;"")="","",IF(ISNUMBER(INDEX($A110:$AL110,MATCH(Lists!$F$7,$A$1:$AL$1,0))),ROUND(MOD(INDEX($A110:$AL110,MATCH(Lists!$F$7,$A$1:$AL$1,0)),1)*1440,0),VALUE(LEFT(INDEX($A110:$AL110,MATCH(Lists!$F$7,$A$1:$AL$1,0)),2))*60+VALUE(MID(INDEX($A110:$AL110,MATCH(Lists!$F$7,$A$1:$AL$1,0)),4,2)))),""),-1))</f>
        <v/>
      </c>
      <c r="AW110" s="21">
        <f>IF(IFERROR(TRIM(INDEX($A110:$AL110,MATCH(Lists!$F$2,$A$1:$AL$1,0))&amp;""),"")="","",IF(IFERROR(TRIM(INDEX($A110:$AL110,MATCH(Lists!$F$8,$A$1:$AL$1,0))&amp;""),"")&lt;&gt;"",IFERROR(TRIM(INDEX($A110:$AL110,MATCH(Lists!$F$8,$A$1:$AL$1,0))&amp;""),""),IFERROR(TRIM(INDEX($A110:$AL110,MATCH(Lists!$F$9,$A$1:$AL$1,0))&amp;""),"")))</f>
        <v/>
      </c>
      <c r="AX110" s="21">
        <f>IFERROR(IF(TRIM(INDEX($A110:$AL110,MATCH(Lists!$F$10,$A$1:$AL$1,0))&amp;"")="","",VALUE(TRIM(INDEX($A110:$AL110,MATCH(Lists!$F$10,$A$1:$AL$1,0))&amp;""))),"")</f>
        <v/>
      </c>
      <c r="AY110" s="21">
        <f>IF(IFERROR(TRIM(INDEX($A110:$AL110,MATCH(Lists!$F$2,$A$1:$AL$1,0))&amp;""),"")="","",IF(AN110="","New",AN110))</f>
        <v/>
      </c>
      <c r="AZ110" s="21">
        <f>IF(IFERROR(TRIM(INDEX($A110:$AL110,MATCH(Lists!$F$2,$A$1:$AL$1,0))&amp;""),"")="","",IF(OR(IFERROR(TRIM(INDEX($A110:$AL110,MATCH(Lists!$F$13,$A$1:$AL$1,0))&amp;""),"")="Paid",IFERROR(TRIM(INDEX($A110:$AL110,MATCH(Lists!$F$13,$A$1:$AL$1,0))&amp;""),"")="Partially refunded"),"Paid",IF(AP110="Yes","Paid (by hand)",IFERROR(TRIM(INDEX($A110:$AL110,MATCH(Lists!$F$13,$A$1:$AL$1,0))&amp;""),""))))</f>
        <v/>
      </c>
      <c r="BA110" s="21">
        <f>IF(AND(IFERROR(TRIM(INDEX($A110:$AL110,MATCH(Lists!$F$2,$A$1:$AL$1,0))&amp;""),"")&lt;&gt;"",AT110&gt;0,AU110&gt;=0,AV110&gt;AU110,AY110&lt;&gt;"Declined"),1,0)</f>
        <v/>
      </c>
      <c r="BB110" s="21">
        <f>IF(BA110=1,COUNTIFS($AS$2:$AS$501,AS110,$AT$2:$AT$501,AT110,$AU$2:$AU$501,"&lt;"&amp;AV110,$AV$2:$AV$501,"&gt;"&amp;AU110,$BA$2:$BA$501,1)-1,"")</f>
        <v/>
      </c>
      <c r="BC110" s="21">
        <f>IF(N(BB110)&gt;0,"Clashes with "&amp;INDEX($AW$2:$AW$501,SUMPRODUCT(MAX(($AS$2:$AS$501=AS110)*($AT$2:$AT$501=AT110)*($AU$2:$AU$501&lt;AV110)*($AV$2:$AV$501&gt;AU110)*($BA$2:$BA$501=1)*(ROW($AS$2:$AS$501)&lt;&gt;ROW())*ROW($AS$2:$AS$501)))-1)&amp;" ("&amp;INDEX($AY$2:$AY$501,SUMPRODUCT(MAX(($AS$2:$AS$501=AS110)*($AT$2:$AT$501=AT110)*($AU$2:$AU$501&lt;AV110)*($AV$2:$AV$501&gt;AU110)*($BA$2:$BA$501=1)*(ROW($AS$2:$AS$501)&lt;&gt;ROW())*ROW($AS$2:$AS$501)))-1)&amp;")"&amp;IF(BB110&gt;1," and "&amp;(BB110-1)&amp;" more",""),"")</f>
        <v/>
      </c>
      <c r="BD110" s="21">
        <f>IF(AND(BA110=1,AY110="Confirmed"),AT110*10000000+AU110*1000+ROW(),"")</f>
        <v/>
      </c>
      <c r="BE110" s="21">
        <f>IF(IFERROR(TRIM(INDEX($A110:$AL110,MATCH(Lists!$F$2,$A$1:$AL$1,0))&amp;""),"")="","",IFERROR(TRIM(INDEX($A110:$AL110,MATCH(Lists!$F$11,$A$1:$AL$1,0))&amp;""),""))</f>
        <v/>
      </c>
      <c r="BF110" s="21">
        <f>IF(IFERROR(TRIM(INDEX($A110:$AL110,MATCH(Lists!$F$2,$A$1:$AL$1,0))&amp;""),"")="","",IFERROR(TRIM(INDEX($A110:$AL110,MATCH(Lists!$F$12,$A$1:$AL$1,0))&amp;""),""))</f>
        <v/>
      </c>
    </row>
    <row r="111">
      <c r="AM111" s="19" t="n"/>
      <c r="AN111" s="23" t="n"/>
      <c r="AO111" s="23" t="n"/>
      <c r="AP111" s="23" t="n"/>
      <c r="AQ111" s="23" t="n"/>
      <c r="AR111" s="19" t="n"/>
      <c r="AS111" s="21">
        <f>IF(IFERROR(TRIM(INDEX($A111:$AL111,MATCH(Lists!$F$2,$A$1:$AL$1,0))&amp;""),"")="","",IF(AND(IFERROR(TRIM(INDEX($A111:$AL111,MATCH(Lists!$F$3,$A$1:$AL$1,0))&amp;""),"")="Other",IFERROR(TRIM(INDEX($A111:$AL111,MATCH(Lists!$F$4,$A$1:$AL$1,0))&amp;""),"")&lt;&gt;""),IFERROR(TRIM(INDEX($A111:$AL111,MATCH(Lists!$F$4,$A$1:$AL$1,0))&amp;""),""),IF(IFERROR(TRIM(INDEX($A111:$AL111,MATCH(Lists!$F$3,$A$1:$AL$1,0))&amp;""),"")="","(no space)",IFERROR(TRIM(INDEX($A111:$AL111,MATCH(Lists!$F$3,$A$1:$AL$1,0))&amp;""),""))))</f>
        <v/>
      </c>
      <c r="AT111" s="22">
        <f>IF(IFERROR(TRIM(INDEX($A111:$AL111,MATCH(Lists!$F$2,$A$1:$AL$1,0))&amp;""),"")="",0,N(IFERROR(IF(TRIM(INDEX($A111:$AL111,MATCH(Lists!$F$5,$A$1:$AL$1,0))&amp;"")="","",IF(ISNUMBER(INDEX($A111:$AL111,MATCH(Lists!$F$5,$A$1:$AL$1,0))),INT(INDEX($A111:$AL111,MATCH(Lists!$F$5,$A$1:$AL$1,0))),DATE(VALUE(LEFT(INDEX($A111:$AL111,MATCH(Lists!$F$5,$A$1:$AL$1,0)),4)),VALUE(MID(INDEX($A111:$AL111,MATCH(Lists!$F$5,$A$1:$AL$1,0)),6,2)),VALUE(MID(INDEX($A111:$AL111,MATCH(Lists!$F$5,$A$1:$AL$1,0)),9,2))))),"")))</f>
        <v/>
      </c>
      <c r="AU111" s="21">
        <f>IF(IFERROR(TRIM(INDEX($A111:$AL111,MATCH(Lists!$F$2,$A$1:$AL$1,0))&amp;""),"")="",-1,IF(ISNUMBER(IFERROR(IF(TRIM(INDEX($A111:$AL111,MATCH(Lists!$F$6,$A$1:$AL$1,0))&amp;"")="","",IF(ISNUMBER(INDEX($A111:$AL111,MATCH(Lists!$F$6,$A$1:$AL$1,0))),ROUND(MOD(INDEX($A111:$AL111,MATCH(Lists!$F$6,$A$1:$AL$1,0)),1)*1440,0),VALUE(LEFT(INDEX($A111:$AL111,MATCH(Lists!$F$6,$A$1:$AL$1,0)),2))*60+VALUE(MID(INDEX($A111:$AL111,MATCH(Lists!$F$6,$A$1:$AL$1,0)),4,2)))),"")),IFERROR(IF(TRIM(INDEX($A111:$AL111,MATCH(Lists!$F$6,$A$1:$AL$1,0))&amp;"")="","",IF(ISNUMBER(INDEX($A111:$AL111,MATCH(Lists!$F$6,$A$1:$AL$1,0))),ROUND(MOD(INDEX($A111:$AL111,MATCH(Lists!$F$6,$A$1:$AL$1,0)),1)*1440,0),VALUE(LEFT(INDEX($A111:$AL111,MATCH(Lists!$F$6,$A$1:$AL$1,0)),2))*60+VALUE(MID(INDEX($A111:$AL111,MATCH(Lists!$F$6,$A$1:$AL$1,0)),4,2)))),""),-1))</f>
        <v/>
      </c>
      <c r="AV111" s="21">
        <f>IF(IFERROR(TRIM(INDEX($A111:$AL111,MATCH(Lists!$F$2,$A$1:$AL$1,0))&amp;""),"")="",-1,IF(ISNUMBER(IFERROR(IF(TRIM(INDEX($A111:$AL111,MATCH(Lists!$F$7,$A$1:$AL$1,0))&amp;"")="","",IF(ISNUMBER(INDEX($A111:$AL111,MATCH(Lists!$F$7,$A$1:$AL$1,0))),ROUND(MOD(INDEX($A111:$AL111,MATCH(Lists!$F$7,$A$1:$AL$1,0)),1)*1440,0),VALUE(LEFT(INDEX($A111:$AL111,MATCH(Lists!$F$7,$A$1:$AL$1,0)),2))*60+VALUE(MID(INDEX($A111:$AL111,MATCH(Lists!$F$7,$A$1:$AL$1,0)),4,2)))),"")),IFERROR(IF(TRIM(INDEX($A111:$AL111,MATCH(Lists!$F$7,$A$1:$AL$1,0))&amp;"")="","",IF(ISNUMBER(INDEX($A111:$AL111,MATCH(Lists!$F$7,$A$1:$AL$1,0))),ROUND(MOD(INDEX($A111:$AL111,MATCH(Lists!$F$7,$A$1:$AL$1,0)),1)*1440,0),VALUE(LEFT(INDEX($A111:$AL111,MATCH(Lists!$F$7,$A$1:$AL$1,0)),2))*60+VALUE(MID(INDEX($A111:$AL111,MATCH(Lists!$F$7,$A$1:$AL$1,0)),4,2)))),""),-1))</f>
        <v/>
      </c>
      <c r="AW111" s="21">
        <f>IF(IFERROR(TRIM(INDEX($A111:$AL111,MATCH(Lists!$F$2,$A$1:$AL$1,0))&amp;""),"")="","",IF(IFERROR(TRIM(INDEX($A111:$AL111,MATCH(Lists!$F$8,$A$1:$AL$1,0))&amp;""),"")&lt;&gt;"",IFERROR(TRIM(INDEX($A111:$AL111,MATCH(Lists!$F$8,$A$1:$AL$1,0))&amp;""),""),IFERROR(TRIM(INDEX($A111:$AL111,MATCH(Lists!$F$9,$A$1:$AL$1,0))&amp;""),"")))</f>
        <v/>
      </c>
      <c r="AX111" s="21">
        <f>IFERROR(IF(TRIM(INDEX($A111:$AL111,MATCH(Lists!$F$10,$A$1:$AL$1,0))&amp;"")="","",VALUE(TRIM(INDEX($A111:$AL111,MATCH(Lists!$F$10,$A$1:$AL$1,0))&amp;""))),"")</f>
        <v/>
      </c>
      <c r="AY111" s="21">
        <f>IF(IFERROR(TRIM(INDEX($A111:$AL111,MATCH(Lists!$F$2,$A$1:$AL$1,0))&amp;""),"")="","",IF(AN111="","New",AN111))</f>
        <v/>
      </c>
      <c r="AZ111" s="21">
        <f>IF(IFERROR(TRIM(INDEX($A111:$AL111,MATCH(Lists!$F$2,$A$1:$AL$1,0))&amp;""),"")="","",IF(OR(IFERROR(TRIM(INDEX($A111:$AL111,MATCH(Lists!$F$13,$A$1:$AL$1,0))&amp;""),"")="Paid",IFERROR(TRIM(INDEX($A111:$AL111,MATCH(Lists!$F$13,$A$1:$AL$1,0))&amp;""),"")="Partially refunded"),"Paid",IF(AP111="Yes","Paid (by hand)",IFERROR(TRIM(INDEX($A111:$AL111,MATCH(Lists!$F$13,$A$1:$AL$1,0))&amp;""),""))))</f>
        <v/>
      </c>
      <c r="BA111" s="21">
        <f>IF(AND(IFERROR(TRIM(INDEX($A111:$AL111,MATCH(Lists!$F$2,$A$1:$AL$1,0))&amp;""),"")&lt;&gt;"",AT111&gt;0,AU111&gt;=0,AV111&gt;AU111,AY111&lt;&gt;"Declined"),1,0)</f>
        <v/>
      </c>
      <c r="BB111" s="21">
        <f>IF(BA111=1,COUNTIFS($AS$2:$AS$501,AS111,$AT$2:$AT$501,AT111,$AU$2:$AU$501,"&lt;"&amp;AV111,$AV$2:$AV$501,"&gt;"&amp;AU111,$BA$2:$BA$501,1)-1,"")</f>
        <v/>
      </c>
      <c r="BC111" s="21">
        <f>IF(N(BB111)&gt;0,"Clashes with "&amp;INDEX($AW$2:$AW$501,SUMPRODUCT(MAX(($AS$2:$AS$501=AS111)*($AT$2:$AT$501=AT111)*($AU$2:$AU$501&lt;AV111)*($AV$2:$AV$501&gt;AU111)*($BA$2:$BA$501=1)*(ROW($AS$2:$AS$501)&lt;&gt;ROW())*ROW($AS$2:$AS$501)))-1)&amp;" ("&amp;INDEX($AY$2:$AY$501,SUMPRODUCT(MAX(($AS$2:$AS$501=AS111)*($AT$2:$AT$501=AT111)*($AU$2:$AU$501&lt;AV111)*($AV$2:$AV$501&gt;AU111)*($BA$2:$BA$501=1)*(ROW($AS$2:$AS$501)&lt;&gt;ROW())*ROW($AS$2:$AS$501)))-1)&amp;")"&amp;IF(BB111&gt;1," and "&amp;(BB111-1)&amp;" more",""),"")</f>
        <v/>
      </c>
      <c r="BD111" s="21">
        <f>IF(AND(BA111=1,AY111="Confirmed"),AT111*10000000+AU111*1000+ROW(),"")</f>
        <v/>
      </c>
      <c r="BE111" s="21">
        <f>IF(IFERROR(TRIM(INDEX($A111:$AL111,MATCH(Lists!$F$2,$A$1:$AL$1,0))&amp;""),"")="","",IFERROR(TRIM(INDEX($A111:$AL111,MATCH(Lists!$F$11,$A$1:$AL$1,0))&amp;""),""))</f>
        <v/>
      </c>
      <c r="BF111" s="21">
        <f>IF(IFERROR(TRIM(INDEX($A111:$AL111,MATCH(Lists!$F$2,$A$1:$AL$1,0))&amp;""),"")="","",IFERROR(TRIM(INDEX($A111:$AL111,MATCH(Lists!$F$12,$A$1:$AL$1,0))&amp;""),""))</f>
        <v/>
      </c>
    </row>
    <row r="112">
      <c r="AM112" s="19" t="n"/>
      <c r="AN112" s="23" t="n"/>
      <c r="AO112" s="23" t="n"/>
      <c r="AP112" s="23" t="n"/>
      <c r="AQ112" s="23" t="n"/>
      <c r="AR112" s="19" t="n"/>
      <c r="AS112" s="21">
        <f>IF(IFERROR(TRIM(INDEX($A112:$AL112,MATCH(Lists!$F$2,$A$1:$AL$1,0))&amp;""),"")="","",IF(AND(IFERROR(TRIM(INDEX($A112:$AL112,MATCH(Lists!$F$3,$A$1:$AL$1,0))&amp;""),"")="Other",IFERROR(TRIM(INDEX($A112:$AL112,MATCH(Lists!$F$4,$A$1:$AL$1,0))&amp;""),"")&lt;&gt;""),IFERROR(TRIM(INDEX($A112:$AL112,MATCH(Lists!$F$4,$A$1:$AL$1,0))&amp;""),""),IF(IFERROR(TRIM(INDEX($A112:$AL112,MATCH(Lists!$F$3,$A$1:$AL$1,0))&amp;""),"")="","(no space)",IFERROR(TRIM(INDEX($A112:$AL112,MATCH(Lists!$F$3,$A$1:$AL$1,0))&amp;""),""))))</f>
        <v/>
      </c>
      <c r="AT112" s="22">
        <f>IF(IFERROR(TRIM(INDEX($A112:$AL112,MATCH(Lists!$F$2,$A$1:$AL$1,0))&amp;""),"")="",0,N(IFERROR(IF(TRIM(INDEX($A112:$AL112,MATCH(Lists!$F$5,$A$1:$AL$1,0))&amp;"")="","",IF(ISNUMBER(INDEX($A112:$AL112,MATCH(Lists!$F$5,$A$1:$AL$1,0))),INT(INDEX($A112:$AL112,MATCH(Lists!$F$5,$A$1:$AL$1,0))),DATE(VALUE(LEFT(INDEX($A112:$AL112,MATCH(Lists!$F$5,$A$1:$AL$1,0)),4)),VALUE(MID(INDEX($A112:$AL112,MATCH(Lists!$F$5,$A$1:$AL$1,0)),6,2)),VALUE(MID(INDEX($A112:$AL112,MATCH(Lists!$F$5,$A$1:$AL$1,0)),9,2))))),"")))</f>
        <v/>
      </c>
      <c r="AU112" s="21">
        <f>IF(IFERROR(TRIM(INDEX($A112:$AL112,MATCH(Lists!$F$2,$A$1:$AL$1,0))&amp;""),"")="",-1,IF(ISNUMBER(IFERROR(IF(TRIM(INDEX($A112:$AL112,MATCH(Lists!$F$6,$A$1:$AL$1,0))&amp;"")="","",IF(ISNUMBER(INDEX($A112:$AL112,MATCH(Lists!$F$6,$A$1:$AL$1,0))),ROUND(MOD(INDEX($A112:$AL112,MATCH(Lists!$F$6,$A$1:$AL$1,0)),1)*1440,0),VALUE(LEFT(INDEX($A112:$AL112,MATCH(Lists!$F$6,$A$1:$AL$1,0)),2))*60+VALUE(MID(INDEX($A112:$AL112,MATCH(Lists!$F$6,$A$1:$AL$1,0)),4,2)))),"")),IFERROR(IF(TRIM(INDEX($A112:$AL112,MATCH(Lists!$F$6,$A$1:$AL$1,0))&amp;"")="","",IF(ISNUMBER(INDEX($A112:$AL112,MATCH(Lists!$F$6,$A$1:$AL$1,0))),ROUND(MOD(INDEX($A112:$AL112,MATCH(Lists!$F$6,$A$1:$AL$1,0)),1)*1440,0),VALUE(LEFT(INDEX($A112:$AL112,MATCH(Lists!$F$6,$A$1:$AL$1,0)),2))*60+VALUE(MID(INDEX($A112:$AL112,MATCH(Lists!$F$6,$A$1:$AL$1,0)),4,2)))),""),-1))</f>
        <v/>
      </c>
      <c r="AV112" s="21">
        <f>IF(IFERROR(TRIM(INDEX($A112:$AL112,MATCH(Lists!$F$2,$A$1:$AL$1,0))&amp;""),"")="",-1,IF(ISNUMBER(IFERROR(IF(TRIM(INDEX($A112:$AL112,MATCH(Lists!$F$7,$A$1:$AL$1,0))&amp;"")="","",IF(ISNUMBER(INDEX($A112:$AL112,MATCH(Lists!$F$7,$A$1:$AL$1,0))),ROUND(MOD(INDEX($A112:$AL112,MATCH(Lists!$F$7,$A$1:$AL$1,0)),1)*1440,0),VALUE(LEFT(INDEX($A112:$AL112,MATCH(Lists!$F$7,$A$1:$AL$1,0)),2))*60+VALUE(MID(INDEX($A112:$AL112,MATCH(Lists!$F$7,$A$1:$AL$1,0)),4,2)))),"")),IFERROR(IF(TRIM(INDEX($A112:$AL112,MATCH(Lists!$F$7,$A$1:$AL$1,0))&amp;"")="","",IF(ISNUMBER(INDEX($A112:$AL112,MATCH(Lists!$F$7,$A$1:$AL$1,0))),ROUND(MOD(INDEX($A112:$AL112,MATCH(Lists!$F$7,$A$1:$AL$1,0)),1)*1440,0),VALUE(LEFT(INDEX($A112:$AL112,MATCH(Lists!$F$7,$A$1:$AL$1,0)),2))*60+VALUE(MID(INDEX($A112:$AL112,MATCH(Lists!$F$7,$A$1:$AL$1,0)),4,2)))),""),-1))</f>
        <v/>
      </c>
      <c r="AW112" s="21">
        <f>IF(IFERROR(TRIM(INDEX($A112:$AL112,MATCH(Lists!$F$2,$A$1:$AL$1,0))&amp;""),"")="","",IF(IFERROR(TRIM(INDEX($A112:$AL112,MATCH(Lists!$F$8,$A$1:$AL$1,0))&amp;""),"")&lt;&gt;"",IFERROR(TRIM(INDEX($A112:$AL112,MATCH(Lists!$F$8,$A$1:$AL$1,0))&amp;""),""),IFERROR(TRIM(INDEX($A112:$AL112,MATCH(Lists!$F$9,$A$1:$AL$1,0))&amp;""),"")))</f>
        <v/>
      </c>
      <c r="AX112" s="21">
        <f>IFERROR(IF(TRIM(INDEX($A112:$AL112,MATCH(Lists!$F$10,$A$1:$AL$1,0))&amp;"")="","",VALUE(TRIM(INDEX($A112:$AL112,MATCH(Lists!$F$10,$A$1:$AL$1,0))&amp;""))),"")</f>
        <v/>
      </c>
      <c r="AY112" s="21">
        <f>IF(IFERROR(TRIM(INDEX($A112:$AL112,MATCH(Lists!$F$2,$A$1:$AL$1,0))&amp;""),"")="","",IF(AN112="","New",AN112))</f>
        <v/>
      </c>
      <c r="AZ112" s="21">
        <f>IF(IFERROR(TRIM(INDEX($A112:$AL112,MATCH(Lists!$F$2,$A$1:$AL$1,0))&amp;""),"")="","",IF(OR(IFERROR(TRIM(INDEX($A112:$AL112,MATCH(Lists!$F$13,$A$1:$AL$1,0))&amp;""),"")="Paid",IFERROR(TRIM(INDEX($A112:$AL112,MATCH(Lists!$F$13,$A$1:$AL$1,0))&amp;""),"")="Partially refunded"),"Paid",IF(AP112="Yes","Paid (by hand)",IFERROR(TRIM(INDEX($A112:$AL112,MATCH(Lists!$F$13,$A$1:$AL$1,0))&amp;""),""))))</f>
        <v/>
      </c>
      <c r="BA112" s="21">
        <f>IF(AND(IFERROR(TRIM(INDEX($A112:$AL112,MATCH(Lists!$F$2,$A$1:$AL$1,0))&amp;""),"")&lt;&gt;"",AT112&gt;0,AU112&gt;=0,AV112&gt;AU112,AY112&lt;&gt;"Declined"),1,0)</f>
        <v/>
      </c>
      <c r="BB112" s="21">
        <f>IF(BA112=1,COUNTIFS($AS$2:$AS$501,AS112,$AT$2:$AT$501,AT112,$AU$2:$AU$501,"&lt;"&amp;AV112,$AV$2:$AV$501,"&gt;"&amp;AU112,$BA$2:$BA$501,1)-1,"")</f>
        <v/>
      </c>
      <c r="BC112" s="21">
        <f>IF(N(BB112)&gt;0,"Clashes with "&amp;INDEX($AW$2:$AW$501,SUMPRODUCT(MAX(($AS$2:$AS$501=AS112)*($AT$2:$AT$501=AT112)*($AU$2:$AU$501&lt;AV112)*($AV$2:$AV$501&gt;AU112)*($BA$2:$BA$501=1)*(ROW($AS$2:$AS$501)&lt;&gt;ROW())*ROW($AS$2:$AS$501)))-1)&amp;" ("&amp;INDEX($AY$2:$AY$501,SUMPRODUCT(MAX(($AS$2:$AS$501=AS112)*($AT$2:$AT$501=AT112)*($AU$2:$AU$501&lt;AV112)*($AV$2:$AV$501&gt;AU112)*($BA$2:$BA$501=1)*(ROW($AS$2:$AS$501)&lt;&gt;ROW())*ROW($AS$2:$AS$501)))-1)&amp;")"&amp;IF(BB112&gt;1," and "&amp;(BB112-1)&amp;" more",""),"")</f>
        <v/>
      </c>
      <c r="BD112" s="21">
        <f>IF(AND(BA112=1,AY112="Confirmed"),AT112*10000000+AU112*1000+ROW(),"")</f>
        <v/>
      </c>
      <c r="BE112" s="21">
        <f>IF(IFERROR(TRIM(INDEX($A112:$AL112,MATCH(Lists!$F$2,$A$1:$AL$1,0))&amp;""),"")="","",IFERROR(TRIM(INDEX($A112:$AL112,MATCH(Lists!$F$11,$A$1:$AL$1,0))&amp;""),""))</f>
        <v/>
      </c>
      <c r="BF112" s="21">
        <f>IF(IFERROR(TRIM(INDEX($A112:$AL112,MATCH(Lists!$F$2,$A$1:$AL$1,0))&amp;""),"")="","",IFERROR(TRIM(INDEX($A112:$AL112,MATCH(Lists!$F$12,$A$1:$AL$1,0))&amp;""),""))</f>
        <v/>
      </c>
    </row>
    <row r="113">
      <c r="AM113" s="19" t="n"/>
      <c r="AN113" s="23" t="n"/>
      <c r="AO113" s="23" t="n"/>
      <c r="AP113" s="23" t="n"/>
      <c r="AQ113" s="23" t="n"/>
      <c r="AR113" s="19" t="n"/>
      <c r="AS113" s="21">
        <f>IF(IFERROR(TRIM(INDEX($A113:$AL113,MATCH(Lists!$F$2,$A$1:$AL$1,0))&amp;""),"")="","",IF(AND(IFERROR(TRIM(INDEX($A113:$AL113,MATCH(Lists!$F$3,$A$1:$AL$1,0))&amp;""),"")="Other",IFERROR(TRIM(INDEX($A113:$AL113,MATCH(Lists!$F$4,$A$1:$AL$1,0))&amp;""),"")&lt;&gt;""),IFERROR(TRIM(INDEX($A113:$AL113,MATCH(Lists!$F$4,$A$1:$AL$1,0))&amp;""),""),IF(IFERROR(TRIM(INDEX($A113:$AL113,MATCH(Lists!$F$3,$A$1:$AL$1,0))&amp;""),"")="","(no space)",IFERROR(TRIM(INDEX($A113:$AL113,MATCH(Lists!$F$3,$A$1:$AL$1,0))&amp;""),""))))</f>
        <v/>
      </c>
      <c r="AT113" s="22">
        <f>IF(IFERROR(TRIM(INDEX($A113:$AL113,MATCH(Lists!$F$2,$A$1:$AL$1,0))&amp;""),"")="",0,N(IFERROR(IF(TRIM(INDEX($A113:$AL113,MATCH(Lists!$F$5,$A$1:$AL$1,0))&amp;"")="","",IF(ISNUMBER(INDEX($A113:$AL113,MATCH(Lists!$F$5,$A$1:$AL$1,0))),INT(INDEX($A113:$AL113,MATCH(Lists!$F$5,$A$1:$AL$1,0))),DATE(VALUE(LEFT(INDEX($A113:$AL113,MATCH(Lists!$F$5,$A$1:$AL$1,0)),4)),VALUE(MID(INDEX($A113:$AL113,MATCH(Lists!$F$5,$A$1:$AL$1,0)),6,2)),VALUE(MID(INDEX($A113:$AL113,MATCH(Lists!$F$5,$A$1:$AL$1,0)),9,2))))),"")))</f>
        <v/>
      </c>
      <c r="AU113" s="21">
        <f>IF(IFERROR(TRIM(INDEX($A113:$AL113,MATCH(Lists!$F$2,$A$1:$AL$1,0))&amp;""),"")="",-1,IF(ISNUMBER(IFERROR(IF(TRIM(INDEX($A113:$AL113,MATCH(Lists!$F$6,$A$1:$AL$1,0))&amp;"")="","",IF(ISNUMBER(INDEX($A113:$AL113,MATCH(Lists!$F$6,$A$1:$AL$1,0))),ROUND(MOD(INDEX($A113:$AL113,MATCH(Lists!$F$6,$A$1:$AL$1,0)),1)*1440,0),VALUE(LEFT(INDEX($A113:$AL113,MATCH(Lists!$F$6,$A$1:$AL$1,0)),2))*60+VALUE(MID(INDEX($A113:$AL113,MATCH(Lists!$F$6,$A$1:$AL$1,0)),4,2)))),"")),IFERROR(IF(TRIM(INDEX($A113:$AL113,MATCH(Lists!$F$6,$A$1:$AL$1,0))&amp;"")="","",IF(ISNUMBER(INDEX($A113:$AL113,MATCH(Lists!$F$6,$A$1:$AL$1,0))),ROUND(MOD(INDEX($A113:$AL113,MATCH(Lists!$F$6,$A$1:$AL$1,0)),1)*1440,0),VALUE(LEFT(INDEX($A113:$AL113,MATCH(Lists!$F$6,$A$1:$AL$1,0)),2))*60+VALUE(MID(INDEX($A113:$AL113,MATCH(Lists!$F$6,$A$1:$AL$1,0)),4,2)))),""),-1))</f>
        <v/>
      </c>
      <c r="AV113" s="21">
        <f>IF(IFERROR(TRIM(INDEX($A113:$AL113,MATCH(Lists!$F$2,$A$1:$AL$1,0))&amp;""),"")="",-1,IF(ISNUMBER(IFERROR(IF(TRIM(INDEX($A113:$AL113,MATCH(Lists!$F$7,$A$1:$AL$1,0))&amp;"")="","",IF(ISNUMBER(INDEX($A113:$AL113,MATCH(Lists!$F$7,$A$1:$AL$1,0))),ROUND(MOD(INDEX($A113:$AL113,MATCH(Lists!$F$7,$A$1:$AL$1,0)),1)*1440,0),VALUE(LEFT(INDEX($A113:$AL113,MATCH(Lists!$F$7,$A$1:$AL$1,0)),2))*60+VALUE(MID(INDEX($A113:$AL113,MATCH(Lists!$F$7,$A$1:$AL$1,0)),4,2)))),"")),IFERROR(IF(TRIM(INDEX($A113:$AL113,MATCH(Lists!$F$7,$A$1:$AL$1,0))&amp;"")="","",IF(ISNUMBER(INDEX($A113:$AL113,MATCH(Lists!$F$7,$A$1:$AL$1,0))),ROUND(MOD(INDEX($A113:$AL113,MATCH(Lists!$F$7,$A$1:$AL$1,0)),1)*1440,0),VALUE(LEFT(INDEX($A113:$AL113,MATCH(Lists!$F$7,$A$1:$AL$1,0)),2))*60+VALUE(MID(INDEX($A113:$AL113,MATCH(Lists!$F$7,$A$1:$AL$1,0)),4,2)))),""),-1))</f>
        <v/>
      </c>
      <c r="AW113" s="21">
        <f>IF(IFERROR(TRIM(INDEX($A113:$AL113,MATCH(Lists!$F$2,$A$1:$AL$1,0))&amp;""),"")="","",IF(IFERROR(TRIM(INDEX($A113:$AL113,MATCH(Lists!$F$8,$A$1:$AL$1,0))&amp;""),"")&lt;&gt;"",IFERROR(TRIM(INDEX($A113:$AL113,MATCH(Lists!$F$8,$A$1:$AL$1,0))&amp;""),""),IFERROR(TRIM(INDEX($A113:$AL113,MATCH(Lists!$F$9,$A$1:$AL$1,0))&amp;""),"")))</f>
        <v/>
      </c>
      <c r="AX113" s="21">
        <f>IFERROR(IF(TRIM(INDEX($A113:$AL113,MATCH(Lists!$F$10,$A$1:$AL$1,0))&amp;"")="","",VALUE(TRIM(INDEX($A113:$AL113,MATCH(Lists!$F$10,$A$1:$AL$1,0))&amp;""))),"")</f>
        <v/>
      </c>
      <c r="AY113" s="21">
        <f>IF(IFERROR(TRIM(INDEX($A113:$AL113,MATCH(Lists!$F$2,$A$1:$AL$1,0))&amp;""),"")="","",IF(AN113="","New",AN113))</f>
        <v/>
      </c>
      <c r="AZ113" s="21">
        <f>IF(IFERROR(TRIM(INDEX($A113:$AL113,MATCH(Lists!$F$2,$A$1:$AL$1,0))&amp;""),"")="","",IF(OR(IFERROR(TRIM(INDEX($A113:$AL113,MATCH(Lists!$F$13,$A$1:$AL$1,0))&amp;""),"")="Paid",IFERROR(TRIM(INDEX($A113:$AL113,MATCH(Lists!$F$13,$A$1:$AL$1,0))&amp;""),"")="Partially refunded"),"Paid",IF(AP113="Yes","Paid (by hand)",IFERROR(TRIM(INDEX($A113:$AL113,MATCH(Lists!$F$13,$A$1:$AL$1,0))&amp;""),""))))</f>
        <v/>
      </c>
      <c r="BA113" s="21">
        <f>IF(AND(IFERROR(TRIM(INDEX($A113:$AL113,MATCH(Lists!$F$2,$A$1:$AL$1,0))&amp;""),"")&lt;&gt;"",AT113&gt;0,AU113&gt;=0,AV113&gt;AU113,AY113&lt;&gt;"Declined"),1,0)</f>
        <v/>
      </c>
      <c r="BB113" s="21">
        <f>IF(BA113=1,COUNTIFS($AS$2:$AS$501,AS113,$AT$2:$AT$501,AT113,$AU$2:$AU$501,"&lt;"&amp;AV113,$AV$2:$AV$501,"&gt;"&amp;AU113,$BA$2:$BA$501,1)-1,"")</f>
        <v/>
      </c>
      <c r="BC113" s="21">
        <f>IF(N(BB113)&gt;0,"Clashes with "&amp;INDEX($AW$2:$AW$501,SUMPRODUCT(MAX(($AS$2:$AS$501=AS113)*($AT$2:$AT$501=AT113)*($AU$2:$AU$501&lt;AV113)*($AV$2:$AV$501&gt;AU113)*($BA$2:$BA$501=1)*(ROW($AS$2:$AS$501)&lt;&gt;ROW())*ROW($AS$2:$AS$501)))-1)&amp;" ("&amp;INDEX($AY$2:$AY$501,SUMPRODUCT(MAX(($AS$2:$AS$501=AS113)*($AT$2:$AT$501=AT113)*($AU$2:$AU$501&lt;AV113)*($AV$2:$AV$501&gt;AU113)*($BA$2:$BA$501=1)*(ROW($AS$2:$AS$501)&lt;&gt;ROW())*ROW($AS$2:$AS$501)))-1)&amp;")"&amp;IF(BB113&gt;1," and "&amp;(BB113-1)&amp;" more",""),"")</f>
        <v/>
      </c>
      <c r="BD113" s="21">
        <f>IF(AND(BA113=1,AY113="Confirmed"),AT113*10000000+AU113*1000+ROW(),"")</f>
        <v/>
      </c>
      <c r="BE113" s="21">
        <f>IF(IFERROR(TRIM(INDEX($A113:$AL113,MATCH(Lists!$F$2,$A$1:$AL$1,0))&amp;""),"")="","",IFERROR(TRIM(INDEX($A113:$AL113,MATCH(Lists!$F$11,$A$1:$AL$1,0))&amp;""),""))</f>
        <v/>
      </c>
      <c r="BF113" s="21">
        <f>IF(IFERROR(TRIM(INDEX($A113:$AL113,MATCH(Lists!$F$2,$A$1:$AL$1,0))&amp;""),"")="","",IFERROR(TRIM(INDEX($A113:$AL113,MATCH(Lists!$F$12,$A$1:$AL$1,0))&amp;""),""))</f>
        <v/>
      </c>
    </row>
    <row r="114">
      <c r="AM114" s="19" t="n"/>
      <c r="AN114" s="23" t="n"/>
      <c r="AO114" s="23" t="n"/>
      <c r="AP114" s="23" t="n"/>
      <c r="AQ114" s="23" t="n"/>
      <c r="AR114" s="19" t="n"/>
      <c r="AS114" s="21">
        <f>IF(IFERROR(TRIM(INDEX($A114:$AL114,MATCH(Lists!$F$2,$A$1:$AL$1,0))&amp;""),"")="","",IF(AND(IFERROR(TRIM(INDEX($A114:$AL114,MATCH(Lists!$F$3,$A$1:$AL$1,0))&amp;""),"")="Other",IFERROR(TRIM(INDEX($A114:$AL114,MATCH(Lists!$F$4,$A$1:$AL$1,0))&amp;""),"")&lt;&gt;""),IFERROR(TRIM(INDEX($A114:$AL114,MATCH(Lists!$F$4,$A$1:$AL$1,0))&amp;""),""),IF(IFERROR(TRIM(INDEX($A114:$AL114,MATCH(Lists!$F$3,$A$1:$AL$1,0))&amp;""),"")="","(no space)",IFERROR(TRIM(INDEX($A114:$AL114,MATCH(Lists!$F$3,$A$1:$AL$1,0))&amp;""),""))))</f>
        <v/>
      </c>
      <c r="AT114" s="22">
        <f>IF(IFERROR(TRIM(INDEX($A114:$AL114,MATCH(Lists!$F$2,$A$1:$AL$1,0))&amp;""),"")="",0,N(IFERROR(IF(TRIM(INDEX($A114:$AL114,MATCH(Lists!$F$5,$A$1:$AL$1,0))&amp;"")="","",IF(ISNUMBER(INDEX($A114:$AL114,MATCH(Lists!$F$5,$A$1:$AL$1,0))),INT(INDEX($A114:$AL114,MATCH(Lists!$F$5,$A$1:$AL$1,0))),DATE(VALUE(LEFT(INDEX($A114:$AL114,MATCH(Lists!$F$5,$A$1:$AL$1,0)),4)),VALUE(MID(INDEX($A114:$AL114,MATCH(Lists!$F$5,$A$1:$AL$1,0)),6,2)),VALUE(MID(INDEX($A114:$AL114,MATCH(Lists!$F$5,$A$1:$AL$1,0)),9,2))))),"")))</f>
        <v/>
      </c>
      <c r="AU114" s="21">
        <f>IF(IFERROR(TRIM(INDEX($A114:$AL114,MATCH(Lists!$F$2,$A$1:$AL$1,0))&amp;""),"")="",-1,IF(ISNUMBER(IFERROR(IF(TRIM(INDEX($A114:$AL114,MATCH(Lists!$F$6,$A$1:$AL$1,0))&amp;"")="","",IF(ISNUMBER(INDEX($A114:$AL114,MATCH(Lists!$F$6,$A$1:$AL$1,0))),ROUND(MOD(INDEX($A114:$AL114,MATCH(Lists!$F$6,$A$1:$AL$1,0)),1)*1440,0),VALUE(LEFT(INDEX($A114:$AL114,MATCH(Lists!$F$6,$A$1:$AL$1,0)),2))*60+VALUE(MID(INDEX($A114:$AL114,MATCH(Lists!$F$6,$A$1:$AL$1,0)),4,2)))),"")),IFERROR(IF(TRIM(INDEX($A114:$AL114,MATCH(Lists!$F$6,$A$1:$AL$1,0))&amp;"")="","",IF(ISNUMBER(INDEX($A114:$AL114,MATCH(Lists!$F$6,$A$1:$AL$1,0))),ROUND(MOD(INDEX($A114:$AL114,MATCH(Lists!$F$6,$A$1:$AL$1,0)),1)*1440,0),VALUE(LEFT(INDEX($A114:$AL114,MATCH(Lists!$F$6,$A$1:$AL$1,0)),2))*60+VALUE(MID(INDEX($A114:$AL114,MATCH(Lists!$F$6,$A$1:$AL$1,0)),4,2)))),""),-1))</f>
        <v/>
      </c>
      <c r="AV114" s="21">
        <f>IF(IFERROR(TRIM(INDEX($A114:$AL114,MATCH(Lists!$F$2,$A$1:$AL$1,0))&amp;""),"")="",-1,IF(ISNUMBER(IFERROR(IF(TRIM(INDEX($A114:$AL114,MATCH(Lists!$F$7,$A$1:$AL$1,0))&amp;"")="","",IF(ISNUMBER(INDEX($A114:$AL114,MATCH(Lists!$F$7,$A$1:$AL$1,0))),ROUND(MOD(INDEX($A114:$AL114,MATCH(Lists!$F$7,$A$1:$AL$1,0)),1)*1440,0),VALUE(LEFT(INDEX($A114:$AL114,MATCH(Lists!$F$7,$A$1:$AL$1,0)),2))*60+VALUE(MID(INDEX($A114:$AL114,MATCH(Lists!$F$7,$A$1:$AL$1,0)),4,2)))),"")),IFERROR(IF(TRIM(INDEX($A114:$AL114,MATCH(Lists!$F$7,$A$1:$AL$1,0))&amp;"")="","",IF(ISNUMBER(INDEX($A114:$AL114,MATCH(Lists!$F$7,$A$1:$AL$1,0))),ROUND(MOD(INDEX($A114:$AL114,MATCH(Lists!$F$7,$A$1:$AL$1,0)),1)*1440,0),VALUE(LEFT(INDEX($A114:$AL114,MATCH(Lists!$F$7,$A$1:$AL$1,0)),2))*60+VALUE(MID(INDEX($A114:$AL114,MATCH(Lists!$F$7,$A$1:$AL$1,0)),4,2)))),""),-1))</f>
        <v/>
      </c>
      <c r="AW114" s="21">
        <f>IF(IFERROR(TRIM(INDEX($A114:$AL114,MATCH(Lists!$F$2,$A$1:$AL$1,0))&amp;""),"")="","",IF(IFERROR(TRIM(INDEX($A114:$AL114,MATCH(Lists!$F$8,$A$1:$AL$1,0))&amp;""),"")&lt;&gt;"",IFERROR(TRIM(INDEX($A114:$AL114,MATCH(Lists!$F$8,$A$1:$AL$1,0))&amp;""),""),IFERROR(TRIM(INDEX($A114:$AL114,MATCH(Lists!$F$9,$A$1:$AL$1,0))&amp;""),"")))</f>
        <v/>
      </c>
      <c r="AX114" s="21">
        <f>IFERROR(IF(TRIM(INDEX($A114:$AL114,MATCH(Lists!$F$10,$A$1:$AL$1,0))&amp;"")="","",VALUE(TRIM(INDEX($A114:$AL114,MATCH(Lists!$F$10,$A$1:$AL$1,0))&amp;""))),"")</f>
        <v/>
      </c>
      <c r="AY114" s="21">
        <f>IF(IFERROR(TRIM(INDEX($A114:$AL114,MATCH(Lists!$F$2,$A$1:$AL$1,0))&amp;""),"")="","",IF(AN114="","New",AN114))</f>
        <v/>
      </c>
      <c r="AZ114" s="21">
        <f>IF(IFERROR(TRIM(INDEX($A114:$AL114,MATCH(Lists!$F$2,$A$1:$AL$1,0))&amp;""),"")="","",IF(OR(IFERROR(TRIM(INDEX($A114:$AL114,MATCH(Lists!$F$13,$A$1:$AL$1,0))&amp;""),"")="Paid",IFERROR(TRIM(INDEX($A114:$AL114,MATCH(Lists!$F$13,$A$1:$AL$1,0))&amp;""),"")="Partially refunded"),"Paid",IF(AP114="Yes","Paid (by hand)",IFERROR(TRIM(INDEX($A114:$AL114,MATCH(Lists!$F$13,$A$1:$AL$1,0))&amp;""),""))))</f>
        <v/>
      </c>
      <c r="BA114" s="21">
        <f>IF(AND(IFERROR(TRIM(INDEX($A114:$AL114,MATCH(Lists!$F$2,$A$1:$AL$1,0))&amp;""),"")&lt;&gt;"",AT114&gt;0,AU114&gt;=0,AV114&gt;AU114,AY114&lt;&gt;"Declined"),1,0)</f>
        <v/>
      </c>
      <c r="BB114" s="21">
        <f>IF(BA114=1,COUNTIFS($AS$2:$AS$501,AS114,$AT$2:$AT$501,AT114,$AU$2:$AU$501,"&lt;"&amp;AV114,$AV$2:$AV$501,"&gt;"&amp;AU114,$BA$2:$BA$501,1)-1,"")</f>
        <v/>
      </c>
      <c r="BC114" s="21">
        <f>IF(N(BB114)&gt;0,"Clashes with "&amp;INDEX($AW$2:$AW$501,SUMPRODUCT(MAX(($AS$2:$AS$501=AS114)*($AT$2:$AT$501=AT114)*($AU$2:$AU$501&lt;AV114)*($AV$2:$AV$501&gt;AU114)*($BA$2:$BA$501=1)*(ROW($AS$2:$AS$501)&lt;&gt;ROW())*ROW($AS$2:$AS$501)))-1)&amp;" ("&amp;INDEX($AY$2:$AY$501,SUMPRODUCT(MAX(($AS$2:$AS$501=AS114)*($AT$2:$AT$501=AT114)*($AU$2:$AU$501&lt;AV114)*($AV$2:$AV$501&gt;AU114)*($BA$2:$BA$501=1)*(ROW($AS$2:$AS$501)&lt;&gt;ROW())*ROW($AS$2:$AS$501)))-1)&amp;")"&amp;IF(BB114&gt;1," and "&amp;(BB114-1)&amp;" more",""),"")</f>
        <v/>
      </c>
      <c r="BD114" s="21">
        <f>IF(AND(BA114=1,AY114="Confirmed"),AT114*10000000+AU114*1000+ROW(),"")</f>
        <v/>
      </c>
      <c r="BE114" s="21">
        <f>IF(IFERROR(TRIM(INDEX($A114:$AL114,MATCH(Lists!$F$2,$A$1:$AL$1,0))&amp;""),"")="","",IFERROR(TRIM(INDEX($A114:$AL114,MATCH(Lists!$F$11,$A$1:$AL$1,0))&amp;""),""))</f>
        <v/>
      </c>
      <c r="BF114" s="21">
        <f>IF(IFERROR(TRIM(INDEX($A114:$AL114,MATCH(Lists!$F$2,$A$1:$AL$1,0))&amp;""),"")="","",IFERROR(TRIM(INDEX($A114:$AL114,MATCH(Lists!$F$12,$A$1:$AL$1,0))&amp;""),""))</f>
        <v/>
      </c>
    </row>
    <row r="115">
      <c r="AM115" s="19" t="n"/>
      <c r="AN115" s="23" t="n"/>
      <c r="AO115" s="23" t="n"/>
      <c r="AP115" s="23" t="n"/>
      <c r="AQ115" s="23" t="n"/>
      <c r="AR115" s="19" t="n"/>
      <c r="AS115" s="21">
        <f>IF(IFERROR(TRIM(INDEX($A115:$AL115,MATCH(Lists!$F$2,$A$1:$AL$1,0))&amp;""),"")="","",IF(AND(IFERROR(TRIM(INDEX($A115:$AL115,MATCH(Lists!$F$3,$A$1:$AL$1,0))&amp;""),"")="Other",IFERROR(TRIM(INDEX($A115:$AL115,MATCH(Lists!$F$4,$A$1:$AL$1,0))&amp;""),"")&lt;&gt;""),IFERROR(TRIM(INDEX($A115:$AL115,MATCH(Lists!$F$4,$A$1:$AL$1,0))&amp;""),""),IF(IFERROR(TRIM(INDEX($A115:$AL115,MATCH(Lists!$F$3,$A$1:$AL$1,0))&amp;""),"")="","(no space)",IFERROR(TRIM(INDEX($A115:$AL115,MATCH(Lists!$F$3,$A$1:$AL$1,0))&amp;""),""))))</f>
        <v/>
      </c>
      <c r="AT115" s="22">
        <f>IF(IFERROR(TRIM(INDEX($A115:$AL115,MATCH(Lists!$F$2,$A$1:$AL$1,0))&amp;""),"")="",0,N(IFERROR(IF(TRIM(INDEX($A115:$AL115,MATCH(Lists!$F$5,$A$1:$AL$1,0))&amp;"")="","",IF(ISNUMBER(INDEX($A115:$AL115,MATCH(Lists!$F$5,$A$1:$AL$1,0))),INT(INDEX($A115:$AL115,MATCH(Lists!$F$5,$A$1:$AL$1,0))),DATE(VALUE(LEFT(INDEX($A115:$AL115,MATCH(Lists!$F$5,$A$1:$AL$1,0)),4)),VALUE(MID(INDEX($A115:$AL115,MATCH(Lists!$F$5,$A$1:$AL$1,0)),6,2)),VALUE(MID(INDEX($A115:$AL115,MATCH(Lists!$F$5,$A$1:$AL$1,0)),9,2))))),"")))</f>
        <v/>
      </c>
      <c r="AU115" s="21">
        <f>IF(IFERROR(TRIM(INDEX($A115:$AL115,MATCH(Lists!$F$2,$A$1:$AL$1,0))&amp;""),"")="",-1,IF(ISNUMBER(IFERROR(IF(TRIM(INDEX($A115:$AL115,MATCH(Lists!$F$6,$A$1:$AL$1,0))&amp;"")="","",IF(ISNUMBER(INDEX($A115:$AL115,MATCH(Lists!$F$6,$A$1:$AL$1,0))),ROUND(MOD(INDEX($A115:$AL115,MATCH(Lists!$F$6,$A$1:$AL$1,0)),1)*1440,0),VALUE(LEFT(INDEX($A115:$AL115,MATCH(Lists!$F$6,$A$1:$AL$1,0)),2))*60+VALUE(MID(INDEX($A115:$AL115,MATCH(Lists!$F$6,$A$1:$AL$1,0)),4,2)))),"")),IFERROR(IF(TRIM(INDEX($A115:$AL115,MATCH(Lists!$F$6,$A$1:$AL$1,0))&amp;"")="","",IF(ISNUMBER(INDEX($A115:$AL115,MATCH(Lists!$F$6,$A$1:$AL$1,0))),ROUND(MOD(INDEX($A115:$AL115,MATCH(Lists!$F$6,$A$1:$AL$1,0)),1)*1440,0),VALUE(LEFT(INDEX($A115:$AL115,MATCH(Lists!$F$6,$A$1:$AL$1,0)),2))*60+VALUE(MID(INDEX($A115:$AL115,MATCH(Lists!$F$6,$A$1:$AL$1,0)),4,2)))),""),-1))</f>
        <v/>
      </c>
      <c r="AV115" s="21">
        <f>IF(IFERROR(TRIM(INDEX($A115:$AL115,MATCH(Lists!$F$2,$A$1:$AL$1,0))&amp;""),"")="",-1,IF(ISNUMBER(IFERROR(IF(TRIM(INDEX($A115:$AL115,MATCH(Lists!$F$7,$A$1:$AL$1,0))&amp;"")="","",IF(ISNUMBER(INDEX($A115:$AL115,MATCH(Lists!$F$7,$A$1:$AL$1,0))),ROUND(MOD(INDEX($A115:$AL115,MATCH(Lists!$F$7,$A$1:$AL$1,0)),1)*1440,0),VALUE(LEFT(INDEX($A115:$AL115,MATCH(Lists!$F$7,$A$1:$AL$1,0)),2))*60+VALUE(MID(INDEX($A115:$AL115,MATCH(Lists!$F$7,$A$1:$AL$1,0)),4,2)))),"")),IFERROR(IF(TRIM(INDEX($A115:$AL115,MATCH(Lists!$F$7,$A$1:$AL$1,0))&amp;"")="","",IF(ISNUMBER(INDEX($A115:$AL115,MATCH(Lists!$F$7,$A$1:$AL$1,0))),ROUND(MOD(INDEX($A115:$AL115,MATCH(Lists!$F$7,$A$1:$AL$1,0)),1)*1440,0),VALUE(LEFT(INDEX($A115:$AL115,MATCH(Lists!$F$7,$A$1:$AL$1,0)),2))*60+VALUE(MID(INDEX($A115:$AL115,MATCH(Lists!$F$7,$A$1:$AL$1,0)),4,2)))),""),-1))</f>
        <v/>
      </c>
      <c r="AW115" s="21">
        <f>IF(IFERROR(TRIM(INDEX($A115:$AL115,MATCH(Lists!$F$2,$A$1:$AL$1,0))&amp;""),"")="","",IF(IFERROR(TRIM(INDEX($A115:$AL115,MATCH(Lists!$F$8,$A$1:$AL$1,0))&amp;""),"")&lt;&gt;"",IFERROR(TRIM(INDEX($A115:$AL115,MATCH(Lists!$F$8,$A$1:$AL$1,0))&amp;""),""),IFERROR(TRIM(INDEX($A115:$AL115,MATCH(Lists!$F$9,$A$1:$AL$1,0))&amp;""),"")))</f>
        <v/>
      </c>
      <c r="AX115" s="21">
        <f>IFERROR(IF(TRIM(INDEX($A115:$AL115,MATCH(Lists!$F$10,$A$1:$AL$1,0))&amp;"")="","",VALUE(TRIM(INDEX($A115:$AL115,MATCH(Lists!$F$10,$A$1:$AL$1,0))&amp;""))),"")</f>
        <v/>
      </c>
      <c r="AY115" s="21">
        <f>IF(IFERROR(TRIM(INDEX($A115:$AL115,MATCH(Lists!$F$2,$A$1:$AL$1,0))&amp;""),"")="","",IF(AN115="","New",AN115))</f>
        <v/>
      </c>
      <c r="AZ115" s="21">
        <f>IF(IFERROR(TRIM(INDEX($A115:$AL115,MATCH(Lists!$F$2,$A$1:$AL$1,0))&amp;""),"")="","",IF(OR(IFERROR(TRIM(INDEX($A115:$AL115,MATCH(Lists!$F$13,$A$1:$AL$1,0))&amp;""),"")="Paid",IFERROR(TRIM(INDEX($A115:$AL115,MATCH(Lists!$F$13,$A$1:$AL$1,0))&amp;""),"")="Partially refunded"),"Paid",IF(AP115="Yes","Paid (by hand)",IFERROR(TRIM(INDEX($A115:$AL115,MATCH(Lists!$F$13,$A$1:$AL$1,0))&amp;""),""))))</f>
        <v/>
      </c>
      <c r="BA115" s="21">
        <f>IF(AND(IFERROR(TRIM(INDEX($A115:$AL115,MATCH(Lists!$F$2,$A$1:$AL$1,0))&amp;""),"")&lt;&gt;"",AT115&gt;0,AU115&gt;=0,AV115&gt;AU115,AY115&lt;&gt;"Declined"),1,0)</f>
        <v/>
      </c>
      <c r="BB115" s="21">
        <f>IF(BA115=1,COUNTIFS($AS$2:$AS$501,AS115,$AT$2:$AT$501,AT115,$AU$2:$AU$501,"&lt;"&amp;AV115,$AV$2:$AV$501,"&gt;"&amp;AU115,$BA$2:$BA$501,1)-1,"")</f>
        <v/>
      </c>
      <c r="BC115" s="21">
        <f>IF(N(BB115)&gt;0,"Clashes with "&amp;INDEX($AW$2:$AW$501,SUMPRODUCT(MAX(($AS$2:$AS$501=AS115)*($AT$2:$AT$501=AT115)*($AU$2:$AU$501&lt;AV115)*($AV$2:$AV$501&gt;AU115)*($BA$2:$BA$501=1)*(ROW($AS$2:$AS$501)&lt;&gt;ROW())*ROW($AS$2:$AS$501)))-1)&amp;" ("&amp;INDEX($AY$2:$AY$501,SUMPRODUCT(MAX(($AS$2:$AS$501=AS115)*($AT$2:$AT$501=AT115)*($AU$2:$AU$501&lt;AV115)*($AV$2:$AV$501&gt;AU115)*($BA$2:$BA$501=1)*(ROW($AS$2:$AS$501)&lt;&gt;ROW())*ROW($AS$2:$AS$501)))-1)&amp;")"&amp;IF(BB115&gt;1," and "&amp;(BB115-1)&amp;" more",""),"")</f>
        <v/>
      </c>
      <c r="BD115" s="21">
        <f>IF(AND(BA115=1,AY115="Confirmed"),AT115*10000000+AU115*1000+ROW(),"")</f>
        <v/>
      </c>
      <c r="BE115" s="21">
        <f>IF(IFERROR(TRIM(INDEX($A115:$AL115,MATCH(Lists!$F$2,$A$1:$AL$1,0))&amp;""),"")="","",IFERROR(TRIM(INDEX($A115:$AL115,MATCH(Lists!$F$11,$A$1:$AL$1,0))&amp;""),""))</f>
        <v/>
      </c>
      <c r="BF115" s="21">
        <f>IF(IFERROR(TRIM(INDEX($A115:$AL115,MATCH(Lists!$F$2,$A$1:$AL$1,0))&amp;""),"")="","",IFERROR(TRIM(INDEX($A115:$AL115,MATCH(Lists!$F$12,$A$1:$AL$1,0))&amp;""),""))</f>
        <v/>
      </c>
    </row>
    <row r="116">
      <c r="AM116" s="19" t="n"/>
      <c r="AN116" s="23" t="n"/>
      <c r="AO116" s="23" t="n"/>
      <c r="AP116" s="23" t="n"/>
      <c r="AQ116" s="23" t="n"/>
      <c r="AR116" s="19" t="n"/>
      <c r="AS116" s="21">
        <f>IF(IFERROR(TRIM(INDEX($A116:$AL116,MATCH(Lists!$F$2,$A$1:$AL$1,0))&amp;""),"")="","",IF(AND(IFERROR(TRIM(INDEX($A116:$AL116,MATCH(Lists!$F$3,$A$1:$AL$1,0))&amp;""),"")="Other",IFERROR(TRIM(INDEX($A116:$AL116,MATCH(Lists!$F$4,$A$1:$AL$1,0))&amp;""),"")&lt;&gt;""),IFERROR(TRIM(INDEX($A116:$AL116,MATCH(Lists!$F$4,$A$1:$AL$1,0))&amp;""),""),IF(IFERROR(TRIM(INDEX($A116:$AL116,MATCH(Lists!$F$3,$A$1:$AL$1,0))&amp;""),"")="","(no space)",IFERROR(TRIM(INDEX($A116:$AL116,MATCH(Lists!$F$3,$A$1:$AL$1,0))&amp;""),""))))</f>
        <v/>
      </c>
      <c r="AT116" s="22">
        <f>IF(IFERROR(TRIM(INDEX($A116:$AL116,MATCH(Lists!$F$2,$A$1:$AL$1,0))&amp;""),"")="",0,N(IFERROR(IF(TRIM(INDEX($A116:$AL116,MATCH(Lists!$F$5,$A$1:$AL$1,0))&amp;"")="","",IF(ISNUMBER(INDEX($A116:$AL116,MATCH(Lists!$F$5,$A$1:$AL$1,0))),INT(INDEX($A116:$AL116,MATCH(Lists!$F$5,$A$1:$AL$1,0))),DATE(VALUE(LEFT(INDEX($A116:$AL116,MATCH(Lists!$F$5,$A$1:$AL$1,0)),4)),VALUE(MID(INDEX($A116:$AL116,MATCH(Lists!$F$5,$A$1:$AL$1,0)),6,2)),VALUE(MID(INDEX($A116:$AL116,MATCH(Lists!$F$5,$A$1:$AL$1,0)),9,2))))),"")))</f>
        <v/>
      </c>
      <c r="AU116" s="21">
        <f>IF(IFERROR(TRIM(INDEX($A116:$AL116,MATCH(Lists!$F$2,$A$1:$AL$1,0))&amp;""),"")="",-1,IF(ISNUMBER(IFERROR(IF(TRIM(INDEX($A116:$AL116,MATCH(Lists!$F$6,$A$1:$AL$1,0))&amp;"")="","",IF(ISNUMBER(INDEX($A116:$AL116,MATCH(Lists!$F$6,$A$1:$AL$1,0))),ROUND(MOD(INDEX($A116:$AL116,MATCH(Lists!$F$6,$A$1:$AL$1,0)),1)*1440,0),VALUE(LEFT(INDEX($A116:$AL116,MATCH(Lists!$F$6,$A$1:$AL$1,0)),2))*60+VALUE(MID(INDEX($A116:$AL116,MATCH(Lists!$F$6,$A$1:$AL$1,0)),4,2)))),"")),IFERROR(IF(TRIM(INDEX($A116:$AL116,MATCH(Lists!$F$6,$A$1:$AL$1,0))&amp;"")="","",IF(ISNUMBER(INDEX($A116:$AL116,MATCH(Lists!$F$6,$A$1:$AL$1,0))),ROUND(MOD(INDEX($A116:$AL116,MATCH(Lists!$F$6,$A$1:$AL$1,0)),1)*1440,0),VALUE(LEFT(INDEX($A116:$AL116,MATCH(Lists!$F$6,$A$1:$AL$1,0)),2))*60+VALUE(MID(INDEX($A116:$AL116,MATCH(Lists!$F$6,$A$1:$AL$1,0)),4,2)))),""),-1))</f>
        <v/>
      </c>
      <c r="AV116" s="21">
        <f>IF(IFERROR(TRIM(INDEX($A116:$AL116,MATCH(Lists!$F$2,$A$1:$AL$1,0))&amp;""),"")="",-1,IF(ISNUMBER(IFERROR(IF(TRIM(INDEX($A116:$AL116,MATCH(Lists!$F$7,$A$1:$AL$1,0))&amp;"")="","",IF(ISNUMBER(INDEX($A116:$AL116,MATCH(Lists!$F$7,$A$1:$AL$1,0))),ROUND(MOD(INDEX($A116:$AL116,MATCH(Lists!$F$7,$A$1:$AL$1,0)),1)*1440,0),VALUE(LEFT(INDEX($A116:$AL116,MATCH(Lists!$F$7,$A$1:$AL$1,0)),2))*60+VALUE(MID(INDEX($A116:$AL116,MATCH(Lists!$F$7,$A$1:$AL$1,0)),4,2)))),"")),IFERROR(IF(TRIM(INDEX($A116:$AL116,MATCH(Lists!$F$7,$A$1:$AL$1,0))&amp;"")="","",IF(ISNUMBER(INDEX($A116:$AL116,MATCH(Lists!$F$7,$A$1:$AL$1,0))),ROUND(MOD(INDEX($A116:$AL116,MATCH(Lists!$F$7,$A$1:$AL$1,0)),1)*1440,0),VALUE(LEFT(INDEX($A116:$AL116,MATCH(Lists!$F$7,$A$1:$AL$1,0)),2))*60+VALUE(MID(INDEX($A116:$AL116,MATCH(Lists!$F$7,$A$1:$AL$1,0)),4,2)))),""),-1))</f>
        <v/>
      </c>
      <c r="AW116" s="21">
        <f>IF(IFERROR(TRIM(INDEX($A116:$AL116,MATCH(Lists!$F$2,$A$1:$AL$1,0))&amp;""),"")="","",IF(IFERROR(TRIM(INDEX($A116:$AL116,MATCH(Lists!$F$8,$A$1:$AL$1,0))&amp;""),"")&lt;&gt;"",IFERROR(TRIM(INDEX($A116:$AL116,MATCH(Lists!$F$8,$A$1:$AL$1,0))&amp;""),""),IFERROR(TRIM(INDEX($A116:$AL116,MATCH(Lists!$F$9,$A$1:$AL$1,0))&amp;""),"")))</f>
        <v/>
      </c>
      <c r="AX116" s="21">
        <f>IFERROR(IF(TRIM(INDEX($A116:$AL116,MATCH(Lists!$F$10,$A$1:$AL$1,0))&amp;"")="","",VALUE(TRIM(INDEX($A116:$AL116,MATCH(Lists!$F$10,$A$1:$AL$1,0))&amp;""))),"")</f>
        <v/>
      </c>
      <c r="AY116" s="21">
        <f>IF(IFERROR(TRIM(INDEX($A116:$AL116,MATCH(Lists!$F$2,$A$1:$AL$1,0))&amp;""),"")="","",IF(AN116="","New",AN116))</f>
        <v/>
      </c>
      <c r="AZ116" s="21">
        <f>IF(IFERROR(TRIM(INDEX($A116:$AL116,MATCH(Lists!$F$2,$A$1:$AL$1,0))&amp;""),"")="","",IF(OR(IFERROR(TRIM(INDEX($A116:$AL116,MATCH(Lists!$F$13,$A$1:$AL$1,0))&amp;""),"")="Paid",IFERROR(TRIM(INDEX($A116:$AL116,MATCH(Lists!$F$13,$A$1:$AL$1,0))&amp;""),"")="Partially refunded"),"Paid",IF(AP116="Yes","Paid (by hand)",IFERROR(TRIM(INDEX($A116:$AL116,MATCH(Lists!$F$13,$A$1:$AL$1,0))&amp;""),""))))</f>
        <v/>
      </c>
      <c r="BA116" s="21">
        <f>IF(AND(IFERROR(TRIM(INDEX($A116:$AL116,MATCH(Lists!$F$2,$A$1:$AL$1,0))&amp;""),"")&lt;&gt;"",AT116&gt;0,AU116&gt;=0,AV116&gt;AU116,AY116&lt;&gt;"Declined"),1,0)</f>
        <v/>
      </c>
      <c r="BB116" s="21">
        <f>IF(BA116=1,COUNTIFS($AS$2:$AS$501,AS116,$AT$2:$AT$501,AT116,$AU$2:$AU$501,"&lt;"&amp;AV116,$AV$2:$AV$501,"&gt;"&amp;AU116,$BA$2:$BA$501,1)-1,"")</f>
        <v/>
      </c>
      <c r="BC116" s="21">
        <f>IF(N(BB116)&gt;0,"Clashes with "&amp;INDEX($AW$2:$AW$501,SUMPRODUCT(MAX(($AS$2:$AS$501=AS116)*($AT$2:$AT$501=AT116)*($AU$2:$AU$501&lt;AV116)*($AV$2:$AV$501&gt;AU116)*($BA$2:$BA$501=1)*(ROW($AS$2:$AS$501)&lt;&gt;ROW())*ROW($AS$2:$AS$501)))-1)&amp;" ("&amp;INDEX($AY$2:$AY$501,SUMPRODUCT(MAX(($AS$2:$AS$501=AS116)*($AT$2:$AT$501=AT116)*($AU$2:$AU$501&lt;AV116)*($AV$2:$AV$501&gt;AU116)*($BA$2:$BA$501=1)*(ROW($AS$2:$AS$501)&lt;&gt;ROW())*ROW($AS$2:$AS$501)))-1)&amp;")"&amp;IF(BB116&gt;1," and "&amp;(BB116-1)&amp;" more",""),"")</f>
        <v/>
      </c>
      <c r="BD116" s="21">
        <f>IF(AND(BA116=1,AY116="Confirmed"),AT116*10000000+AU116*1000+ROW(),"")</f>
        <v/>
      </c>
      <c r="BE116" s="21">
        <f>IF(IFERROR(TRIM(INDEX($A116:$AL116,MATCH(Lists!$F$2,$A$1:$AL$1,0))&amp;""),"")="","",IFERROR(TRIM(INDEX($A116:$AL116,MATCH(Lists!$F$11,$A$1:$AL$1,0))&amp;""),""))</f>
        <v/>
      </c>
      <c r="BF116" s="21">
        <f>IF(IFERROR(TRIM(INDEX($A116:$AL116,MATCH(Lists!$F$2,$A$1:$AL$1,0))&amp;""),"")="","",IFERROR(TRIM(INDEX($A116:$AL116,MATCH(Lists!$F$12,$A$1:$AL$1,0))&amp;""),""))</f>
        <v/>
      </c>
    </row>
    <row r="117">
      <c r="AM117" s="19" t="n"/>
      <c r="AN117" s="23" t="n"/>
      <c r="AO117" s="23" t="n"/>
      <c r="AP117" s="23" t="n"/>
      <c r="AQ117" s="23" t="n"/>
      <c r="AR117" s="19" t="n"/>
      <c r="AS117" s="21">
        <f>IF(IFERROR(TRIM(INDEX($A117:$AL117,MATCH(Lists!$F$2,$A$1:$AL$1,0))&amp;""),"")="","",IF(AND(IFERROR(TRIM(INDEX($A117:$AL117,MATCH(Lists!$F$3,$A$1:$AL$1,0))&amp;""),"")="Other",IFERROR(TRIM(INDEX($A117:$AL117,MATCH(Lists!$F$4,$A$1:$AL$1,0))&amp;""),"")&lt;&gt;""),IFERROR(TRIM(INDEX($A117:$AL117,MATCH(Lists!$F$4,$A$1:$AL$1,0))&amp;""),""),IF(IFERROR(TRIM(INDEX($A117:$AL117,MATCH(Lists!$F$3,$A$1:$AL$1,0))&amp;""),"")="","(no space)",IFERROR(TRIM(INDEX($A117:$AL117,MATCH(Lists!$F$3,$A$1:$AL$1,0))&amp;""),""))))</f>
        <v/>
      </c>
      <c r="AT117" s="22">
        <f>IF(IFERROR(TRIM(INDEX($A117:$AL117,MATCH(Lists!$F$2,$A$1:$AL$1,0))&amp;""),"")="",0,N(IFERROR(IF(TRIM(INDEX($A117:$AL117,MATCH(Lists!$F$5,$A$1:$AL$1,0))&amp;"")="","",IF(ISNUMBER(INDEX($A117:$AL117,MATCH(Lists!$F$5,$A$1:$AL$1,0))),INT(INDEX($A117:$AL117,MATCH(Lists!$F$5,$A$1:$AL$1,0))),DATE(VALUE(LEFT(INDEX($A117:$AL117,MATCH(Lists!$F$5,$A$1:$AL$1,0)),4)),VALUE(MID(INDEX($A117:$AL117,MATCH(Lists!$F$5,$A$1:$AL$1,0)),6,2)),VALUE(MID(INDEX($A117:$AL117,MATCH(Lists!$F$5,$A$1:$AL$1,0)),9,2))))),"")))</f>
        <v/>
      </c>
      <c r="AU117" s="21">
        <f>IF(IFERROR(TRIM(INDEX($A117:$AL117,MATCH(Lists!$F$2,$A$1:$AL$1,0))&amp;""),"")="",-1,IF(ISNUMBER(IFERROR(IF(TRIM(INDEX($A117:$AL117,MATCH(Lists!$F$6,$A$1:$AL$1,0))&amp;"")="","",IF(ISNUMBER(INDEX($A117:$AL117,MATCH(Lists!$F$6,$A$1:$AL$1,0))),ROUND(MOD(INDEX($A117:$AL117,MATCH(Lists!$F$6,$A$1:$AL$1,0)),1)*1440,0),VALUE(LEFT(INDEX($A117:$AL117,MATCH(Lists!$F$6,$A$1:$AL$1,0)),2))*60+VALUE(MID(INDEX($A117:$AL117,MATCH(Lists!$F$6,$A$1:$AL$1,0)),4,2)))),"")),IFERROR(IF(TRIM(INDEX($A117:$AL117,MATCH(Lists!$F$6,$A$1:$AL$1,0))&amp;"")="","",IF(ISNUMBER(INDEX($A117:$AL117,MATCH(Lists!$F$6,$A$1:$AL$1,0))),ROUND(MOD(INDEX($A117:$AL117,MATCH(Lists!$F$6,$A$1:$AL$1,0)),1)*1440,0),VALUE(LEFT(INDEX($A117:$AL117,MATCH(Lists!$F$6,$A$1:$AL$1,0)),2))*60+VALUE(MID(INDEX($A117:$AL117,MATCH(Lists!$F$6,$A$1:$AL$1,0)),4,2)))),""),-1))</f>
        <v/>
      </c>
      <c r="AV117" s="21">
        <f>IF(IFERROR(TRIM(INDEX($A117:$AL117,MATCH(Lists!$F$2,$A$1:$AL$1,0))&amp;""),"")="",-1,IF(ISNUMBER(IFERROR(IF(TRIM(INDEX($A117:$AL117,MATCH(Lists!$F$7,$A$1:$AL$1,0))&amp;"")="","",IF(ISNUMBER(INDEX($A117:$AL117,MATCH(Lists!$F$7,$A$1:$AL$1,0))),ROUND(MOD(INDEX($A117:$AL117,MATCH(Lists!$F$7,$A$1:$AL$1,0)),1)*1440,0),VALUE(LEFT(INDEX($A117:$AL117,MATCH(Lists!$F$7,$A$1:$AL$1,0)),2))*60+VALUE(MID(INDEX($A117:$AL117,MATCH(Lists!$F$7,$A$1:$AL$1,0)),4,2)))),"")),IFERROR(IF(TRIM(INDEX($A117:$AL117,MATCH(Lists!$F$7,$A$1:$AL$1,0))&amp;"")="","",IF(ISNUMBER(INDEX($A117:$AL117,MATCH(Lists!$F$7,$A$1:$AL$1,0))),ROUND(MOD(INDEX($A117:$AL117,MATCH(Lists!$F$7,$A$1:$AL$1,0)),1)*1440,0),VALUE(LEFT(INDEX($A117:$AL117,MATCH(Lists!$F$7,$A$1:$AL$1,0)),2))*60+VALUE(MID(INDEX($A117:$AL117,MATCH(Lists!$F$7,$A$1:$AL$1,0)),4,2)))),""),-1))</f>
        <v/>
      </c>
      <c r="AW117" s="21">
        <f>IF(IFERROR(TRIM(INDEX($A117:$AL117,MATCH(Lists!$F$2,$A$1:$AL$1,0))&amp;""),"")="","",IF(IFERROR(TRIM(INDEX($A117:$AL117,MATCH(Lists!$F$8,$A$1:$AL$1,0))&amp;""),"")&lt;&gt;"",IFERROR(TRIM(INDEX($A117:$AL117,MATCH(Lists!$F$8,$A$1:$AL$1,0))&amp;""),""),IFERROR(TRIM(INDEX($A117:$AL117,MATCH(Lists!$F$9,$A$1:$AL$1,0))&amp;""),"")))</f>
        <v/>
      </c>
      <c r="AX117" s="21">
        <f>IFERROR(IF(TRIM(INDEX($A117:$AL117,MATCH(Lists!$F$10,$A$1:$AL$1,0))&amp;"")="","",VALUE(TRIM(INDEX($A117:$AL117,MATCH(Lists!$F$10,$A$1:$AL$1,0))&amp;""))),"")</f>
        <v/>
      </c>
      <c r="AY117" s="21">
        <f>IF(IFERROR(TRIM(INDEX($A117:$AL117,MATCH(Lists!$F$2,$A$1:$AL$1,0))&amp;""),"")="","",IF(AN117="","New",AN117))</f>
        <v/>
      </c>
      <c r="AZ117" s="21">
        <f>IF(IFERROR(TRIM(INDEX($A117:$AL117,MATCH(Lists!$F$2,$A$1:$AL$1,0))&amp;""),"")="","",IF(OR(IFERROR(TRIM(INDEX($A117:$AL117,MATCH(Lists!$F$13,$A$1:$AL$1,0))&amp;""),"")="Paid",IFERROR(TRIM(INDEX($A117:$AL117,MATCH(Lists!$F$13,$A$1:$AL$1,0))&amp;""),"")="Partially refunded"),"Paid",IF(AP117="Yes","Paid (by hand)",IFERROR(TRIM(INDEX($A117:$AL117,MATCH(Lists!$F$13,$A$1:$AL$1,0))&amp;""),""))))</f>
        <v/>
      </c>
      <c r="BA117" s="21">
        <f>IF(AND(IFERROR(TRIM(INDEX($A117:$AL117,MATCH(Lists!$F$2,$A$1:$AL$1,0))&amp;""),"")&lt;&gt;"",AT117&gt;0,AU117&gt;=0,AV117&gt;AU117,AY117&lt;&gt;"Declined"),1,0)</f>
        <v/>
      </c>
      <c r="BB117" s="21">
        <f>IF(BA117=1,COUNTIFS($AS$2:$AS$501,AS117,$AT$2:$AT$501,AT117,$AU$2:$AU$501,"&lt;"&amp;AV117,$AV$2:$AV$501,"&gt;"&amp;AU117,$BA$2:$BA$501,1)-1,"")</f>
        <v/>
      </c>
      <c r="BC117" s="21">
        <f>IF(N(BB117)&gt;0,"Clashes with "&amp;INDEX($AW$2:$AW$501,SUMPRODUCT(MAX(($AS$2:$AS$501=AS117)*($AT$2:$AT$501=AT117)*($AU$2:$AU$501&lt;AV117)*($AV$2:$AV$501&gt;AU117)*($BA$2:$BA$501=1)*(ROW($AS$2:$AS$501)&lt;&gt;ROW())*ROW($AS$2:$AS$501)))-1)&amp;" ("&amp;INDEX($AY$2:$AY$501,SUMPRODUCT(MAX(($AS$2:$AS$501=AS117)*($AT$2:$AT$501=AT117)*($AU$2:$AU$501&lt;AV117)*($AV$2:$AV$501&gt;AU117)*($BA$2:$BA$501=1)*(ROW($AS$2:$AS$501)&lt;&gt;ROW())*ROW($AS$2:$AS$501)))-1)&amp;")"&amp;IF(BB117&gt;1," and "&amp;(BB117-1)&amp;" more",""),"")</f>
        <v/>
      </c>
      <c r="BD117" s="21">
        <f>IF(AND(BA117=1,AY117="Confirmed"),AT117*10000000+AU117*1000+ROW(),"")</f>
        <v/>
      </c>
      <c r="BE117" s="21">
        <f>IF(IFERROR(TRIM(INDEX($A117:$AL117,MATCH(Lists!$F$2,$A$1:$AL$1,0))&amp;""),"")="","",IFERROR(TRIM(INDEX($A117:$AL117,MATCH(Lists!$F$11,$A$1:$AL$1,0))&amp;""),""))</f>
        <v/>
      </c>
      <c r="BF117" s="21">
        <f>IF(IFERROR(TRIM(INDEX($A117:$AL117,MATCH(Lists!$F$2,$A$1:$AL$1,0))&amp;""),"")="","",IFERROR(TRIM(INDEX($A117:$AL117,MATCH(Lists!$F$12,$A$1:$AL$1,0))&amp;""),""))</f>
        <v/>
      </c>
    </row>
    <row r="118">
      <c r="AM118" s="19" t="n"/>
      <c r="AN118" s="23" t="n"/>
      <c r="AO118" s="23" t="n"/>
      <c r="AP118" s="23" t="n"/>
      <c r="AQ118" s="23" t="n"/>
      <c r="AR118" s="19" t="n"/>
      <c r="AS118" s="21">
        <f>IF(IFERROR(TRIM(INDEX($A118:$AL118,MATCH(Lists!$F$2,$A$1:$AL$1,0))&amp;""),"")="","",IF(AND(IFERROR(TRIM(INDEX($A118:$AL118,MATCH(Lists!$F$3,$A$1:$AL$1,0))&amp;""),"")="Other",IFERROR(TRIM(INDEX($A118:$AL118,MATCH(Lists!$F$4,$A$1:$AL$1,0))&amp;""),"")&lt;&gt;""),IFERROR(TRIM(INDEX($A118:$AL118,MATCH(Lists!$F$4,$A$1:$AL$1,0))&amp;""),""),IF(IFERROR(TRIM(INDEX($A118:$AL118,MATCH(Lists!$F$3,$A$1:$AL$1,0))&amp;""),"")="","(no space)",IFERROR(TRIM(INDEX($A118:$AL118,MATCH(Lists!$F$3,$A$1:$AL$1,0))&amp;""),""))))</f>
        <v/>
      </c>
      <c r="AT118" s="22">
        <f>IF(IFERROR(TRIM(INDEX($A118:$AL118,MATCH(Lists!$F$2,$A$1:$AL$1,0))&amp;""),"")="",0,N(IFERROR(IF(TRIM(INDEX($A118:$AL118,MATCH(Lists!$F$5,$A$1:$AL$1,0))&amp;"")="","",IF(ISNUMBER(INDEX($A118:$AL118,MATCH(Lists!$F$5,$A$1:$AL$1,0))),INT(INDEX($A118:$AL118,MATCH(Lists!$F$5,$A$1:$AL$1,0))),DATE(VALUE(LEFT(INDEX($A118:$AL118,MATCH(Lists!$F$5,$A$1:$AL$1,0)),4)),VALUE(MID(INDEX($A118:$AL118,MATCH(Lists!$F$5,$A$1:$AL$1,0)),6,2)),VALUE(MID(INDEX($A118:$AL118,MATCH(Lists!$F$5,$A$1:$AL$1,0)),9,2))))),"")))</f>
        <v/>
      </c>
      <c r="AU118" s="21">
        <f>IF(IFERROR(TRIM(INDEX($A118:$AL118,MATCH(Lists!$F$2,$A$1:$AL$1,0))&amp;""),"")="",-1,IF(ISNUMBER(IFERROR(IF(TRIM(INDEX($A118:$AL118,MATCH(Lists!$F$6,$A$1:$AL$1,0))&amp;"")="","",IF(ISNUMBER(INDEX($A118:$AL118,MATCH(Lists!$F$6,$A$1:$AL$1,0))),ROUND(MOD(INDEX($A118:$AL118,MATCH(Lists!$F$6,$A$1:$AL$1,0)),1)*1440,0),VALUE(LEFT(INDEX($A118:$AL118,MATCH(Lists!$F$6,$A$1:$AL$1,0)),2))*60+VALUE(MID(INDEX($A118:$AL118,MATCH(Lists!$F$6,$A$1:$AL$1,0)),4,2)))),"")),IFERROR(IF(TRIM(INDEX($A118:$AL118,MATCH(Lists!$F$6,$A$1:$AL$1,0))&amp;"")="","",IF(ISNUMBER(INDEX($A118:$AL118,MATCH(Lists!$F$6,$A$1:$AL$1,0))),ROUND(MOD(INDEX($A118:$AL118,MATCH(Lists!$F$6,$A$1:$AL$1,0)),1)*1440,0),VALUE(LEFT(INDEX($A118:$AL118,MATCH(Lists!$F$6,$A$1:$AL$1,0)),2))*60+VALUE(MID(INDEX($A118:$AL118,MATCH(Lists!$F$6,$A$1:$AL$1,0)),4,2)))),""),-1))</f>
        <v/>
      </c>
      <c r="AV118" s="21">
        <f>IF(IFERROR(TRIM(INDEX($A118:$AL118,MATCH(Lists!$F$2,$A$1:$AL$1,0))&amp;""),"")="",-1,IF(ISNUMBER(IFERROR(IF(TRIM(INDEX($A118:$AL118,MATCH(Lists!$F$7,$A$1:$AL$1,0))&amp;"")="","",IF(ISNUMBER(INDEX($A118:$AL118,MATCH(Lists!$F$7,$A$1:$AL$1,0))),ROUND(MOD(INDEX($A118:$AL118,MATCH(Lists!$F$7,$A$1:$AL$1,0)),1)*1440,0),VALUE(LEFT(INDEX($A118:$AL118,MATCH(Lists!$F$7,$A$1:$AL$1,0)),2))*60+VALUE(MID(INDEX($A118:$AL118,MATCH(Lists!$F$7,$A$1:$AL$1,0)),4,2)))),"")),IFERROR(IF(TRIM(INDEX($A118:$AL118,MATCH(Lists!$F$7,$A$1:$AL$1,0))&amp;"")="","",IF(ISNUMBER(INDEX($A118:$AL118,MATCH(Lists!$F$7,$A$1:$AL$1,0))),ROUND(MOD(INDEX($A118:$AL118,MATCH(Lists!$F$7,$A$1:$AL$1,0)),1)*1440,0),VALUE(LEFT(INDEX($A118:$AL118,MATCH(Lists!$F$7,$A$1:$AL$1,0)),2))*60+VALUE(MID(INDEX($A118:$AL118,MATCH(Lists!$F$7,$A$1:$AL$1,0)),4,2)))),""),-1))</f>
        <v/>
      </c>
      <c r="AW118" s="21">
        <f>IF(IFERROR(TRIM(INDEX($A118:$AL118,MATCH(Lists!$F$2,$A$1:$AL$1,0))&amp;""),"")="","",IF(IFERROR(TRIM(INDEX($A118:$AL118,MATCH(Lists!$F$8,$A$1:$AL$1,0))&amp;""),"")&lt;&gt;"",IFERROR(TRIM(INDEX($A118:$AL118,MATCH(Lists!$F$8,$A$1:$AL$1,0))&amp;""),""),IFERROR(TRIM(INDEX($A118:$AL118,MATCH(Lists!$F$9,$A$1:$AL$1,0))&amp;""),"")))</f>
        <v/>
      </c>
      <c r="AX118" s="21">
        <f>IFERROR(IF(TRIM(INDEX($A118:$AL118,MATCH(Lists!$F$10,$A$1:$AL$1,0))&amp;"")="","",VALUE(TRIM(INDEX($A118:$AL118,MATCH(Lists!$F$10,$A$1:$AL$1,0))&amp;""))),"")</f>
        <v/>
      </c>
      <c r="AY118" s="21">
        <f>IF(IFERROR(TRIM(INDEX($A118:$AL118,MATCH(Lists!$F$2,$A$1:$AL$1,0))&amp;""),"")="","",IF(AN118="","New",AN118))</f>
        <v/>
      </c>
      <c r="AZ118" s="21">
        <f>IF(IFERROR(TRIM(INDEX($A118:$AL118,MATCH(Lists!$F$2,$A$1:$AL$1,0))&amp;""),"")="","",IF(OR(IFERROR(TRIM(INDEX($A118:$AL118,MATCH(Lists!$F$13,$A$1:$AL$1,0))&amp;""),"")="Paid",IFERROR(TRIM(INDEX($A118:$AL118,MATCH(Lists!$F$13,$A$1:$AL$1,0))&amp;""),"")="Partially refunded"),"Paid",IF(AP118="Yes","Paid (by hand)",IFERROR(TRIM(INDEX($A118:$AL118,MATCH(Lists!$F$13,$A$1:$AL$1,0))&amp;""),""))))</f>
        <v/>
      </c>
      <c r="BA118" s="21">
        <f>IF(AND(IFERROR(TRIM(INDEX($A118:$AL118,MATCH(Lists!$F$2,$A$1:$AL$1,0))&amp;""),"")&lt;&gt;"",AT118&gt;0,AU118&gt;=0,AV118&gt;AU118,AY118&lt;&gt;"Declined"),1,0)</f>
        <v/>
      </c>
      <c r="BB118" s="21">
        <f>IF(BA118=1,COUNTIFS($AS$2:$AS$501,AS118,$AT$2:$AT$501,AT118,$AU$2:$AU$501,"&lt;"&amp;AV118,$AV$2:$AV$501,"&gt;"&amp;AU118,$BA$2:$BA$501,1)-1,"")</f>
        <v/>
      </c>
      <c r="BC118" s="21">
        <f>IF(N(BB118)&gt;0,"Clashes with "&amp;INDEX($AW$2:$AW$501,SUMPRODUCT(MAX(($AS$2:$AS$501=AS118)*($AT$2:$AT$501=AT118)*($AU$2:$AU$501&lt;AV118)*($AV$2:$AV$501&gt;AU118)*($BA$2:$BA$501=1)*(ROW($AS$2:$AS$501)&lt;&gt;ROW())*ROW($AS$2:$AS$501)))-1)&amp;" ("&amp;INDEX($AY$2:$AY$501,SUMPRODUCT(MAX(($AS$2:$AS$501=AS118)*($AT$2:$AT$501=AT118)*($AU$2:$AU$501&lt;AV118)*($AV$2:$AV$501&gt;AU118)*($BA$2:$BA$501=1)*(ROW($AS$2:$AS$501)&lt;&gt;ROW())*ROW($AS$2:$AS$501)))-1)&amp;")"&amp;IF(BB118&gt;1," and "&amp;(BB118-1)&amp;" more",""),"")</f>
        <v/>
      </c>
      <c r="BD118" s="21">
        <f>IF(AND(BA118=1,AY118="Confirmed"),AT118*10000000+AU118*1000+ROW(),"")</f>
        <v/>
      </c>
      <c r="BE118" s="21">
        <f>IF(IFERROR(TRIM(INDEX($A118:$AL118,MATCH(Lists!$F$2,$A$1:$AL$1,0))&amp;""),"")="","",IFERROR(TRIM(INDEX($A118:$AL118,MATCH(Lists!$F$11,$A$1:$AL$1,0))&amp;""),""))</f>
        <v/>
      </c>
      <c r="BF118" s="21">
        <f>IF(IFERROR(TRIM(INDEX($A118:$AL118,MATCH(Lists!$F$2,$A$1:$AL$1,0))&amp;""),"")="","",IFERROR(TRIM(INDEX($A118:$AL118,MATCH(Lists!$F$12,$A$1:$AL$1,0))&amp;""),""))</f>
        <v/>
      </c>
    </row>
    <row r="119">
      <c r="AM119" s="19" t="n"/>
      <c r="AN119" s="23" t="n"/>
      <c r="AO119" s="23" t="n"/>
      <c r="AP119" s="23" t="n"/>
      <c r="AQ119" s="23" t="n"/>
      <c r="AR119" s="19" t="n"/>
      <c r="AS119" s="21">
        <f>IF(IFERROR(TRIM(INDEX($A119:$AL119,MATCH(Lists!$F$2,$A$1:$AL$1,0))&amp;""),"")="","",IF(AND(IFERROR(TRIM(INDEX($A119:$AL119,MATCH(Lists!$F$3,$A$1:$AL$1,0))&amp;""),"")="Other",IFERROR(TRIM(INDEX($A119:$AL119,MATCH(Lists!$F$4,$A$1:$AL$1,0))&amp;""),"")&lt;&gt;""),IFERROR(TRIM(INDEX($A119:$AL119,MATCH(Lists!$F$4,$A$1:$AL$1,0))&amp;""),""),IF(IFERROR(TRIM(INDEX($A119:$AL119,MATCH(Lists!$F$3,$A$1:$AL$1,0))&amp;""),"")="","(no space)",IFERROR(TRIM(INDEX($A119:$AL119,MATCH(Lists!$F$3,$A$1:$AL$1,0))&amp;""),""))))</f>
        <v/>
      </c>
      <c r="AT119" s="22">
        <f>IF(IFERROR(TRIM(INDEX($A119:$AL119,MATCH(Lists!$F$2,$A$1:$AL$1,0))&amp;""),"")="",0,N(IFERROR(IF(TRIM(INDEX($A119:$AL119,MATCH(Lists!$F$5,$A$1:$AL$1,0))&amp;"")="","",IF(ISNUMBER(INDEX($A119:$AL119,MATCH(Lists!$F$5,$A$1:$AL$1,0))),INT(INDEX($A119:$AL119,MATCH(Lists!$F$5,$A$1:$AL$1,0))),DATE(VALUE(LEFT(INDEX($A119:$AL119,MATCH(Lists!$F$5,$A$1:$AL$1,0)),4)),VALUE(MID(INDEX($A119:$AL119,MATCH(Lists!$F$5,$A$1:$AL$1,0)),6,2)),VALUE(MID(INDEX($A119:$AL119,MATCH(Lists!$F$5,$A$1:$AL$1,0)),9,2))))),"")))</f>
        <v/>
      </c>
      <c r="AU119" s="21">
        <f>IF(IFERROR(TRIM(INDEX($A119:$AL119,MATCH(Lists!$F$2,$A$1:$AL$1,0))&amp;""),"")="",-1,IF(ISNUMBER(IFERROR(IF(TRIM(INDEX($A119:$AL119,MATCH(Lists!$F$6,$A$1:$AL$1,0))&amp;"")="","",IF(ISNUMBER(INDEX($A119:$AL119,MATCH(Lists!$F$6,$A$1:$AL$1,0))),ROUND(MOD(INDEX($A119:$AL119,MATCH(Lists!$F$6,$A$1:$AL$1,0)),1)*1440,0),VALUE(LEFT(INDEX($A119:$AL119,MATCH(Lists!$F$6,$A$1:$AL$1,0)),2))*60+VALUE(MID(INDEX($A119:$AL119,MATCH(Lists!$F$6,$A$1:$AL$1,0)),4,2)))),"")),IFERROR(IF(TRIM(INDEX($A119:$AL119,MATCH(Lists!$F$6,$A$1:$AL$1,0))&amp;"")="","",IF(ISNUMBER(INDEX($A119:$AL119,MATCH(Lists!$F$6,$A$1:$AL$1,0))),ROUND(MOD(INDEX($A119:$AL119,MATCH(Lists!$F$6,$A$1:$AL$1,0)),1)*1440,0),VALUE(LEFT(INDEX($A119:$AL119,MATCH(Lists!$F$6,$A$1:$AL$1,0)),2))*60+VALUE(MID(INDEX($A119:$AL119,MATCH(Lists!$F$6,$A$1:$AL$1,0)),4,2)))),""),-1))</f>
        <v/>
      </c>
      <c r="AV119" s="21">
        <f>IF(IFERROR(TRIM(INDEX($A119:$AL119,MATCH(Lists!$F$2,$A$1:$AL$1,0))&amp;""),"")="",-1,IF(ISNUMBER(IFERROR(IF(TRIM(INDEX($A119:$AL119,MATCH(Lists!$F$7,$A$1:$AL$1,0))&amp;"")="","",IF(ISNUMBER(INDEX($A119:$AL119,MATCH(Lists!$F$7,$A$1:$AL$1,0))),ROUND(MOD(INDEX($A119:$AL119,MATCH(Lists!$F$7,$A$1:$AL$1,0)),1)*1440,0),VALUE(LEFT(INDEX($A119:$AL119,MATCH(Lists!$F$7,$A$1:$AL$1,0)),2))*60+VALUE(MID(INDEX($A119:$AL119,MATCH(Lists!$F$7,$A$1:$AL$1,0)),4,2)))),"")),IFERROR(IF(TRIM(INDEX($A119:$AL119,MATCH(Lists!$F$7,$A$1:$AL$1,0))&amp;"")="","",IF(ISNUMBER(INDEX($A119:$AL119,MATCH(Lists!$F$7,$A$1:$AL$1,0))),ROUND(MOD(INDEX($A119:$AL119,MATCH(Lists!$F$7,$A$1:$AL$1,0)),1)*1440,0),VALUE(LEFT(INDEX($A119:$AL119,MATCH(Lists!$F$7,$A$1:$AL$1,0)),2))*60+VALUE(MID(INDEX($A119:$AL119,MATCH(Lists!$F$7,$A$1:$AL$1,0)),4,2)))),""),-1))</f>
        <v/>
      </c>
      <c r="AW119" s="21">
        <f>IF(IFERROR(TRIM(INDEX($A119:$AL119,MATCH(Lists!$F$2,$A$1:$AL$1,0))&amp;""),"")="","",IF(IFERROR(TRIM(INDEX($A119:$AL119,MATCH(Lists!$F$8,$A$1:$AL$1,0))&amp;""),"")&lt;&gt;"",IFERROR(TRIM(INDEX($A119:$AL119,MATCH(Lists!$F$8,$A$1:$AL$1,0))&amp;""),""),IFERROR(TRIM(INDEX($A119:$AL119,MATCH(Lists!$F$9,$A$1:$AL$1,0))&amp;""),"")))</f>
        <v/>
      </c>
      <c r="AX119" s="21">
        <f>IFERROR(IF(TRIM(INDEX($A119:$AL119,MATCH(Lists!$F$10,$A$1:$AL$1,0))&amp;"")="","",VALUE(TRIM(INDEX($A119:$AL119,MATCH(Lists!$F$10,$A$1:$AL$1,0))&amp;""))),"")</f>
        <v/>
      </c>
      <c r="AY119" s="21">
        <f>IF(IFERROR(TRIM(INDEX($A119:$AL119,MATCH(Lists!$F$2,$A$1:$AL$1,0))&amp;""),"")="","",IF(AN119="","New",AN119))</f>
        <v/>
      </c>
      <c r="AZ119" s="21">
        <f>IF(IFERROR(TRIM(INDEX($A119:$AL119,MATCH(Lists!$F$2,$A$1:$AL$1,0))&amp;""),"")="","",IF(OR(IFERROR(TRIM(INDEX($A119:$AL119,MATCH(Lists!$F$13,$A$1:$AL$1,0))&amp;""),"")="Paid",IFERROR(TRIM(INDEX($A119:$AL119,MATCH(Lists!$F$13,$A$1:$AL$1,0))&amp;""),"")="Partially refunded"),"Paid",IF(AP119="Yes","Paid (by hand)",IFERROR(TRIM(INDEX($A119:$AL119,MATCH(Lists!$F$13,$A$1:$AL$1,0))&amp;""),""))))</f>
        <v/>
      </c>
      <c r="BA119" s="21">
        <f>IF(AND(IFERROR(TRIM(INDEX($A119:$AL119,MATCH(Lists!$F$2,$A$1:$AL$1,0))&amp;""),"")&lt;&gt;"",AT119&gt;0,AU119&gt;=0,AV119&gt;AU119,AY119&lt;&gt;"Declined"),1,0)</f>
        <v/>
      </c>
      <c r="BB119" s="21">
        <f>IF(BA119=1,COUNTIFS($AS$2:$AS$501,AS119,$AT$2:$AT$501,AT119,$AU$2:$AU$501,"&lt;"&amp;AV119,$AV$2:$AV$501,"&gt;"&amp;AU119,$BA$2:$BA$501,1)-1,"")</f>
        <v/>
      </c>
      <c r="BC119" s="21">
        <f>IF(N(BB119)&gt;0,"Clashes with "&amp;INDEX($AW$2:$AW$501,SUMPRODUCT(MAX(($AS$2:$AS$501=AS119)*($AT$2:$AT$501=AT119)*($AU$2:$AU$501&lt;AV119)*($AV$2:$AV$501&gt;AU119)*($BA$2:$BA$501=1)*(ROW($AS$2:$AS$501)&lt;&gt;ROW())*ROW($AS$2:$AS$501)))-1)&amp;" ("&amp;INDEX($AY$2:$AY$501,SUMPRODUCT(MAX(($AS$2:$AS$501=AS119)*($AT$2:$AT$501=AT119)*($AU$2:$AU$501&lt;AV119)*($AV$2:$AV$501&gt;AU119)*($BA$2:$BA$501=1)*(ROW($AS$2:$AS$501)&lt;&gt;ROW())*ROW($AS$2:$AS$501)))-1)&amp;")"&amp;IF(BB119&gt;1," and "&amp;(BB119-1)&amp;" more",""),"")</f>
        <v/>
      </c>
      <c r="BD119" s="21">
        <f>IF(AND(BA119=1,AY119="Confirmed"),AT119*10000000+AU119*1000+ROW(),"")</f>
        <v/>
      </c>
      <c r="BE119" s="21">
        <f>IF(IFERROR(TRIM(INDEX($A119:$AL119,MATCH(Lists!$F$2,$A$1:$AL$1,0))&amp;""),"")="","",IFERROR(TRIM(INDEX($A119:$AL119,MATCH(Lists!$F$11,$A$1:$AL$1,0))&amp;""),""))</f>
        <v/>
      </c>
      <c r="BF119" s="21">
        <f>IF(IFERROR(TRIM(INDEX($A119:$AL119,MATCH(Lists!$F$2,$A$1:$AL$1,0))&amp;""),"")="","",IFERROR(TRIM(INDEX($A119:$AL119,MATCH(Lists!$F$12,$A$1:$AL$1,0))&amp;""),""))</f>
        <v/>
      </c>
    </row>
    <row r="120">
      <c r="AM120" s="19" t="n"/>
      <c r="AN120" s="23" t="n"/>
      <c r="AO120" s="23" t="n"/>
      <c r="AP120" s="23" t="n"/>
      <c r="AQ120" s="23" t="n"/>
      <c r="AR120" s="19" t="n"/>
      <c r="AS120" s="21">
        <f>IF(IFERROR(TRIM(INDEX($A120:$AL120,MATCH(Lists!$F$2,$A$1:$AL$1,0))&amp;""),"")="","",IF(AND(IFERROR(TRIM(INDEX($A120:$AL120,MATCH(Lists!$F$3,$A$1:$AL$1,0))&amp;""),"")="Other",IFERROR(TRIM(INDEX($A120:$AL120,MATCH(Lists!$F$4,$A$1:$AL$1,0))&amp;""),"")&lt;&gt;""),IFERROR(TRIM(INDEX($A120:$AL120,MATCH(Lists!$F$4,$A$1:$AL$1,0))&amp;""),""),IF(IFERROR(TRIM(INDEX($A120:$AL120,MATCH(Lists!$F$3,$A$1:$AL$1,0))&amp;""),"")="","(no space)",IFERROR(TRIM(INDEX($A120:$AL120,MATCH(Lists!$F$3,$A$1:$AL$1,0))&amp;""),""))))</f>
        <v/>
      </c>
      <c r="AT120" s="22">
        <f>IF(IFERROR(TRIM(INDEX($A120:$AL120,MATCH(Lists!$F$2,$A$1:$AL$1,0))&amp;""),"")="",0,N(IFERROR(IF(TRIM(INDEX($A120:$AL120,MATCH(Lists!$F$5,$A$1:$AL$1,0))&amp;"")="","",IF(ISNUMBER(INDEX($A120:$AL120,MATCH(Lists!$F$5,$A$1:$AL$1,0))),INT(INDEX($A120:$AL120,MATCH(Lists!$F$5,$A$1:$AL$1,0))),DATE(VALUE(LEFT(INDEX($A120:$AL120,MATCH(Lists!$F$5,$A$1:$AL$1,0)),4)),VALUE(MID(INDEX($A120:$AL120,MATCH(Lists!$F$5,$A$1:$AL$1,0)),6,2)),VALUE(MID(INDEX($A120:$AL120,MATCH(Lists!$F$5,$A$1:$AL$1,0)),9,2))))),"")))</f>
        <v/>
      </c>
      <c r="AU120" s="21">
        <f>IF(IFERROR(TRIM(INDEX($A120:$AL120,MATCH(Lists!$F$2,$A$1:$AL$1,0))&amp;""),"")="",-1,IF(ISNUMBER(IFERROR(IF(TRIM(INDEX($A120:$AL120,MATCH(Lists!$F$6,$A$1:$AL$1,0))&amp;"")="","",IF(ISNUMBER(INDEX($A120:$AL120,MATCH(Lists!$F$6,$A$1:$AL$1,0))),ROUND(MOD(INDEX($A120:$AL120,MATCH(Lists!$F$6,$A$1:$AL$1,0)),1)*1440,0),VALUE(LEFT(INDEX($A120:$AL120,MATCH(Lists!$F$6,$A$1:$AL$1,0)),2))*60+VALUE(MID(INDEX($A120:$AL120,MATCH(Lists!$F$6,$A$1:$AL$1,0)),4,2)))),"")),IFERROR(IF(TRIM(INDEX($A120:$AL120,MATCH(Lists!$F$6,$A$1:$AL$1,0))&amp;"")="","",IF(ISNUMBER(INDEX($A120:$AL120,MATCH(Lists!$F$6,$A$1:$AL$1,0))),ROUND(MOD(INDEX($A120:$AL120,MATCH(Lists!$F$6,$A$1:$AL$1,0)),1)*1440,0),VALUE(LEFT(INDEX($A120:$AL120,MATCH(Lists!$F$6,$A$1:$AL$1,0)),2))*60+VALUE(MID(INDEX($A120:$AL120,MATCH(Lists!$F$6,$A$1:$AL$1,0)),4,2)))),""),-1))</f>
        <v/>
      </c>
      <c r="AV120" s="21">
        <f>IF(IFERROR(TRIM(INDEX($A120:$AL120,MATCH(Lists!$F$2,$A$1:$AL$1,0))&amp;""),"")="",-1,IF(ISNUMBER(IFERROR(IF(TRIM(INDEX($A120:$AL120,MATCH(Lists!$F$7,$A$1:$AL$1,0))&amp;"")="","",IF(ISNUMBER(INDEX($A120:$AL120,MATCH(Lists!$F$7,$A$1:$AL$1,0))),ROUND(MOD(INDEX($A120:$AL120,MATCH(Lists!$F$7,$A$1:$AL$1,0)),1)*1440,0),VALUE(LEFT(INDEX($A120:$AL120,MATCH(Lists!$F$7,$A$1:$AL$1,0)),2))*60+VALUE(MID(INDEX($A120:$AL120,MATCH(Lists!$F$7,$A$1:$AL$1,0)),4,2)))),"")),IFERROR(IF(TRIM(INDEX($A120:$AL120,MATCH(Lists!$F$7,$A$1:$AL$1,0))&amp;"")="","",IF(ISNUMBER(INDEX($A120:$AL120,MATCH(Lists!$F$7,$A$1:$AL$1,0))),ROUND(MOD(INDEX($A120:$AL120,MATCH(Lists!$F$7,$A$1:$AL$1,0)),1)*1440,0),VALUE(LEFT(INDEX($A120:$AL120,MATCH(Lists!$F$7,$A$1:$AL$1,0)),2))*60+VALUE(MID(INDEX($A120:$AL120,MATCH(Lists!$F$7,$A$1:$AL$1,0)),4,2)))),""),-1))</f>
        <v/>
      </c>
      <c r="AW120" s="21">
        <f>IF(IFERROR(TRIM(INDEX($A120:$AL120,MATCH(Lists!$F$2,$A$1:$AL$1,0))&amp;""),"")="","",IF(IFERROR(TRIM(INDEX($A120:$AL120,MATCH(Lists!$F$8,$A$1:$AL$1,0))&amp;""),"")&lt;&gt;"",IFERROR(TRIM(INDEX($A120:$AL120,MATCH(Lists!$F$8,$A$1:$AL$1,0))&amp;""),""),IFERROR(TRIM(INDEX($A120:$AL120,MATCH(Lists!$F$9,$A$1:$AL$1,0))&amp;""),"")))</f>
        <v/>
      </c>
      <c r="AX120" s="21">
        <f>IFERROR(IF(TRIM(INDEX($A120:$AL120,MATCH(Lists!$F$10,$A$1:$AL$1,0))&amp;"")="","",VALUE(TRIM(INDEX($A120:$AL120,MATCH(Lists!$F$10,$A$1:$AL$1,0))&amp;""))),"")</f>
        <v/>
      </c>
      <c r="AY120" s="21">
        <f>IF(IFERROR(TRIM(INDEX($A120:$AL120,MATCH(Lists!$F$2,$A$1:$AL$1,0))&amp;""),"")="","",IF(AN120="","New",AN120))</f>
        <v/>
      </c>
      <c r="AZ120" s="21">
        <f>IF(IFERROR(TRIM(INDEX($A120:$AL120,MATCH(Lists!$F$2,$A$1:$AL$1,0))&amp;""),"")="","",IF(OR(IFERROR(TRIM(INDEX($A120:$AL120,MATCH(Lists!$F$13,$A$1:$AL$1,0))&amp;""),"")="Paid",IFERROR(TRIM(INDEX($A120:$AL120,MATCH(Lists!$F$13,$A$1:$AL$1,0))&amp;""),"")="Partially refunded"),"Paid",IF(AP120="Yes","Paid (by hand)",IFERROR(TRIM(INDEX($A120:$AL120,MATCH(Lists!$F$13,$A$1:$AL$1,0))&amp;""),""))))</f>
        <v/>
      </c>
      <c r="BA120" s="21">
        <f>IF(AND(IFERROR(TRIM(INDEX($A120:$AL120,MATCH(Lists!$F$2,$A$1:$AL$1,0))&amp;""),"")&lt;&gt;"",AT120&gt;0,AU120&gt;=0,AV120&gt;AU120,AY120&lt;&gt;"Declined"),1,0)</f>
        <v/>
      </c>
      <c r="BB120" s="21">
        <f>IF(BA120=1,COUNTIFS($AS$2:$AS$501,AS120,$AT$2:$AT$501,AT120,$AU$2:$AU$501,"&lt;"&amp;AV120,$AV$2:$AV$501,"&gt;"&amp;AU120,$BA$2:$BA$501,1)-1,"")</f>
        <v/>
      </c>
      <c r="BC120" s="21">
        <f>IF(N(BB120)&gt;0,"Clashes with "&amp;INDEX($AW$2:$AW$501,SUMPRODUCT(MAX(($AS$2:$AS$501=AS120)*($AT$2:$AT$501=AT120)*($AU$2:$AU$501&lt;AV120)*($AV$2:$AV$501&gt;AU120)*($BA$2:$BA$501=1)*(ROW($AS$2:$AS$501)&lt;&gt;ROW())*ROW($AS$2:$AS$501)))-1)&amp;" ("&amp;INDEX($AY$2:$AY$501,SUMPRODUCT(MAX(($AS$2:$AS$501=AS120)*($AT$2:$AT$501=AT120)*($AU$2:$AU$501&lt;AV120)*($AV$2:$AV$501&gt;AU120)*($BA$2:$BA$501=1)*(ROW($AS$2:$AS$501)&lt;&gt;ROW())*ROW($AS$2:$AS$501)))-1)&amp;")"&amp;IF(BB120&gt;1," and "&amp;(BB120-1)&amp;" more",""),"")</f>
        <v/>
      </c>
      <c r="BD120" s="21">
        <f>IF(AND(BA120=1,AY120="Confirmed"),AT120*10000000+AU120*1000+ROW(),"")</f>
        <v/>
      </c>
      <c r="BE120" s="21">
        <f>IF(IFERROR(TRIM(INDEX($A120:$AL120,MATCH(Lists!$F$2,$A$1:$AL$1,0))&amp;""),"")="","",IFERROR(TRIM(INDEX($A120:$AL120,MATCH(Lists!$F$11,$A$1:$AL$1,0))&amp;""),""))</f>
        <v/>
      </c>
      <c r="BF120" s="21">
        <f>IF(IFERROR(TRIM(INDEX($A120:$AL120,MATCH(Lists!$F$2,$A$1:$AL$1,0))&amp;""),"")="","",IFERROR(TRIM(INDEX($A120:$AL120,MATCH(Lists!$F$12,$A$1:$AL$1,0))&amp;""),""))</f>
        <v/>
      </c>
    </row>
    <row r="121">
      <c r="AM121" s="19" t="n"/>
      <c r="AN121" s="23" t="n"/>
      <c r="AO121" s="23" t="n"/>
      <c r="AP121" s="23" t="n"/>
      <c r="AQ121" s="23" t="n"/>
      <c r="AR121" s="19" t="n"/>
      <c r="AS121" s="21">
        <f>IF(IFERROR(TRIM(INDEX($A121:$AL121,MATCH(Lists!$F$2,$A$1:$AL$1,0))&amp;""),"")="","",IF(AND(IFERROR(TRIM(INDEX($A121:$AL121,MATCH(Lists!$F$3,$A$1:$AL$1,0))&amp;""),"")="Other",IFERROR(TRIM(INDEX($A121:$AL121,MATCH(Lists!$F$4,$A$1:$AL$1,0))&amp;""),"")&lt;&gt;""),IFERROR(TRIM(INDEX($A121:$AL121,MATCH(Lists!$F$4,$A$1:$AL$1,0))&amp;""),""),IF(IFERROR(TRIM(INDEX($A121:$AL121,MATCH(Lists!$F$3,$A$1:$AL$1,0))&amp;""),"")="","(no space)",IFERROR(TRIM(INDEX($A121:$AL121,MATCH(Lists!$F$3,$A$1:$AL$1,0))&amp;""),""))))</f>
        <v/>
      </c>
      <c r="AT121" s="22">
        <f>IF(IFERROR(TRIM(INDEX($A121:$AL121,MATCH(Lists!$F$2,$A$1:$AL$1,0))&amp;""),"")="",0,N(IFERROR(IF(TRIM(INDEX($A121:$AL121,MATCH(Lists!$F$5,$A$1:$AL$1,0))&amp;"")="","",IF(ISNUMBER(INDEX($A121:$AL121,MATCH(Lists!$F$5,$A$1:$AL$1,0))),INT(INDEX($A121:$AL121,MATCH(Lists!$F$5,$A$1:$AL$1,0))),DATE(VALUE(LEFT(INDEX($A121:$AL121,MATCH(Lists!$F$5,$A$1:$AL$1,0)),4)),VALUE(MID(INDEX($A121:$AL121,MATCH(Lists!$F$5,$A$1:$AL$1,0)),6,2)),VALUE(MID(INDEX($A121:$AL121,MATCH(Lists!$F$5,$A$1:$AL$1,0)),9,2))))),"")))</f>
        <v/>
      </c>
      <c r="AU121" s="21">
        <f>IF(IFERROR(TRIM(INDEX($A121:$AL121,MATCH(Lists!$F$2,$A$1:$AL$1,0))&amp;""),"")="",-1,IF(ISNUMBER(IFERROR(IF(TRIM(INDEX($A121:$AL121,MATCH(Lists!$F$6,$A$1:$AL$1,0))&amp;"")="","",IF(ISNUMBER(INDEX($A121:$AL121,MATCH(Lists!$F$6,$A$1:$AL$1,0))),ROUND(MOD(INDEX($A121:$AL121,MATCH(Lists!$F$6,$A$1:$AL$1,0)),1)*1440,0),VALUE(LEFT(INDEX($A121:$AL121,MATCH(Lists!$F$6,$A$1:$AL$1,0)),2))*60+VALUE(MID(INDEX($A121:$AL121,MATCH(Lists!$F$6,$A$1:$AL$1,0)),4,2)))),"")),IFERROR(IF(TRIM(INDEX($A121:$AL121,MATCH(Lists!$F$6,$A$1:$AL$1,0))&amp;"")="","",IF(ISNUMBER(INDEX($A121:$AL121,MATCH(Lists!$F$6,$A$1:$AL$1,0))),ROUND(MOD(INDEX($A121:$AL121,MATCH(Lists!$F$6,$A$1:$AL$1,0)),1)*1440,0),VALUE(LEFT(INDEX($A121:$AL121,MATCH(Lists!$F$6,$A$1:$AL$1,0)),2))*60+VALUE(MID(INDEX($A121:$AL121,MATCH(Lists!$F$6,$A$1:$AL$1,0)),4,2)))),""),-1))</f>
        <v/>
      </c>
      <c r="AV121" s="21">
        <f>IF(IFERROR(TRIM(INDEX($A121:$AL121,MATCH(Lists!$F$2,$A$1:$AL$1,0))&amp;""),"")="",-1,IF(ISNUMBER(IFERROR(IF(TRIM(INDEX($A121:$AL121,MATCH(Lists!$F$7,$A$1:$AL$1,0))&amp;"")="","",IF(ISNUMBER(INDEX($A121:$AL121,MATCH(Lists!$F$7,$A$1:$AL$1,0))),ROUND(MOD(INDEX($A121:$AL121,MATCH(Lists!$F$7,$A$1:$AL$1,0)),1)*1440,0),VALUE(LEFT(INDEX($A121:$AL121,MATCH(Lists!$F$7,$A$1:$AL$1,0)),2))*60+VALUE(MID(INDEX($A121:$AL121,MATCH(Lists!$F$7,$A$1:$AL$1,0)),4,2)))),"")),IFERROR(IF(TRIM(INDEX($A121:$AL121,MATCH(Lists!$F$7,$A$1:$AL$1,0))&amp;"")="","",IF(ISNUMBER(INDEX($A121:$AL121,MATCH(Lists!$F$7,$A$1:$AL$1,0))),ROUND(MOD(INDEX($A121:$AL121,MATCH(Lists!$F$7,$A$1:$AL$1,0)),1)*1440,0),VALUE(LEFT(INDEX($A121:$AL121,MATCH(Lists!$F$7,$A$1:$AL$1,0)),2))*60+VALUE(MID(INDEX($A121:$AL121,MATCH(Lists!$F$7,$A$1:$AL$1,0)),4,2)))),""),-1))</f>
        <v/>
      </c>
      <c r="AW121" s="21">
        <f>IF(IFERROR(TRIM(INDEX($A121:$AL121,MATCH(Lists!$F$2,$A$1:$AL$1,0))&amp;""),"")="","",IF(IFERROR(TRIM(INDEX($A121:$AL121,MATCH(Lists!$F$8,$A$1:$AL$1,0))&amp;""),"")&lt;&gt;"",IFERROR(TRIM(INDEX($A121:$AL121,MATCH(Lists!$F$8,$A$1:$AL$1,0))&amp;""),""),IFERROR(TRIM(INDEX($A121:$AL121,MATCH(Lists!$F$9,$A$1:$AL$1,0))&amp;""),"")))</f>
        <v/>
      </c>
      <c r="AX121" s="21">
        <f>IFERROR(IF(TRIM(INDEX($A121:$AL121,MATCH(Lists!$F$10,$A$1:$AL$1,0))&amp;"")="","",VALUE(TRIM(INDEX($A121:$AL121,MATCH(Lists!$F$10,$A$1:$AL$1,0))&amp;""))),"")</f>
        <v/>
      </c>
      <c r="AY121" s="21">
        <f>IF(IFERROR(TRIM(INDEX($A121:$AL121,MATCH(Lists!$F$2,$A$1:$AL$1,0))&amp;""),"")="","",IF(AN121="","New",AN121))</f>
        <v/>
      </c>
      <c r="AZ121" s="21">
        <f>IF(IFERROR(TRIM(INDEX($A121:$AL121,MATCH(Lists!$F$2,$A$1:$AL$1,0))&amp;""),"")="","",IF(OR(IFERROR(TRIM(INDEX($A121:$AL121,MATCH(Lists!$F$13,$A$1:$AL$1,0))&amp;""),"")="Paid",IFERROR(TRIM(INDEX($A121:$AL121,MATCH(Lists!$F$13,$A$1:$AL$1,0))&amp;""),"")="Partially refunded"),"Paid",IF(AP121="Yes","Paid (by hand)",IFERROR(TRIM(INDEX($A121:$AL121,MATCH(Lists!$F$13,$A$1:$AL$1,0))&amp;""),""))))</f>
        <v/>
      </c>
      <c r="BA121" s="21">
        <f>IF(AND(IFERROR(TRIM(INDEX($A121:$AL121,MATCH(Lists!$F$2,$A$1:$AL$1,0))&amp;""),"")&lt;&gt;"",AT121&gt;0,AU121&gt;=0,AV121&gt;AU121,AY121&lt;&gt;"Declined"),1,0)</f>
        <v/>
      </c>
      <c r="BB121" s="21">
        <f>IF(BA121=1,COUNTIFS($AS$2:$AS$501,AS121,$AT$2:$AT$501,AT121,$AU$2:$AU$501,"&lt;"&amp;AV121,$AV$2:$AV$501,"&gt;"&amp;AU121,$BA$2:$BA$501,1)-1,"")</f>
        <v/>
      </c>
      <c r="BC121" s="21">
        <f>IF(N(BB121)&gt;0,"Clashes with "&amp;INDEX($AW$2:$AW$501,SUMPRODUCT(MAX(($AS$2:$AS$501=AS121)*($AT$2:$AT$501=AT121)*($AU$2:$AU$501&lt;AV121)*($AV$2:$AV$501&gt;AU121)*($BA$2:$BA$501=1)*(ROW($AS$2:$AS$501)&lt;&gt;ROW())*ROW($AS$2:$AS$501)))-1)&amp;" ("&amp;INDEX($AY$2:$AY$501,SUMPRODUCT(MAX(($AS$2:$AS$501=AS121)*($AT$2:$AT$501=AT121)*($AU$2:$AU$501&lt;AV121)*($AV$2:$AV$501&gt;AU121)*($BA$2:$BA$501=1)*(ROW($AS$2:$AS$501)&lt;&gt;ROW())*ROW($AS$2:$AS$501)))-1)&amp;")"&amp;IF(BB121&gt;1," and "&amp;(BB121-1)&amp;" more",""),"")</f>
        <v/>
      </c>
      <c r="BD121" s="21">
        <f>IF(AND(BA121=1,AY121="Confirmed"),AT121*10000000+AU121*1000+ROW(),"")</f>
        <v/>
      </c>
      <c r="BE121" s="21">
        <f>IF(IFERROR(TRIM(INDEX($A121:$AL121,MATCH(Lists!$F$2,$A$1:$AL$1,0))&amp;""),"")="","",IFERROR(TRIM(INDEX($A121:$AL121,MATCH(Lists!$F$11,$A$1:$AL$1,0))&amp;""),""))</f>
        <v/>
      </c>
      <c r="BF121" s="21">
        <f>IF(IFERROR(TRIM(INDEX($A121:$AL121,MATCH(Lists!$F$2,$A$1:$AL$1,0))&amp;""),"")="","",IFERROR(TRIM(INDEX($A121:$AL121,MATCH(Lists!$F$12,$A$1:$AL$1,0))&amp;""),""))</f>
        <v/>
      </c>
    </row>
    <row r="122">
      <c r="AM122" s="19" t="n"/>
      <c r="AN122" s="23" t="n"/>
      <c r="AO122" s="23" t="n"/>
      <c r="AP122" s="23" t="n"/>
      <c r="AQ122" s="23" t="n"/>
      <c r="AR122" s="19" t="n"/>
      <c r="AS122" s="21">
        <f>IF(IFERROR(TRIM(INDEX($A122:$AL122,MATCH(Lists!$F$2,$A$1:$AL$1,0))&amp;""),"")="","",IF(AND(IFERROR(TRIM(INDEX($A122:$AL122,MATCH(Lists!$F$3,$A$1:$AL$1,0))&amp;""),"")="Other",IFERROR(TRIM(INDEX($A122:$AL122,MATCH(Lists!$F$4,$A$1:$AL$1,0))&amp;""),"")&lt;&gt;""),IFERROR(TRIM(INDEX($A122:$AL122,MATCH(Lists!$F$4,$A$1:$AL$1,0))&amp;""),""),IF(IFERROR(TRIM(INDEX($A122:$AL122,MATCH(Lists!$F$3,$A$1:$AL$1,0))&amp;""),"")="","(no space)",IFERROR(TRIM(INDEX($A122:$AL122,MATCH(Lists!$F$3,$A$1:$AL$1,0))&amp;""),""))))</f>
        <v/>
      </c>
      <c r="AT122" s="22">
        <f>IF(IFERROR(TRIM(INDEX($A122:$AL122,MATCH(Lists!$F$2,$A$1:$AL$1,0))&amp;""),"")="",0,N(IFERROR(IF(TRIM(INDEX($A122:$AL122,MATCH(Lists!$F$5,$A$1:$AL$1,0))&amp;"")="","",IF(ISNUMBER(INDEX($A122:$AL122,MATCH(Lists!$F$5,$A$1:$AL$1,0))),INT(INDEX($A122:$AL122,MATCH(Lists!$F$5,$A$1:$AL$1,0))),DATE(VALUE(LEFT(INDEX($A122:$AL122,MATCH(Lists!$F$5,$A$1:$AL$1,0)),4)),VALUE(MID(INDEX($A122:$AL122,MATCH(Lists!$F$5,$A$1:$AL$1,0)),6,2)),VALUE(MID(INDEX($A122:$AL122,MATCH(Lists!$F$5,$A$1:$AL$1,0)),9,2))))),"")))</f>
        <v/>
      </c>
      <c r="AU122" s="21">
        <f>IF(IFERROR(TRIM(INDEX($A122:$AL122,MATCH(Lists!$F$2,$A$1:$AL$1,0))&amp;""),"")="",-1,IF(ISNUMBER(IFERROR(IF(TRIM(INDEX($A122:$AL122,MATCH(Lists!$F$6,$A$1:$AL$1,0))&amp;"")="","",IF(ISNUMBER(INDEX($A122:$AL122,MATCH(Lists!$F$6,$A$1:$AL$1,0))),ROUND(MOD(INDEX($A122:$AL122,MATCH(Lists!$F$6,$A$1:$AL$1,0)),1)*1440,0),VALUE(LEFT(INDEX($A122:$AL122,MATCH(Lists!$F$6,$A$1:$AL$1,0)),2))*60+VALUE(MID(INDEX($A122:$AL122,MATCH(Lists!$F$6,$A$1:$AL$1,0)),4,2)))),"")),IFERROR(IF(TRIM(INDEX($A122:$AL122,MATCH(Lists!$F$6,$A$1:$AL$1,0))&amp;"")="","",IF(ISNUMBER(INDEX($A122:$AL122,MATCH(Lists!$F$6,$A$1:$AL$1,0))),ROUND(MOD(INDEX($A122:$AL122,MATCH(Lists!$F$6,$A$1:$AL$1,0)),1)*1440,0),VALUE(LEFT(INDEX($A122:$AL122,MATCH(Lists!$F$6,$A$1:$AL$1,0)),2))*60+VALUE(MID(INDEX($A122:$AL122,MATCH(Lists!$F$6,$A$1:$AL$1,0)),4,2)))),""),-1))</f>
        <v/>
      </c>
      <c r="AV122" s="21">
        <f>IF(IFERROR(TRIM(INDEX($A122:$AL122,MATCH(Lists!$F$2,$A$1:$AL$1,0))&amp;""),"")="",-1,IF(ISNUMBER(IFERROR(IF(TRIM(INDEX($A122:$AL122,MATCH(Lists!$F$7,$A$1:$AL$1,0))&amp;"")="","",IF(ISNUMBER(INDEX($A122:$AL122,MATCH(Lists!$F$7,$A$1:$AL$1,0))),ROUND(MOD(INDEX($A122:$AL122,MATCH(Lists!$F$7,$A$1:$AL$1,0)),1)*1440,0),VALUE(LEFT(INDEX($A122:$AL122,MATCH(Lists!$F$7,$A$1:$AL$1,0)),2))*60+VALUE(MID(INDEX($A122:$AL122,MATCH(Lists!$F$7,$A$1:$AL$1,0)),4,2)))),"")),IFERROR(IF(TRIM(INDEX($A122:$AL122,MATCH(Lists!$F$7,$A$1:$AL$1,0))&amp;"")="","",IF(ISNUMBER(INDEX($A122:$AL122,MATCH(Lists!$F$7,$A$1:$AL$1,0))),ROUND(MOD(INDEX($A122:$AL122,MATCH(Lists!$F$7,$A$1:$AL$1,0)),1)*1440,0),VALUE(LEFT(INDEX($A122:$AL122,MATCH(Lists!$F$7,$A$1:$AL$1,0)),2))*60+VALUE(MID(INDEX($A122:$AL122,MATCH(Lists!$F$7,$A$1:$AL$1,0)),4,2)))),""),-1))</f>
        <v/>
      </c>
      <c r="AW122" s="21">
        <f>IF(IFERROR(TRIM(INDEX($A122:$AL122,MATCH(Lists!$F$2,$A$1:$AL$1,0))&amp;""),"")="","",IF(IFERROR(TRIM(INDEX($A122:$AL122,MATCH(Lists!$F$8,$A$1:$AL$1,0))&amp;""),"")&lt;&gt;"",IFERROR(TRIM(INDEX($A122:$AL122,MATCH(Lists!$F$8,$A$1:$AL$1,0))&amp;""),""),IFERROR(TRIM(INDEX($A122:$AL122,MATCH(Lists!$F$9,$A$1:$AL$1,0))&amp;""),"")))</f>
        <v/>
      </c>
      <c r="AX122" s="21">
        <f>IFERROR(IF(TRIM(INDEX($A122:$AL122,MATCH(Lists!$F$10,$A$1:$AL$1,0))&amp;"")="","",VALUE(TRIM(INDEX($A122:$AL122,MATCH(Lists!$F$10,$A$1:$AL$1,0))&amp;""))),"")</f>
        <v/>
      </c>
      <c r="AY122" s="21">
        <f>IF(IFERROR(TRIM(INDEX($A122:$AL122,MATCH(Lists!$F$2,$A$1:$AL$1,0))&amp;""),"")="","",IF(AN122="","New",AN122))</f>
        <v/>
      </c>
      <c r="AZ122" s="21">
        <f>IF(IFERROR(TRIM(INDEX($A122:$AL122,MATCH(Lists!$F$2,$A$1:$AL$1,0))&amp;""),"")="","",IF(OR(IFERROR(TRIM(INDEX($A122:$AL122,MATCH(Lists!$F$13,$A$1:$AL$1,0))&amp;""),"")="Paid",IFERROR(TRIM(INDEX($A122:$AL122,MATCH(Lists!$F$13,$A$1:$AL$1,0))&amp;""),"")="Partially refunded"),"Paid",IF(AP122="Yes","Paid (by hand)",IFERROR(TRIM(INDEX($A122:$AL122,MATCH(Lists!$F$13,$A$1:$AL$1,0))&amp;""),""))))</f>
        <v/>
      </c>
      <c r="BA122" s="21">
        <f>IF(AND(IFERROR(TRIM(INDEX($A122:$AL122,MATCH(Lists!$F$2,$A$1:$AL$1,0))&amp;""),"")&lt;&gt;"",AT122&gt;0,AU122&gt;=0,AV122&gt;AU122,AY122&lt;&gt;"Declined"),1,0)</f>
        <v/>
      </c>
      <c r="BB122" s="21">
        <f>IF(BA122=1,COUNTIFS($AS$2:$AS$501,AS122,$AT$2:$AT$501,AT122,$AU$2:$AU$501,"&lt;"&amp;AV122,$AV$2:$AV$501,"&gt;"&amp;AU122,$BA$2:$BA$501,1)-1,"")</f>
        <v/>
      </c>
      <c r="BC122" s="21">
        <f>IF(N(BB122)&gt;0,"Clashes with "&amp;INDEX($AW$2:$AW$501,SUMPRODUCT(MAX(($AS$2:$AS$501=AS122)*($AT$2:$AT$501=AT122)*($AU$2:$AU$501&lt;AV122)*($AV$2:$AV$501&gt;AU122)*($BA$2:$BA$501=1)*(ROW($AS$2:$AS$501)&lt;&gt;ROW())*ROW($AS$2:$AS$501)))-1)&amp;" ("&amp;INDEX($AY$2:$AY$501,SUMPRODUCT(MAX(($AS$2:$AS$501=AS122)*($AT$2:$AT$501=AT122)*($AU$2:$AU$501&lt;AV122)*($AV$2:$AV$501&gt;AU122)*($BA$2:$BA$501=1)*(ROW($AS$2:$AS$501)&lt;&gt;ROW())*ROW($AS$2:$AS$501)))-1)&amp;")"&amp;IF(BB122&gt;1," and "&amp;(BB122-1)&amp;" more",""),"")</f>
        <v/>
      </c>
      <c r="BD122" s="21">
        <f>IF(AND(BA122=1,AY122="Confirmed"),AT122*10000000+AU122*1000+ROW(),"")</f>
        <v/>
      </c>
      <c r="BE122" s="21">
        <f>IF(IFERROR(TRIM(INDEX($A122:$AL122,MATCH(Lists!$F$2,$A$1:$AL$1,0))&amp;""),"")="","",IFERROR(TRIM(INDEX($A122:$AL122,MATCH(Lists!$F$11,$A$1:$AL$1,0))&amp;""),""))</f>
        <v/>
      </c>
      <c r="BF122" s="21">
        <f>IF(IFERROR(TRIM(INDEX($A122:$AL122,MATCH(Lists!$F$2,$A$1:$AL$1,0))&amp;""),"")="","",IFERROR(TRIM(INDEX($A122:$AL122,MATCH(Lists!$F$12,$A$1:$AL$1,0))&amp;""),""))</f>
        <v/>
      </c>
    </row>
    <row r="123">
      <c r="AM123" s="19" t="n"/>
      <c r="AN123" s="23" t="n"/>
      <c r="AO123" s="23" t="n"/>
      <c r="AP123" s="23" t="n"/>
      <c r="AQ123" s="23" t="n"/>
      <c r="AR123" s="19" t="n"/>
      <c r="AS123" s="21">
        <f>IF(IFERROR(TRIM(INDEX($A123:$AL123,MATCH(Lists!$F$2,$A$1:$AL$1,0))&amp;""),"")="","",IF(AND(IFERROR(TRIM(INDEX($A123:$AL123,MATCH(Lists!$F$3,$A$1:$AL$1,0))&amp;""),"")="Other",IFERROR(TRIM(INDEX($A123:$AL123,MATCH(Lists!$F$4,$A$1:$AL$1,0))&amp;""),"")&lt;&gt;""),IFERROR(TRIM(INDEX($A123:$AL123,MATCH(Lists!$F$4,$A$1:$AL$1,0))&amp;""),""),IF(IFERROR(TRIM(INDEX($A123:$AL123,MATCH(Lists!$F$3,$A$1:$AL$1,0))&amp;""),"")="","(no space)",IFERROR(TRIM(INDEX($A123:$AL123,MATCH(Lists!$F$3,$A$1:$AL$1,0))&amp;""),""))))</f>
        <v/>
      </c>
      <c r="AT123" s="22">
        <f>IF(IFERROR(TRIM(INDEX($A123:$AL123,MATCH(Lists!$F$2,$A$1:$AL$1,0))&amp;""),"")="",0,N(IFERROR(IF(TRIM(INDEX($A123:$AL123,MATCH(Lists!$F$5,$A$1:$AL$1,0))&amp;"")="","",IF(ISNUMBER(INDEX($A123:$AL123,MATCH(Lists!$F$5,$A$1:$AL$1,0))),INT(INDEX($A123:$AL123,MATCH(Lists!$F$5,$A$1:$AL$1,0))),DATE(VALUE(LEFT(INDEX($A123:$AL123,MATCH(Lists!$F$5,$A$1:$AL$1,0)),4)),VALUE(MID(INDEX($A123:$AL123,MATCH(Lists!$F$5,$A$1:$AL$1,0)),6,2)),VALUE(MID(INDEX($A123:$AL123,MATCH(Lists!$F$5,$A$1:$AL$1,0)),9,2))))),"")))</f>
        <v/>
      </c>
      <c r="AU123" s="21">
        <f>IF(IFERROR(TRIM(INDEX($A123:$AL123,MATCH(Lists!$F$2,$A$1:$AL$1,0))&amp;""),"")="",-1,IF(ISNUMBER(IFERROR(IF(TRIM(INDEX($A123:$AL123,MATCH(Lists!$F$6,$A$1:$AL$1,0))&amp;"")="","",IF(ISNUMBER(INDEX($A123:$AL123,MATCH(Lists!$F$6,$A$1:$AL$1,0))),ROUND(MOD(INDEX($A123:$AL123,MATCH(Lists!$F$6,$A$1:$AL$1,0)),1)*1440,0),VALUE(LEFT(INDEX($A123:$AL123,MATCH(Lists!$F$6,$A$1:$AL$1,0)),2))*60+VALUE(MID(INDEX($A123:$AL123,MATCH(Lists!$F$6,$A$1:$AL$1,0)),4,2)))),"")),IFERROR(IF(TRIM(INDEX($A123:$AL123,MATCH(Lists!$F$6,$A$1:$AL$1,0))&amp;"")="","",IF(ISNUMBER(INDEX($A123:$AL123,MATCH(Lists!$F$6,$A$1:$AL$1,0))),ROUND(MOD(INDEX($A123:$AL123,MATCH(Lists!$F$6,$A$1:$AL$1,0)),1)*1440,0),VALUE(LEFT(INDEX($A123:$AL123,MATCH(Lists!$F$6,$A$1:$AL$1,0)),2))*60+VALUE(MID(INDEX($A123:$AL123,MATCH(Lists!$F$6,$A$1:$AL$1,0)),4,2)))),""),-1))</f>
        <v/>
      </c>
      <c r="AV123" s="21">
        <f>IF(IFERROR(TRIM(INDEX($A123:$AL123,MATCH(Lists!$F$2,$A$1:$AL$1,0))&amp;""),"")="",-1,IF(ISNUMBER(IFERROR(IF(TRIM(INDEX($A123:$AL123,MATCH(Lists!$F$7,$A$1:$AL$1,0))&amp;"")="","",IF(ISNUMBER(INDEX($A123:$AL123,MATCH(Lists!$F$7,$A$1:$AL$1,0))),ROUND(MOD(INDEX($A123:$AL123,MATCH(Lists!$F$7,$A$1:$AL$1,0)),1)*1440,0),VALUE(LEFT(INDEX($A123:$AL123,MATCH(Lists!$F$7,$A$1:$AL$1,0)),2))*60+VALUE(MID(INDEX($A123:$AL123,MATCH(Lists!$F$7,$A$1:$AL$1,0)),4,2)))),"")),IFERROR(IF(TRIM(INDEX($A123:$AL123,MATCH(Lists!$F$7,$A$1:$AL$1,0))&amp;"")="","",IF(ISNUMBER(INDEX($A123:$AL123,MATCH(Lists!$F$7,$A$1:$AL$1,0))),ROUND(MOD(INDEX($A123:$AL123,MATCH(Lists!$F$7,$A$1:$AL$1,0)),1)*1440,0),VALUE(LEFT(INDEX($A123:$AL123,MATCH(Lists!$F$7,$A$1:$AL$1,0)),2))*60+VALUE(MID(INDEX($A123:$AL123,MATCH(Lists!$F$7,$A$1:$AL$1,0)),4,2)))),""),-1))</f>
        <v/>
      </c>
      <c r="AW123" s="21">
        <f>IF(IFERROR(TRIM(INDEX($A123:$AL123,MATCH(Lists!$F$2,$A$1:$AL$1,0))&amp;""),"")="","",IF(IFERROR(TRIM(INDEX($A123:$AL123,MATCH(Lists!$F$8,$A$1:$AL$1,0))&amp;""),"")&lt;&gt;"",IFERROR(TRIM(INDEX($A123:$AL123,MATCH(Lists!$F$8,$A$1:$AL$1,0))&amp;""),""),IFERROR(TRIM(INDEX($A123:$AL123,MATCH(Lists!$F$9,$A$1:$AL$1,0))&amp;""),"")))</f>
        <v/>
      </c>
      <c r="AX123" s="21">
        <f>IFERROR(IF(TRIM(INDEX($A123:$AL123,MATCH(Lists!$F$10,$A$1:$AL$1,0))&amp;"")="","",VALUE(TRIM(INDEX($A123:$AL123,MATCH(Lists!$F$10,$A$1:$AL$1,0))&amp;""))),"")</f>
        <v/>
      </c>
      <c r="AY123" s="21">
        <f>IF(IFERROR(TRIM(INDEX($A123:$AL123,MATCH(Lists!$F$2,$A$1:$AL$1,0))&amp;""),"")="","",IF(AN123="","New",AN123))</f>
        <v/>
      </c>
      <c r="AZ123" s="21">
        <f>IF(IFERROR(TRIM(INDEX($A123:$AL123,MATCH(Lists!$F$2,$A$1:$AL$1,0))&amp;""),"")="","",IF(OR(IFERROR(TRIM(INDEX($A123:$AL123,MATCH(Lists!$F$13,$A$1:$AL$1,0))&amp;""),"")="Paid",IFERROR(TRIM(INDEX($A123:$AL123,MATCH(Lists!$F$13,$A$1:$AL$1,0))&amp;""),"")="Partially refunded"),"Paid",IF(AP123="Yes","Paid (by hand)",IFERROR(TRIM(INDEX($A123:$AL123,MATCH(Lists!$F$13,$A$1:$AL$1,0))&amp;""),""))))</f>
        <v/>
      </c>
      <c r="BA123" s="21">
        <f>IF(AND(IFERROR(TRIM(INDEX($A123:$AL123,MATCH(Lists!$F$2,$A$1:$AL$1,0))&amp;""),"")&lt;&gt;"",AT123&gt;0,AU123&gt;=0,AV123&gt;AU123,AY123&lt;&gt;"Declined"),1,0)</f>
        <v/>
      </c>
      <c r="BB123" s="21">
        <f>IF(BA123=1,COUNTIFS($AS$2:$AS$501,AS123,$AT$2:$AT$501,AT123,$AU$2:$AU$501,"&lt;"&amp;AV123,$AV$2:$AV$501,"&gt;"&amp;AU123,$BA$2:$BA$501,1)-1,"")</f>
        <v/>
      </c>
      <c r="BC123" s="21">
        <f>IF(N(BB123)&gt;0,"Clashes with "&amp;INDEX($AW$2:$AW$501,SUMPRODUCT(MAX(($AS$2:$AS$501=AS123)*($AT$2:$AT$501=AT123)*($AU$2:$AU$501&lt;AV123)*($AV$2:$AV$501&gt;AU123)*($BA$2:$BA$501=1)*(ROW($AS$2:$AS$501)&lt;&gt;ROW())*ROW($AS$2:$AS$501)))-1)&amp;" ("&amp;INDEX($AY$2:$AY$501,SUMPRODUCT(MAX(($AS$2:$AS$501=AS123)*($AT$2:$AT$501=AT123)*($AU$2:$AU$501&lt;AV123)*($AV$2:$AV$501&gt;AU123)*($BA$2:$BA$501=1)*(ROW($AS$2:$AS$501)&lt;&gt;ROW())*ROW($AS$2:$AS$501)))-1)&amp;")"&amp;IF(BB123&gt;1," and "&amp;(BB123-1)&amp;" more",""),"")</f>
        <v/>
      </c>
      <c r="BD123" s="21">
        <f>IF(AND(BA123=1,AY123="Confirmed"),AT123*10000000+AU123*1000+ROW(),"")</f>
        <v/>
      </c>
      <c r="BE123" s="21">
        <f>IF(IFERROR(TRIM(INDEX($A123:$AL123,MATCH(Lists!$F$2,$A$1:$AL$1,0))&amp;""),"")="","",IFERROR(TRIM(INDEX($A123:$AL123,MATCH(Lists!$F$11,$A$1:$AL$1,0))&amp;""),""))</f>
        <v/>
      </c>
      <c r="BF123" s="21">
        <f>IF(IFERROR(TRIM(INDEX($A123:$AL123,MATCH(Lists!$F$2,$A$1:$AL$1,0))&amp;""),"")="","",IFERROR(TRIM(INDEX($A123:$AL123,MATCH(Lists!$F$12,$A$1:$AL$1,0))&amp;""),""))</f>
        <v/>
      </c>
    </row>
    <row r="124">
      <c r="AM124" s="19" t="n"/>
      <c r="AN124" s="23" t="n"/>
      <c r="AO124" s="23" t="n"/>
      <c r="AP124" s="23" t="n"/>
      <c r="AQ124" s="23" t="n"/>
      <c r="AR124" s="19" t="n"/>
      <c r="AS124" s="21">
        <f>IF(IFERROR(TRIM(INDEX($A124:$AL124,MATCH(Lists!$F$2,$A$1:$AL$1,0))&amp;""),"")="","",IF(AND(IFERROR(TRIM(INDEX($A124:$AL124,MATCH(Lists!$F$3,$A$1:$AL$1,0))&amp;""),"")="Other",IFERROR(TRIM(INDEX($A124:$AL124,MATCH(Lists!$F$4,$A$1:$AL$1,0))&amp;""),"")&lt;&gt;""),IFERROR(TRIM(INDEX($A124:$AL124,MATCH(Lists!$F$4,$A$1:$AL$1,0))&amp;""),""),IF(IFERROR(TRIM(INDEX($A124:$AL124,MATCH(Lists!$F$3,$A$1:$AL$1,0))&amp;""),"")="","(no space)",IFERROR(TRIM(INDEX($A124:$AL124,MATCH(Lists!$F$3,$A$1:$AL$1,0))&amp;""),""))))</f>
        <v/>
      </c>
      <c r="AT124" s="22">
        <f>IF(IFERROR(TRIM(INDEX($A124:$AL124,MATCH(Lists!$F$2,$A$1:$AL$1,0))&amp;""),"")="",0,N(IFERROR(IF(TRIM(INDEX($A124:$AL124,MATCH(Lists!$F$5,$A$1:$AL$1,0))&amp;"")="","",IF(ISNUMBER(INDEX($A124:$AL124,MATCH(Lists!$F$5,$A$1:$AL$1,0))),INT(INDEX($A124:$AL124,MATCH(Lists!$F$5,$A$1:$AL$1,0))),DATE(VALUE(LEFT(INDEX($A124:$AL124,MATCH(Lists!$F$5,$A$1:$AL$1,0)),4)),VALUE(MID(INDEX($A124:$AL124,MATCH(Lists!$F$5,$A$1:$AL$1,0)),6,2)),VALUE(MID(INDEX($A124:$AL124,MATCH(Lists!$F$5,$A$1:$AL$1,0)),9,2))))),"")))</f>
        <v/>
      </c>
      <c r="AU124" s="21">
        <f>IF(IFERROR(TRIM(INDEX($A124:$AL124,MATCH(Lists!$F$2,$A$1:$AL$1,0))&amp;""),"")="",-1,IF(ISNUMBER(IFERROR(IF(TRIM(INDEX($A124:$AL124,MATCH(Lists!$F$6,$A$1:$AL$1,0))&amp;"")="","",IF(ISNUMBER(INDEX($A124:$AL124,MATCH(Lists!$F$6,$A$1:$AL$1,0))),ROUND(MOD(INDEX($A124:$AL124,MATCH(Lists!$F$6,$A$1:$AL$1,0)),1)*1440,0),VALUE(LEFT(INDEX($A124:$AL124,MATCH(Lists!$F$6,$A$1:$AL$1,0)),2))*60+VALUE(MID(INDEX($A124:$AL124,MATCH(Lists!$F$6,$A$1:$AL$1,0)),4,2)))),"")),IFERROR(IF(TRIM(INDEX($A124:$AL124,MATCH(Lists!$F$6,$A$1:$AL$1,0))&amp;"")="","",IF(ISNUMBER(INDEX($A124:$AL124,MATCH(Lists!$F$6,$A$1:$AL$1,0))),ROUND(MOD(INDEX($A124:$AL124,MATCH(Lists!$F$6,$A$1:$AL$1,0)),1)*1440,0),VALUE(LEFT(INDEX($A124:$AL124,MATCH(Lists!$F$6,$A$1:$AL$1,0)),2))*60+VALUE(MID(INDEX($A124:$AL124,MATCH(Lists!$F$6,$A$1:$AL$1,0)),4,2)))),""),-1))</f>
        <v/>
      </c>
      <c r="AV124" s="21">
        <f>IF(IFERROR(TRIM(INDEX($A124:$AL124,MATCH(Lists!$F$2,$A$1:$AL$1,0))&amp;""),"")="",-1,IF(ISNUMBER(IFERROR(IF(TRIM(INDEX($A124:$AL124,MATCH(Lists!$F$7,$A$1:$AL$1,0))&amp;"")="","",IF(ISNUMBER(INDEX($A124:$AL124,MATCH(Lists!$F$7,$A$1:$AL$1,0))),ROUND(MOD(INDEX($A124:$AL124,MATCH(Lists!$F$7,$A$1:$AL$1,0)),1)*1440,0),VALUE(LEFT(INDEX($A124:$AL124,MATCH(Lists!$F$7,$A$1:$AL$1,0)),2))*60+VALUE(MID(INDEX($A124:$AL124,MATCH(Lists!$F$7,$A$1:$AL$1,0)),4,2)))),"")),IFERROR(IF(TRIM(INDEX($A124:$AL124,MATCH(Lists!$F$7,$A$1:$AL$1,0))&amp;"")="","",IF(ISNUMBER(INDEX($A124:$AL124,MATCH(Lists!$F$7,$A$1:$AL$1,0))),ROUND(MOD(INDEX($A124:$AL124,MATCH(Lists!$F$7,$A$1:$AL$1,0)),1)*1440,0),VALUE(LEFT(INDEX($A124:$AL124,MATCH(Lists!$F$7,$A$1:$AL$1,0)),2))*60+VALUE(MID(INDEX($A124:$AL124,MATCH(Lists!$F$7,$A$1:$AL$1,0)),4,2)))),""),-1))</f>
        <v/>
      </c>
      <c r="AW124" s="21">
        <f>IF(IFERROR(TRIM(INDEX($A124:$AL124,MATCH(Lists!$F$2,$A$1:$AL$1,0))&amp;""),"")="","",IF(IFERROR(TRIM(INDEX($A124:$AL124,MATCH(Lists!$F$8,$A$1:$AL$1,0))&amp;""),"")&lt;&gt;"",IFERROR(TRIM(INDEX($A124:$AL124,MATCH(Lists!$F$8,$A$1:$AL$1,0))&amp;""),""),IFERROR(TRIM(INDEX($A124:$AL124,MATCH(Lists!$F$9,$A$1:$AL$1,0))&amp;""),"")))</f>
        <v/>
      </c>
      <c r="AX124" s="21">
        <f>IFERROR(IF(TRIM(INDEX($A124:$AL124,MATCH(Lists!$F$10,$A$1:$AL$1,0))&amp;"")="","",VALUE(TRIM(INDEX($A124:$AL124,MATCH(Lists!$F$10,$A$1:$AL$1,0))&amp;""))),"")</f>
        <v/>
      </c>
      <c r="AY124" s="21">
        <f>IF(IFERROR(TRIM(INDEX($A124:$AL124,MATCH(Lists!$F$2,$A$1:$AL$1,0))&amp;""),"")="","",IF(AN124="","New",AN124))</f>
        <v/>
      </c>
      <c r="AZ124" s="21">
        <f>IF(IFERROR(TRIM(INDEX($A124:$AL124,MATCH(Lists!$F$2,$A$1:$AL$1,0))&amp;""),"")="","",IF(OR(IFERROR(TRIM(INDEX($A124:$AL124,MATCH(Lists!$F$13,$A$1:$AL$1,0))&amp;""),"")="Paid",IFERROR(TRIM(INDEX($A124:$AL124,MATCH(Lists!$F$13,$A$1:$AL$1,0))&amp;""),"")="Partially refunded"),"Paid",IF(AP124="Yes","Paid (by hand)",IFERROR(TRIM(INDEX($A124:$AL124,MATCH(Lists!$F$13,$A$1:$AL$1,0))&amp;""),""))))</f>
        <v/>
      </c>
      <c r="BA124" s="21">
        <f>IF(AND(IFERROR(TRIM(INDEX($A124:$AL124,MATCH(Lists!$F$2,$A$1:$AL$1,0))&amp;""),"")&lt;&gt;"",AT124&gt;0,AU124&gt;=0,AV124&gt;AU124,AY124&lt;&gt;"Declined"),1,0)</f>
        <v/>
      </c>
      <c r="BB124" s="21">
        <f>IF(BA124=1,COUNTIFS($AS$2:$AS$501,AS124,$AT$2:$AT$501,AT124,$AU$2:$AU$501,"&lt;"&amp;AV124,$AV$2:$AV$501,"&gt;"&amp;AU124,$BA$2:$BA$501,1)-1,"")</f>
        <v/>
      </c>
      <c r="BC124" s="21">
        <f>IF(N(BB124)&gt;0,"Clashes with "&amp;INDEX($AW$2:$AW$501,SUMPRODUCT(MAX(($AS$2:$AS$501=AS124)*($AT$2:$AT$501=AT124)*($AU$2:$AU$501&lt;AV124)*($AV$2:$AV$501&gt;AU124)*($BA$2:$BA$501=1)*(ROW($AS$2:$AS$501)&lt;&gt;ROW())*ROW($AS$2:$AS$501)))-1)&amp;" ("&amp;INDEX($AY$2:$AY$501,SUMPRODUCT(MAX(($AS$2:$AS$501=AS124)*($AT$2:$AT$501=AT124)*($AU$2:$AU$501&lt;AV124)*($AV$2:$AV$501&gt;AU124)*($BA$2:$BA$501=1)*(ROW($AS$2:$AS$501)&lt;&gt;ROW())*ROW($AS$2:$AS$501)))-1)&amp;")"&amp;IF(BB124&gt;1," and "&amp;(BB124-1)&amp;" more",""),"")</f>
        <v/>
      </c>
      <c r="BD124" s="21">
        <f>IF(AND(BA124=1,AY124="Confirmed"),AT124*10000000+AU124*1000+ROW(),"")</f>
        <v/>
      </c>
      <c r="BE124" s="21">
        <f>IF(IFERROR(TRIM(INDEX($A124:$AL124,MATCH(Lists!$F$2,$A$1:$AL$1,0))&amp;""),"")="","",IFERROR(TRIM(INDEX($A124:$AL124,MATCH(Lists!$F$11,$A$1:$AL$1,0))&amp;""),""))</f>
        <v/>
      </c>
      <c r="BF124" s="21">
        <f>IF(IFERROR(TRIM(INDEX($A124:$AL124,MATCH(Lists!$F$2,$A$1:$AL$1,0))&amp;""),"")="","",IFERROR(TRIM(INDEX($A124:$AL124,MATCH(Lists!$F$12,$A$1:$AL$1,0))&amp;""),""))</f>
        <v/>
      </c>
    </row>
    <row r="125">
      <c r="AM125" s="19" t="n"/>
      <c r="AN125" s="23" t="n"/>
      <c r="AO125" s="23" t="n"/>
      <c r="AP125" s="23" t="n"/>
      <c r="AQ125" s="23" t="n"/>
      <c r="AR125" s="19" t="n"/>
      <c r="AS125" s="21">
        <f>IF(IFERROR(TRIM(INDEX($A125:$AL125,MATCH(Lists!$F$2,$A$1:$AL$1,0))&amp;""),"")="","",IF(AND(IFERROR(TRIM(INDEX($A125:$AL125,MATCH(Lists!$F$3,$A$1:$AL$1,0))&amp;""),"")="Other",IFERROR(TRIM(INDEX($A125:$AL125,MATCH(Lists!$F$4,$A$1:$AL$1,0))&amp;""),"")&lt;&gt;""),IFERROR(TRIM(INDEX($A125:$AL125,MATCH(Lists!$F$4,$A$1:$AL$1,0))&amp;""),""),IF(IFERROR(TRIM(INDEX($A125:$AL125,MATCH(Lists!$F$3,$A$1:$AL$1,0))&amp;""),"")="","(no space)",IFERROR(TRIM(INDEX($A125:$AL125,MATCH(Lists!$F$3,$A$1:$AL$1,0))&amp;""),""))))</f>
        <v/>
      </c>
      <c r="AT125" s="22">
        <f>IF(IFERROR(TRIM(INDEX($A125:$AL125,MATCH(Lists!$F$2,$A$1:$AL$1,0))&amp;""),"")="",0,N(IFERROR(IF(TRIM(INDEX($A125:$AL125,MATCH(Lists!$F$5,$A$1:$AL$1,0))&amp;"")="","",IF(ISNUMBER(INDEX($A125:$AL125,MATCH(Lists!$F$5,$A$1:$AL$1,0))),INT(INDEX($A125:$AL125,MATCH(Lists!$F$5,$A$1:$AL$1,0))),DATE(VALUE(LEFT(INDEX($A125:$AL125,MATCH(Lists!$F$5,$A$1:$AL$1,0)),4)),VALUE(MID(INDEX($A125:$AL125,MATCH(Lists!$F$5,$A$1:$AL$1,0)),6,2)),VALUE(MID(INDEX($A125:$AL125,MATCH(Lists!$F$5,$A$1:$AL$1,0)),9,2))))),"")))</f>
        <v/>
      </c>
      <c r="AU125" s="21">
        <f>IF(IFERROR(TRIM(INDEX($A125:$AL125,MATCH(Lists!$F$2,$A$1:$AL$1,0))&amp;""),"")="",-1,IF(ISNUMBER(IFERROR(IF(TRIM(INDEX($A125:$AL125,MATCH(Lists!$F$6,$A$1:$AL$1,0))&amp;"")="","",IF(ISNUMBER(INDEX($A125:$AL125,MATCH(Lists!$F$6,$A$1:$AL$1,0))),ROUND(MOD(INDEX($A125:$AL125,MATCH(Lists!$F$6,$A$1:$AL$1,0)),1)*1440,0),VALUE(LEFT(INDEX($A125:$AL125,MATCH(Lists!$F$6,$A$1:$AL$1,0)),2))*60+VALUE(MID(INDEX($A125:$AL125,MATCH(Lists!$F$6,$A$1:$AL$1,0)),4,2)))),"")),IFERROR(IF(TRIM(INDEX($A125:$AL125,MATCH(Lists!$F$6,$A$1:$AL$1,0))&amp;"")="","",IF(ISNUMBER(INDEX($A125:$AL125,MATCH(Lists!$F$6,$A$1:$AL$1,0))),ROUND(MOD(INDEX($A125:$AL125,MATCH(Lists!$F$6,$A$1:$AL$1,0)),1)*1440,0),VALUE(LEFT(INDEX($A125:$AL125,MATCH(Lists!$F$6,$A$1:$AL$1,0)),2))*60+VALUE(MID(INDEX($A125:$AL125,MATCH(Lists!$F$6,$A$1:$AL$1,0)),4,2)))),""),-1))</f>
        <v/>
      </c>
      <c r="AV125" s="21">
        <f>IF(IFERROR(TRIM(INDEX($A125:$AL125,MATCH(Lists!$F$2,$A$1:$AL$1,0))&amp;""),"")="",-1,IF(ISNUMBER(IFERROR(IF(TRIM(INDEX($A125:$AL125,MATCH(Lists!$F$7,$A$1:$AL$1,0))&amp;"")="","",IF(ISNUMBER(INDEX($A125:$AL125,MATCH(Lists!$F$7,$A$1:$AL$1,0))),ROUND(MOD(INDEX($A125:$AL125,MATCH(Lists!$F$7,$A$1:$AL$1,0)),1)*1440,0),VALUE(LEFT(INDEX($A125:$AL125,MATCH(Lists!$F$7,$A$1:$AL$1,0)),2))*60+VALUE(MID(INDEX($A125:$AL125,MATCH(Lists!$F$7,$A$1:$AL$1,0)),4,2)))),"")),IFERROR(IF(TRIM(INDEX($A125:$AL125,MATCH(Lists!$F$7,$A$1:$AL$1,0))&amp;"")="","",IF(ISNUMBER(INDEX($A125:$AL125,MATCH(Lists!$F$7,$A$1:$AL$1,0))),ROUND(MOD(INDEX($A125:$AL125,MATCH(Lists!$F$7,$A$1:$AL$1,0)),1)*1440,0),VALUE(LEFT(INDEX($A125:$AL125,MATCH(Lists!$F$7,$A$1:$AL$1,0)),2))*60+VALUE(MID(INDEX($A125:$AL125,MATCH(Lists!$F$7,$A$1:$AL$1,0)),4,2)))),""),-1))</f>
        <v/>
      </c>
      <c r="AW125" s="21">
        <f>IF(IFERROR(TRIM(INDEX($A125:$AL125,MATCH(Lists!$F$2,$A$1:$AL$1,0))&amp;""),"")="","",IF(IFERROR(TRIM(INDEX($A125:$AL125,MATCH(Lists!$F$8,$A$1:$AL$1,0))&amp;""),"")&lt;&gt;"",IFERROR(TRIM(INDEX($A125:$AL125,MATCH(Lists!$F$8,$A$1:$AL$1,0))&amp;""),""),IFERROR(TRIM(INDEX($A125:$AL125,MATCH(Lists!$F$9,$A$1:$AL$1,0))&amp;""),"")))</f>
        <v/>
      </c>
      <c r="AX125" s="21">
        <f>IFERROR(IF(TRIM(INDEX($A125:$AL125,MATCH(Lists!$F$10,$A$1:$AL$1,0))&amp;"")="","",VALUE(TRIM(INDEX($A125:$AL125,MATCH(Lists!$F$10,$A$1:$AL$1,0))&amp;""))),"")</f>
        <v/>
      </c>
      <c r="AY125" s="21">
        <f>IF(IFERROR(TRIM(INDEX($A125:$AL125,MATCH(Lists!$F$2,$A$1:$AL$1,0))&amp;""),"")="","",IF(AN125="","New",AN125))</f>
        <v/>
      </c>
      <c r="AZ125" s="21">
        <f>IF(IFERROR(TRIM(INDEX($A125:$AL125,MATCH(Lists!$F$2,$A$1:$AL$1,0))&amp;""),"")="","",IF(OR(IFERROR(TRIM(INDEX($A125:$AL125,MATCH(Lists!$F$13,$A$1:$AL$1,0))&amp;""),"")="Paid",IFERROR(TRIM(INDEX($A125:$AL125,MATCH(Lists!$F$13,$A$1:$AL$1,0))&amp;""),"")="Partially refunded"),"Paid",IF(AP125="Yes","Paid (by hand)",IFERROR(TRIM(INDEX($A125:$AL125,MATCH(Lists!$F$13,$A$1:$AL$1,0))&amp;""),""))))</f>
        <v/>
      </c>
      <c r="BA125" s="21">
        <f>IF(AND(IFERROR(TRIM(INDEX($A125:$AL125,MATCH(Lists!$F$2,$A$1:$AL$1,0))&amp;""),"")&lt;&gt;"",AT125&gt;0,AU125&gt;=0,AV125&gt;AU125,AY125&lt;&gt;"Declined"),1,0)</f>
        <v/>
      </c>
      <c r="BB125" s="21">
        <f>IF(BA125=1,COUNTIFS($AS$2:$AS$501,AS125,$AT$2:$AT$501,AT125,$AU$2:$AU$501,"&lt;"&amp;AV125,$AV$2:$AV$501,"&gt;"&amp;AU125,$BA$2:$BA$501,1)-1,"")</f>
        <v/>
      </c>
      <c r="BC125" s="21">
        <f>IF(N(BB125)&gt;0,"Clashes with "&amp;INDEX($AW$2:$AW$501,SUMPRODUCT(MAX(($AS$2:$AS$501=AS125)*($AT$2:$AT$501=AT125)*($AU$2:$AU$501&lt;AV125)*($AV$2:$AV$501&gt;AU125)*($BA$2:$BA$501=1)*(ROW($AS$2:$AS$501)&lt;&gt;ROW())*ROW($AS$2:$AS$501)))-1)&amp;" ("&amp;INDEX($AY$2:$AY$501,SUMPRODUCT(MAX(($AS$2:$AS$501=AS125)*($AT$2:$AT$501=AT125)*($AU$2:$AU$501&lt;AV125)*($AV$2:$AV$501&gt;AU125)*($BA$2:$BA$501=1)*(ROW($AS$2:$AS$501)&lt;&gt;ROW())*ROW($AS$2:$AS$501)))-1)&amp;")"&amp;IF(BB125&gt;1," and "&amp;(BB125-1)&amp;" more",""),"")</f>
        <v/>
      </c>
      <c r="BD125" s="21">
        <f>IF(AND(BA125=1,AY125="Confirmed"),AT125*10000000+AU125*1000+ROW(),"")</f>
        <v/>
      </c>
      <c r="BE125" s="21">
        <f>IF(IFERROR(TRIM(INDEX($A125:$AL125,MATCH(Lists!$F$2,$A$1:$AL$1,0))&amp;""),"")="","",IFERROR(TRIM(INDEX($A125:$AL125,MATCH(Lists!$F$11,$A$1:$AL$1,0))&amp;""),""))</f>
        <v/>
      </c>
      <c r="BF125" s="21">
        <f>IF(IFERROR(TRIM(INDEX($A125:$AL125,MATCH(Lists!$F$2,$A$1:$AL$1,0))&amp;""),"")="","",IFERROR(TRIM(INDEX($A125:$AL125,MATCH(Lists!$F$12,$A$1:$AL$1,0))&amp;""),""))</f>
        <v/>
      </c>
    </row>
    <row r="126">
      <c r="AM126" s="19" t="n"/>
      <c r="AN126" s="23" t="n"/>
      <c r="AO126" s="23" t="n"/>
      <c r="AP126" s="23" t="n"/>
      <c r="AQ126" s="23" t="n"/>
      <c r="AR126" s="19" t="n"/>
      <c r="AS126" s="21">
        <f>IF(IFERROR(TRIM(INDEX($A126:$AL126,MATCH(Lists!$F$2,$A$1:$AL$1,0))&amp;""),"")="","",IF(AND(IFERROR(TRIM(INDEX($A126:$AL126,MATCH(Lists!$F$3,$A$1:$AL$1,0))&amp;""),"")="Other",IFERROR(TRIM(INDEX($A126:$AL126,MATCH(Lists!$F$4,$A$1:$AL$1,0))&amp;""),"")&lt;&gt;""),IFERROR(TRIM(INDEX($A126:$AL126,MATCH(Lists!$F$4,$A$1:$AL$1,0))&amp;""),""),IF(IFERROR(TRIM(INDEX($A126:$AL126,MATCH(Lists!$F$3,$A$1:$AL$1,0))&amp;""),"")="","(no space)",IFERROR(TRIM(INDEX($A126:$AL126,MATCH(Lists!$F$3,$A$1:$AL$1,0))&amp;""),""))))</f>
        <v/>
      </c>
      <c r="AT126" s="22">
        <f>IF(IFERROR(TRIM(INDEX($A126:$AL126,MATCH(Lists!$F$2,$A$1:$AL$1,0))&amp;""),"")="",0,N(IFERROR(IF(TRIM(INDEX($A126:$AL126,MATCH(Lists!$F$5,$A$1:$AL$1,0))&amp;"")="","",IF(ISNUMBER(INDEX($A126:$AL126,MATCH(Lists!$F$5,$A$1:$AL$1,0))),INT(INDEX($A126:$AL126,MATCH(Lists!$F$5,$A$1:$AL$1,0))),DATE(VALUE(LEFT(INDEX($A126:$AL126,MATCH(Lists!$F$5,$A$1:$AL$1,0)),4)),VALUE(MID(INDEX($A126:$AL126,MATCH(Lists!$F$5,$A$1:$AL$1,0)),6,2)),VALUE(MID(INDEX($A126:$AL126,MATCH(Lists!$F$5,$A$1:$AL$1,0)),9,2))))),"")))</f>
        <v/>
      </c>
      <c r="AU126" s="21">
        <f>IF(IFERROR(TRIM(INDEX($A126:$AL126,MATCH(Lists!$F$2,$A$1:$AL$1,0))&amp;""),"")="",-1,IF(ISNUMBER(IFERROR(IF(TRIM(INDEX($A126:$AL126,MATCH(Lists!$F$6,$A$1:$AL$1,0))&amp;"")="","",IF(ISNUMBER(INDEX($A126:$AL126,MATCH(Lists!$F$6,$A$1:$AL$1,0))),ROUND(MOD(INDEX($A126:$AL126,MATCH(Lists!$F$6,$A$1:$AL$1,0)),1)*1440,0),VALUE(LEFT(INDEX($A126:$AL126,MATCH(Lists!$F$6,$A$1:$AL$1,0)),2))*60+VALUE(MID(INDEX($A126:$AL126,MATCH(Lists!$F$6,$A$1:$AL$1,0)),4,2)))),"")),IFERROR(IF(TRIM(INDEX($A126:$AL126,MATCH(Lists!$F$6,$A$1:$AL$1,0))&amp;"")="","",IF(ISNUMBER(INDEX($A126:$AL126,MATCH(Lists!$F$6,$A$1:$AL$1,0))),ROUND(MOD(INDEX($A126:$AL126,MATCH(Lists!$F$6,$A$1:$AL$1,0)),1)*1440,0),VALUE(LEFT(INDEX($A126:$AL126,MATCH(Lists!$F$6,$A$1:$AL$1,0)),2))*60+VALUE(MID(INDEX($A126:$AL126,MATCH(Lists!$F$6,$A$1:$AL$1,0)),4,2)))),""),-1))</f>
        <v/>
      </c>
      <c r="AV126" s="21">
        <f>IF(IFERROR(TRIM(INDEX($A126:$AL126,MATCH(Lists!$F$2,$A$1:$AL$1,0))&amp;""),"")="",-1,IF(ISNUMBER(IFERROR(IF(TRIM(INDEX($A126:$AL126,MATCH(Lists!$F$7,$A$1:$AL$1,0))&amp;"")="","",IF(ISNUMBER(INDEX($A126:$AL126,MATCH(Lists!$F$7,$A$1:$AL$1,0))),ROUND(MOD(INDEX($A126:$AL126,MATCH(Lists!$F$7,$A$1:$AL$1,0)),1)*1440,0),VALUE(LEFT(INDEX($A126:$AL126,MATCH(Lists!$F$7,$A$1:$AL$1,0)),2))*60+VALUE(MID(INDEX($A126:$AL126,MATCH(Lists!$F$7,$A$1:$AL$1,0)),4,2)))),"")),IFERROR(IF(TRIM(INDEX($A126:$AL126,MATCH(Lists!$F$7,$A$1:$AL$1,0))&amp;"")="","",IF(ISNUMBER(INDEX($A126:$AL126,MATCH(Lists!$F$7,$A$1:$AL$1,0))),ROUND(MOD(INDEX($A126:$AL126,MATCH(Lists!$F$7,$A$1:$AL$1,0)),1)*1440,0),VALUE(LEFT(INDEX($A126:$AL126,MATCH(Lists!$F$7,$A$1:$AL$1,0)),2))*60+VALUE(MID(INDEX($A126:$AL126,MATCH(Lists!$F$7,$A$1:$AL$1,0)),4,2)))),""),-1))</f>
        <v/>
      </c>
      <c r="AW126" s="21">
        <f>IF(IFERROR(TRIM(INDEX($A126:$AL126,MATCH(Lists!$F$2,$A$1:$AL$1,0))&amp;""),"")="","",IF(IFERROR(TRIM(INDEX($A126:$AL126,MATCH(Lists!$F$8,$A$1:$AL$1,0))&amp;""),"")&lt;&gt;"",IFERROR(TRIM(INDEX($A126:$AL126,MATCH(Lists!$F$8,$A$1:$AL$1,0))&amp;""),""),IFERROR(TRIM(INDEX($A126:$AL126,MATCH(Lists!$F$9,$A$1:$AL$1,0))&amp;""),"")))</f>
        <v/>
      </c>
      <c r="AX126" s="21">
        <f>IFERROR(IF(TRIM(INDEX($A126:$AL126,MATCH(Lists!$F$10,$A$1:$AL$1,0))&amp;"")="","",VALUE(TRIM(INDEX($A126:$AL126,MATCH(Lists!$F$10,$A$1:$AL$1,0))&amp;""))),"")</f>
        <v/>
      </c>
      <c r="AY126" s="21">
        <f>IF(IFERROR(TRIM(INDEX($A126:$AL126,MATCH(Lists!$F$2,$A$1:$AL$1,0))&amp;""),"")="","",IF(AN126="","New",AN126))</f>
        <v/>
      </c>
      <c r="AZ126" s="21">
        <f>IF(IFERROR(TRIM(INDEX($A126:$AL126,MATCH(Lists!$F$2,$A$1:$AL$1,0))&amp;""),"")="","",IF(OR(IFERROR(TRIM(INDEX($A126:$AL126,MATCH(Lists!$F$13,$A$1:$AL$1,0))&amp;""),"")="Paid",IFERROR(TRIM(INDEX($A126:$AL126,MATCH(Lists!$F$13,$A$1:$AL$1,0))&amp;""),"")="Partially refunded"),"Paid",IF(AP126="Yes","Paid (by hand)",IFERROR(TRIM(INDEX($A126:$AL126,MATCH(Lists!$F$13,$A$1:$AL$1,0))&amp;""),""))))</f>
        <v/>
      </c>
      <c r="BA126" s="21">
        <f>IF(AND(IFERROR(TRIM(INDEX($A126:$AL126,MATCH(Lists!$F$2,$A$1:$AL$1,0))&amp;""),"")&lt;&gt;"",AT126&gt;0,AU126&gt;=0,AV126&gt;AU126,AY126&lt;&gt;"Declined"),1,0)</f>
        <v/>
      </c>
      <c r="BB126" s="21">
        <f>IF(BA126=1,COUNTIFS($AS$2:$AS$501,AS126,$AT$2:$AT$501,AT126,$AU$2:$AU$501,"&lt;"&amp;AV126,$AV$2:$AV$501,"&gt;"&amp;AU126,$BA$2:$BA$501,1)-1,"")</f>
        <v/>
      </c>
      <c r="BC126" s="21">
        <f>IF(N(BB126)&gt;0,"Clashes with "&amp;INDEX($AW$2:$AW$501,SUMPRODUCT(MAX(($AS$2:$AS$501=AS126)*($AT$2:$AT$501=AT126)*($AU$2:$AU$501&lt;AV126)*($AV$2:$AV$501&gt;AU126)*($BA$2:$BA$501=1)*(ROW($AS$2:$AS$501)&lt;&gt;ROW())*ROW($AS$2:$AS$501)))-1)&amp;" ("&amp;INDEX($AY$2:$AY$501,SUMPRODUCT(MAX(($AS$2:$AS$501=AS126)*($AT$2:$AT$501=AT126)*($AU$2:$AU$501&lt;AV126)*($AV$2:$AV$501&gt;AU126)*($BA$2:$BA$501=1)*(ROW($AS$2:$AS$501)&lt;&gt;ROW())*ROW($AS$2:$AS$501)))-1)&amp;")"&amp;IF(BB126&gt;1," and "&amp;(BB126-1)&amp;" more",""),"")</f>
        <v/>
      </c>
      <c r="BD126" s="21">
        <f>IF(AND(BA126=1,AY126="Confirmed"),AT126*10000000+AU126*1000+ROW(),"")</f>
        <v/>
      </c>
      <c r="BE126" s="21">
        <f>IF(IFERROR(TRIM(INDEX($A126:$AL126,MATCH(Lists!$F$2,$A$1:$AL$1,0))&amp;""),"")="","",IFERROR(TRIM(INDEX($A126:$AL126,MATCH(Lists!$F$11,$A$1:$AL$1,0))&amp;""),""))</f>
        <v/>
      </c>
      <c r="BF126" s="21">
        <f>IF(IFERROR(TRIM(INDEX($A126:$AL126,MATCH(Lists!$F$2,$A$1:$AL$1,0))&amp;""),"")="","",IFERROR(TRIM(INDEX($A126:$AL126,MATCH(Lists!$F$12,$A$1:$AL$1,0))&amp;""),""))</f>
        <v/>
      </c>
    </row>
    <row r="127">
      <c r="AM127" s="19" t="n"/>
      <c r="AN127" s="23" t="n"/>
      <c r="AO127" s="23" t="n"/>
      <c r="AP127" s="23" t="n"/>
      <c r="AQ127" s="23" t="n"/>
      <c r="AR127" s="19" t="n"/>
      <c r="AS127" s="21">
        <f>IF(IFERROR(TRIM(INDEX($A127:$AL127,MATCH(Lists!$F$2,$A$1:$AL$1,0))&amp;""),"")="","",IF(AND(IFERROR(TRIM(INDEX($A127:$AL127,MATCH(Lists!$F$3,$A$1:$AL$1,0))&amp;""),"")="Other",IFERROR(TRIM(INDEX($A127:$AL127,MATCH(Lists!$F$4,$A$1:$AL$1,0))&amp;""),"")&lt;&gt;""),IFERROR(TRIM(INDEX($A127:$AL127,MATCH(Lists!$F$4,$A$1:$AL$1,0))&amp;""),""),IF(IFERROR(TRIM(INDEX($A127:$AL127,MATCH(Lists!$F$3,$A$1:$AL$1,0))&amp;""),"")="","(no space)",IFERROR(TRIM(INDEX($A127:$AL127,MATCH(Lists!$F$3,$A$1:$AL$1,0))&amp;""),""))))</f>
        <v/>
      </c>
      <c r="AT127" s="22">
        <f>IF(IFERROR(TRIM(INDEX($A127:$AL127,MATCH(Lists!$F$2,$A$1:$AL$1,0))&amp;""),"")="",0,N(IFERROR(IF(TRIM(INDEX($A127:$AL127,MATCH(Lists!$F$5,$A$1:$AL$1,0))&amp;"")="","",IF(ISNUMBER(INDEX($A127:$AL127,MATCH(Lists!$F$5,$A$1:$AL$1,0))),INT(INDEX($A127:$AL127,MATCH(Lists!$F$5,$A$1:$AL$1,0))),DATE(VALUE(LEFT(INDEX($A127:$AL127,MATCH(Lists!$F$5,$A$1:$AL$1,0)),4)),VALUE(MID(INDEX($A127:$AL127,MATCH(Lists!$F$5,$A$1:$AL$1,0)),6,2)),VALUE(MID(INDEX($A127:$AL127,MATCH(Lists!$F$5,$A$1:$AL$1,0)),9,2))))),"")))</f>
        <v/>
      </c>
      <c r="AU127" s="21">
        <f>IF(IFERROR(TRIM(INDEX($A127:$AL127,MATCH(Lists!$F$2,$A$1:$AL$1,0))&amp;""),"")="",-1,IF(ISNUMBER(IFERROR(IF(TRIM(INDEX($A127:$AL127,MATCH(Lists!$F$6,$A$1:$AL$1,0))&amp;"")="","",IF(ISNUMBER(INDEX($A127:$AL127,MATCH(Lists!$F$6,$A$1:$AL$1,0))),ROUND(MOD(INDEX($A127:$AL127,MATCH(Lists!$F$6,$A$1:$AL$1,0)),1)*1440,0),VALUE(LEFT(INDEX($A127:$AL127,MATCH(Lists!$F$6,$A$1:$AL$1,0)),2))*60+VALUE(MID(INDEX($A127:$AL127,MATCH(Lists!$F$6,$A$1:$AL$1,0)),4,2)))),"")),IFERROR(IF(TRIM(INDEX($A127:$AL127,MATCH(Lists!$F$6,$A$1:$AL$1,0))&amp;"")="","",IF(ISNUMBER(INDEX($A127:$AL127,MATCH(Lists!$F$6,$A$1:$AL$1,0))),ROUND(MOD(INDEX($A127:$AL127,MATCH(Lists!$F$6,$A$1:$AL$1,0)),1)*1440,0),VALUE(LEFT(INDEX($A127:$AL127,MATCH(Lists!$F$6,$A$1:$AL$1,0)),2))*60+VALUE(MID(INDEX($A127:$AL127,MATCH(Lists!$F$6,$A$1:$AL$1,0)),4,2)))),""),-1))</f>
        <v/>
      </c>
      <c r="AV127" s="21">
        <f>IF(IFERROR(TRIM(INDEX($A127:$AL127,MATCH(Lists!$F$2,$A$1:$AL$1,0))&amp;""),"")="",-1,IF(ISNUMBER(IFERROR(IF(TRIM(INDEX($A127:$AL127,MATCH(Lists!$F$7,$A$1:$AL$1,0))&amp;"")="","",IF(ISNUMBER(INDEX($A127:$AL127,MATCH(Lists!$F$7,$A$1:$AL$1,0))),ROUND(MOD(INDEX($A127:$AL127,MATCH(Lists!$F$7,$A$1:$AL$1,0)),1)*1440,0),VALUE(LEFT(INDEX($A127:$AL127,MATCH(Lists!$F$7,$A$1:$AL$1,0)),2))*60+VALUE(MID(INDEX($A127:$AL127,MATCH(Lists!$F$7,$A$1:$AL$1,0)),4,2)))),"")),IFERROR(IF(TRIM(INDEX($A127:$AL127,MATCH(Lists!$F$7,$A$1:$AL$1,0))&amp;"")="","",IF(ISNUMBER(INDEX($A127:$AL127,MATCH(Lists!$F$7,$A$1:$AL$1,0))),ROUND(MOD(INDEX($A127:$AL127,MATCH(Lists!$F$7,$A$1:$AL$1,0)),1)*1440,0),VALUE(LEFT(INDEX($A127:$AL127,MATCH(Lists!$F$7,$A$1:$AL$1,0)),2))*60+VALUE(MID(INDEX($A127:$AL127,MATCH(Lists!$F$7,$A$1:$AL$1,0)),4,2)))),""),-1))</f>
        <v/>
      </c>
      <c r="AW127" s="21">
        <f>IF(IFERROR(TRIM(INDEX($A127:$AL127,MATCH(Lists!$F$2,$A$1:$AL$1,0))&amp;""),"")="","",IF(IFERROR(TRIM(INDEX($A127:$AL127,MATCH(Lists!$F$8,$A$1:$AL$1,0))&amp;""),"")&lt;&gt;"",IFERROR(TRIM(INDEX($A127:$AL127,MATCH(Lists!$F$8,$A$1:$AL$1,0))&amp;""),""),IFERROR(TRIM(INDEX($A127:$AL127,MATCH(Lists!$F$9,$A$1:$AL$1,0))&amp;""),"")))</f>
        <v/>
      </c>
      <c r="AX127" s="21">
        <f>IFERROR(IF(TRIM(INDEX($A127:$AL127,MATCH(Lists!$F$10,$A$1:$AL$1,0))&amp;"")="","",VALUE(TRIM(INDEX($A127:$AL127,MATCH(Lists!$F$10,$A$1:$AL$1,0))&amp;""))),"")</f>
        <v/>
      </c>
      <c r="AY127" s="21">
        <f>IF(IFERROR(TRIM(INDEX($A127:$AL127,MATCH(Lists!$F$2,$A$1:$AL$1,0))&amp;""),"")="","",IF(AN127="","New",AN127))</f>
        <v/>
      </c>
      <c r="AZ127" s="21">
        <f>IF(IFERROR(TRIM(INDEX($A127:$AL127,MATCH(Lists!$F$2,$A$1:$AL$1,0))&amp;""),"")="","",IF(OR(IFERROR(TRIM(INDEX($A127:$AL127,MATCH(Lists!$F$13,$A$1:$AL$1,0))&amp;""),"")="Paid",IFERROR(TRIM(INDEX($A127:$AL127,MATCH(Lists!$F$13,$A$1:$AL$1,0))&amp;""),"")="Partially refunded"),"Paid",IF(AP127="Yes","Paid (by hand)",IFERROR(TRIM(INDEX($A127:$AL127,MATCH(Lists!$F$13,$A$1:$AL$1,0))&amp;""),""))))</f>
        <v/>
      </c>
      <c r="BA127" s="21">
        <f>IF(AND(IFERROR(TRIM(INDEX($A127:$AL127,MATCH(Lists!$F$2,$A$1:$AL$1,0))&amp;""),"")&lt;&gt;"",AT127&gt;0,AU127&gt;=0,AV127&gt;AU127,AY127&lt;&gt;"Declined"),1,0)</f>
        <v/>
      </c>
      <c r="BB127" s="21">
        <f>IF(BA127=1,COUNTIFS($AS$2:$AS$501,AS127,$AT$2:$AT$501,AT127,$AU$2:$AU$501,"&lt;"&amp;AV127,$AV$2:$AV$501,"&gt;"&amp;AU127,$BA$2:$BA$501,1)-1,"")</f>
        <v/>
      </c>
      <c r="BC127" s="21">
        <f>IF(N(BB127)&gt;0,"Clashes with "&amp;INDEX($AW$2:$AW$501,SUMPRODUCT(MAX(($AS$2:$AS$501=AS127)*($AT$2:$AT$501=AT127)*($AU$2:$AU$501&lt;AV127)*($AV$2:$AV$501&gt;AU127)*($BA$2:$BA$501=1)*(ROW($AS$2:$AS$501)&lt;&gt;ROW())*ROW($AS$2:$AS$501)))-1)&amp;" ("&amp;INDEX($AY$2:$AY$501,SUMPRODUCT(MAX(($AS$2:$AS$501=AS127)*($AT$2:$AT$501=AT127)*($AU$2:$AU$501&lt;AV127)*($AV$2:$AV$501&gt;AU127)*($BA$2:$BA$501=1)*(ROW($AS$2:$AS$501)&lt;&gt;ROW())*ROW($AS$2:$AS$501)))-1)&amp;")"&amp;IF(BB127&gt;1," and "&amp;(BB127-1)&amp;" more",""),"")</f>
        <v/>
      </c>
      <c r="BD127" s="21">
        <f>IF(AND(BA127=1,AY127="Confirmed"),AT127*10000000+AU127*1000+ROW(),"")</f>
        <v/>
      </c>
      <c r="BE127" s="21">
        <f>IF(IFERROR(TRIM(INDEX($A127:$AL127,MATCH(Lists!$F$2,$A$1:$AL$1,0))&amp;""),"")="","",IFERROR(TRIM(INDEX($A127:$AL127,MATCH(Lists!$F$11,$A$1:$AL$1,0))&amp;""),""))</f>
        <v/>
      </c>
      <c r="BF127" s="21">
        <f>IF(IFERROR(TRIM(INDEX($A127:$AL127,MATCH(Lists!$F$2,$A$1:$AL$1,0))&amp;""),"")="","",IFERROR(TRIM(INDEX($A127:$AL127,MATCH(Lists!$F$12,$A$1:$AL$1,0))&amp;""),""))</f>
        <v/>
      </c>
    </row>
    <row r="128">
      <c r="AM128" s="19" t="n"/>
      <c r="AN128" s="23" t="n"/>
      <c r="AO128" s="23" t="n"/>
      <c r="AP128" s="23" t="n"/>
      <c r="AQ128" s="23" t="n"/>
      <c r="AR128" s="19" t="n"/>
      <c r="AS128" s="21">
        <f>IF(IFERROR(TRIM(INDEX($A128:$AL128,MATCH(Lists!$F$2,$A$1:$AL$1,0))&amp;""),"")="","",IF(AND(IFERROR(TRIM(INDEX($A128:$AL128,MATCH(Lists!$F$3,$A$1:$AL$1,0))&amp;""),"")="Other",IFERROR(TRIM(INDEX($A128:$AL128,MATCH(Lists!$F$4,$A$1:$AL$1,0))&amp;""),"")&lt;&gt;""),IFERROR(TRIM(INDEX($A128:$AL128,MATCH(Lists!$F$4,$A$1:$AL$1,0))&amp;""),""),IF(IFERROR(TRIM(INDEX($A128:$AL128,MATCH(Lists!$F$3,$A$1:$AL$1,0))&amp;""),"")="","(no space)",IFERROR(TRIM(INDEX($A128:$AL128,MATCH(Lists!$F$3,$A$1:$AL$1,0))&amp;""),""))))</f>
        <v/>
      </c>
      <c r="AT128" s="22">
        <f>IF(IFERROR(TRIM(INDEX($A128:$AL128,MATCH(Lists!$F$2,$A$1:$AL$1,0))&amp;""),"")="",0,N(IFERROR(IF(TRIM(INDEX($A128:$AL128,MATCH(Lists!$F$5,$A$1:$AL$1,0))&amp;"")="","",IF(ISNUMBER(INDEX($A128:$AL128,MATCH(Lists!$F$5,$A$1:$AL$1,0))),INT(INDEX($A128:$AL128,MATCH(Lists!$F$5,$A$1:$AL$1,0))),DATE(VALUE(LEFT(INDEX($A128:$AL128,MATCH(Lists!$F$5,$A$1:$AL$1,0)),4)),VALUE(MID(INDEX($A128:$AL128,MATCH(Lists!$F$5,$A$1:$AL$1,0)),6,2)),VALUE(MID(INDEX($A128:$AL128,MATCH(Lists!$F$5,$A$1:$AL$1,0)),9,2))))),"")))</f>
        <v/>
      </c>
      <c r="AU128" s="21">
        <f>IF(IFERROR(TRIM(INDEX($A128:$AL128,MATCH(Lists!$F$2,$A$1:$AL$1,0))&amp;""),"")="",-1,IF(ISNUMBER(IFERROR(IF(TRIM(INDEX($A128:$AL128,MATCH(Lists!$F$6,$A$1:$AL$1,0))&amp;"")="","",IF(ISNUMBER(INDEX($A128:$AL128,MATCH(Lists!$F$6,$A$1:$AL$1,0))),ROUND(MOD(INDEX($A128:$AL128,MATCH(Lists!$F$6,$A$1:$AL$1,0)),1)*1440,0),VALUE(LEFT(INDEX($A128:$AL128,MATCH(Lists!$F$6,$A$1:$AL$1,0)),2))*60+VALUE(MID(INDEX($A128:$AL128,MATCH(Lists!$F$6,$A$1:$AL$1,0)),4,2)))),"")),IFERROR(IF(TRIM(INDEX($A128:$AL128,MATCH(Lists!$F$6,$A$1:$AL$1,0))&amp;"")="","",IF(ISNUMBER(INDEX($A128:$AL128,MATCH(Lists!$F$6,$A$1:$AL$1,0))),ROUND(MOD(INDEX($A128:$AL128,MATCH(Lists!$F$6,$A$1:$AL$1,0)),1)*1440,0),VALUE(LEFT(INDEX($A128:$AL128,MATCH(Lists!$F$6,$A$1:$AL$1,0)),2))*60+VALUE(MID(INDEX($A128:$AL128,MATCH(Lists!$F$6,$A$1:$AL$1,0)),4,2)))),""),-1))</f>
        <v/>
      </c>
      <c r="AV128" s="21">
        <f>IF(IFERROR(TRIM(INDEX($A128:$AL128,MATCH(Lists!$F$2,$A$1:$AL$1,0))&amp;""),"")="",-1,IF(ISNUMBER(IFERROR(IF(TRIM(INDEX($A128:$AL128,MATCH(Lists!$F$7,$A$1:$AL$1,0))&amp;"")="","",IF(ISNUMBER(INDEX($A128:$AL128,MATCH(Lists!$F$7,$A$1:$AL$1,0))),ROUND(MOD(INDEX($A128:$AL128,MATCH(Lists!$F$7,$A$1:$AL$1,0)),1)*1440,0),VALUE(LEFT(INDEX($A128:$AL128,MATCH(Lists!$F$7,$A$1:$AL$1,0)),2))*60+VALUE(MID(INDEX($A128:$AL128,MATCH(Lists!$F$7,$A$1:$AL$1,0)),4,2)))),"")),IFERROR(IF(TRIM(INDEX($A128:$AL128,MATCH(Lists!$F$7,$A$1:$AL$1,0))&amp;"")="","",IF(ISNUMBER(INDEX($A128:$AL128,MATCH(Lists!$F$7,$A$1:$AL$1,0))),ROUND(MOD(INDEX($A128:$AL128,MATCH(Lists!$F$7,$A$1:$AL$1,0)),1)*1440,0),VALUE(LEFT(INDEX($A128:$AL128,MATCH(Lists!$F$7,$A$1:$AL$1,0)),2))*60+VALUE(MID(INDEX($A128:$AL128,MATCH(Lists!$F$7,$A$1:$AL$1,0)),4,2)))),""),-1))</f>
        <v/>
      </c>
      <c r="AW128" s="21">
        <f>IF(IFERROR(TRIM(INDEX($A128:$AL128,MATCH(Lists!$F$2,$A$1:$AL$1,0))&amp;""),"")="","",IF(IFERROR(TRIM(INDEX($A128:$AL128,MATCH(Lists!$F$8,$A$1:$AL$1,0))&amp;""),"")&lt;&gt;"",IFERROR(TRIM(INDEX($A128:$AL128,MATCH(Lists!$F$8,$A$1:$AL$1,0))&amp;""),""),IFERROR(TRIM(INDEX($A128:$AL128,MATCH(Lists!$F$9,$A$1:$AL$1,0))&amp;""),"")))</f>
        <v/>
      </c>
      <c r="AX128" s="21">
        <f>IFERROR(IF(TRIM(INDEX($A128:$AL128,MATCH(Lists!$F$10,$A$1:$AL$1,0))&amp;"")="","",VALUE(TRIM(INDEX($A128:$AL128,MATCH(Lists!$F$10,$A$1:$AL$1,0))&amp;""))),"")</f>
        <v/>
      </c>
      <c r="AY128" s="21">
        <f>IF(IFERROR(TRIM(INDEX($A128:$AL128,MATCH(Lists!$F$2,$A$1:$AL$1,0))&amp;""),"")="","",IF(AN128="","New",AN128))</f>
        <v/>
      </c>
      <c r="AZ128" s="21">
        <f>IF(IFERROR(TRIM(INDEX($A128:$AL128,MATCH(Lists!$F$2,$A$1:$AL$1,0))&amp;""),"")="","",IF(OR(IFERROR(TRIM(INDEX($A128:$AL128,MATCH(Lists!$F$13,$A$1:$AL$1,0))&amp;""),"")="Paid",IFERROR(TRIM(INDEX($A128:$AL128,MATCH(Lists!$F$13,$A$1:$AL$1,0))&amp;""),"")="Partially refunded"),"Paid",IF(AP128="Yes","Paid (by hand)",IFERROR(TRIM(INDEX($A128:$AL128,MATCH(Lists!$F$13,$A$1:$AL$1,0))&amp;""),""))))</f>
        <v/>
      </c>
      <c r="BA128" s="21">
        <f>IF(AND(IFERROR(TRIM(INDEX($A128:$AL128,MATCH(Lists!$F$2,$A$1:$AL$1,0))&amp;""),"")&lt;&gt;"",AT128&gt;0,AU128&gt;=0,AV128&gt;AU128,AY128&lt;&gt;"Declined"),1,0)</f>
        <v/>
      </c>
      <c r="BB128" s="21">
        <f>IF(BA128=1,COUNTIFS($AS$2:$AS$501,AS128,$AT$2:$AT$501,AT128,$AU$2:$AU$501,"&lt;"&amp;AV128,$AV$2:$AV$501,"&gt;"&amp;AU128,$BA$2:$BA$501,1)-1,"")</f>
        <v/>
      </c>
      <c r="BC128" s="21">
        <f>IF(N(BB128)&gt;0,"Clashes with "&amp;INDEX($AW$2:$AW$501,SUMPRODUCT(MAX(($AS$2:$AS$501=AS128)*($AT$2:$AT$501=AT128)*($AU$2:$AU$501&lt;AV128)*($AV$2:$AV$501&gt;AU128)*($BA$2:$BA$501=1)*(ROW($AS$2:$AS$501)&lt;&gt;ROW())*ROW($AS$2:$AS$501)))-1)&amp;" ("&amp;INDEX($AY$2:$AY$501,SUMPRODUCT(MAX(($AS$2:$AS$501=AS128)*($AT$2:$AT$501=AT128)*($AU$2:$AU$501&lt;AV128)*($AV$2:$AV$501&gt;AU128)*($BA$2:$BA$501=1)*(ROW($AS$2:$AS$501)&lt;&gt;ROW())*ROW($AS$2:$AS$501)))-1)&amp;")"&amp;IF(BB128&gt;1," and "&amp;(BB128-1)&amp;" more",""),"")</f>
        <v/>
      </c>
      <c r="BD128" s="21">
        <f>IF(AND(BA128=1,AY128="Confirmed"),AT128*10000000+AU128*1000+ROW(),"")</f>
        <v/>
      </c>
      <c r="BE128" s="21">
        <f>IF(IFERROR(TRIM(INDEX($A128:$AL128,MATCH(Lists!$F$2,$A$1:$AL$1,0))&amp;""),"")="","",IFERROR(TRIM(INDEX($A128:$AL128,MATCH(Lists!$F$11,$A$1:$AL$1,0))&amp;""),""))</f>
        <v/>
      </c>
      <c r="BF128" s="21">
        <f>IF(IFERROR(TRIM(INDEX($A128:$AL128,MATCH(Lists!$F$2,$A$1:$AL$1,0))&amp;""),"")="","",IFERROR(TRIM(INDEX($A128:$AL128,MATCH(Lists!$F$12,$A$1:$AL$1,0))&amp;""),""))</f>
        <v/>
      </c>
    </row>
    <row r="129">
      <c r="AM129" s="19" t="n"/>
      <c r="AN129" s="23" t="n"/>
      <c r="AO129" s="23" t="n"/>
      <c r="AP129" s="23" t="n"/>
      <c r="AQ129" s="23" t="n"/>
      <c r="AR129" s="19" t="n"/>
      <c r="AS129" s="21">
        <f>IF(IFERROR(TRIM(INDEX($A129:$AL129,MATCH(Lists!$F$2,$A$1:$AL$1,0))&amp;""),"")="","",IF(AND(IFERROR(TRIM(INDEX($A129:$AL129,MATCH(Lists!$F$3,$A$1:$AL$1,0))&amp;""),"")="Other",IFERROR(TRIM(INDEX($A129:$AL129,MATCH(Lists!$F$4,$A$1:$AL$1,0))&amp;""),"")&lt;&gt;""),IFERROR(TRIM(INDEX($A129:$AL129,MATCH(Lists!$F$4,$A$1:$AL$1,0))&amp;""),""),IF(IFERROR(TRIM(INDEX($A129:$AL129,MATCH(Lists!$F$3,$A$1:$AL$1,0))&amp;""),"")="","(no space)",IFERROR(TRIM(INDEX($A129:$AL129,MATCH(Lists!$F$3,$A$1:$AL$1,0))&amp;""),""))))</f>
        <v/>
      </c>
      <c r="AT129" s="22">
        <f>IF(IFERROR(TRIM(INDEX($A129:$AL129,MATCH(Lists!$F$2,$A$1:$AL$1,0))&amp;""),"")="",0,N(IFERROR(IF(TRIM(INDEX($A129:$AL129,MATCH(Lists!$F$5,$A$1:$AL$1,0))&amp;"")="","",IF(ISNUMBER(INDEX($A129:$AL129,MATCH(Lists!$F$5,$A$1:$AL$1,0))),INT(INDEX($A129:$AL129,MATCH(Lists!$F$5,$A$1:$AL$1,0))),DATE(VALUE(LEFT(INDEX($A129:$AL129,MATCH(Lists!$F$5,$A$1:$AL$1,0)),4)),VALUE(MID(INDEX($A129:$AL129,MATCH(Lists!$F$5,$A$1:$AL$1,0)),6,2)),VALUE(MID(INDEX($A129:$AL129,MATCH(Lists!$F$5,$A$1:$AL$1,0)),9,2))))),"")))</f>
        <v/>
      </c>
      <c r="AU129" s="21">
        <f>IF(IFERROR(TRIM(INDEX($A129:$AL129,MATCH(Lists!$F$2,$A$1:$AL$1,0))&amp;""),"")="",-1,IF(ISNUMBER(IFERROR(IF(TRIM(INDEX($A129:$AL129,MATCH(Lists!$F$6,$A$1:$AL$1,0))&amp;"")="","",IF(ISNUMBER(INDEX($A129:$AL129,MATCH(Lists!$F$6,$A$1:$AL$1,0))),ROUND(MOD(INDEX($A129:$AL129,MATCH(Lists!$F$6,$A$1:$AL$1,0)),1)*1440,0),VALUE(LEFT(INDEX($A129:$AL129,MATCH(Lists!$F$6,$A$1:$AL$1,0)),2))*60+VALUE(MID(INDEX($A129:$AL129,MATCH(Lists!$F$6,$A$1:$AL$1,0)),4,2)))),"")),IFERROR(IF(TRIM(INDEX($A129:$AL129,MATCH(Lists!$F$6,$A$1:$AL$1,0))&amp;"")="","",IF(ISNUMBER(INDEX($A129:$AL129,MATCH(Lists!$F$6,$A$1:$AL$1,0))),ROUND(MOD(INDEX($A129:$AL129,MATCH(Lists!$F$6,$A$1:$AL$1,0)),1)*1440,0),VALUE(LEFT(INDEX($A129:$AL129,MATCH(Lists!$F$6,$A$1:$AL$1,0)),2))*60+VALUE(MID(INDEX($A129:$AL129,MATCH(Lists!$F$6,$A$1:$AL$1,0)),4,2)))),""),-1))</f>
        <v/>
      </c>
      <c r="AV129" s="21">
        <f>IF(IFERROR(TRIM(INDEX($A129:$AL129,MATCH(Lists!$F$2,$A$1:$AL$1,0))&amp;""),"")="",-1,IF(ISNUMBER(IFERROR(IF(TRIM(INDEX($A129:$AL129,MATCH(Lists!$F$7,$A$1:$AL$1,0))&amp;"")="","",IF(ISNUMBER(INDEX($A129:$AL129,MATCH(Lists!$F$7,$A$1:$AL$1,0))),ROUND(MOD(INDEX($A129:$AL129,MATCH(Lists!$F$7,$A$1:$AL$1,0)),1)*1440,0),VALUE(LEFT(INDEX($A129:$AL129,MATCH(Lists!$F$7,$A$1:$AL$1,0)),2))*60+VALUE(MID(INDEX($A129:$AL129,MATCH(Lists!$F$7,$A$1:$AL$1,0)),4,2)))),"")),IFERROR(IF(TRIM(INDEX($A129:$AL129,MATCH(Lists!$F$7,$A$1:$AL$1,0))&amp;"")="","",IF(ISNUMBER(INDEX($A129:$AL129,MATCH(Lists!$F$7,$A$1:$AL$1,0))),ROUND(MOD(INDEX($A129:$AL129,MATCH(Lists!$F$7,$A$1:$AL$1,0)),1)*1440,0),VALUE(LEFT(INDEX($A129:$AL129,MATCH(Lists!$F$7,$A$1:$AL$1,0)),2))*60+VALUE(MID(INDEX($A129:$AL129,MATCH(Lists!$F$7,$A$1:$AL$1,0)),4,2)))),""),-1))</f>
        <v/>
      </c>
      <c r="AW129" s="21">
        <f>IF(IFERROR(TRIM(INDEX($A129:$AL129,MATCH(Lists!$F$2,$A$1:$AL$1,0))&amp;""),"")="","",IF(IFERROR(TRIM(INDEX($A129:$AL129,MATCH(Lists!$F$8,$A$1:$AL$1,0))&amp;""),"")&lt;&gt;"",IFERROR(TRIM(INDEX($A129:$AL129,MATCH(Lists!$F$8,$A$1:$AL$1,0))&amp;""),""),IFERROR(TRIM(INDEX($A129:$AL129,MATCH(Lists!$F$9,$A$1:$AL$1,0))&amp;""),"")))</f>
        <v/>
      </c>
      <c r="AX129" s="21">
        <f>IFERROR(IF(TRIM(INDEX($A129:$AL129,MATCH(Lists!$F$10,$A$1:$AL$1,0))&amp;"")="","",VALUE(TRIM(INDEX($A129:$AL129,MATCH(Lists!$F$10,$A$1:$AL$1,0))&amp;""))),"")</f>
        <v/>
      </c>
      <c r="AY129" s="21">
        <f>IF(IFERROR(TRIM(INDEX($A129:$AL129,MATCH(Lists!$F$2,$A$1:$AL$1,0))&amp;""),"")="","",IF(AN129="","New",AN129))</f>
        <v/>
      </c>
      <c r="AZ129" s="21">
        <f>IF(IFERROR(TRIM(INDEX($A129:$AL129,MATCH(Lists!$F$2,$A$1:$AL$1,0))&amp;""),"")="","",IF(OR(IFERROR(TRIM(INDEX($A129:$AL129,MATCH(Lists!$F$13,$A$1:$AL$1,0))&amp;""),"")="Paid",IFERROR(TRIM(INDEX($A129:$AL129,MATCH(Lists!$F$13,$A$1:$AL$1,0))&amp;""),"")="Partially refunded"),"Paid",IF(AP129="Yes","Paid (by hand)",IFERROR(TRIM(INDEX($A129:$AL129,MATCH(Lists!$F$13,$A$1:$AL$1,0))&amp;""),""))))</f>
        <v/>
      </c>
      <c r="BA129" s="21">
        <f>IF(AND(IFERROR(TRIM(INDEX($A129:$AL129,MATCH(Lists!$F$2,$A$1:$AL$1,0))&amp;""),"")&lt;&gt;"",AT129&gt;0,AU129&gt;=0,AV129&gt;AU129,AY129&lt;&gt;"Declined"),1,0)</f>
        <v/>
      </c>
      <c r="BB129" s="21">
        <f>IF(BA129=1,COUNTIFS($AS$2:$AS$501,AS129,$AT$2:$AT$501,AT129,$AU$2:$AU$501,"&lt;"&amp;AV129,$AV$2:$AV$501,"&gt;"&amp;AU129,$BA$2:$BA$501,1)-1,"")</f>
        <v/>
      </c>
      <c r="BC129" s="21">
        <f>IF(N(BB129)&gt;0,"Clashes with "&amp;INDEX($AW$2:$AW$501,SUMPRODUCT(MAX(($AS$2:$AS$501=AS129)*($AT$2:$AT$501=AT129)*($AU$2:$AU$501&lt;AV129)*($AV$2:$AV$501&gt;AU129)*($BA$2:$BA$501=1)*(ROW($AS$2:$AS$501)&lt;&gt;ROW())*ROW($AS$2:$AS$501)))-1)&amp;" ("&amp;INDEX($AY$2:$AY$501,SUMPRODUCT(MAX(($AS$2:$AS$501=AS129)*($AT$2:$AT$501=AT129)*($AU$2:$AU$501&lt;AV129)*($AV$2:$AV$501&gt;AU129)*($BA$2:$BA$501=1)*(ROW($AS$2:$AS$501)&lt;&gt;ROW())*ROW($AS$2:$AS$501)))-1)&amp;")"&amp;IF(BB129&gt;1," and "&amp;(BB129-1)&amp;" more",""),"")</f>
        <v/>
      </c>
      <c r="BD129" s="21">
        <f>IF(AND(BA129=1,AY129="Confirmed"),AT129*10000000+AU129*1000+ROW(),"")</f>
        <v/>
      </c>
      <c r="BE129" s="21">
        <f>IF(IFERROR(TRIM(INDEX($A129:$AL129,MATCH(Lists!$F$2,$A$1:$AL$1,0))&amp;""),"")="","",IFERROR(TRIM(INDEX($A129:$AL129,MATCH(Lists!$F$11,$A$1:$AL$1,0))&amp;""),""))</f>
        <v/>
      </c>
      <c r="BF129" s="21">
        <f>IF(IFERROR(TRIM(INDEX($A129:$AL129,MATCH(Lists!$F$2,$A$1:$AL$1,0))&amp;""),"")="","",IFERROR(TRIM(INDEX($A129:$AL129,MATCH(Lists!$F$12,$A$1:$AL$1,0))&amp;""),""))</f>
        <v/>
      </c>
    </row>
    <row r="130">
      <c r="AM130" s="19" t="n"/>
      <c r="AN130" s="23" t="n"/>
      <c r="AO130" s="23" t="n"/>
      <c r="AP130" s="23" t="n"/>
      <c r="AQ130" s="23" t="n"/>
      <c r="AR130" s="19" t="n"/>
      <c r="AS130" s="21">
        <f>IF(IFERROR(TRIM(INDEX($A130:$AL130,MATCH(Lists!$F$2,$A$1:$AL$1,0))&amp;""),"")="","",IF(AND(IFERROR(TRIM(INDEX($A130:$AL130,MATCH(Lists!$F$3,$A$1:$AL$1,0))&amp;""),"")="Other",IFERROR(TRIM(INDEX($A130:$AL130,MATCH(Lists!$F$4,$A$1:$AL$1,0))&amp;""),"")&lt;&gt;""),IFERROR(TRIM(INDEX($A130:$AL130,MATCH(Lists!$F$4,$A$1:$AL$1,0))&amp;""),""),IF(IFERROR(TRIM(INDEX($A130:$AL130,MATCH(Lists!$F$3,$A$1:$AL$1,0))&amp;""),"")="","(no space)",IFERROR(TRIM(INDEX($A130:$AL130,MATCH(Lists!$F$3,$A$1:$AL$1,0))&amp;""),""))))</f>
        <v/>
      </c>
      <c r="AT130" s="22">
        <f>IF(IFERROR(TRIM(INDEX($A130:$AL130,MATCH(Lists!$F$2,$A$1:$AL$1,0))&amp;""),"")="",0,N(IFERROR(IF(TRIM(INDEX($A130:$AL130,MATCH(Lists!$F$5,$A$1:$AL$1,0))&amp;"")="","",IF(ISNUMBER(INDEX($A130:$AL130,MATCH(Lists!$F$5,$A$1:$AL$1,0))),INT(INDEX($A130:$AL130,MATCH(Lists!$F$5,$A$1:$AL$1,0))),DATE(VALUE(LEFT(INDEX($A130:$AL130,MATCH(Lists!$F$5,$A$1:$AL$1,0)),4)),VALUE(MID(INDEX($A130:$AL130,MATCH(Lists!$F$5,$A$1:$AL$1,0)),6,2)),VALUE(MID(INDEX($A130:$AL130,MATCH(Lists!$F$5,$A$1:$AL$1,0)),9,2))))),"")))</f>
        <v/>
      </c>
      <c r="AU130" s="21">
        <f>IF(IFERROR(TRIM(INDEX($A130:$AL130,MATCH(Lists!$F$2,$A$1:$AL$1,0))&amp;""),"")="",-1,IF(ISNUMBER(IFERROR(IF(TRIM(INDEX($A130:$AL130,MATCH(Lists!$F$6,$A$1:$AL$1,0))&amp;"")="","",IF(ISNUMBER(INDEX($A130:$AL130,MATCH(Lists!$F$6,$A$1:$AL$1,0))),ROUND(MOD(INDEX($A130:$AL130,MATCH(Lists!$F$6,$A$1:$AL$1,0)),1)*1440,0),VALUE(LEFT(INDEX($A130:$AL130,MATCH(Lists!$F$6,$A$1:$AL$1,0)),2))*60+VALUE(MID(INDEX($A130:$AL130,MATCH(Lists!$F$6,$A$1:$AL$1,0)),4,2)))),"")),IFERROR(IF(TRIM(INDEX($A130:$AL130,MATCH(Lists!$F$6,$A$1:$AL$1,0))&amp;"")="","",IF(ISNUMBER(INDEX($A130:$AL130,MATCH(Lists!$F$6,$A$1:$AL$1,0))),ROUND(MOD(INDEX($A130:$AL130,MATCH(Lists!$F$6,$A$1:$AL$1,0)),1)*1440,0),VALUE(LEFT(INDEX($A130:$AL130,MATCH(Lists!$F$6,$A$1:$AL$1,0)),2))*60+VALUE(MID(INDEX($A130:$AL130,MATCH(Lists!$F$6,$A$1:$AL$1,0)),4,2)))),""),-1))</f>
        <v/>
      </c>
      <c r="AV130" s="21">
        <f>IF(IFERROR(TRIM(INDEX($A130:$AL130,MATCH(Lists!$F$2,$A$1:$AL$1,0))&amp;""),"")="",-1,IF(ISNUMBER(IFERROR(IF(TRIM(INDEX($A130:$AL130,MATCH(Lists!$F$7,$A$1:$AL$1,0))&amp;"")="","",IF(ISNUMBER(INDEX($A130:$AL130,MATCH(Lists!$F$7,$A$1:$AL$1,0))),ROUND(MOD(INDEX($A130:$AL130,MATCH(Lists!$F$7,$A$1:$AL$1,0)),1)*1440,0),VALUE(LEFT(INDEX($A130:$AL130,MATCH(Lists!$F$7,$A$1:$AL$1,0)),2))*60+VALUE(MID(INDEX($A130:$AL130,MATCH(Lists!$F$7,$A$1:$AL$1,0)),4,2)))),"")),IFERROR(IF(TRIM(INDEX($A130:$AL130,MATCH(Lists!$F$7,$A$1:$AL$1,0))&amp;"")="","",IF(ISNUMBER(INDEX($A130:$AL130,MATCH(Lists!$F$7,$A$1:$AL$1,0))),ROUND(MOD(INDEX($A130:$AL130,MATCH(Lists!$F$7,$A$1:$AL$1,0)),1)*1440,0),VALUE(LEFT(INDEX($A130:$AL130,MATCH(Lists!$F$7,$A$1:$AL$1,0)),2))*60+VALUE(MID(INDEX($A130:$AL130,MATCH(Lists!$F$7,$A$1:$AL$1,0)),4,2)))),""),-1))</f>
        <v/>
      </c>
      <c r="AW130" s="21">
        <f>IF(IFERROR(TRIM(INDEX($A130:$AL130,MATCH(Lists!$F$2,$A$1:$AL$1,0))&amp;""),"")="","",IF(IFERROR(TRIM(INDEX($A130:$AL130,MATCH(Lists!$F$8,$A$1:$AL$1,0))&amp;""),"")&lt;&gt;"",IFERROR(TRIM(INDEX($A130:$AL130,MATCH(Lists!$F$8,$A$1:$AL$1,0))&amp;""),""),IFERROR(TRIM(INDEX($A130:$AL130,MATCH(Lists!$F$9,$A$1:$AL$1,0))&amp;""),"")))</f>
        <v/>
      </c>
      <c r="AX130" s="21">
        <f>IFERROR(IF(TRIM(INDEX($A130:$AL130,MATCH(Lists!$F$10,$A$1:$AL$1,0))&amp;"")="","",VALUE(TRIM(INDEX($A130:$AL130,MATCH(Lists!$F$10,$A$1:$AL$1,0))&amp;""))),"")</f>
        <v/>
      </c>
      <c r="AY130" s="21">
        <f>IF(IFERROR(TRIM(INDEX($A130:$AL130,MATCH(Lists!$F$2,$A$1:$AL$1,0))&amp;""),"")="","",IF(AN130="","New",AN130))</f>
        <v/>
      </c>
      <c r="AZ130" s="21">
        <f>IF(IFERROR(TRIM(INDEX($A130:$AL130,MATCH(Lists!$F$2,$A$1:$AL$1,0))&amp;""),"")="","",IF(OR(IFERROR(TRIM(INDEX($A130:$AL130,MATCH(Lists!$F$13,$A$1:$AL$1,0))&amp;""),"")="Paid",IFERROR(TRIM(INDEX($A130:$AL130,MATCH(Lists!$F$13,$A$1:$AL$1,0))&amp;""),"")="Partially refunded"),"Paid",IF(AP130="Yes","Paid (by hand)",IFERROR(TRIM(INDEX($A130:$AL130,MATCH(Lists!$F$13,$A$1:$AL$1,0))&amp;""),""))))</f>
        <v/>
      </c>
      <c r="BA130" s="21">
        <f>IF(AND(IFERROR(TRIM(INDEX($A130:$AL130,MATCH(Lists!$F$2,$A$1:$AL$1,0))&amp;""),"")&lt;&gt;"",AT130&gt;0,AU130&gt;=0,AV130&gt;AU130,AY130&lt;&gt;"Declined"),1,0)</f>
        <v/>
      </c>
      <c r="BB130" s="21">
        <f>IF(BA130=1,COUNTIFS($AS$2:$AS$501,AS130,$AT$2:$AT$501,AT130,$AU$2:$AU$501,"&lt;"&amp;AV130,$AV$2:$AV$501,"&gt;"&amp;AU130,$BA$2:$BA$501,1)-1,"")</f>
        <v/>
      </c>
      <c r="BC130" s="21">
        <f>IF(N(BB130)&gt;0,"Clashes with "&amp;INDEX($AW$2:$AW$501,SUMPRODUCT(MAX(($AS$2:$AS$501=AS130)*($AT$2:$AT$501=AT130)*($AU$2:$AU$501&lt;AV130)*($AV$2:$AV$501&gt;AU130)*($BA$2:$BA$501=1)*(ROW($AS$2:$AS$501)&lt;&gt;ROW())*ROW($AS$2:$AS$501)))-1)&amp;" ("&amp;INDEX($AY$2:$AY$501,SUMPRODUCT(MAX(($AS$2:$AS$501=AS130)*($AT$2:$AT$501=AT130)*($AU$2:$AU$501&lt;AV130)*($AV$2:$AV$501&gt;AU130)*($BA$2:$BA$501=1)*(ROW($AS$2:$AS$501)&lt;&gt;ROW())*ROW($AS$2:$AS$501)))-1)&amp;")"&amp;IF(BB130&gt;1," and "&amp;(BB130-1)&amp;" more",""),"")</f>
        <v/>
      </c>
      <c r="BD130" s="21">
        <f>IF(AND(BA130=1,AY130="Confirmed"),AT130*10000000+AU130*1000+ROW(),"")</f>
        <v/>
      </c>
      <c r="BE130" s="21">
        <f>IF(IFERROR(TRIM(INDEX($A130:$AL130,MATCH(Lists!$F$2,$A$1:$AL$1,0))&amp;""),"")="","",IFERROR(TRIM(INDEX($A130:$AL130,MATCH(Lists!$F$11,$A$1:$AL$1,0))&amp;""),""))</f>
        <v/>
      </c>
      <c r="BF130" s="21">
        <f>IF(IFERROR(TRIM(INDEX($A130:$AL130,MATCH(Lists!$F$2,$A$1:$AL$1,0))&amp;""),"")="","",IFERROR(TRIM(INDEX($A130:$AL130,MATCH(Lists!$F$12,$A$1:$AL$1,0))&amp;""),""))</f>
        <v/>
      </c>
    </row>
    <row r="131">
      <c r="AM131" s="19" t="n"/>
      <c r="AN131" s="23" t="n"/>
      <c r="AO131" s="23" t="n"/>
      <c r="AP131" s="23" t="n"/>
      <c r="AQ131" s="23" t="n"/>
      <c r="AR131" s="19" t="n"/>
      <c r="AS131" s="21">
        <f>IF(IFERROR(TRIM(INDEX($A131:$AL131,MATCH(Lists!$F$2,$A$1:$AL$1,0))&amp;""),"")="","",IF(AND(IFERROR(TRIM(INDEX($A131:$AL131,MATCH(Lists!$F$3,$A$1:$AL$1,0))&amp;""),"")="Other",IFERROR(TRIM(INDEX($A131:$AL131,MATCH(Lists!$F$4,$A$1:$AL$1,0))&amp;""),"")&lt;&gt;""),IFERROR(TRIM(INDEX($A131:$AL131,MATCH(Lists!$F$4,$A$1:$AL$1,0))&amp;""),""),IF(IFERROR(TRIM(INDEX($A131:$AL131,MATCH(Lists!$F$3,$A$1:$AL$1,0))&amp;""),"")="","(no space)",IFERROR(TRIM(INDEX($A131:$AL131,MATCH(Lists!$F$3,$A$1:$AL$1,0))&amp;""),""))))</f>
        <v/>
      </c>
      <c r="AT131" s="22">
        <f>IF(IFERROR(TRIM(INDEX($A131:$AL131,MATCH(Lists!$F$2,$A$1:$AL$1,0))&amp;""),"")="",0,N(IFERROR(IF(TRIM(INDEX($A131:$AL131,MATCH(Lists!$F$5,$A$1:$AL$1,0))&amp;"")="","",IF(ISNUMBER(INDEX($A131:$AL131,MATCH(Lists!$F$5,$A$1:$AL$1,0))),INT(INDEX($A131:$AL131,MATCH(Lists!$F$5,$A$1:$AL$1,0))),DATE(VALUE(LEFT(INDEX($A131:$AL131,MATCH(Lists!$F$5,$A$1:$AL$1,0)),4)),VALUE(MID(INDEX($A131:$AL131,MATCH(Lists!$F$5,$A$1:$AL$1,0)),6,2)),VALUE(MID(INDEX($A131:$AL131,MATCH(Lists!$F$5,$A$1:$AL$1,0)),9,2))))),"")))</f>
        <v/>
      </c>
      <c r="AU131" s="21">
        <f>IF(IFERROR(TRIM(INDEX($A131:$AL131,MATCH(Lists!$F$2,$A$1:$AL$1,0))&amp;""),"")="",-1,IF(ISNUMBER(IFERROR(IF(TRIM(INDEX($A131:$AL131,MATCH(Lists!$F$6,$A$1:$AL$1,0))&amp;"")="","",IF(ISNUMBER(INDEX($A131:$AL131,MATCH(Lists!$F$6,$A$1:$AL$1,0))),ROUND(MOD(INDEX($A131:$AL131,MATCH(Lists!$F$6,$A$1:$AL$1,0)),1)*1440,0),VALUE(LEFT(INDEX($A131:$AL131,MATCH(Lists!$F$6,$A$1:$AL$1,0)),2))*60+VALUE(MID(INDEX($A131:$AL131,MATCH(Lists!$F$6,$A$1:$AL$1,0)),4,2)))),"")),IFERROR(IF(TRIM(INDEX($A131:$AL131,MATCH(Lists!$F$6,$A$1:$AL$1,0))&amp;"")="","",IF(ISNUMBER(INDEX($A131:$AL131,MATCH(Lists!$F$6,$A$1:$AL$1,0))),ROUND(MOD(INDEX($A131:$AL131,MATCH(Lists!$F$6,$A$1:$AL$1,0)),1)*1440,0),VALUE(LEFT(INDEX($A131:$AL131,MATCH(Lists!$F$6,$A$1:$AL$1,0)),2))*60+VALUE(MID(INDEX($A131:$AL131,MATCH(Lists!$F$6,$A$1:$AL$1,0)),4,2)))),""),-1))</f>
        <v/>
      </c>
      <c r="AV131" s="21">
        <f>IF(IFERROR(TRIM(INDEX($A131:$AL131,MATCH(Lists!$F$2,$A$1:$AL$1,0))&amp;""),"")="",-1,IF(ISNUMBER(IFERROR(IF(TRIM(INDEX($A131:$AL131,MATCH(Lists!$F$7,$A$1:$AL$1,0))&amp;"")="","",IF(ISNUMBER(INDEX($A131:$AL131,MATCH(Lists!$F$7,$A$1:$AL$1,0))),ROUND(MOD(INDEX($A131:$AL131,MATCH(Lists!$F$7,$A$1:$AL$1,0)),1)*1440,0),VALUE(LEFT(INDEX($A131:$AL131,MATCH(Lists!$F$7,$A$1:$AL$1,0)),2))*60+VALUE(MID(INDEX($A131:$AL131,MATCH(Lists!$F$7,$A$1:$AL$1,0)),4,2)))),"")),IFERROR(IF(TRIM(INDEX($A131:$AL131,MATCH(Lists!$F$7,$A$1:$AL$1,0))&amp;"")="","",IF(ISNUMBER(INDEX($A131:$AL131,MATCH(Lists!$F$7,$A$1:$AL$1,0))),ROUND(MOD(INDEX($A131:$AL131,MATCH(Lists!$F$7,$A$1:$AL$1,0)),1)*1440,0),VALUE(LEFT(INDEX($A131:$AL131,MATCH(Lists!$F$7,$A$1:$AL$1,0)),2))*60+VALUE(MID(INDEX($A131:$AL131,MATCH(Lists!$F$7,$A$1:$AL$1,0)),4,2)))),""),-1))</f>
        <v/>
      </c>
      <c r="AW131" s="21">
        <f>IF(IFERROR(TRIM(INDEX($A131:$AL131,MATCH(Lists!$F$2,$A$1:$AL$1,0))&amp;""),"")="","",IF(IFERROR(TRIM(INDEX($A131:$AL131,MATCH(Lists!$F$8,$A$1:$AL$1,0))&amp;""),"")&lt;&gt;"",IFERROR(TRIM(INDEX($A131:$AL131,MATCH(Lists!$F$8,$A$1:$AL$1,0))&amp;""),""),IFERROR(TRIM(INDEX($A131:$AL131,MATCH(Lists!$F$9,$A$1:$AL$1,0))&amp;""),"")))</f>
        <v/>
      </c>
      <c r="AX131" s="21">
        <f>IFERROR(IF(TRIM(INDEX($A131:$AL131,MATCH(Lists!$F$10,$A$1:$AL$1,0))&amp;"")="","",VALUE(TRIM(INDEX($A131:$AL131,MATCH(Lists!$F$10,$A$1:$AL$1,0))&amp;""))),"")</f>
        <v/>
      </c>
      <c r="AY131" s="21">
        <f>IF(IFERROR(TRIM(INDEX($A131:$AL131,MATCH(Lists!$F$2,$A$1:$AL$1,0))&amp;""),"")="","",IF(AN131="","New",AN131))</f>
        <v/>
      </c>
      <c r="AZ131" s="21">
        <f>IF(IFERROR(TRIM(INDEX($A131:$AL131,MATCH(Lists!$F$2,$A$1:$AL$1,0))&amp;""),"")="","",IF(OR(IFERROR(TRIM(INDEX($A131:$AL131,MATCH(Lists!$F$13,$A$1:$AL$1,0))&amp;""),"")="Paid",IFERROR(TRIM(INDEX($A131:$AL131,MATCH(Lists!$F$13,$A$1:$AL$1,0))&amp;""),"")="Partially refunded"),"Paid",IF(AP131="Yes","Paid (by hand)",IFERROR(TRIM(INDEX($A131:$AL131,MATCH(Lists!$F$13,$A$1:$AL$1,0))&amp;""),""))))</f>
        <v/>
      </c>
      <c r="BA131" s="21">
        <f>IF(AND(IFERROR(TRIM(INDEX($A131:$AL131,MATCH(Lists!$F$2,$A$1:$AL$1,0))&amp;""),"")&lt;&gt;"",AT131&gt;0,AU131&gt;=0,AV131&gt;AU131,AY131&lt;&gt;"Declined"),1,0)</f>
        <v/>
      </c>
      <c r="BB131" s="21">
        <f>IF(BA131=1,COUNTIFS($AS$2:$AS$501,AS131,$AT$2:$AT$501,AT131,$AU$2:$AU$501,"&lt;"&amp;AV131,$AV$2:$AV$501,"&gt;"&amp;AU131,$BA$2:$BA$501,1)-1,"")</f>
        <v/>
      </c>
      <c r="BC131" s="21">
        <f>IF(N(BB131)&gt;0,"Clashes with "&amp;INDEX($AW$2:$AW$501,SUMPRODUCT(MAX(($AS$2:$AS$501=AS131)*($AT$2:$AT$501=AT131)*($AU$2:$AU$501&lt;AV131)*($AV$2:$AV$501&gt;AU131)*($BA$2:$BA$501=1)*(ROW($AS$2:$AS$501)&lt;&gt;ROW())*ROW($AS$2:$AS$501)))-1)&amp;" ("&amp;INDEX($AY$2:$AY$501,SUMPRODUCT(MAX(($AS$2:$AS$501=AS131)*($AT$2:$AT$501=AT131)*($AU$2:$AU$501&lt;AV131)*($AV$2:$AV$501&gt;AU131)*($BA$2:$BA$501=1)*(ROW($AS$2:$AS$501)&lt;&gt;ROW())*ROW($AS$2:$AS$501)))-1)&amp;")"&amp;IF(BB131&gt;1," and "&amp;(BB131-1)&amp;" more",""),"")</f>
        <v/>
      </c>
      <c r="BD131" s="21">
        <f>IF(AND(BA131=1,AY131="Confirmed"),AT131*10000000+AU131*1000+ROW(),"")</f>
        <v/>
      </c>
      <c r="BE131" s="21">
        <f>IF(IFERROR(TRIM(INDEX($A131:$AL131,MATCH(Lists!$F$2,$A$1:$AL$1,0))&amp;""),"")="","",IFERROR(TRIM(INDEX($A131:$AL131,MATCH(Lists!$F$11,$A$1:$AL$1,0))&amp;""),""))</f>
        <v/>
      </c>
      <c r="BF131" s="21">
        <f>IF(IFERROR(TRIM(INDEX($A131:$AL131,MATCH(Lists!$F$2,$A$1:$AL$1,0))&amp;""),"")="","",IFERROR(TRIM(INDEX($A131:$AL131,MATCH(Lists!$F$12,$A$1:$AL$1,0))&amp;""),""))</f>
        <v/>
      </c>
    </row>
    <row r="132">
      <c r="AM132" s="19" t="n"/>
      <c r="AN132" s="23" t="n"/>
      <c r="AO132" s="23" t="n"/>
      <c r="AP132" s="23" t="n"/>
      <c r="AQ132" s="23" t="n"/>
      <c r="AR132" s="19" t="n"/>
      <c r="AS132" s="21">
        <f>IF(IFERROR(TRIM(INDEX($A132:$AL132,MATCH(Lists!$F$2,$A$1:$AL$1,0))&amp;""),"")="","",IF(AND(IFERROR(TRIM(INDEX($A132:$AL132,MATCH(Lists!$F$3,$A$1:$AL$1,0))&amp;""),"")="Other",IFERROR(TRIM(INDEX($A132:$AL132,MATCH(Lists!$F$4,$A$1:$AL$1,0))&amp;""),"")&lt;&gt;""),IFERROR(TRIM(INDEX($A132:$AL132,MATCH(Lists!$F$4,$A$1:$AL$1,0))&amp;""),""),IF(IFERROR(TRIM(INDEX($A132:$AL132,MATCH(Lists!$F$3,$A$1:$AL$1,0))&amp;""),"")="","(no space)",IFERROR(TRIM(INDEX($A132:$AL132,MATCH(Lists!$F$3,$A$1:$AL$1,0))&amp;""),""))))</f>
        <v/>
      </c>
      <c r="AT132" s="22">
        <f>IF(IFERROR(TRIM(INDEX($A132:$AL132,MATCH(Lists!$F$2,$A$1:$AL$1,0))&amp;""),"")="",0,N(IFERROR(IF(TRIM(INDEX($A132:$AL132,MATCH(Lists!$F$5,$A$1:$AL$1,0))&amp;"")="","",IF(ISNUMBER(INDEX($A132:$AL132,MATCH(Lists!$F$5,$A$1:$AL$1,0))),INT(INDEX($A132:$AL132,MATCH(Lists!$F$5,$A$1:$AL$1,0))),DATE(VALUE(LEFT(INDEX($A132:$AL132,MATCH(Lists!$F$5,$A$1:$AL$1,0)),4)),VALUE(MID(INDEX($A132:$AL132,MATCH(Lists!$F$5,$A$1:$AL$1,0)),6,2)),VALUE(MID(INDEX($A132:$AL132,MATCH(Lists!$F$5,$A$1:$AL$1,0)),9,2))))),"")))</f>
        <v/>
      </c>
      <c r="AU132" s="21">
        <f>IF(IFERROR(TRIM(INDEX($A132:$AL132,MATCH(Lists!$F$2,$A$1:$AL$1,0))&amp;""),"")="",-1,IF(ISNUMBER(IFERROR(IF(TRIM(INDEX($A132:$AL132,MATCH(Lists!$F$6,$A$1:$AL$1,0))&amp;"")="","",IF(ISNUMBER(INDEX($A132:$AL132,MATCH(Lists!$F$6,$A$1:$AL$1,0))),ROUND(MOD(INDEX($A132:$AL132,MATCH(Lists!$F$6,$A$1:$AL$1,0)),1)*1440,0),VALUE(LEFT(INDEX($A132:$AL132,MATCH(Lists!$F$6,$A$1:$AL$1,0)),2))*60+VALUE(MID(INDEX($A132:$AL132,MATCH(Lists!$F$6,$A$1:$AL$1,0)),4,2)))),"")),IFERROR(IF(TRIM(INDEX($A132:$AL132,MATCH(Lists!$F$6,$A$1:$AL$1,0))&amp;"")="","",IF(ISNUMBER(INDEX($A132:$AL132,MATCH(Lists!$F$6,$A$1:$AL$1,0))),ROUND(MOD(INDEX($A132:$AL132,MATCH(Lists!$F$6,$A$1:$AL$1,0)),1)*1440,0),VALUE(LEFT(INDEX($A132:$AL132,MATCH(Lists!$F$6,$A$1:$AL$1,0)),2))*60+VALUE(MID(INDEX($A132:$AL132,MATCH(Lists!$F$6,$A$1:$AL$1,0)),4,2)))),""),-1))</f>
        <v/>
      </c>
      <c r="AV132" s="21">
        <f>IF(IFERROR(TRIM(INDEX($A132:$AL132,MATCH(Lists!$F$2,$A$1:$AL$1,0))&amp;""),"")="",-1,IF(ISNUMBER(IFERROR(IF(TRIM(INDEX($A132:$AL132,MATCH(Lists!$F$7,$A$1:$AL$1,0))&amp;"")="","",IF(ISNUMBER(INDEX($A132:$AL132,MATCH(Lists!$F$7,$A$1:$AL$1,0))),ROUND(MOD(INDEX($A132:$AL132,MATCH(Lists!$F$7,$A$1:$AL$1,0)),1)*1440,0),VALUE(LEFT(INDEX($A132:$AL132,MATCH(Lists!$F$7,$A$1:$AL$1,0)),2))*60+VALUE(MID(INDEX($A132:$AL132,MATCH(Lists!$F$7,$A$1:$AL$1,0)),4,2)))),"")),IFERROR(IF(TRIM(INDEX($A132:$AL132,MATCH(Lists!$F$7,$A$1:$AL$1,0))&amp;"")="","",IF(ISNUMBER(INDEX($A132:$AL132,MATCH(Lists!$F$7,$A$1:$AL$1,0))),ROUND(MOD(INDEX($A132:$AL132,MATCH(Lists!$F$7,$A$1:$AL$1,0)),1)*1440,0),VALUE(LEFT(INDEX($A132:$AL132,MATCH(Lists!$F$7,$A$1:$AL$1,0)),2))*60+VALUE(MID(INDEX($A132:$AL132,MATCH(Lists!$F$7,$A$1:$AL$1,0)),4,2)))),""),-1))</f>
        <v/>
      </c>
      <c r="AW132" s="21">
        <f>IF(IFERROR(TRIM(INDEX($A132:$AL132,MATCH(Lists!$F$2,$A$1:$AL$1,0))&amp;""),"")="","",IF(IFERROR(TRIM(INDEX($A132:$AL132,MATCH(Lists!$F$8,$A$1:$AL$1,0))&amp;""),"")&lt;&gt;"",IFERROR(TRIM(INDEX($A132:$AL132,MATCH(Lists!$F$8,$A$1:$AL$1,0))&amp;""),""),IFERROR(TRIM(INDEX($A132:$AL132,MATCH(Lists!$F$9,$A$1:$AL$1,0))&amp;""),"")))</f>
        <v/>
      </c>
      <c r="AX132" s="21">
        <f>IFERROR(IF(TRIM(INDEX($A132:$AL132,MATCH(Lists!$F$10,$A$1:$AL$1,0))&amp;"")="","",VALUE(TRIM(INDEX($A132:$AL132,MATCH(Lists!$F$10,$A$1:$AL$1,0))&amp;""))),"")</f>
        <v/>
      </c>
      <c r="AY132" s="21">
        <f>IF(IFERROR(TRIM(INDEX($A132:$AL132,MATCH(Lists!$F$2,$A$1:$AL$1,0))&amp;""),"")="","",IF(AN132="","New",AN132))</f>
        <v/>
      </c>
      <c r="AZ132" s="21">
        <f>IF(IFERROR(TRIM(INDEX($A132:$AL132,MATCH(Lists!$F$2,$A$1:$AL$1,0))&amp;""),"")="","",IF(OR(IFERROR(TRIM(INDEX($A132:$AL132,MATCH(Lists!$F$13,$A$1:$AL$1,0))&amp;""),"")="Paid",IFERROR(TRIM(INDEX($A132:$AL132,MATCH(Lists!$F$13,$A$1:$AL$1,0))&amp;""),"")="Partially refunded"),"Paid",IF(AP132="Yes","Paid (by hand)",IFERROR(TRIM(INDEX($A132:$AL132,MATCH(Lists!$F$13,$A$1:$AL$1,0))&amp;""),""))))</f>
        <v/>
      </c>
      <c r="BA132" s="21">
        <f>IF(AND(IFERROR(TRIM(INDEX($A132:$AL132,MATCH(Lists!$F$2,$A$1:$AL$1,0))&amp;""),"")&lt;&gt;"",AT132&gt;0,AU132&gt;=0,AV132&gt;AU132,AY132&lt;&gt;"Declined"),1,0)</f>
        <v/>
      </c>
      <c r="BB132" s="21">
        <f>IF(BA132=1,COUNTIFS($AS$2:$AS$501,AS132,$AT$2:$AT$501,AT132,$AU$2:$AU$501,"&lt;"&amp;AV132,$AV$2:$AV$501,"&gt;"&amp;AU132,$BA$2:$BA$501,1)-1,"")</f>
        <v/>
      </c>
      <c r="BC132" s="21">
        <f>IF(N(BB132)&gt;0,"Clashes with "&amp;INDEX($AW$2:$AW$501,SUMPRODUCT(MAX(($AS$2:$AS$501=AS132)*($AT$2:$AT$501=AT132)*($AU$2:$AU$501&lt;AV132)*($AV$2:$AV$501&gt;AU132)*($BA$2:$BA$501=1)*(ROW($AS$2:$AS$501)&lt;&gt;ROW())*ROW($AS$2:$AS$501)))-1)&amp;" ("&amp;INDEX($AY$2:$AY$501,SUMPRODUCT(MAX(($AS$2:$AS$501=AS132)*($AT$2:$AT$501=AT132)*($AU$2:$AU$501&lt;AV132)*($AV$2:$AV$501&gt;AU132)*($BA$2:$BA$501=1)*(ROW($AS$2:$AS$501)&lt;&gt;ROW())*ROW($AS$2:$AS$501)))-1)&amp;")"&amp;IF(BB132&gt;1," and "&amp;(BB132-1)&amp;" more",""),"")</f>
        <v/>
      </c>
      <c r="BD132" s="21">
        <f>IF(AND(BA132=1,AY132="Confirmed"),AT132*10000000+AU132*1000+ROW(),"")</f>
        <v/>
      </c>
      <c r="BE132" s="21">
        <f>IF(IFERROR(TRIM(INDEX($A132:$AL132,MATCH(Lists!$F$2,$A$1:$AL$1,0))&amp;""),"")="","",IFERROR(TRIM(INDEX($A132:$AL132,MATCH(Lists!$F$11,$A$1:$AL$1,0))&amp;""),""))</f>
        <v/>
      </c>
      <c r="BF132" s="21">
        <f>IF(IFERROR(TRIM(INDEX($A132:$AL132,MATCH(Lists!$F$2,$A$1:$AL$1,0))&amp;""),"")="","",IFERROR(TRIM(INDEX($A132:$AL132,MATCH(Lists!$F$12,$A$1:$AL$1,0))&amp;""),""))</f>
        <v/>
      </c>
    </row>
    <row r="133">
      <c r="AM133" s="19" t="n"/>
      <c r="AN133" s="23" t="n"/>
      <c r="AO133" s="23" t="n"/>
      <c r="AP133" s="23" t="n"/>
      <c r="AQ133" s="23" t="n"/>
      <c r="AR133" s="19" t="n"/>
      <c r="AS133" s="21">
        <f>IF(IFERROR(TRIM(INDEX($A133:$AL133,MATCH(Lists!$F$2,$A$1:$AL$1,0))&amp;""),"")="","",IF(AND(IFERROR(TRIM(INDEX($A133:$AL133,MATCH(Lists!$F$3,$A$1:$AL$1,0))&amp;""),"")="Other",IFERROR(TRIM(INDEX($A133:$AL133,MATCH(Lists!$F$4,$A$1:$AL$1,0))&amp;""),"")&lt;&gt;""),IFERROR(TRIM(INDEX($A133:$AL133,MATCH(Lists!$F$4,$A$1:$AL$1,0))&amp;""),""),IF(IFERROR(TRIM(INDEX($A133:$AL133,MATCH(Lists!$F$3,$A$1:$AL$1,0))&amp;""),"")="","(no space)",IFERROR(TRIM(INDEX($A133:$AL133,MATCH(Lists!$F$3,$A$1:$AL$1,0))&amp;""),""))))</f>
        <v/>
      </c>
      <c r="AT133" s="22">
        <f>IF(IFERROR(TRIM(INDEX($A133:$AL133,MATCH(Lists!$F$2,$A$1:$AL$1,0))&amp;""),"")="",0,N(IFERROR(IF(TRIM(INDEX($A133:$AL133,MATCH(Lists!$F$5,$A$1:$AL$1,0))&amp;"")="","",IF(ISNUMBER(INDEX($A133:$AL133,MATCH(Lists!$F$5,$A$1:$AL$1,0))),INT(INDEX($A133:$AL133,MATCH(Lists!$F$5,$A$1:$AL$1,0))),DATE(VALUE(LEFT(INDEX($A133:$AL133,MATCH(Lists!$F$5,$A$1:$AL$1,0)),4)),VALUE(MID(INDEX($A133:$AL133,MATCH(Lists!$F$5,$A$1:$AL$1,0)),6,2)),VALUE(MID(INDEX($A133:$AL133,MATCH(Lists!$F$5,$A$1:$AL$1,0)),9,2))))),"")))</f>
        <v/>
      </c>
      <c r="AU133" s="21">
        <f>IF(IFERROR(TRIM(INDEX($A133:$AL133,MATCH(Lists!$F$2,$A$1:$AL$1,0))&amp;""),"")="",-1,IF(ISNUMBER(IFERROR(IF(TRIM(INDEX($A133:$AL133,MATCH(Lists!$F$6,$A$1:$AL$1,0))&amp;"")="","",IF(ISNUMBER(INDEX($A133:$AL133,MATCH(Lists!$F$6,$A$1:$AL$1,0))),ROUND(MOD(INDEX($A133:$AL133,MATCH(Lists!$F$6,$A$1:$AL$1,0)),1)*1440,0),VALUE(LEFT(INDEX($A133:$AL133,MATCH(Lists!$F$6,$A$1:$AL$1,0)),2))*60+VALUE(MID(INDEX($A133:$AL133,MATCH(Lists!$F$6,$A$1:$AL$1,0)),4,2)))),"")),IFERROR(IF(TRIM(INDEX($A133:$AL133,MATCH(Lists!$F$6,$A$1:$AL$1,0))&amp;"")="","",IF(ISNUMBER(INDEX($A133:$AL133,MATCH(Lists!$F$6,$A$1:$AL$1,0))),ROUND(MOD(INDEX($A133:$AL133,MATCH(Lists!$F$6,$A$1:$AL$1,0)),1)*1440,0),VALUE(LEFT(INDEX($A133:$AL133,MATCH(Lists!$F$6,$A$1:$AL$1,0)),2))*60+VALUE(MID(INDEX($A133:$AL133,MATCH(Lists!$F$6,$A$1:$AL$1,0)),4,2)))),""),-1))</f>
        <v/>
      </c>
      <c r="AV133" s="21">
        <f>IF(IFERROR(TRIM(INDEX($A133:$AL133,MATCH(Lists!$F$2,$A$1:$AL$1,0))&amp;""),"")="",-1,IF(ISNUMBER(IFERROR(IF(TRIM(INDEX($A133:$AL133,MATCH(Lists!$F$7,$A$1:$AL$1,0))&amp;"")="","",IF(ISNUMBER(INDEX($A133:$AL133,MATCH(Lists!$F$7,$A$1:$AL$1,0))),ROUND(MOD(INDEX($A133:$AL133,MATCH(Lists!$F$7,$A$1:$AL$1,0)),1)*1440,0),VALUE(LEFT(INDEX($A133:$AL133,MATCH(Lists!$F$7,$A$1:$AL$1,0)),2))*60+VALUE(MID(INDEX($A133:$AL133,MATCH(Lists!$F$7,$A$1:$AL$1,0)),4,2)))),"")),IFERROR(IF(TRIM(INDEX($A133:$AL133,MATCH(Lists!$F$7,$A$1:$AL$1,0))&amp;"")="","",IF(ISNUMBER(INDEX($A133:$AL133,MATCH(Lists!$F$7,$A$1:$AL$1,0))),ROUND(MOD(INDEX($A133:$AL133,MATCH(Lists!$F$7,$A$1:$AL$1,0)),1)*1440,0),VALUE(LEFT(INDEX($A133:$AL133,MATCH(Lists!$F$7,$A$1:$AL$1,0)),2))*60+VALUE(MID(INDEX($A133:$AL133,MATCH(Lists!$F$7,$A$1:$AL$1,0)),4,2)))),""),-1))</f>
        <v/>
      </c>
      <c r="AW133" s="21">
        <f>IF(IFERROR(TRIM(INDEX($A133:$AL133,MATCH(Lists!$F$2,$A$1:$AL$1,0))&amp;""),"")="","",IF(IFERROR(TRIM(INDEX($A133:$AL133,MATCH(Lists!$F$8,$A$1:$AL$1,0))&amp;""),"")&lt;&gt;"",IFERROR(TRIM(INDEX($A133:$AL133,MATCH(Lists!$F$8,$A$1:$AL$1,0))&amp;""),""),IFERROR(TRIM(INDEX($A133:$AL133,MATCH(Lists!$F$9,$A$1:$AL$1,0))&amp;""),"")))</f>
        <v/>
      </c>
      <c r="AX133" s="21">
        <f>IFERROR(IF(TRIM(INDEX($A133:$AL133,MATCH(Lists!$F$10,$A$1:$AL$1,0))&amp;"")="","",VALUE(TRIM(INDEX($A133:$AL133,MATCH(Lists!$F$10,$A$1:$AL$1,0))&amp;""))),"")</f>
        <v/>
      </c>
      <c r="AY133" s="21">
        <f>IF(IFERROR(TRIM(INDEX($A133:$AL133,MATCH(Lists!$F$2,$A$1:$AL$1,0))&amp;""),"")="","",IF(AN133="","New",AN133))</f>
        <v/>
      </c>
      <c r="AZ133" s="21">
        <f>IF(IFERROR(TRIM(INDEX($A133:$AL133,MATCH(Lists!$F$2,$A$1:$AL$1,0))&amp;""),"")="","",IF(OR(IFERROR(TRIM(INDEX($A133:$AL133,MATCH(Lists!$F$13,$A$1:$AL$1,0))&amp;""),"")="Paid",IFERROR(TRIM(INDEX($A133:$AL133,MATCH(Lists!$F$13,$A$1:$AL$1,0))&amp;""),"")="Partially refunded"),"Paid",IF(AP133="Yes","Paid (by hand)",IFERROR(TRIM(INDEX($A133:$AL133,MATCH(Lists!$F$13,$A$1:$AL$1,0))&amp;""),""))))</f>
        <v/>
      </c>
      <c r="BA133" s="21">
        <f>IF(AND(IFERROR(TRIM(INDEX($A133:$AL133,MATCH(Lists!$F$2,$A$1:$AL$1,0))&amp;""),"")&lt;&gt;"",AT133&gt;0,AU133&gt;=0,AV133&gt;AU133,AY133&lt;&gt;"Declined"),1,0)</f>
        <v/>
      </c>
      <c r="BB133" s="21">
        <f>IF(BA133=1,COUNTIFS($AS$2:$AS$501,AS133,$AT$2:$AT$501,AT133,$AU$2:$AU$501,"&lt;"&amp;AV133,$AV$2:$AV$501,"&gt;"&amp;AU133,$BA$2:$BA$501,1)-1,"")</f>
        <v/>
      </c>
      <c r="BC133" s="21">
        <f>IF(N(BB133)&gt;0,"Clashes with "&amp;INDEX($AW$2:$AW$501,SUMPRODUCT(MAX(($AS$2:$AS$501=AS133)*($AT$2:$AT$501=AT133)*($AU$2:$AU$501&lt;AV133)*($AV$2:$AV$501&gt;AU133)*($BA$2:$BA$501=1)*(ROW($AS$2:$AS$501)&lt;&gt;ROW())*ROW($AS$2:$AS$501)))-1)&amp;" ("&amp;INDEX($AY$2:$AY$501,SUMPRODUCT(MAX(($AS$2:$AS$501=AS133)*($AT$2:$AT$501=AT133)*($AU$2:$AU$501&lt;AV133)*($AV$2:$AV$501&gt;AU133)*($BA$2:$BA$501=1)*(ROW($AS$2:$AS$501)&lt;&gt;ROW())*ROW($AS$2:$AS$501)))-1)&amp;")"&amp;IF(BB133&gt;1," and "&amp;(BB133-1)&amp;" more",""),"")</f>
        <v/>
      </c>
      <c r="BD133" s="21">
        <f>IF(AND(BA133=1,AY133="Confirmed"),AT133*10000000+AU133*1000+ROW(),"")</f>
        <v/>
      </c>
      <c r="BE133" s="21">
        <f>IF(IFERROR(TRIM(INDEX($A133:$AL133,MATCH(Lists!$F$2,$A$1:$AL$1,0))&amp;""),"")="","",IFERROR(TRIM(INDEX($A133:$AL133,MATCH(Lists!$F$11,$A$1:$AL$1,0))&amp;""),""))</f>
        <v/>
      </c>
      <c r="BF133" s="21">
        <f>IF(IFERROR(TRIM(INDEX($A133:$AL133,MATCH(Lists!$F$2,$A$1:$AL$1,0))&amp;""),"")="","",IFERROR(TRIM(INDEX($A133:$AL133,MATCH(Lists!$F$12,$A$1:$AL$1,0))&amp;""),""))</f>
        <v/>
      </c>
    </row>
    <row r="134">
      <c r="AM134" s="19" t="n"/>
      <c r="AN134" s="23" t="n"/>
      <c r="AO134" s="23" t="n"/>
      <c r="AP134" s="23" t="n"/>
      <c r="AQ134" s="23" t="n"/>
      <c r="AR134" s="19" t="n"/>
      <c r="AS134" s="21">
        <f>IF(IFERROR(TRIM(INDEX($A134:$AL134,MATCH(Lists!$F$2,$A$1:$AL$1,0))&amp;""),"")="","",IF(AND(IFERROR(TRIM(INDEX($A134:$AL134,MATCH(Lists!$F$3,$A$1:$AL$1,0))&amp;""),"")="Other",IFERROR(TRIM(INDEX($A134:$AL134,MATCH(Lists!$F$4,$A$1:$AL$1,0))&amp;""),"")&lt;&gt;""),IFERROR(TRIM(INDEX($A134:$AL134,MATCH(Lists!$F$4,$A$1:$AL$1,0))&amp;""),""),IF(IFERROR(TRIM(INDEX($A134:$AL134,MATCH(Lists!$F$3,$A$1:$AL$1,0))&amp;""),"")="","(no space)",IFERROR(TRIM(INDEX($A134:$AL134,MATCH(Lists!$F$3,$A$1:$AL$1,0))&amp;""),""))))</f>
        <v/>
      </c>
      <c r="AT134" s="22">
        <f>IF(IFERROR(TRIM(INDEX($A134:$AL134,MATCH(Lists!$F$2,$A$1:$AL$1,0))&amp;""),"")="",0,N(IFERROR(IF(TRIM(INDEX($A134:$AL134,MATCH(Lists!$F$5,$A$1:$AL$1,0))&amp;"")="","",IF(ISNUMBER(INDEX($A134:$AL134,MATCH(Lists!$F$5,$A$1:$AL$1,0))),INT(INDEX($A134:$AL134,MATCH(Lists!$F$5,$A$1:$AL$1,0))),DATE(VALUE(LEFT(INDEX($A134:$AL134,MATCH(Lists!$F$5,$A$1:$AL$1,0)),4)),VALUE(MID(INDEX($A134:$AL134,MATCH(Lists!$F$5,$A$1:$AL$1,0)),6,2)),VALUE(MID(INDEX($A134:$AL134,MATCH(Lists!$F$5,$A$1:$AL$1,0)),9,2))))),"")))</f>
        <v/>
      </c>
      <c r="AU134" s="21">
        <f>IF(IFERROR(TRIM(INDEX($A134:$AL134,MATCH(Lists!$F$2,$A$1:$AL$1,0))&amp;""),"")="",-1,IF(ISNUMBER(IFERROR(IF(TRIM(INDEX($A134:$AL134,MATCH(Lists!$F$6,$A$1:$AL$1,0))&amp;"")="","",IF(ISNUMBER(INDEX($A134:$AL134,MATCH(Lists!$F$6,$A$1:$AL$1,0))),ROUND(MOD(INDEX($A134:$AL134,MATCH(Lists!$F$6,$A$1:$AL$1,0)),1)*1440,0),VALUE(LEFT(INDEX($A134:$AL134,MATCH(Lists!$F$6,$A$1:$AL$1,0)),2))*60+VALUE(MID(INDEX($A134:$AL134,MATCH(Lists!$F$6,$A$1:$AL$1,0)),4,2)))),"")),IFERROR(IF(TRIM(INDEX($A134:$AL134,MATCH(Lists!$F$6,$A$1:$AL$1,0))&amp;"")="","",IF(ISNUMBER(INDEX($A134:$AL134,MATCH(Lists!$F$6,$A$1:$AL$1,0))),ROUND(MOD(INDEX($A134:$AL134,MATCH(Lists!$F$6,$A$1:$AL$1,0)),1)*1440,0),VALUE(LEFT(INDEX($A134:$AL134,MATCH(Lists!$F$6,$A$1:$AL$1,0)),2))*60+VALUE(MID(INDEX($A134:$AL134,MATCH(Lists!$F$6,$A$1:$AL$1,0)),4,2)))),""),-1))</f>
        <v/>
      </c>
      <c r="AV134" s="21">
        <f>IF(IFERROR(TRIM(INDEX($A134:$AL134,MATCH(Lists!$F$2,$A$1:$AL$1,0))&amp;""),"")="",-1,IF(ISNUMBER(IFERROR(IF(TRIM(INDEX($A134:$AL134,MATCH(Lists!$F$7,$A$1:$AL$1,0))&amp;"")="","",IF(ISNUMBER(INDEX($A134:$AL134,MATCH(Lists!$F$7,$A$1:$AL$1,0))),ROUND(MOD(INDEX($A134:$AL134,MATCH(Lists!$F$7,$A$1:$AL$1,0)),1)*1440,0),VALUE(LEFT(INDEX($A134:$AL134,MATCH(Lists!$F$7,$A$1:$AL$1,0)),2))*60+VALUE(MID(INDEX($A134:$AL134,MATCH(Lists!$F$7,$A$1:$AL$1,0)),4,2)))),"")),IFERROR(IF(TRIM(INDEX($A134:$AL134,MATCH(Lists!$F$7,$A$1:$AL$1,0))&amp;"")="","",IF(ISNUMBER(INDEX($A134:$AL134,MATCH(Lists!$F$7,$A$1:$AL$1,0))),ROUND(MOD(INDEX($A134:$AL134,MATCH(Lists!$F$7,$A$1:$AL$1,0)),1)*1440,0),VALUE(LEFT(INDEX($A134:$AL134,MATCH(Lists!$F$7,$A$1:$AL$1,0)),2))*60+VALUE(MID(INDEX($A134:$AL134,MATCH(Lists!$F$7,$A$1:$AL$1,0)),4,2)))),""),-1))</f>
        <v/>
      </c>
      <c r="AW134" s="21">
        <f>IF(IFERROR(TRIM(INDEX($A134:$AL134,MATCH(Lists!$F$2,$A$1:$AL$1,0))&amp;""),"")="","",IF(IFERROR(TRIM(INDEX($A134:$AL134,MATCH(Lists!$F$8,$A$1:$AL$1,0))&amp;""),"")&lt;&gt;"",IFERROR(TRIM(INDEX($A134:$AL134,MATCH(Lists!$F$8,$A$1:$AL$1,0))&amp;""),""),IFERROR(TRIM(INDEX($A134:$AL134,MATCH(Lists!$F$9,$A$1:$AL$1,0))&amp;""),"")))</f>
        <v/>
      </c>
      <c r="AX134" s="21">
        <f>IFERROR(IF(TRIM(INDEX($A134:$AL134,MATCH(Lists!$F$10,$A$1:$AL$1,0))&amp;"")="","",VALUE(TRIM(INDEX($A134:$AL134,MATCH(Lists!$F$10,$A$1:$AL$1,0))&amp;""))),"")</f>
        <v/>
      </c>
      <c r="AY134" s="21">
        <f>IF(IFERROR(TRIM(INDEX($A134:$AL134,MATCH(Lists!$F$2,$A$1:$AL$1,0))&amp;""),"")="","",IF(AN134="","New",AN134))</f>
        <v/>
      </c>
      <c r="AZ134" s="21">
        <f>IF(IFERROR(TRIM(INDEX($A134:$AL134,MATCH(Lists!$F$2,$A$1:$AL$1,0))&amp;""),"")="","",IF(OR(IFERROR(TRIM(INDEX($A134:$AL134,MATCH(Lists!$F$13,$A$1:$AL$1,0))&amp;""),"")="Paid",IFERROR(TRIM(INDEX($A134:$AL134,MATCH(Lists!$F$13,$A$1:$AL$1,0))&amp;""),"")="Partially refunded"),"Paid",IF(AP134="Yes","Paid (by hand)",IFERROR(TRIM(INDEX($A134:$AL134,MATCH(Lists!$F$13,$A$1:$AL$1,0))&amp;""),""))))</f>
        <v/>
      </c>
      <c r="BA134" s="21">
        <f>IF(AND(IFERROR(TRIM(INDEX($A134:$AL134,MATCH(Lists!$F$2,$A$1:$AL$1,0))&amp;""),"")&lt;&gt;"",AT134&gt;0,AU134&gt;=0,AV134&gt;AU134,AY134&lt;&gt;"Declined"),1,0)</f>
        <v/>
      </c>
      <c r="BB134" s="21">
        <f>IF(BA134=1,COUNTIFS($AS$2:$AS$501,AS134,$AT$2:$AT$501,AT134,$AU$2:$AU$501,"&lt;"&amp;AV134,$AV$2:$AV$501,"&gt;"&amp;AU134,$BA$2:$BA$501,1)-1,"")</f>
        <v/>
      </c>
      <c r="BC134" s="21">
        <f>IF(N(BB134)&gt;0,"Clashes with "&amp;INDEX($AW$2:$AW$501,SUMPRODUCT(MAX(($AS$2:$AS$501=AS134)*($AT$2:$AT$501=AT134)*($AU$2:$AU$501&lt;AV134)*($AV$2:$AV$501&gt;AU134)*($BA$2:$BA$501=1)*(ROW($AS$2:$AS$501)&lt;&gt;ROW())*ROW($AS$2:$AS$501)))-1)&amp;" ("&amp;INDEX($AY$2:$AY$501,SUMPRODUCT(MAX(($AS$2:$AS$501=AS134)*($AT$2:$AT$501=AT134)*($AU$2:$AU$501&lt;AV134)*($AV$2:$AV$501&gt;AU134)*($BA$2:$BA$501=1)*(ROW($AS$2:$AS$501)&lt;&gt;ROW())*ROW($AS$2:$AS$501)))-1)&amp;")"&amp;IF(BB134&gt;1," and "&amp;(BB134-1)&amp;" more",""),"")</f>
        <v/>
      </c>
      <c r="BD134" s="21">
        <f>IF(AND(BA134=1,AY134="Confirmed"),AT134*10000000+AU134*1000+ROW(),"")</f>
        <v/>
      </c>
      <c r="BE134" s="21">
        <f>IF(IFERROR(TRIM(INDEX($A134:$AL134,MATCH(Lists!$F$2,$A$1:$AL$1,0))&amp;""),"")="","",IFERROR(TRIM(INDEX($A134:$AL134,MATCH(Lists!$F$11,$A$1:$AL$1,0))&amp;""),""))</f>
        <v/>
      </c>
      <c r="BF134" s="21">
        <f>IF(IFERROR(TRIM(INDEX($A134:$AL134,MATCH(Lists!$F$2,$A$1:$AL$1,0))&amp;""),"")="","",IFERROR(TRIM(INDEX($A134:$AL134,MATCH(Lists!$F$12,$A$1:$AL$1,0))&amp;""),""))</f>
        <v/>
      </c>
    </row>
    <row r="135">
      <c r="AM135" s="19" t="n"/>
      <c r="AN135" s="23" t="n"/>
      <c r="AO135" s="23" t="n"/>
      <c r="AP135" s="23" t="n"/>
      <c r="AQ135" s="23" t="n"/>
      <c r="AR135" s="19" t="n"/>
      <c r="AS135" s="21">
        <f>IF(IFERROR(TRIM(INDEX($A135:$AL135,MATCH(Lists!$F$2,$A$1:$AL$1,0))&amp;""),"")="","",IF(AND(IFERROR(TRIM(INDEX($A135:$AL135,MATCH(Lists!$F$3,$A$1:$AL$1,0))&amp;""),"")="Other",IFERROR(TRIM(INDEX($A135:$AL135,MATCH(Lists!$F$4,$A$1:$AL$1,0))&amp;""),"")&lt;&gt;""),IFERROR(TRIM(INDEX($A135:$AL135,MATCH(Lists!$F$4,$A$1:$AL$1,0))&amp;""),""),IF(IFERROR(TRIM(INDEX($A135:$AL135,MATCH(Lists!$F$3,$A$1:$AL$1,0))&amp;""),"")="","(no space)",IFERROR(TRIM(INDEX($A135:$AL135,MATCH(Lists!$F$3,$A$1:$AL$1,0))&amp;""),""))))</f>
        <v/>
      </c>
      <c r="AT135" s="22">
        <f>IF(IFERROR(TRIM(INDEX($A135:$AL135,MATCH(Lists!$F$2,$A$1:$AL$1,0))&amp;""),"")="",0,N(IFERROR(IF(TRIM(INDEX($A135:$AL135,MATCH(Lists!$F$5,$A$1:$AL$1,0))&amp;"")="","",IF(ISNUMBER(INDEX($A135:$AL135,MATCH(Lists!$F$5,$A$1:$AL$1,0))),INT(INDEX($A135:$AL135,MATCH(Lists!$F$5,$A$1:$AL$1,0))),DATE(VALUE(LEFT(INDEX($A135:$AL135,MATCH(Lists!$F$5,$A$1:$AL$1,0)),4)),VALUE(MID(INDEX($A135:$AL135,MATCH(Lists!$F$5,$A$1:$AL$1,0)),6,2)),VALUE(MID(INDEX($A135:$AL135,MATCH(Lists!$F$5,$A$1:$AL$1,0)),9,2))))),"")))</f>
        <v/>
      </c>
      <c r="AU135" s="21">
        <f>IF(IFERROR(TRIM(INDEX($A135:$AL135,MATCH(Lists!$F$2,$A$1:$AL$1,0))&amp;""),"")="",-1,IF(ISNUMBER(IFERROR(IF(TRIM(INDEX($A135:$AL135,MATCH(Lists!$F$6,$A$1:$AL$1,0))&amp;"")="","",IF(ISNUMBER(INDEX($A135:$AL135,MATCH(Lists!$F$6,$A$1:$AL$1,0))),ROUND(MOD(INDEX($A135:$AL135,MATCH(Lists!$F$6,$A$1:$AL$1,0)),1)*1440,0),VALUE(LEFT(INDEX($A135:$AL135,MATCH(Lists!$F$6,$A$1:$AL$1,0)),2))*60+VALUE(MID(INDEX($A135:$AL135,MATCH(Lists!$F$6,$A$1:$AL$1,0)),4,2)))),"")),IFERROR(IF(TRIM(INDEX($A135:$AL135,MATCH(Lists!$F$6,$A$1:$AL$1,0))&amp;"")="","",IF(ISNUMBER(INDEX($A135:$AL135,MATCH(Lists!$F$6,$A$1:$AL$1,0))),ROUND(MOD(INDEX($A135:$AL135,MATCH(Lists!$F$6,$A$1:$AL$1,0)),1)*1440,0),VALUE(LEFT(INDEX($A135:$AL135,MATCH(Lists!$F$6,$A$1:$AL$1,0)),2))*60+VALUE(MID(INDEX($A135:$AL135,MATCH(Lists!$F$6,$A$1:$AL$1,0)),4,2)))),""),-1))</f>
        <v/>
      </c>
      <c r="AV135" s="21">
        <f>IF(IFERROR(TRIM(INDEX($A135:$AL135,MATCH(Lists!$F$2,$A$1:$AL$1,0))&amp;""),"")="",-1,IF(ISNUMBER(IFERROR(IF(TRIM(INDEX($A135:$AL135,MATCH(Lists!$F$7,$A$1:$AL$1,0))&amp;"")="","",IF(ISNUMBER(INDEX($A135:$AL135,MATCH(Lists!$F$7,$A$1:$AL$1,0))),ROUND(MOD(INDEX($A135:$AL135,MATCH(Lists!$F$7,$A$1:$AL$1,0)),1)*1440,0),VALUE(LEFT(INDEX($A135:$AL135,MATCH(Lists!$F$7,$A$1:$AL$1,0)),2))*60+VALUE(MID(INDEX($A135:$AL135,MATCH(Lists!$F$7,$A$1:$AL$1,0)),4,2)))),"")),IFERROR(IF(TRIM(INDEX($A135:$AL135,MATCH(Lists!$F$7,$A$1:$AL$1,0))&amp;"")="","",IF(ISNUMBER(INDEX($A135:$AL135,MATCH(Lists!$F$7,$A$1:$AL$1,0))),ROUND(MOD(INDEX($A135:$AL135,MATCH(Lists!$F$7,$A$1:$AL$1,0)),1)*1440,0),VALUE(LEFT(INDEX($A135:$AL135,MATCH(Lists!$F$7,$A$1:$AL$1,0)),2))*60+VALUE(MID(INDEX($A135:$AL135,MATCH(Lists!$F$7,$A$1:$AL$1,0)),4,2)))),""),-1))</f>
        <v/>
      </c>
      <c r="AW135" s="21">
        <f>IF(IFERROR(TRIM(INDEX($A135:$AL135,MATCH(Lists!$F$2,$A$1:$AL$1,0))&amp;""),"")="","",IF(IFERROR(TRIM(INDEX($A135:$AL135,MATCH(Lists!$F$8,$A$1:$AL$1,0))&amp;""),"")&lt;&gt;"",IFERROR(TRIM(INDEX($A135:$AL135,MATCH(Lists!$F$8,$A$1:$AL$1,0))&amp;""),""),IFERROR(TRIM(INDEX($A135:$AL135,MATCH(Lists!$F$9,$A$1:$AL$1,0))&amp;""),"")))</f>
        <v/>
      </c>
      <c r="AX135" s="21">
        <f>IFERROR(IF(TRIM(INDEX($A135:$AL135,MATCH(Lists!$F$10,$A$1:$AL$1,0))&amp;"")="","",VALUE(TRIM(INDEX($A135:$AL135,MATCH(Lists!$F$10,$A$1:$AL$1,0))&amp;""))),"")</f>
        <v/>
      </c>
      <c r="AY135" s="21">
        <f>IF(IFERROR(TRIM(INDEX($A135:$AL135,MATCH(Lists!$F$2,$A$1:$AL$1,0))&amp;""),"")="","",IF(AN135="","New",AN135))</f>
        <v/>
      </c>
      <c r="AZ135" s="21">
        <f>IF(IFERROR(TRIM(INDEX($A135:$AL135,MATCH(Lists!$F$2,$A$1:$AL$1,0))&amp;""),"")="","",IF(OR(IFERROR(TRIM(INDEX($A135:$AL135,MATCH(Lists!$F$13,$A$1:$AL$1,0))&amp;""),"")="Paid",IFERROR(TRIM(INDEX($A135:$AL135,MATCH(Lists!$F$13,$A$1:$AL$1,0))&amp;""),"")="Partially refunded"),"Paid",IF(AP135="Yes","Paid (by hand)",IFERROR(TRIM(INDEX($A135:$AL135,MATCH(Lists!$F$13,$A$1:$AL$1,0))&amp;""),""))))</f>
        <v/>
      </c>
      <c r="BA135" s="21">
        <f>IF(AND(IFERROR(TRIM(INDEX($A135:$AL135,MATCH(Lists!$F$2,$A$1:$AL$1,0))&amp;""),"")&lt;&gt;"",AT135&gt;0,AU135&gt;=0,AV135&gt;AU135,AY135&lt;&gt;"Declined"),1,0)</f>
        <v/>
      </c>
      <c r="BB135" s="21">
        <f>IF(BA135=1,COUNTIFS($AS$2:$AS$501,AS135,$AT$2:$AT$501,AT135,$AU$2:$AU$501,"&lt;"&amp;AV135,$AV$2:$AV$501,"&gt;"&amp;AU135,$BA$2:$BA$501,1)-1,"")</f>
        <v/>
      </c>
      <c r="BC135" s="21">
        <f>IF(N(BB135)&gt;0,"Clashes with "&amp;INDEX($AW$2:$AW$501,SUMPRODUCT(MAX(($AS$2:$AS$501=AS135)*($AT$2:$AT$501=AT135)*($AU$2:$AU$501&lt;AV135)*($AV$2:$AV$501&gt;AU135)*($BA$2:$BA$501=1)*(ROW($AS$2:$AS$501)&lt;&gt;ROW())*ROW($AS$2:$AS$501)))-1)&amp;" ("&amp;INDEX($AY$2:$AY$501,SUMPRODUCT(MAX(($AS$2:$AS$501=AS135)*($AT$2:$AT$501=AT135)*($AU$2:$AU$501&lt;AV135)*($AV$2:$AV$501&gt;AU135)*($BA$2:$BA$501=1)*(ROW($AS$2:$AS$501)&lt;&gt;ROW())*ROW($AS$2:$AS$501)))-1)&amp;")"&amp;IF(BB135&gt;1," and "&amp;(BB135-1)&amp;" more",""),"")</f>
        <v/>
      </c>
      <c r="BD135" s="21">
        <f>IF(AND(BA135=1,AY135="Confirmed"),AT135*10000000+AU135*1000+ROW(),"")</f>
        <v/>
      </c>
      <c r="BE135" s="21">
        <f>IF(IFERROR(TRIM(INDEX($A135:$AL135,MATCH(Lists!$F$2,$A$1:$AL$1,0))&amp;""),"")="","",IFERROR(TRIM(INDEX($A135:$AL135,MATCH(Lists!$F$11,$A$1:$AL$1,0))&amp;""),""))</f>
        <v/>
      </c>
      <c r="BF135" s="21">
        <f>IF(IFERROR(TRIM(INDEX($A135:$AL135,MATCH(Lists!$F$2,$A$1:$AL$1,0))&amp;""),"")="","",IFERROR(TRIM(INDEX($A135:$AL135,MATCH(Lists!$F$12,$A$1:$AL$1,0))&amp;""),""))</f>
        <v/>
      </c>
    </row>
    <row r="136">
      <c r="AM136" s="19" t="n"/>
      <c r="AN136" s="23" t="n"/>
      <c r="AO136" s="23" t="n"/>
      <c r="AP136" s="23" t="n"/>
      <c r="AQ136" s="23" t="n"/>
      <c r="AR136" s="19" t="n"/>
      <c r="AS136" s="21">
        <f>IF(IFERROR(TRIM(INDEX($A136:$AL136,MATCH(Lists!$F$2,$A$1:$AL$1,0))&amp;""),"")="","",IF(AND(IFERROR(TRIM(INDEX($A136:$AL136,MATCH(Lists!$F$3,$A$1:$AL$1,0))&amp;""),"")="Other",IFERROR(TRIM(INDEX($A136:$AL136,MATCH(Lists!$F$4,$A$1:$AL$1,0))&amp;""),"")&lt;&gt;""),IFERROR(TRIM(INDEX($A136:$AL136,MATCH(Lists!$F$4,$A$1:$AL$1,0))&amp;""),""),IF(IFERROR(TRIM(INDEX($A136:$AL136,MATCH(Lists!$F$3,$A$1:$AL$1,0))&amp;""),"")="","(no space)",IFERROR(TRIM(INDEX($A136:$AL136,MATCH(Lists!$F$3,$A$1:$AL$1,0))&amp;""),""))))</f>
        <v/>
      </c>
      <c r="AT136" s="22">
        <f>IF(IFERROR(TRIM(INDEX($A136:$AL136,MATCH(Lists!$F$2,$A$1:$AL$1,0))&amp;""),"")="",0,N(IFERROR(IF(TRIM(INDEX($A136:$AL136,MATCH(Lists!$F$5,$A$1:$AL$1,0))&amp;"")="","",IF(ISNUMBER(INDEX($A136:$AL136,MATCH(Lists!$F$5,$A$1:$AL$1,0))),INT(INDEX($A136:$AL136,MATCH(Lists!$F$5,$A$1:$AL$1,0))),DATE(VALUE(LEFT(INDEX($A136:$AL136,MATCH(Lists!$F$5,$A$1:$AL$1,0)),4)),VALUE(MID(INDEX($A136:$AL136,MATCH(Lists!$F$5,$A$1:$AL$1,0)),6,2)),VALUE(MID(INDEX($A136:$AL136,MATCH(Lists!$F$5,$A$1:$AL$1,0)),9,2))))),"")))</f>
        <v/>
      </c>
      <c r="AU136" s="21">
        <f>IF(IFERROR(TRIM(INDEX($A136:$AL136,MATCH(Lists!$F$2,$A$1:$AL$1,0))&amp;""),"")="",-1,IF(ISNUMBER(IFERROR(IF(TRIM(INDEX($A136:$AL136,MATCH(Lists!$F$6,$A$1:$AL$1,0))&amp;"")="","",IF(ISNUMBER(INDEX($A136:$AL136,MATCH(Lists!$F$6,$A$1:$AL$1,0))),ROUND(MOD(INDEX($A136:$AL136,MATCH(Lists!$F$6,$A$1:$AL$1,0)),1)*1440,0),VALUE(LEFT(INDEX($A136:$AL136,MATCH(Lists!$F$6,$A$1:$AL$1,0)),2))*60+VALUE(MID(INDEX($A136:$AL136,MATCH(Lists!$F$6,$A$1:$AL$1,0)),4,2)))),"")),IFERROR(IF(TRIM(INDEX($A136:$AL136,MATCH(Lists!$F$6,$A$1:$AL$1,0))&amp;"")="","",IF(ISNUMBER(INDEX($A136:$AL136,MATCH(Lists!$F$6,$A$1:$AL$1,0))),ROUND(MOD(INDEX($A136:$AL136,MATCH(Lists!$F$6,$A$1:$AL$1,0)),1)*1440,0),VALUE(LEFT(INDEX($A136:$AL136,MATCH(Lists!$F$6,$A$1:$AL$1,0)),2))*60+VALUE(MID(INDEX($A136:$AL136,MATCH(Lists!$F$6,$A$1:$AL$1,0)),4,2)))),""),-1))</f>
        <v/>
      </c>
      <c r="AV136" s="21">
        <f>IF(IFERROR(TRIM(INDEX($A136:$AL136,MATCH(Lists!$F$2,$A$1:$AL$1,0))&amp;""),"")="",-1,IF(ISNUMBER(IFERROR(IF(TRIM(INDEX($A136:$AL136,MATCH(Lists!$F$7,$A$1:$AL$1,0))&amp;"")="","",IF(ISNUMBER(INDEX($A136:$AL136,MATCH(Lists!$F$7,$A$1:$AL$1,0))),ROUND(MOD(INDEX($A136:$AL136,MATCH(Lists!$F$7,$A$1:$AL$1,0)),1)*1440,0),VALUE(LEFT(INDEX($A136:$AL136,MATCH(Lists!$F$7,$A$1:$AL$1,0)),2))*60+VALUE(MID(INDEX($A136:$AL136,MATCH(Lists!$F$7,$A$1:$AL$1,0)),4,2)))),"")),IFERROR(IF(TRIM(INDEX($A136:$AL136,MATCH(Lists!$F$7,$A$1:$AL$1,0))&amp;"")="","",IF(ISNUMBER(INDEX($A136:$AL136,MATCH(Lists!$F$7,$A$1:$AL$1,0))),ROUND(MOD(INDEX($A136:$AL136,MATCH(Lists!$F$7,$A$1:$AL$1,0)),1)*1440,0),VALUE(LEFT(INDEX($A136:$AL136,MATCH(Lists!$F$7,$A$1:$AL$1,0)),2))*60+VALUE(MID(INDEX($A136:$AL136,MATCH(Lists!$F$7,$A$1:$AL$1,0)),4,2)))),""),-1))</f>
        <v/>
      </c>
      <c r="AW136" s="21">
        <f>IF(IFERROR(TRIM(INDEX($A136:$AL136,MATCH(Lists!$F$2,$A$1:$AL$1,0))&amp;""),"")="","",IF(IFERROR(TRIM(INDEX($A136:$AL136,MATCH(Lists!$F$8,$A$1:$AL$1,0))&amp;""),"")&lt;&gt;"",IFERROR(TRIM(INDEX($A136:$AL136,MATCH(Lists!$F$8,$A$1:$AL$1,0))&amp;""),""),IFERROR(TRIM(INDEX($A136:$AL136,MATCH(Lists!$F$9,$A$1:$AL$1,0))&amp;""),"")))</f>
        <v/>
      </c>
      <c r="AX136" s="21">
        <f>IFERROR(IF(TRIM(INDEX($A136:$AL136,MATCH(Lists!$F$10,$A$1:$AL$1,0))&amp;"")="","",VALUE(TRIM(INDEX($A136:$AL136,MATCH(Lists!$F$10,$A$1:$AL$1,0))&amp;""))),"")</f>
        <v/>
      </c>
      <c r="AY136" s="21">
        <f>IF(IFERROR(TRIM(INDEX($A136:$AL136,MATCH(Lists!$F$2,$A$1:$AL$1,0))&amp;""),"")="","",IF(AN136="","New",AN136))</f>
        <v/>
      </c>
      <c r="AZ136" s="21">
        <f>IF(IFERROR(TRIM(INDEX($A136:$AL136,MATCH(Lists!$F$2,$A$1:$AL$1,0))&amp;""),"")="","",IF(OR(IFERROR(TRIM(INDEX($A136:$AL136,MATCH(Lists!$F$13,$A$1:$AL$1,0))&amp;""),"")="Paid",IFERROR(TRIM(INDEX($A136:$AL136,MATCH(Lists!$F$13,$A$1:$AL$1,0))&amp;""),"")="Partially refunded"),"Paid",IF(AP136="Yes","Paid (by hand)",IFERROR(TRIM(INDEX($A136:$AL136,MATCH(Lists!$F$13,$A$1:$AL$1,0))&amp;""),""))))</f>
        <v/>
      </c>
      <c r="BA136" s="21">
        <f>IF(AND(IFERROR(TRIM(INDEX($A136:$AL136,MATCH(Lists!$F$2,$A$1:$AL$1,0))&amp;""),"")&lt;&gt;"",AT136&gt;0,AU136&gt;=0,AV136&gt;AU136,AY136&lt;&gt;"Declined"),1,0)</f>
        <v/>
      </c>
      <c r="BB136" s="21">
        <f>IF(BA136=1,COUNTIFS($AS$2:$AS$501,AS136,$AT$2:$AT$501,AT136,$AU$2:$AU$501,"&lt;"&amp;AV136,$AV$2:$AV$501,"&gt;"&amp;AU136,$BA$2:$BA$501,1)-1,"")</f>
        <v/>
      </c>
      <c r="BC136" s="21">
        <f>IF(N(BB136)&gt;0,"Clashes with "&amp;INDEX($AW$2:$AW$501,SUMPRODUCT(MAX(($AS$2:$AS$501=AS136)*($AT$2:$AT$501=AT136)*($AU$2:$AU$501&lt;AV136)*($AV$2:$AV$501&gt;AU136)*($BA$2:$BA$501=1)*(ROW($AS$2:$AS$501)&lt;&gt;ROW())*ROW($AS$2:$AS$501)))-1)&amp;" ("&amp;INDEX($AY$2:$AY$501,SUMPRODUCT(MAX(($AS$2:$AS$501=AS136)*($AT$2:$AT$501=AT136)*($AU$2:$AU$501&lt;AV136)*($AV$2:$AV$501&gt;AU136)*($BA$2:$BA$501=1)*(ROW($AS$2:$AS$501)&lt;&gt;ROW())*ROW($AS$2:$AS$501)))-1)&amp;")"&amp;IF(BB136&gt;1," and "&amp;(BB136-1)&amp;" more",""),"")</f>
        <v/>
      </c>
      <c r="BD136" s="21">
        <f>IF(AND(BA136=1,AY136="Confirmed"),AT136*10000000+AU136*1000+ROW(),"")</f>
        <v/>
      </c>
      <c r="BE136" s="21">
        <f>IF(IFERROR(TRIM(INDEX($A136:$AL136,MATCH(Lists!$F$2,$A$1:$AL$1,0))&amp;""),"")="","",IFERROR(TRIM(INDEX($A136:$AL136,MATCH(Lists!$F$11,$A$1:$AL$1,0))&amp;""),""))</f>
        <v/>
      </c>
      <c r="BF136" s="21">
        <f>IF(IFERROR(TRIM(INDEX($A136:$AL136,MATCH(Lists!$F$2,$A$1:$AL$1,0))&amp;""),"")="","",IFERROR(TRIM(INDEX($A136:$AL136,MATCH(Lists!$F$12,$A$1:$AL$1,0))&amp;""),""))</f>
        <v/>
      </c>
    </row>
    <row r="137">
      <c r="AM137" s="19" t="n"/>
      <c r="AN137" s="23" t="n"/>
      <c r="AO137" s="23" t="n"/>
      <c r="AP137" s="23" t="n"/>
      <c r="AQ137" s="23" t="n"/>
      <c r="AR137" s="19" t="n"/>
      <c r="AS137" s="21">
        <f>IF(IFERROR(TRIM(INDEX($A137:$AL137,MATCH(Lists!$F$2,$A$1:$AL$1,0))&amp;""),"")="","",IF(AND(IFERROR(TRIM(INDEX($A137:$AL137,MATCH(Lists!$F$3,$A$1:$AL$1,0))&amp;""),"")="Other",IFERROR(TRIM(INDEX($A137:$AL137,MATCH(Lists!$F$4,$A$1:$AL$1,0))&amp;""),"")&lt;&gt;""),IFERROR(TRIM(INDEX($A137:$AL137,MATCH(Lists!$F$4,$A$1:$AL$1,0))&amp;""),""),IF(IFERROR(TRIM(INDEX($A137:$AL137,MATCH(Lists!$F$3,$A$1:$AL$1,0))&amp;""),"")="","(no space)",IFERROR(TRIM(INDEX($A137:$AL137,MATCH(Lists!$F$3,$A$1:$AL$1,0))&amp;""),""))))</f>
        <v/>
      </c>
      <c r="AT137" s="22">
        <f>IF(IFERROR(TRIM(INDEX($A137:$AL137,MATCH(Lists!$F$2,$A$1:$AL$1,0))&amp;""),"")="",0,N(IFERROR(IF(TRIM(INDEX($A137:$AL137,MATCH(Lists!$F$5,$A$1:$AL$1,0))&amp;"")="","",IF(ISNUMBER(INDEX($A137:$AL137,MATCH(Lists!$F$5,$A$1:$AL$1,0))),INT(INDEX($A137:$AL137,MATCH(Lists!$F$5,$A$1:$AL$1,0))),DATE(VALUE(LEFT(INDEX($A137:$AL137,MATCH(Lists!$F$5,$A$1:$AL$1,0)),4)),VALUE(MID(INDEX($A137:$AL137,MATCH(Lists!$F$5,$A$1:$AL$1,0)),6,2)),VALUE(MID(INDEX($A137:$AL137,MATCH(Lists!$F$5,$A$1:$AL$1,0)),9,2))))),"")))</f>
        <v/>
      </c>
      <c r="AU137" s="21">
        <f>IF(IFERROR(TRIM(INDEX($A137:$AL137,MATCH(Lists!$F$2,$A$1:$AL$1,0))&amp;""),"")="",-1,IF(ISNUMBER(IFERROR(IF(TRIM(INDEX($A137:$AL137,MATCH(Lists!$F$6,$A$1:$AL$1,0))&amp;"")="","",IF(ISNUMBER(INDEX($A137:$AL137,MATCH(Lists!$F$6,$A$1:$AL$1,0))),ROUND(MOD(INDEX($A137:$AL137,MATCH(Lists!$F$6,$A$1:$AL$1,0)),1)*1440,0),VALUE(LEFT(INDEX($A137:$AL137,MATCH(Lists!$F$6,$A$1:$AL$1,0)),2))*60+VALUE(MID(INDEX($A137:$AL137,MATCH(Lists!$F$6,$A$1:$AL$1,0)),4,2)))),"")),IFERROR(IF(TRIM(INDEX($A137:$AL137,MATCH(Lists!$F$6,$A$1:$AL$1,0))&amp;"")="","",IF(ISNUMBER(INDEX($A137:$AL137,MATCH(Lists!$F$6,$A$1:$AL$1,0))),ROUND(MOD(INDEX($A137:$AL137,MATCH(Lists!$F$6,$A$1:$AL$1,0)),1)*1440,0),VALUE(LEFT(INDEX($A137:$AL137,MATCH(Lists!$F$6,$A$1:$AL$1,0)),2))*60+VALUE(MID(INDEX($A137:$AL137,MATCH(Lists!$F$6,$A$1:$AL$1,0)),4,2)))),""),-1))</f>
        <v/>
      </c>
      <c r="AV137" s="21">
        <f>IF(IFERROR(TRIM(INDEX($A137:$AL137,MATCH(Lists!$F$2,$A$1:$AL$1,0))&amp;""),"")="",-1,IF(ISNUMBER(IFERROR(IF(TRIM(INDEX($A137:$AL137,MATCH(Lists!$F$7,$A$1:$AL$1,0))&amp;"")="","",IF(ISNUMBER(INDEX($A137:$AL137,MATCH(Lists!$F$7,$A$1:$AL$1,0))),ROUND(MOD(INDEX($A137:$AL137,MATCH(Lists!$F$7,$A$1:$AL$1,0)),1)*1440,0),VALUE(LEFT(INDEX($A137:$AL137,MATCH(Lists!$F$7,$A$1:$AL$1,0)),2))*60+VALUE(MID(INDEX($A137:$AL137,MATCH(Lists!$F$7,$A$1:$AL$1,0)),4,2)))),"")),IFERROR(IF(TRIM(INDEX($A137:$AL137,MATCH(Lists!$F$7,$A$1:$AL$1,0))&amp;"")="","",IF(ISNUMBER(INDEX($A137:$AL137,MATCH(Lists!$F$7,$A$1:$AL$1,0))),ROUND(MOD(INDEX($A137:$AL137,MATCH(Lists!$F$7,$A$1:$AL$1,0)),1)*1440,0),VALUE(LEFT(INDEX($A137:$AL137,MATCH(Lists!$F$7,$A$1:$AL$1,0)),2))*60+VALUE(MID(INDEX($A137:$AL137,MATCH(Lists!$F$7,$A$1:$AL$1,0)),4,2)))),""),-1))</f>
        <v/>
      </c>
      <c r="AW137" s="21">
        <f>IF(IFERROR(TRIM(INDEX($A137:$AL137,MATCH(Lists!$F$2,$A$1:$AL$1,0))&amp;""),"")="","",IF(IFERROR(TRIM(INDEX($A137:$AL137,MATCH(Lists!$F$8,$A$1:$AL$1,0))&amp;""),"")&lt;&gt;"",IFERROR(TRIM(INDEX($A137:$AL137,MATCH(Lists!$F$8,$A$1:$AL$1,0))&amp;""),""),IFERROR(TRIM(INDEX($A137:$AL137,MATCH(Lists!$F$9,$A$1:$AL$1,0))&amp;""),"")))</f>
        <v/>
      </c>
      <c r="AX137" s="21">
        <f>IFERROR(IF(TRIM(INDEX($A137:$AL137,MATCH(Lists!$F$10,$A$1:$AL$1,0))&amp;"")="","",VALUE(TRIM(INDEX($A137:$AL137,MATCH(Lists!$F$10,$A$1:$AL$1,0))&amp;""))),"")</f>
        <v/>
      </c>
      <c r="AY137" s="21">
        <f>IF(IFERROR(TRIM(INDEX($A137:$AL137,MATCH(Lists!$F$2,$A$1:$AL$1,0))&amp;""),"")="","",IF(AN137="","New",AN137))</f>
        <v/>
      </c>
      <c r="AZ137" s="21">
        <f>IF(IFERROR(TRIM(INDEX($A137:$AL137,MATCH(Lists!$F$2,$A$1:$AL$1,0))&amp;""),"")="","",IF(OR(IFERROR(TRIM(INDEX($A137:$AL137,MATCH(Lists!$F$13,$A$1:$AL$1,0))&amp;""),"")="Paid",IFERROR(TRIM(INDEX($A137:$AL137,MATCH(Lists!$F$13,$A$1:$AL$1,0))&amp;""),"")="Partially refunded"),"Paid",IF(AP137="Yes","Paid (by hand)",IFERROR(TRIM(INDEX($A137:$AL137,MATCH(Lists!$F$13,$A$1:$AL$1,0))&amp;""),""))))</f>
        <v/>
      </c>
      <c r="BA137" s="21">
        <f>IF(AND(IFERROR(TRIM(INDEX($A137:$AL137,MATCH(Lists!$F$2,$A$1:$AL$1,0))&amp;""),"")&lt;&gt;"",AT137&gt;0,AU137&gt;=0,AV137&gt;AU137,AY137&lt;&gt;"Declined"),1,0)</f>
        <v/>
      </c>
      <c r="BB137" s="21">
        <f>IF(BA137=1,COUNTIFS($AS$2:$AS$501,AS137,$AT$2:$AT$501,AT137,$AU$2:$AU$501,"&lt;"&amp;AV137,$AV$2:$AV$501,"&gt;"&amp;AU137,$BA$2:$BA$501,1)-1,"")</f>
        <v/>
      </c>
      <c r="BC137" s="21">
        <f>IF(N(BB137)&gt;0,"Clashes with "&amp;INDEX($AW$2:$AW$501,SUMPRODUCT(MAX(($AS$2:$AS$501=AS137)*($AT$2:$AT$501=AT137)*($AU$2:$AU$501&lt;AV137)*($AV$2:$AV$501&gt;AU137)*($BA$2:$BA$501=1)*(ROW($AS$2:$AS$501)&lt;&gt;ROW())*ROW($AS$2:$AS$501)))-1)&amp;" ("&amp;INDEX($AY$2:$AY$501,SUMPRODUCT(MAX(($AS$2:$AS$501=AS137)*($AT$2:$AT$501=AT137)*($AU$2:$AU$501&lt;AV137)*($AV$2:$AV$501&gt;AU137)*($BA$2:$BA$501=1)*(ROW($AS$2:$AS$501)&lt;&gt;ROW())*ROW($AS$2:$AS$501)))-1)&amp;")"&amp;IF(BB137&gt;1," and "&amp;(BB137-1)&amp;" more",""),"")</f>
        <v/>
      </c>
      <c r="BD137" s="21">
        <f>IF(AND(BA137=1,AY137="Confirmed"),AT137*10000000+AU137*1000+ROW(),"")</f>
        <v/>
      </c>
      <c r="BE137" s="21">
        <f>IF(IFERROR(TRIM(INDEX($A137:$AL137,MATCH(Lists!$F$2,$A$1:$AL$1,0))&amp;""),"")="","",IFERROR(TRIM(INDEX($A137:$AL137,MATCH(Lists!$F$11,$A$1:$AL$1,0))&amp;""),""))</f>
        <v/>
      </c>
      <c r="BF137" s="21">
        <f>IF(IFERROR(TRIM(INDEX($A137:$AL137,MATCH(Lists!$F$2,$A$1:$AL$1,0))&amp;""),"")="","",IFERROR(TRIM(INDEX($A137:$AL137,MATCH(Lists!$F$12,$A$1:$AL$1,0))&amp;""),""))</f>
        <v/>
      </c>
    </row>
    <row r="138">
      <c r="AM138" s="19" t="n"/>
      <c r="AN138" s="23" t="n"/>
      <c r="AO138" s="23" t="n"/>
      <c r="AP138" s="23" t="n"/>
      <c r="AQ138" s="23" t="n"/>
      <c r="AR138" s="19" t="n"/>
      <c r="AS138" s="21">
        <f>IF(IFERROR(TRIM(INDEX($A138:$AL138,MATCH(Lists!$F$2,$A$1:$AL$1,0))&amp;""),"")="","",IF(AND(IFERROR(TRIM(INDEX($A138:$AL138,MATCH(Lists!$F$3,$A$1:$AL$1,0))&amp;""),"")="Other",IFERROR(TRIM(INDEX($A138:$AL138,MATCH(Lists!$F$4,$A$1:$AL$1,0))&amp;""),"")&lt;&gt;""),IFERROR(TRIM(INDEX($A138:$AL138,MATCH(Lists!$F$4,$A$1:$AL$1,0))&amp;""),""),IF(IFERROR(TRIM(INDEX($A138:$AL138,MATCH(Lists!$F$3,$A$1:$AL$1,0))&amp;""),"")="","(no space)",IFERROR(TRIM(INDEX($A138:$AL138,MATCH(Lists!$F$3,$A$1:$AL$1,0))&amp;""),""))))</f>
        <v/>
      </c>
      <c r="AT138" s="22">
        <f>IF(IFERROR(TRIM(INDEX($A138:$AL138,MATCH(Lists!$F$2,$A$1:$AL$1,0))&amp;""),"")="",0,N(IFERROR(IF(TRIM(INDEX($A138:$AL138,MATCH(Lists!$F$5,$A$1:$AL$1,0))&amp;"")="","",IF(ISNUMBER(INDEX($A138:$AL138,MATCH(Lists!$F$5,$A$1:$AL$1,0))),INT(INDEX($A138:$AL138,MATCH(Lists!$F$5,$A$1:$AL$1,0))),DATE(VALUE(LEFT(INDEX($A138:$AL138,MATCH(Lists!$F$5,$A$1:$AL$1,0)),4)),VALUE(MID(INDEX($A138:$AL138,MATCH(Lists!$F$5,$A$1:$AL$1,0)),6,2)),VALUE(MID(INDEX($A138:$AL138,MATCH(Lists!$F$5,$A$1:$AL$1,0)),9,2))))),"")))</f>
        <v/>
      </c>
      <c r="AU138" s="21">
        <f>IF(IFERROR(TRIM(INDEX($A138:$AL138,MATCH(Lists!$F$2,$A$1:$AL$1,0))&amp;""),"")="",-1,IF(ISNUMBER(IFERROR(IF(TRIM(INDEX($A138:$AL138,MATCH(Lists!$F$6,$A$1:$AL$1,0))&amp;"")="","",IF(ISNUMBER(INDEX($A138:$AL138,MATCH(Lists!$F$6,$A$1:$AL$1,0))),ROUND(MOD(INDEX($A138:$AL138,MATCH(Lists!$F$6,$A$1:$AL$1,0)),1)*1440,0),VALUE(LEFT(INDEX($A138:$AL138,MATCH(Lists!$F$6,$A$1:$AL$1,0)),2))*60+VALUE(MID(INDEX($A138:$AL138,MATCH(Lists!$F$6,$A$1:$AL$1,0)),4,2)))),"")),IFERROR(IF(TRIM(INDEX($A138:$AL138,MATCH(Lists!$F$6,$A$1:$AL$1,0))&amp;"")="","",IF(ISNUMBER(INDEX($A138:$AL138,MATCH(Lists!$F$6,$A$1:$AL$1,0))),ROUND(MOD(INDEX($A138:$AL138,MATCH(Lists!$F$6,$A$1:$AL$1,0)),1)*1440,0),VALUE(LEFT(INDEX($A138:$AL138,MATCH(Lists!$F$6,$A$1:$AL$1,0)),2))*60+VALUE(MID(INDEX($A138:$AL138,MATCH(Lists!$F$6,$A$1:$AL$1,0)),4,2)))),""),-1))</f>
        <v/>
      </c>
      <c r="AV138" s="21">
        <f>IF(IFERROR(TRIM(INDEX($A138:$AL138,MATCH(Lists!$F$2,$A$1:$AL$1,0))&amp;""),"")="",-1,IF(ISNUMBER(IFERROR(IF(TRIM(INDEX($A138:$AL138,MATCH(Lists!$F$7,$A$1:$AL$1,0))&amp;"")="","",IF(ISNUMBER(INDEX($A138:$AL138,MATCH(Lists!$F$7,$A$1:$AL$1,0))),ROUND(MOD(INDEX($A138:$AL138,MATCH(Lists!$F$7,$A$1:$AL$1,0)),1)*1440,0),VALUE(LEFT(INDEX($A138:$AL138,MATCH(Lists!$F$7,$A$1:$AL$1,0)),2))*60+VALUE(MID(INDEX($A138:$AL138,MATCH(Lists!$F$7,$A$1:$AL$1,0)),4,2)))),"")),IFERROR(IF(TRIM(INDEX($A138:$AL138,MATCH(Lists!$F$7,$A$1:$AL$1,0))&amp;"")="","",IF(ISNUMBER(INDEX($A138:$AL138,MATCH(Lists!$F$7,$A$1:$AL$1,0))),ROUND(MOD(INDEX($A138:$AL138,MATCH(Lists!$F$7,$A$1:$AL$1,0)),1)*1440,0),VALUE(LEFT(INDEX($A138:$AL138,MATCH(Lists!$F$7,$A$1:$AL$1,0)),2))*60+VALUE(MID(INDEX($A138:$AL138,MATCH(Lists!$F$7,$A$1:$AL$1,0)),4,2)))),""),-1))</f>
        <v/>
      </c>
      <c r="AW138" s="21">
        <f>IF(IFERROR(TRIM(INDEX($A138:$AL138,MATCH(Lists!$F$2,$A$1:$AL$1,0))&amp;""),"")="","",IF(IFERROR(TRIM(INDEX($A138:$AL138,MATCH(Lists!$F$8,$A$1:$AL$1,0))&amp;""),"")&lt;&gt;"",IFERROR(TRIM(INDEX($A138:$AL138,MATCH(Lists!$F$8,$A$1:$AL$1,0))&amp;""),""),IFERROR(TRIM(INDEX($A138:$AL138,MATCH(Lists!$F$9,$A$1:$AL$1,0))&amp;""),"")))</f>
        <v/>
      </c>
      <c r="AX138" s="21">
        <f>IFERROR(IF(TRIM(INDEX($A138:$AL138,MATCH(Lists!$F$10,$A$1:$AL$1,0))&amp;"")="","",VALUE(TRIM(INDEX($A138:$AL138,MATCH(Lists!$F$10,$A$1:$AL$1,0))&amp;""))),"")</f>
        <v/>
      </c>
      <c r="AY138" s="21">
        <f>IF(IFERROR(TRIM(INDEX($A138:$AL138,MATCH(Lists!$F$2,$A$1:$AL$1,0))&amp;""),"")="","",IF(AN138="","New",AN138))</f>
        <v/>
      </c>
      <c r="AZ138" s="21">
        <f>IF(IFERROR(TRIM(INDEX($A138:$AL138,MATCH(Lists!$F$2,$A$1:$AL$1,0))&amp;""),"")="","",IF(OR(IFERROR(TRIM(INDEX($A138:$AL138,MATCH(Lists!$F$13,$A$1:$AL$1,0))&amp;""),"")="Paid",IFERROR(TRIM(INDEX($A138:$AL138,MATCH(Lists!$F$13,$A$1:$AL$1,0))&amp;""),"")="Partially refunded"),"Paid",IF(AP138="Yes","Paid (by hand)",IFERROR(TRIM(INDEX($A138:$AL138,MATCH(Lists!$F$13,$A$1:$AL$1,0))&amp;""),""))))</f>
        <v/>
      </c>
      <c r="BA138" s="21">
        <f>IF(AND(IFERROR(TRIM(INDEX($A138:$AL138,MATCH(Lists!$F$2,$A$1:$AL$1,0))&amp;""),"")&lt;&gt;"",AT138&gt;0,AU138&gt;=0,AV138&gt;AU138,AY138&lt;&gt;"Declined"),1,0)</f>
        <v/>
      </c>
      <c r="BB138" s="21">
        <f>IF(BA138=1,COUNTIFS($AS$2:$AS$501,AS138,$AT$2:$AT$501,AT138,$AU$2:$AU$501,"&lt;"&amp;AV138,$AV$2:$AV$501,"&gt;"&amp;AU138,$BA$2:$BA$501,1)-1,"")</f>
        <v/>
      </c>
      <c r="BC138" s="21">
        <f>IF(N(BB138)&gt;0,"Clashes with "&amp;INDEX($AW$2:$AW$501,SUMPRODUCT(MAX(($AS$2:$AS$501=AS138)*($AT$2:$AT$501=AT138)*($AU$2:$AU$501&lt;AV138)*($AV$2:$AV$501&gt;AU138)*($BA$2:$BA$501=1)*(ROW($AS$2:$AS$501)&lt;&gt;ROW())*ROW($AS$2:$AS$501)))-1)&amp;" ("&amp;INDEX($AY$2:$AY$501,SUMPRODUCT(MAX(($AS$2:$AS$501=AS138)*($AT$2:$AT$501=AT138)*($AU$2:$AU$501&lt;AV138)*($AV$2:$AV$501&gt;AU138)*($BA$2:$BA$501=1)*(ROW($AS$2:$AS$501)&lt;&gt;ROW())*ROW($AS$2:$AS$501)))-1)&amp;")"&amp;IF(BB138&gt;1," and "&amp;(BB138-1)&amp;" more",""),"")</f>
        <v/>
      </c>
      <c r="BD138" s="21">
        <f>IF(AND(BA138=1,AY138="Confirmed"),AT138*10000000+AU138*1000+ROW(),"")</f>
        <v/>
      </c>
      <c r="BE138" s="21">
        <f>IF(IFERROR(TRIM(INDEX($A138:$AL138,MATCH(Lists!$F$2,$A$1:$AL$1,0))&amp;""),"")="","",IFERROR(TRIM(INDEX($A138:$AL138,MATCH(Lists!$F$11,$A$1:$AL$1,0))&amp;""),""))</f>
        <v/>
      </c>
      <c r="BF138" s="21">
        <f>IF(IFERROR(TRIM(INDEX($A138:$AL138,MATCH(Lists!$F$2,$A$1:$AL$1,0))&amp;""),"")="","",IFERROR(TRIM(INDEX($A138:$AL138,MATCH(Lists!$F$12,$A$1:$AL$1,0))&amp;""),""))</f>
        <v/>
      </c>
    </row>
    <row r="139">
      <c r="AM139" s="19" t="n"/>
      <c r="AN139" s="23" t="n"/>
      <c r="AO139" s="23" t="n"/>
      <c r="AP139" s="23" t="n"/>
      <c r="AQ139" s="23" t="n"/>
      <c r="AR139" s="19" t="n"/>
      <c r="AS139" s="21">
        <f>IF(IFERROR(TRIM(INDEX($A139:$AL139,MATCH(Lists!$F$2,$A$1:$AL$1,0))&amp;""),"")="","",IF(AND(IFERROR(TRIM(INDEX($A139:$AL139,MATCH(Lists!$F$3,$A$1:$AL$1,0))&amp;""),"")="Other",IFERROR(TRIM(INDEX($A139:$AL139,MATCH(Lists!$F$4,$A$1:$AL$1,0))&amp;""),"")&lt;&gt;""),IFERROR(TRIM(INDEX($A139:$AL139,MATCH(Lists!$F$4,$A$1:$AL$1,0))&amp;""),""),IF(IFERROR(TRIM(INDEX($A139:$AL139,MATCH(Lists!$F$3,$A$1:$AL$1,0))&amp;""),"")="","(no space)",IFERROR(TRIM(INDEX($A139:$AL139,MATCH(Lists!$F$3,$A$1:$AL$1,0))&amp;""),""))))</f>
        <v/>
      </c>
      <c r="AT139" s="22">
        <f>IF(IFERROR(TRIM(INDEX($A139:$AL139,MATCH(Lists!$F$2,$A$1:$AL$1,0))&amp;""),"")="",0,N(IFERROR(IF(TRIM(INDEX($A139:$AL139,MATCH(Lists!$F$5,$A$1:$AL$1,0))&amp;"")="","",IF(ISNUMBER(INDEX($A139:$AL139,MATCH(Lists!$F$5,$A$1:$AL$1,0))),INT(INDEX($A139:$AL139,MATCH(Lists!$F$5,$A$1:$AL$1,0))),DATE(VALUE(LEFT(INDEX($A139:$AL139,MATCH(Lists!$F$5,$A$1:$AL$1,0)),4)),VALUE(MID(INDEX($A139:$AL139,MATCH(Lists!$F$5,$A$1:$AL$1,0)),6,2)),VALUE(MID(INDEX($A139:$AL139,MATCH(Lists!$F$5,$A$1:$AL$1,0)),9,2))))),"")))</f>
        <v/>
      </c>
      <c r="AU139" s="21">
        <f>IF(IFERROR(TRIM(INDEX($A139:$AL139,MATCH(Lists!$F$2,$A$1:$AL$1,0))&amp;""),"")="",-1,IF(ISNUMBER(IFERROR(IF(TRIM(INDEX($A139:$AL139,MATCH(Lists!$F$6,$A$1:$AL$1,0))&amp;"")="","",IF(ISNUMBER(INDEX($A139:$AL139,MATCH(Lists!$F$6,$A$1:$AL$1,0))),ROUND(MOD(INDEX($A139:$AL139,MATCH(Lists!$F$6,$A$1:$AL$1,0)),1)*1440,0),VALUE(LEFT(INDEX($A139:$AL139,MATCH(Lists!$F$6,$A$1:$AL$1,0)),2))*60+VALUE(MID(INDEX($A139:$AL139,MATCH(Lists!$F$6,$A$1:$AL$1,0)),4,2)))),"")),IFERROR(IF(TRIM(INDEX($A139:$AL139,MATCH(Lists!$F$6,$A$1:$AL$1,0))&amp;"")="","",IF(ISNUMBER(INDEX($A139:$AL139,MATCH(Lists!$F$6,$A$1:$AL$1,0))),ROUND(MOD(INDEX($A139:$AL139,MATCH(Lists!$F$6,$A$1:$AL$1,0)),1)*1440,0),VALUE(LEFT(INDEX($A139:$AL139,MATCH(Lists!$F$6,$A$1:$AL$1,0)),2))*60+VALUE(MID(INDEX($A139:$AL139,MATCH(Lists!$F$6,$A$1:$AL$1,0)),4,2)))),""),-1))</f>
        <v/>
      </c>
      <c r="AV139" s="21">
        <f>IF(IFERROR(TRIM(INDEX($A139:$AL139,MATCH(Lists!$F$2,$A$1:$AL$1,0))&amp;""),"")="",-1,IF(ISNUMBER(IFERROR(IF(TRIM(INDEX($A139:$AL139,MATCH(Lists!$F$7,$A$1:$AL$1,0))&amp;"")="","",IF(ISNUMBER(INDEX($A139:$AL139,MATCH(Lists!$F$7,$A$1:$AL$1,0))),ROUND(MOD(INDEX($A139:$AL139,MATCH(Lists!$F$7,$A$1:$AL$1,0)),1)*1440,0),VALUE(LEFT(INDEX($A139:$AL139,MATCH(Lists!$F$7,$A$1:$AL$1,0)),2))*60+VALUE(MID(INDEX($A139:$AL139,MATCH(Lists!$F$7,$A$1:$AL$1,0)),4,2)))),"")),IFERROR(IF(TRIM(INDEX($A139:$AL139,MATCH(Lists!$F$7,$A$1:$AL$1,0))&amp;"")="","",IF(ISNUMBER(INDEX($A139:$AL139,MATCH(Lists!$F$7,$A$1:$AL$1,0))),ROUND(MOD(INDEX($A139:$AL139,MATCH(Lists!$F$7,$A$1:$AL$1,0)),1)*1440,0),VALUE(LEFT(INDEX($A139:$AL139,MATCH(Lists!$F$7,$A$1:$AL$1,0)),2))*60+VALUE(MID(INDEX($A139:$AL139,MATCH(Lists!$F$7,$A$1:$AL$1,0)),4,2)))),""),-1))</f>
        <v/>
      </c>
      <c r="AW139" s="21">
        <f>IF(IFERROR(TRIM(INDEX($A139:$AL139,MATCH(Lists!$F$2,$A$1:$AL$1,0))&amp;""),"")="","",IF(IFERROR(TRIM(INDEX($A139:$AL139,MATCH(Lists!$F$8,$A$1:$AL$1,0))&amp;""),"")&lt;&gt;"",IFERROR(TRIM(INDEX($A139:$AL139,MATCH(Lists!$F$8,$A$1:$AL$1,0))&amp;""),""),IFERROR(TRIM(INDEX($A139:$AL139,MATCH(Lists!$F$9,$A$1:$AL$1,0))&amp;""),"")))</f>
        <v/>
      </c>
      <c r="AX139" s="21">
        <f>IFERROR(IF(TRIM(INDEX($A139:$AL139,MATCH(Lists!$F$10,$A$1:$AL$1,0))&amp;"")="","",VALUE(TRIM(INDEX($A139:$AL139,MATCH(Lists!$F$10,$A$1:$AL$1,0))&amp;""))),"")</f>
        <v/>
      </c>
      <c r="AY139" s="21">
        <f>IF(IFERROR(TRIM(INDEX($A139:$AL139,MATCH(Lists!$F$2,$A$1:$AL$1,0))&amp;""),"")="","",IF(AN139="","New",AN139))</f>
        <v/>
      </c>
      <c r="AZ139" s="21">
        <f>IF(IFERROR(TRIM(INDEX($A139:$AL139,MATCH(Lists!$F$2,$A$1:$AL$1,0))&amp;""),"")="","",IF(OR(IFERROR(TRIM(INDEX($A139:$AL139,MATCH(Lists!$F$13,$A$1:$AL$1,0))&amp;""),"")="Paid",IFERROR(TRIM(INDEX($A139:$AL139,MATCH(Lists!$F$13,$A$1:$AL$1,0))&amp;""),"")="Partially refunded"),"Paid",IF(AP139="Yes","Paid (by hand)",IFERROR(TRIM(INDEX($A139:$AL139,MATCH(Lists!$F$13,$A$1:$AL$1,0))&amp;""),""))))</f>
        <v/>
      </c>
      <c r="BA139" s="21">
        <f>IF(AND(IFERROR(TRIM(INDEX($A139:$AL139,MATCH(Lists!$F$2,$A$1:$AL$1,0))&amp;""),"")&lt;&gt;"",AT139&gt;0,AU139&gt;=0,AV139&gt;AU139,AY139&lt;&gt;"Declined"),1,0)</f>
        <v/>
      </c>
      <c r="BB139" s="21">
        <f>IF(BA139=1,COUNTIFS($AS$2:$AS$501,AS139,$AT$2:$AT$501,AT139,$AU$2:$AU$501,"&lt;"&amp;AV139,$AV$2:$AV$501,"&gt;"&amp;AU139,$BA$2:$BA$501,1)-1,"")</f>
        <v/>
      </c>
      <c r="BC139" s="21">
        <f>IF(N(BB139)&gt;0,"Clashes with "&amp;INDEX($AW$2:$AW$501,SUMPRODUCT(MAX(($AS$2:$AS$501=AS139)*($AT$2:$AT$501=AT139)*($AU$2:$AU$501&lt;AV139)*($AV$2:$AV$501&gt;AU139)*($BA$2:$BA$501=1)*(ROW($AS$2:$AS$501)&lt;&gt;ROW())*ROW($AS$2:$AS$501)))-1)&amp;" ("&amp;INDEX($AY$2:$AY$501,SUMPRODUCT(MAX(($AS$2:$AS$501=AS139)*($AT$2:$AT$501=AT139)*($AU$2:$AU$501&lt;AV139)*($AV$2:$AV$501&gt;AU139)*($BA$2:$BA$501=1)*(ROW($AS$2:$AS$501)&lt;&gt;ROW())*ROW($AS$2:$AS$501)))-1)&amp;")"&amp;IF(BB139&gt;1," and "&amp;(BB139-1)&amp;" more",""),"")</f>
        <v/>
      </c>
      <c r="BD139" s="21">
        <f>IF(AND(BA139=1,AY139="Confirmed"),AT139*10000000+AU139*1000+ROW(),"")</f>
        <v/>
      </c>
      <c r="BE139" s="21">
        <f>IF(IFERROR(TRIM(INDEX($A139:$AL139,MATCH(Lists!$F$2,$A$1:$AL$1,0))&amp;""),"")="","",IFERROR(TRIM(INDEX($A139:$AL139,MATCH(Lists!$F$11,$A$1:$AL$1,0))&amp;""),""))</f>
        <v/>
      </c>
      <c r="BF139" s="21">
        <f>IF(IFERROR(TRIM(INDEX($A139:$AL139,MATCH(Lists!$F$2,$A$1:$AL$1,0))&amp;""),"")="","",IFERROR(TRIM(INDEX($A139:$AL139,MATCH(Lists!$F$12,$A$1:$AL$1,0))&amp;""),""))</f>
        <v/>
      </c>
    </row>
    <row r="140">
      <c r="AM140" s="19" t="n"/>
      <c r="AN140" s="23" t="n"/>
      <c r="AO140" s="23" t="n"/>
      <c r="AP140" s="23" t="n"/>
      <c r="AQ140" s="23" t="n"/>
      <c r="AR140" s="19" t="n"/>
      <c r="AS140" s="21">
        <f>IF(IFERROR(TRIM(INDEX($A140:$AL140,MATCH(Lists!$F$2,$A$1:$AL$1,0))&amp;""),"")="","",IF(AND(IFERROR(TRIM(INDEX($A140:$AL140,MATCH(Lists!$F$3,$A$1:$AL$1,0))&amp;""),"")="Other",IFERROR(TRIM(INDEX($A140:$AL140,MATCH(Lists!$F$4,$A$1:$AL$1,0))&amp;""),"")&lt;&gt;""),IFERROR(TRIM(INDEX($A140:$AL140,MATCH(Lists!$F$4,$A$1:$AL$1,0))&amp;""),""),IF(IFERROR(TRIM(INDEX($A140:$AL140,MATCH(Lists!$F$3,$A$1:$AL$1,0))&amp;""),"")="","(no space)",IFERROR(TRIM(INDEX($A140:$AL140,MATCH(Lists!$F$3,$A$1:$AL$1,0))&amp;""),""))))</f>
        <v/>
      </c>
      <c r="AT140" s="22">
        <f>IF(IFERROR(TRIM(INDEX($A140:$AL140,MATCH(Lists!$F$2,$A$1:$AL$1,0))&amp;""),"")="",0,N(IFERROR(IF(TRIM(INDEX($A140:$AL140,MATCH(Lists!$F$5,$A$1:$AL$1,0))&amp;"")="","",IF(ISNUMBER(INDEX($A140:$AL140,MATCH(Lists!$F$5,$A$1:$AL$1,0))),INT(INDEX($A140:$AL140,MATCH(Lists!$F$5,$A$1:$AL$1,0))),DATE(VALUE(LEFT(INDEX($A140:$AL140,MATCH(Lists!$F$5,$A$1:$AL$1,0)),4)),VALUE(MID(INDEX($A140:$AL140,MATCH(Lists!$F$5,$A$1:$AL$1,0)),6,2)),VALUE(MID(INDEX($A140:$AL140,MATCH(Lists!$F$5,$A$1:$AL$1,0)),9,2))))),"")))</f>
        <v/>
      </c>
      <c r="AU140" s="21">
        <f>IF(IFERROR(TRIM(INDEX($A140:$AL140,MATCH(Lists!$F$2,$A$1:$AL$1,0))&amp;""),"")="",-1,IF(ISNUMBER(IFERROR(IF(TRIM(INDEX($A140:$AL140,MATCH(Lists!$F$6,$A$1:$AL$1,0))&amp;"")="","",IF(ISNUMBER(INDEX($A140:$AL140,MATCH(Lists!$F$6,$A$1:$AL$1,0))),ROUND(MOD(INDEX($A140:$AL140,MATCH(Lists!$F$6,$A$1:$AL$1,0)),1)*1440,0),VALUE(LEFT(INDEX($A140:$AL140,MATCH(Lists!$F$6,$A$1:$AL$1,0)),2))*60+VALUE(MID(INDEX($A140:$AL140,MATCH(Lists!$F$6,$A$1:$AL$1,0)),4,2)))),"")),IFERROR(IF(TRIM(INDEX($A140:$AL140,MATCH(Lists!$F$6,$A$1:$AL$1,0))&amp;"")="","",IF(ISNUMBER(INDEX($A140:$AL140,MATCH(Lists!$F$6,$A$1:$AL$1,0))),ROUND(MOD(INDEX($A140:$AL140,MATCH(Lists!$F$6,$A$1:$AL$1,0)),1)*1440,0),VALUE(LEFT(INDEX($A140:$AL140,MATCH(Lists!$F$6,$A$1:$AL$1,0)),2))*60+VALUE(MID(INDEX($A140:$AL140,MATCH(Lists!$F$6,$A$1:$AL$1,0)),4,2)))),""),-1))</f>
        <v/>
      </c>
      <c r="AV140" s="21">
        <f>IF(IFERROR(TRIM(INDEX($A140:$AL140,MATCH(Lists!$F$2,$A$1:$AL$1,0))&amp;""),"")="",-1,IF(ISNUMBER(IFERROR(IF(TRIM(INDEX($A140:$AL140,MATCH(Lists!$F$7,$A$1:$AL$1,0))&amp;"")="","",IF(ISNUMBER(INDEX($A140:$AL140,MATCH(Lists!$F$7,$A$1:$AL$1,0))),ROUND(MOD(INDEX($A140:$AL140,MATCH(Lists!$F$7,$A$1:$AL$1,0)),1)*1440,0),VALUE(LEFT(INDEX($A140:$AL140,MATCH(Lists!$F$7,$A$1:$AL$1,0)),2))*60+VALUE(MID(INDEX($A140:$AL140,MATCH(Lists!$F$7,$A$1:$AL$1,0)),4,2)))),"")),IFERROR(IF(TRIM(INDEX($A140:$AL140,MATCH(Lists!$F$7,$A$1:$AL$1,0))&amp;"")="","",IF(ISNUMBER(INDEX($A140:$AL140,MATCH(Lists!$F$7,$A$1:$AL$1,0))),ROUND(MOD(INDEX($A140:$AL140,MATCH(Lists!$F$7,$A$1:$AL$1,0)),1)*1440,0),VALUE(LEFT(INDEX($A140:$AL140,MATCH(Lists!$F$7,$A$1:$AL$1,0)),2))*60+VALUE(MID(INDEX($A140:$AL140,MATCH(Lists!$F$7,$A$1:$AL$1,0)),4,2)))),""),-1))</f>
        <v/>
      </c>
      <c r="AW140" s="21">
        <f>IF(IFERROR(TRIM(INDEX($A140:$AL140,MATCH(Lists!$F$2,$A$1:$AL$1,0))&amp;""),"")="","",IF(IFERROR(TRIM(INDEX($A140:$AL140,MATCH(Lists!$F$8,$A$1:$AL$1,0))&amp;""),"")&lt;&gt;"",IFERROR(TRIM(INDEX($A140:$AL140,MATCH(Lists!$F$8,$A$1:$AL$1,0))&amp;""),""),IFERROR(TRIM(INDEX($A140:$AL140,MATCH(Lists!$F$9,$A$1:$AL$1,0))&amp;""),"")))</f>
        <v/>
      </c>
      <c r="AX140" s="21">
        <f>IFERROR(IF(TRIM(INDEX($A140:$AL140,MATCH(Lists!$F$10,$A$1:$AL$1,0))&amp;"")="","",VALUE(TRIM(INDEX($A140:$AL140,MATCH(Lists!$F$10,$A$1:$AL$1,0))&amp;""))),"")</f>
        <v/>
      </c>
      <c r="AY140" s="21">
        <f>IF(IFERROR(TRIM(INDEX($A140:$AL140,MATCH(Lists!$F$2,$A$1:$AL$1,0))&amp;""),"")="","",IF(AN140="","New",AN140))</f>
        <v/>
      </c>
      <c r="AZ140" s="21">
        <f>IF(IFERROR(TRIM(INDEX($A140:$AL140,MATCH(Lists!$F$2,$A$1:$AL$1,0))&amp;""),"")="","",IF(OR(IFERROR(TRIM(INDEX($A140:$AL140,MATCH(Lists!$F$13,$A$1:$AL$1,0))&amp;""),"")="Paid",IFERROR(TRIM(INDEX($A140:$AL140,MATCH(Lists!$F$13,$A$1:$AL$1,0))&amp;""),"")="Partially refunded"),"Paid",IF(AP140="Yes","Paid (by hand)",IFERROR(TRIM(INDEX($A140:$AL140,MATCH(Lists!$F$13,$A$1:$AL$1,0))&amp;""),""))))</f>
        <v/>
      </c>
      <c r="BA140" s="21">
        <f>IF(AND(IFERROR(TRIM(INDEX($A140:$AL140,MATCH(Lists!$F$2,$A$1:$AL$1,0))&amp;""),"")&lt;&gt;"",AT140&gt;0,AU140&gt;=0,AV140&gt;AU140,AY140&lt;&gt;"Declined"),1,0)</f>
        <v/>
      </c>
      <c r="BB140" s="21">
        <f>IF(BA140=1,COUNTIFS($AS$2:$AS$501,AS140,$AT$2:$AT$501,AT140,$AU$2:$AU$501,"&lt;"&amp;AV140,$AV$2:$AV$501,"&gt;"&amp;AU140,$BA$2:$BA$501,1)-1,"")</f>
        <v/>
      </c>
      <c r="BC140" s="21">
        <f>IF(N(BB140)&gt;0,"Clashes with "&amp;INDEX($AW$2:$AW$501,SUMPRODUCT(MAX(($AS$2:$AS$501=AS140)*($AT$2:$AT$501=AT140)*($AU$2:$AU$501&lt;AV140)*($AV$2:$AV$501&gt;AU140)*($BA$2:$BA$501=1)*(ROW($AS$2:$AS$501)&lt;&gt;ROW())*ROW($AS$2:$AS$501)))-1)&amp;" ("&amp;INDEX($AY$2:$AY$501,SUMPRODUCT(MAX(($AS$2:$AS$501=AS140)*($AT$2:$AT$501=AT140)*($AU$2:$AU$501&lt;AV140)*($AV$2:$AV$501&gt;AU140)*($BA$2:$BA$501=1)*(ROW($AS$2:$AS$501)&lt;&gt;ROW())*ROW($AS$2:$AS$501)))-1)&amp;")"&amp;IF(BB140&gt;1," and "&amp;(BB140-1)&amp;" more",""),"")</f>
        <v/>
      </c>
      <c r="BD140" s="21">
        <f>IF(AND(BA140=1,AY140="Confirmed"),AT140*10000000+AU140*1000+ROW(),"")</f>
        <v/>
      </c>
      <c r="BE140" s="21">
        <f>IF(IFERROR(TRIM(INDEX($A140:$AL140,MATCH(Lists!$F$2,$A$1:$AL$1,0))&amp;""),"")="","",IFERROR(TRIM(INDEX($A140:$AL140,MATCH(Lists!$F$11,$A$1:$AL$1,0))&amp;""),""))</f>
        <v/>
      </c>
      <c r="BF140" s="21">
        <f>IF(IFERROR(TRIM(INDEX($A140:$AL140,MATCH(Lists!$F$2,$A$1:$AL$1,0))&amp;""),"")="","",IFERROR(TRIM(INDEX($A140:$AL140,MATCH(Lists!$F$12,$A$1:$AL$1,0))&amp;""),""))</f>
        <v/>
      </c>
    </row>
    <row r="141">
      <c r="AM141" s="19" t="n"/>
      <c r="AN141" s="23" t="n"/>
      <c r="AO141" s="23" t="n"/>
      <c r="AP141" s="23" t="n"/>
      <c r="AQ141" s="23" t="n"/>
      <c r="AR141" s="19" t="n"/>
      <c r="AS141" s="21">
        <f>IF(IFERROR(TRIM(INDEX($A141:$AL141,MATCH(Lists!$F$2,$A$1:$AL$1,0))&amp;""),"")="","",IF(AND(IFERROR(TRIM(INDEX($A141:$AL141,MATCH(Lists!$F$3,$A$1:$AL$1,0))&amp;""),"")="Other",IFERROR(TRIM(INDEX($A141:$AL141,MATCH(Lists!$F$4,$A$1:$AL$1,0))&amp;""),"")&lt;&gt;""),IFERROR(TRIM(INDEX($A141:$AL141,MATCH(Lists!$F$4,$A$1:$AL$1,0))&amp;""),""),IF(IFERROR(TRIM(INDEX($A141:$AL141,MATCH(Lists!$F$3,$A$1:$AL$1,0))&amp;""),"")="","(no space)",IFERROR(TRIM(INDEX($A141:$AL141,MATCH(Lists!$F$3,$A$1:$AL$1,0))&amp;""),""))))</f>
        <v/>
      </c>
      <c r="AT141" s="22">
        <f>IF(IFERROR(TRIM(INDEX($A141:$AL141,MATCH(Lists!$F$2,$A$1:$AL$1,0))&amp;""),"")="",0,N(IFERROR(IF(TRIM(INDEX($A141:$AL141,MATCH(Lists!$F$5,$A$1:$AL$1,0))&amp;"")="","",IF(ISNUMBER(INDEX($A141:$AL141,MATCH(Lists!$F$5,$A$1:$AL$1,0))),INT(INDEX($A141:$AL141,MATCH(Lists!$F$5,$A$1:$AL$1,0))),DATE(VALUE(LEFT(INDEX($A141:$AL141,MATCH(Lists!$F$5,$A$1:$AL$1,0)),4)),VALUE(MID(INDEX($A141:$AL141,MATCH(Lists!$F$5,$A$1:$AL$1,0)),6,2)),VALUE(MID(INDEX($A141:$AL141,MATCH(Lists!$F$5,$A$1:$AL$1,0)),9,2))))),"")))</f>
        <v/>
      </c>
      <c r="AU141" s="21">
        <f>IF(IFERROR(TRIM(INDEX($A141:$AL141,MATCH(Lists!$F$2,$A$1:$AL$1,0))&amp;""),"")="",-1,IF(ISNUMBER(IFERROR(IF(TRIM(INDEX($A141:$AL141,MATCH(Lists!$F$6,$A$1:$AL$1,0))&amp;"")="","",IF(ISNUMBER(INDEX($A141:$AL141,MATCH(Lists!$F$6,$A$1:$AL$1,0))),ROUND(MOD(INDEX($A141:$AL141,MATCH(Lists!$F$6,$A$1:$AL$1,0)),1)*1440,0),VALUE(LEFT(INDEX($A141:$AL141,MATCH(Lists!$F$6,$A$1:$AL$1,0)),2))*60+VALUE(MID(INDEX($A141:$AL141,MATCH(Lists!$F$6,$A$1:$AL$1,0)),4,2)))),"")),IFERROR(IF(TRIM(INDEX($A141:$AL141,MATCH(Lists!$F$6,$A$1:$AL$1,0))&amp;"")="","",IF(ISNUMBER(INDEX($A141:$AL141,MATCH(Lists!$F$6,$A$1:$AL$1,0))),ROUND(MOD(INDEX($A141:$AL141,MATCH(Lists!$F$6,$A$1:$AL$1,0)),1)*1440,0),VALUE(LEFT(INDEX($A141:$AL141,MATCH(Lists!$F$6,$A$1:$AL$1,0)),2))*60+VALUE(MID(INDEX($A141:$AL141,MATCH(Lists!$F$6,$A$1:$AL$1,0)),4,2)))),""),-1))</f>
        <v/>
      </c>
      <c r="AV141" s="21">
        <f>IF(IFERROR(TRIM(INDEX($A141:$AL141,MATCH(Lists!$F$2,$A$1:$AL$1,0))&amp;""),"")="",-1,IF(ISNUMBER(IFERROR(IF(TRIM(INDEX($A141:$AL141,MATCH(Lists!$F$7,$A$1:$AL$1,0))&amp;"")="","",IF(ISNUMBER(INDEX($A141:$AL141,MATCH(Lists!$F$7,$A$1:$AL$1,0))),ROUND(MOD(INDEX($A141:$AL141,MATCH(Lists!$F$7,$A$1:$AL$1,0)),1)*1440,0),VALUE(LEFT(INDEX($A141:$AL141,MATCH(Lists!$F$7,$A$1:$AL$1,0)),2))*60+VALUE(MID(INDEX($A141:$AL141,MATCH(Lists!$F$7,$A$1:$AL$1,0)),4,2)))),"")),IFERROR(IF(TRIM(INDEX($A141:$AL141,MATCH(Lists!$F$7,$A$1:$AL$1,0))&amp;"")="","",IF(ISNUMBER(INDEX($A141:$AL141,MATCH(Lists!$F$7,$A$1:$AL$1,0))),ROUND(MOD(INDEX($A141:$AL141,MATCH(Lists!$F$7,$A$1:$AL$1,0)),1)*1440,0),VALUE(LEFT(INDEX($A141:$AL141,MATCH(Lists!$F$7,$A$1:$AL$1,0)),2))*60+VALUE(MID(INDEX($A141:$AL141,MATCH(Lists!$F$7,$A$1:$AL$1,0)),4,2)))),""),-1))</f>
        <v/>
      </c>
      <c r="AW141" s="21">
        <f>IF(IFERROR(TRIM(INDEX($A141:$AL141,MATCH(Lists!$F$2,$A$1:$AL$1,0))&amp;""),"")="","",IF(IFERROR(TRIM(INDEX($A141:$AL141,MATCH(Lists!$F$8,$A$1:$AL$1,0))&amp;""),"")&lt;&gt;"",IFERROR(TRIM(INDEX($A141:$AL141,MATCH(Lists!$F$8,$A$1:$AL$1,0))&amp;""),""),IFERROR(TRIM(INDEX($A141:$AL141,MATCH(Lists!$F$9,$A$1:$AL$1,0))&amp;""),"")))</f>
        <v/>
      </c>
      <c r="AX141" s="21">
        <f>IFERROR(IF(TRIM(INDEX($A141:$AL141,MATCH(Lists!$F$10,$A$1:$AL$1,0))&amp;"")="","",VALUE(TRIM(INDEX($A141:$AL141,MATCH(Lists!$F$10,$A$1:$AL$1,0))&amp;""))),"")</f>
        <v/>
      </c>
      <c r="AY141" s="21">
        <f>IF(IFERROR(TRIM(INDEX($A141:$AL141,MATCH(Lists!$F$2,$A$1:$AL$1,0))&amp;""),"")="","",IF(AN141="","New",AN141))</f>
        <v/>
      </c>
      <c r="AZ141" s="21">
        <f>IF(IFERROR(TRIM(INDEX($A141:$AL141,MATCH(Lists!$F$2,$A$1:$AL$1,0))&amp;""),"")="","",IF(OR(IFERROR(TRIM(INDEX($A141:$AL141,MATCH(Lists!$F$13,$A$1:$AL$1,0))&amp;""),"")="Paid",IFERROR(TRIM(INDEX($A141:$AL141,MATCH(Lists!$F$13,$A$1:$AL$1,0))&amp;""),"")="Partially refunded"),"Paid",IF(AP141="Yes","Paid (by hand)",IFERROR(TRIM(INDEX($A141:$AL141,MATCH(Lists!$F$13,$A$1:$AL$1,0))&amp;""),""))))</f>
        <v/>
      </c>
      <c r="BA141" s="21">
        <f>IF(AND(IFERROR(TRIM(INDEX($A141:$AL141,MATCH(Lists!$F$2,$A$1:$AL$1,0))&amp;""),"")&lt;&gt;"",AT141&gt;0,AU141&gt;=0,AV141&gt;AU141,AY141&lt;&gt;"Declined"),1,0)</f>
        <v/>
      </c>
      <c r="BB141" s="21">
        <f>IF(BA141=1,COUNTIFS($AS$2:$AS$501,AS141,$AT$2:$AT$501,AT141,$AU$2:$AU$501,"&lt;"&amp;AV141,$AV$2:$AV$501,"&gt;"&amp;AU141,$BA$2:$BA$501,1)-1,"")</f>
        <v/>
      </c>
      <c r="BC141" s="21">
        <f>IF(N(BB141)&gt;0,"Clashes with "&amp;INDEX($AW$2:$AW$501,SUMPRODUCT(MAX(($AS$2:$AS$501=AS141)*($AT$2:$AT$501=AT141)*($AU$2:$AU$501&lt;AV141)*($AV$2:$AV$501&gt;AU141)*($BA$2:$BA$501=1)*(ROW($AS$2:$AS$501)&lt;&gt;ROW())*ROW($AS$2:$AS$501)))-1)&amp;" ("&amp;INDEX($AY$2:$AY$501,SUMPRODUCT(MAX(($AS$2:$AS$501=AS141)*($AT$2:$AT$501=AT141)*($AU$2:$AU$501&lt;AV141)*($AV$2:$AV$501&gt;AU141)*($BA$2:$BA$501=1)*(ROW($AS$2:$AS$501)&lt;&gt;ROW())*ROW($AS$2:$AS$501)))-1)&amp;")"&amp;IF(BB141&gt;1," and "&amp;(BB141-1)&amp;" more",""),"")</f>
        <v/>
      </c>
      <c r="BD141" s="21">
        <f>IF(AND(BA141=1,AY141="Confirmed"),AT141*10000000+AU141*1000+ROW(),"")</f>
        <v/>
      </c>
      <c r="BE141" s="21">
        <f>IF(IFERROR(TRIM(INDEX($A141:$AL141,MATCH(Lists!$F$2,$A$1:$AL$1,0))&amp;""),"")="","",IFERROR(TRIM(INDEX($A141:$AL141,MATCH(Lists!$F$11,$A$1:$AL$1,0))&amp;""),""))</f>
        <v/>
      </c>
      <c r="BF141" s="21">
        <f>IF(IFERROR(TRIM(INDEX($A141:$AL141,MATCH(Lists!$F$2,$A$1:$AL$1,0))&amp;""),"")="","",IFERROR(TRIM(INDEX($A141:$AL141,MATCH(Lists!$F$12,$A$1:$AL$1,0))&amp;""),""))</f>
        <v/>
      </c>
    </row>
    <row r="142">
      <c r="AM142" s="19" t="n"/>
      <c r="AN142" s="23" t="n"/>
      <c r="AO142" s="23" t="n"/>
      <c r="AP142" s="23" t="n"/>
      <c r="AQ142" s="23" t="n"/>
      <c r="AR142" s="19" t="n"/>
      <c r="AS142" s="21">
        <f>IF(IFERROR(TRIM(INDEX($A142:$AL142,MATCH(Lists!$F$2,$A$1:$AL$1,0))&amp;""),"")="","",IF(AND(IFERROR(TRIM(INDEX($A142:$AL142,MATCH(Lists!$F$3,$A$1:$AL$1,0))&amp;""),"")="Other",IFERROR(TRIM(INDEX($A142:$AL142,MATCH(Lists!$F$4,$A$1:$AL$1,0))&amp;""),"")&lt;&gt;""),IFERROR(TRIM(INDEX($A142:$AL142,MATCH(Lists!$F$4,$A$1:$AL$1,0))&amp;""),""),IF(IFERROR(TRIM(INDEX($A142:$AL142,MATCH(Lists!$F$3,$A$1:$AL$1,0))&amp;""),"")="","(no space)",IFERROR(TRIM(INDEX($A142:$AL142,MATCH(Lists!$F$3,$A$1:$AL$1,0))&amp;""),""))))</f>
        <v/>
      </c>
      <c r="AT142" s="22">
        <f>IF(IFERROR(TRIM(INDEX($A142:$AL142,MATCH(Lists!$F$2,$A$1:$AL$1,0))&amp;""),"")="",0,N(IFERROR(IF(TRIM(INDEX($A142:$AL142,MATCH(Lists!$F$5,$A$1:$AL$1,0))&amp;"")="","",IF(ISNUMBER(INDEX($A142:$AL142,MATCH(Lists!$F$5,$A$1:$AL$1,0))),INT(INDEX($A142:$AL142,MATCH(Lists!$F$5,$A$1:$AL$1,0))),DATE(VALUE(LEFT(INDEX($A142:$AL142,MATCH(Lists!$F$5,$A$1:$AL$1,0)),4)),VALUE(MID(INDEX($A142:$AL142,MATCH(Lists!$F$5,$A$1:$AL$1,0)),6,2)),VALUE(MID(INDEX($A142:$AL142,MATCH(Lists!$F$5,$A$1:$AL$1,0)),9,2))))),"")))</f>
        <v/>
      </c>
      <c r="AU142" s="21">
        <f>IF(IFERROR(TRIM(INDEX($A142:$AL142,MATCH(Lists!$F$2,$A$1:$AL$1,0))&amp;""),"")="",-1,IF(ISNUMBER(IFERROR(IF(TRIM(INDEX($A142:$AL142,MATCH(Lists!$F$6,$A$1:$AL$1,0))&amp;"")="","",IF(ISNUMBER(INDEX($A142:$AL142,MATCH(Lists!$F$6,$A$1:$AL$1,0))),ROUND(MOD(INDEX($A142:$AL142,MATCH(Lists!$F$6,$A$1:$AL$1,0)),1)*1440,0),VALUE(LEFT(INDEX($A142:$AL142,MATCH(Lists!$F$6,$A$1:$AL$1,0)),2))*60+VALUE(MID(INDEX($A142:$AL142,MATCH(Lists!$F$6,$A$1:$AL$1,0)),4,2)))),"")),IFERROR(IF(TRIM(INDEX($A142:$AL142,MATCH(Lists!$F$6,$A$1:$AL$1,0))&amp;"")="","",IF(ISNUMBER(INDEX($A142:$AL142,MATCH(Lists!$F$6,$A$1:$AL$1,0))),ROUND(MOD(INDEX($A142:$AL142,MATCH(Lists!$F$6,$A$1:$AL$1,0)),1)*1440,0),VALUE(LEFT(INDEX($A142:$AL142,MATCH(Lists!$F$6,$A$1:$AL$1,0)),2))*60+VALUE(MID(INDEX($A142:$AL142,MATCH(Lists!$F$6,$A$1:$AL$1,0)),4,2)))),""),-1))</f>
        <v/>
      </c>
      <c r="AV142" s="21">
        <f>IF(IFERROR(TRIM(INDEX($A142:$AL142,MATCH(Lists!$F$2,$A$1:$AL$1,0))&amp;""),"")="",-1,IF(ISNUMBER(IFERROR(IF(TRIM(INDEX($A142:$AL142,MATCH(Lists!$F$7,$A$1:$AL$1,0))&amp;"")="","",IF(ISNUMBER(INDEX($A142:$AL142,MATCH(Lists!$F$7,$A$1:$AL$1,0))),ROUND(MOD(INDEX($A142:$AL142,MATCH(Lists!$F$7,$A$1:$AL$1,0)),1)*1440,0),VALUE(LEFT(INDEX($A142:$AL142,MATCH(Lists!$F$7,$A$1:$AL$1,0)),2))*60+VALUE(MID(INDEX($A142:$AL142,MATCH(Lists!$F$7,$A$1:$AL$1,0)),4,2)))),"")),IFERROR(IF(TRIM(INDEX($A142:$AL142,MATCH(Lists!$F$7,$A$1:$AL$1,0))&amp;"")="","",IF(ISNUMBER(INDEX($A142:$AL142,MATCH(Lists!$F$7,$A$1:$AL$1,0))),ROUND(MOD(INDEX($A142:$AL142,MATCH(Lists!$F$7,$A$1:$AL$1,0)),1)*1440,0),VALUE(LEFT(INDEX($A142:$AL142,MATCH(Lists!$F$7,$A$1:$AL$1,0)),2))*60+VALUE(MID(INDEX($A142:$AL142,MATCH(Lists!$F$7,$A$1:$AL$1,0)),4,2)))),""),-1))</f>
        <v/>
      </c>
      <c r="AW142" s="21">
        <f>IF(IFERROR(TRIM(INDEX($A142:$AL142,MATCH(Lists!$F$2,$A$1:$AL$1,0))&amp;""),"")="","",IF(IFERROR(TRIM(INDEX($A142:$AL142,MATCH(Lists!$F$8,$A$1:$AL$1,0))&amp;""),"")&lt;&gt;"",IFERROR(TRIM(INDEX($A142:$AL142,MATCH(Lists!$F$8,$A$1:$AL$1,0))&amp;""),""),IFERROR(TRIM(INDEX($A142:$AL142,MATCH(Lists!$F$9,$A$1:$AL$1,0))&amp;""),"")))</f>
        <v/>
      </c>
      <c r="AX142" s="21">
        <f>IFERROR(IF(TRIM(INDEX($A142:$AL142,MATCH(Lists!$F$10,$A$1:$AL$1,0))&amp;"")="","",VALUE(TRIM(INDEX($A142:$AL142,MATCH(Lists!$F$10,$A$1:$AL$1,0))&amp;""))),"")</f>
        <v/>
      </c>
      <c r="AY142" s="21">
        <f>IF(IFERROR(TRIM(INDEX($A142:$AL142,MATCH(Lists!$F$2,$A$1:$AL$1,0))&amp;""),"")="","",IF(AN142="","New",AN142))</f>
        <v/>
      </c>
      <c r="AZ142" s="21">
        <f>IF(IFERROR(TRIM(INDEX($A142:$AL142,MATCH(Lists!$F$2,$A$1:$AL$1,0))&amp;""),"")="","",IF(OR(IFERROR(TRIM(INDEX($A142:$AL142,MATCH(Lists!$F$13,$A$1:$AL$1,0))&amp;""),"")="Paid",IFERROR(TRIM(INDEX($A142:$AL142,MATCH(Lists!$F$13,$A$1:$AL$1,0))&amp;""),"")="Partially refunded"),"Paid",IF(AP142="Yes","Paid (by hand)",IFERROR(TRIM(INDEX($A142:$AL142,MATCH(Lists!$F$13,$A$1:$AL$1,0))&amp;""),""))))</f>
        <v/>
      </c>
      <c r="BA142" s="21">
        <f>IF(AND(IFERROR(TRIM(INDEX($A142:$AL142,MATCH(Lists!$F$2,$A$1:$AL$1,0))&amp;""),"")&lt;&gt;"",AT142&gt;0,AU142&gt;=0,AV142&gt;AU142,AY142&lt;&gt;"Declined"),1,0)</f>
        <v/>
      </c>
      <c r="BB142" s="21">
        <f>IF(BA142=1,COUNTIFS($AS$2:$AS$501,AS142,$AT$2:$AT$501,AT142,$AU$2:$AU$501,"&lt;"&amp;AV142,$AV$2:$AV$501,"&gt;"&amp;AU142,$BA$2:$BA$501,1)-1,"")</f>
        <v/>
      </c>
      <c r="BC142" s="21">
        <f>IF(N(BB142)&gt;0,"Clashes with "&amp;INDEX($AW$2:$AW$501,SUMPRODUCT(MAX(($AS$2:$AS$501=AS142)*($AT$2:$AT$501=AT142)*($AU$2:$AU$501&lt;AV142)*($AV$2:$AV$501&gt;AU142)*($BA$2:$BA$501=1)*(ROW($AS$2:$AS$501)&lt;&gt;ROW())*ROW($AS$2:$AS$501)))-1)&amp;" ("&amp;INDEX($AY$2:$AY$501,SUMPRODUCT(MAX(($AS$2:$AS$501=AS142)*($AT$2:$AT$501=AT142)*($AU$2:$AU$501&lt;AV142)*($AV$2:$AV$501&gt;AU142)*($BA$2:$BA$501=1)*(ROW($AS$2:$AS$501)&lt;&gt;ROW())*ROW($AS$2:$AS$501)))-1)&amp;")"&amp;IF(BB142&gt;1," and "&amp;(BB142-1)&amp;" more",""),"")</f>
        <v/>
      </c>
      <c r="BD142" s="21">
        <f>IF(AND(BA142=1,AY142="Confirmed"),AT142*10000000+AU142*1000+ROW(),"")</f>
        <v/>
      </c>
      <c r="BE142" s="21">
        <f>IF(IFERROR(TRIM(INDEX($A142:$AL142,MATCH(Lists!$F$2,$A$1:$AL$1,0))&amp;""),"")="","",IFERROR(TRIM(INDEX($A142:$AL142,MATCH(Lists!$F$11,$A$1:$AL$1,0))&amp;""),""))</f>
        <v/>
      </c>
      <c r="BF142" s="21">
        <f>IF(IFERROR(TRIM(INDEX($A142:$AL142,MATCH(Lists!$F$2,$A$1:$AL$1,0))&amp;""),"")="","",IFERROR(TRIM(INDEX($A142:$AL142,MATCH(Lists!$F$12,$A$1:$AL$1,0))&amp;""),""))</f>
        <v/>
      </c>
    </row>
    <row r="143">
      <c r="AM143" s="19" t="n"/>
      <c r="AN143" s="23" t="n"/>
      <c r="AO143" s="23" t="n"/>
      <c r="AP143" s="23" t="n"/>
      <c r="AQ143" s="23" t="n"/>
      <c r="AR143" s="19" t="n"/>
      <c r="AS143" s="21">
        <f>IF(IFERROR(TRIM(INDEX($A143:$AL143,MATCH(Lists!$F$2,$A$1:$AL$1,0))&amp;""),"")="","",IF(AND(IFERROR(TRIM(INDEX($A143:$AL143,MATCH(Lists!$F$3,$A$1:$AL$1,0))&amp;""),"")="Other",IFERROR(TRIM(INDEX($A143:$AL143,MATCH(Lists!$F$4,$A$1:$AL$1,0))&amp;""),"")&lt;&gt;""),IFERROR(TRIM(INDEX($A143:$AL143,MATCH(Lists!$F$4,$A$1:$AL$1,0))&amp;""),""),IF(IFERROR(TRIM(INDEX($A143:$AL143,MATCH(Lists!$F$3,$A$1:$AL$1,0))&amp;""),"")="","(no space)",IFERROR(TRIM(INDEX($A143:$AL143,MATCH(Lists!$F$3,$A$1:$AL$1,0))&amp;""),""))))</f>
        <v/>
      </c>
      <c r="AT143" s="22">
        <f>IF(IFERROR(TRIM(INDEX($A143:$AL143,MATCH(Lists!$F$2,$A$1:$AL$1,0))&amp;""),"")="",0,N(IFERROR(IF(TRIM(INDEX($A143:$AL143,MATCH(Lists!$F$5,$A$1:$AL$1,0))&amp;"")="","",IF(ISNUMBER(INDEX($A143:$AL143,MATCH(Lists!$F$5,$A$1:$AL$1,0))),INT(INDEX($A143:$AL143,MATCH(Lists!$F$5,$A$1:$AL$1,0))),DATE(VALUE(LEFT(INDEX($A143:$AL143,MATCH(Lists!$F$5,$A$1:$AL$1,0)),4)),VALUE(MID(INDEX($A143:$AL143,MATCH(Lists!$F$5,$A$1:$AL$1,0)),6,2)),VALUE(MID(INDEX($A143:$AL143,MATCH(Lists!$F$5,$A$1:$AL$1,0)),9,2))))),"")))</f>
        <v/>
      </c>
      <c r="AU143" s="21">
        <f>IF(IFERROR(TRIM(INDEX($A143:$AL143,MATCH(Lists!$F$2,$A$1:$AL$1,0))&amp;""),"")="",-1,IF(ISNUMBER(IFERROR(IF(TRIM(INDEX($A143:$AL143,MATCH(Lists!$F$6,$A$1:$AL$1,0))&amp;"")="","",IF(ISNUMBER(INDEX($A143:$AL143,MATCH(Lists!$F$6,$A$1:$AL$1,0))),ROUND(MOD(INDEX($A143:$AL143,MATCH(Lists!$F$6,$A$1:$AL$1,0)),1)*1440,0),VALUE(LEFT(INDEX($A143:$AL143,MATCH(Lists!$F$6,$A$1:$AL$1,0)),2))*60+VALUE(MID(INDEX($A143:$AL143,MATCH(Lists!$F$6,$A$1:$AL$1,0)),4,2)))),"")),IFERROR(IF(TRIM(INDEX($A143:$AL143,MATCH(Lists!$F$6,$A$1:$AL$1,0))&amp;"")="","",IF(ISNUMBER(INDEX($A143:$AL143,MATCH(Lists!$F$6,$A$1:$AL$1,0))),ROUND(MOD(INDEX($A143:$AL143,MATCH(Lists!$F$6,$A$1:$AL$1,0)),1)*1440,0),VALUE(LEFT(INDEX($A143:$AL143,MATCH(Lists!$F$6,$A$1:$AL$1,0)),2))*60+VALUE(MID(INDEX($A143:$AL143,MATCH(Lists!$F$6,$A$1:$AL$1,0)),4,2)))),""),-1))</f>
        <v/>
      </c>
      <c r="AV143" s="21">
        <f>IF(IFERROR(TRIM(INDEX($A143:$AL143,MATCH(Lists!$F$2,$A$1:$AL$1,0))&amp;""),"")="",-1,IF(ISNUMBER(IFERROR(IF(TRIM(INDEX($A143:$AL143,MATCH(Lists!$F$7,$A$1:$AL$1,0))&amp;"")="","",IF(ISNUMBER(INDEX($A143:$AL143,MATCH(Lists!$F$7,$A$1:$AL$1,0))),ROUND(MOD(INDEX($A143:$AL143,MATCH(Lists!$F$7,$A$1:$AL$1,0)),1)*1440,0),VALUE(LEFT(INDEX($A143:$AL143,MATCH(Lists!$F$7,$A$1:$AL$1,0)),2))*60+VALUE(MID(INDEX($A143:$AL143,MATCH(Lists!$F$7,$A$1:$AL$1,0)),4,2)))),"")),IFERROR(IF(TRIM(INDEX($A143:$AL143,MATCH(Lists!$F$7,$A$1:$AL$1,0))&amp;"")="","",IF(ISNUMBER(INDEX($A143:$AL143,MATCH(Lists!$F$7,$A$1:$AL$1,0))),ROUND(MOD(INDEX($A143:$AL143,MATCH(Lists!$F$7,$A$1:$AL$1,0)),1)*1440,0),VALUE(LEFT(INDEX($A143:$AL143,MATCH(Lists!$F$7,$A$1:$AL$1,0)),2))*60+VALUE(MID(INDEX($A143:$AL143,MATCH(Lists!$F$7,$A$1:$AL$1,0)),4,2)))),""),-1))</f>
        <v/>
      </c>
      <c r="AW143" s="21">
        <f>IF(IFERROR(TRIM(INDEX($A143:$AL143,MATCH(Lists!$F$2,$A$1:$AL$1,0))&amp;""),"")="","",IF(IFERROR(TRIM(INDEX($A143:$AL143,MATCH(Lists!$F$8,$A$1:$AL$1,0))&amp;""),"")&lt;&gt;"",IFERROR(TRIM(INDEX($A143:$AL143,MATCH(Lists!$F$8,$A$1:$AL$1,0))&amp;""),""),IFERROR(TRIM(INDEX($A143:$AL143,MATCH(Lists!$F$9,$A$1:$AL$1,0))&amp;""),"")))</f>
        <v/>
      </c>
      <c r="AX143" s="21">
        <f>IFERROR(IF(TRIM(INDEX($A143:$AL143,MATCH(Lists!$F$10,$A$1:$AL$1,0))&amp;"")="","",VALUE(TRIM(INDEX($A143:$AL143,MATCH(Lists!$F$10,$A$1:$AL$1,0))&amp;""))),"")</f>
        <v/>
      </c>
      <c r="AY143" s="21">
        <f>IF(IFERROR(TRIM(INDEX($A143:$AL143,MATCH(Lists!$F$2,$A$1:$AL$1,0))&amp;""),"")="","",IF(AN143="","New",AN143))</f>
        <v/>
      </c>
      <c r="AZ143" s="21">
        <f>IF(IFERROR(TRIM(INDEX($A143:$AL143,MATCH(Lists!$F$2,$A$1:$AL$1,0))&amp;""),"")="","",IF(OR(IFERROR(TRIM(INDEX($A143:$AL143,MATCH(Lists!$F$13,$A$1:$AL$1,0))&amp;""),"")="Paid",IFERROR(TRIM(INDEX($A143:$AL143,MATCH(Lists!$F$13,$A$1:$AL$1,0))&amp;""),"")="Partially refunded"),"Paid",IF(AP143="Yes","Paid (by hand)",IFERROR(TRIM(INDEX($A143:$AL143,MATCH(Lists!$F$13,$A$1:$AL$1,0))&amp;""),""))))</f>
        <v/>
      </c>
      <c r="BA143" s="21">
        <f>IF(AND(IFERROR(TRIM(INDEX($A143:$AL143,MATCH(Lists!$F$2,$A$1:$AL$1,0))&amp;""),"")&lt;&gt;"",AT143&gt;0,AU143&gt;=0,AV143&gt;AU143,AY143&lt;&gt;"Declined"),1,0)</f>
        <v/>
      </c>
      <c r="BB143" s="21">
        <f>IF(BA143=1,COUNTIFS($AS$2:$AS$501,AS143,$AT$2:$AT$501,AT143,$AU$2:$AU$501,"&lt;"&amp;AV143,$AV$2:$AV$501,"&gt;"&amp;AU143,$BA$2:$BA$501,1)-1,"")</f>
        <v/>
      </c>
      <c r="BC143" s="21">
        <f>IF(N(BB143)&gt;0,"Clashes with "&amp;INDEX($AW$2:$AW$501,SUMPRODUCT(MAX(($AS$2:$AS$501=AS143)*($AT$2:$AT$501=AT143)*($AU$2:$AU$501&lt;AV143)*($AV$2:$AV$501&gt;AU143)*($BA$2:$BA$501=1)*(ROW($AS$2:$AS$501)&lt;&gt;ROW())*ROW($AS$2:$AS$501)))-1)&amp;" ("&amp;INDEX($AY$2:$AY$501,SUMPRODUCT(MAX(($AS$2:$AS$501=AS143)*($AT$2:$AT$501=AT143)*($AU$2:$AU$501&lt;AV143)*($AV$2:$AV$501&gt;AU143)*($BA$2:$BA$501=1)*(ROW($AS$2:$AS$501)&lt;&gt;ROW())*ROW($AS$2:$AS$501)))-1)&amp;")"&amp;IF(BB143&gt;1," and "&amp;(BB143-1)&amp;" more",""),"")</f>
        <v/>
      </c>
      <c r="BD143" s="21">
        <f>IF(AND(BA143=1,AY143="Confirmed"),AT143*10000000+AU143*1000+ROW(),"")</f>
        <v/>
      </c>
      <c r="BE143" s="21">
        <f>IF(IFERROR(TRIM(INDEX($A143:$AL143,MATCH(Lists!$F$2,$A$1:$AL$1,0))&amp;""),"")="","",IFERROR(TRIM(INDEX($A143:$AL143,MATCH(Lists!$F$11,$A$1:$AL$1,0))&amp;""),""))</f>
        <v/>
      </c>
      <c r="BF143" s="21">
        <f>IF(IFERROR(TRIM(INDEX($A143:$AL143,MATCH(Lists!$F$2,$A$1:$AL$1,0))&amp;""),"")="","",IFERROR(TRIM(INDEX($A143:$AL143,MATCH(Lists!$F$12,$A$1:$AL$1,0))&amp;""),""))</f>
        <v/>
      </c>
    </row>
    <row r="144">
      <c r="AM144" s="19" t="n"/>
      <c r="AN144" s="23" t="n"/>
      <c r="AO144" s="23" t="n"/>
      <c r="AP144" s="23" t="n"/>
      <c r="AQ144" s="23" t="n"/>
      <c r="AR144" s="19" t="n"/>
      <c r="AS144" s="21">
        <f>IF(IFERROR(TRIM(INDEX($A144:$AL144,MATCH(Lists!$F$2,$A$1:$AL$1,0))&amp;""),"")="","",IF(AND(IFERROR(TRIM(INDEX($A144:$AL144,MATCH(Lists!$F$3,$A$1:$AL$1,0))&amp;""),"")="Other",IFERROR(TRIM(INDEX($A144:$AL144,MATCH(Lists!$F$4,$A$1:$AL$1,0))&amp;""),"")&lt;&gt;""),IFERROR(TRIM(INDEX($A144:$AL144,MATCH(Lists!$F$4,$A$1:$AL$1,0))&amp;""),""),IF(IFERROR(TRIM(INDEX($A144:$AL144,MATCH(Lists!$F$3,$A$1:$AL$1,0))&amp;""),"")="","(no space)",IFERROR(TRIM(INDEX($A144:$AL144,MATCH(Lists!$F$3,$A$1:$AL$1,0))&amp;""),""))))</f>
        <v/>
      </c>
      <c r="AT144" s="22">
        <f>IF(IFERROR(TRIM(INDEX($A144:$AL144,MATCH(Lists!$F$2,$A$1:$AL$1,0))&amp;""),"")="",0,N(IFERROR(IF(TRIM(INDEX($A144:$AL144,MATCH(Lists!$F$5,$A$1:$AL$1,0))&amp;"")="","",IF(ISNUMBER(INDEX($A144:$AL144,MATCH(Lists!$F$5,$A$1:$AL$1,0))),INT(INDEX($A144:$AL144,MATCH(Lists!$F$5,$A$1:$AL$1,0))),DATE(VALUE(LEFT(INDEX($A144:$AL144,MATCH(Lists!$F$5,$A$1:$AL$1,0)),4)),VALUE(MID(INDEX($A144:$AL144,MATCH(Lists!$F$5,$A$1:$AL$1,0)),6,2)),VALUE(MID(INDEX($A144:$AL144,MATCH(Lists!$F$5,$A$1:$AL$1,0)),9,2))))),"")))</f>
        <v/>
      </c>
      <c r="AU144" s="21">
        <f>IF(IFERROR(TRIM(INDEX($A144:$AL144,MATCH(Lists!$F$2,$A$1:$AL$1,0))&amp;""),"")="",-1,IF(ISNUMBER(IFERROR(IF(TRIM(INDEX($A144:$AL144,MATCH(Lists!$F$6,$A$1:$AL$1,0))&amp;"")="","",IF(ISNUMBER(INDEX($A144:$AL144,MATCH(Lists!$F$6,$A$1:$AL$1,0))),ROUND(MOD(INDEX($A144:$AL144,MATCH(Lists!$F$6,$A$1:$AL$1,0)),1)*1440,0),VALUE(LEFT(INDEX($A144:$AL144,MATCH(Lists!$F$6,$A$1:$AL$1,0)),2))*60+VALUE(MID(INDEX($A144:$AL144,MATCH(Lists!$F$6,$A$1:$AL$1,0)),4,2)))),"")),IFERROR(IF(TRIM(INDEX($A144:$AL144,MATCH(Lists!$F$6,$A$1:$AL$1,0))&amp;"")="","",IF(ISNUMBER(INDEX($A144:$AL144,MATCH(Lists!$F$6,$A$1:$AL$1,0))),ROUND(MOD(INDEX($A144:$AL144,MATCH(Lists!$F$6,$A$1:$AL$1,0)),1)*1440,0),VALUE(LEFT(INDEX($A144:$AL144,MATCH(Lists!$F$6,$A$1:$AL$1,0)),2))*60+VALUE(MID(INDEX($A144:$AL144,MATCH(Lists!$F$6,$A$1:$AL$1,0)),4,2)))),""),-1))</f>
        <v/>
      </c>
      <c r="AV144" s="21">
        <f>IF(IFERROR(TRIM(INDEX($A144:$AL144,MATCH(Lists!$F$2,$A$1:$AL$1,0))&amp;""),"")="",-1,IF(ISNUMBER(IFERROR(IF(TRIM(INDEX($A144:$AL144,MATCH(Lists!$F$7,$A$1:$AL$1,0))&amp;"")="","",IF(ISNUMBER(INDEX($A144:$AL144,MATCH(Lists!$F$7,$A$1:$AL$1,0))),ROUND(MOD(INDEX($A144:$AL144,MATCH(Lists!$F$7,$A$1:$AL$1,0)),1)*1440,0),VALUE(LEFT(INDEX($A144:$AL144,MATCH(Lists!$F$7,$A$1:$AL$1,0)),2))*60+VALUE(MID(INDEX($A144:$AL144,MATCH(Lists!$F$7,$A$1:$AL$1,0)),4,2)))),"")),IFERROR(IF(TRIM(INDEX($A144:$AL144,MATCH(Lists!$F$7,$A$1:$AL$1,0))&amp;"")="","",IF(ISNUMBER(INDEX($A144:$AL144,MATCH(Lists!$F$7,$A$1:$AL$1,0))),ROUND(MOD(INDEX($A144:$AL144,MATCH(Lists!$F$7,$A$1:$AL$1,0)),1)*1440,0),VALUE(LEFT(INDEX($A144:$AL144,MATCH(Lists!$F$7,$A$1:$AL$1,0)),2))*60+VALUE(MID(INDEX($A144:$AL144,MATCH(Lists!$F$7,$A$1:$AL$1,0)),4,2)))),""),-1))</f>
        <v/>
      </c>
      <c r="AW144" s="21">
        <f>IF(IFERROR(TRIM(INDEX($A144:$AL144,MATCH(Lists!$F$2,$A$1:$AL$1,0))&amp;""),"")="","",IF(IFERROR(TRIM(INDEX($A144:$AL144,MATCH(Lists!$F$8,$A$1:$AL$1,0))&amp;""),"")&lt;&gt;"",IFERROR(TRIM(INDEX($A144:$AL144,MATCH(Lists!$F$8,$A$1:$AL$1,0))&amp;""),""),IFERROR(TRIM(INDEX($A144:$AL144,MATCH(Lists!$F$9,$A$1:$AL$1,0))&amp;""),"")))</f>
        <v/>
      </c>
      <c r="AX144" s="21">
        <f>IFERROR(IF(TRIM(INDEX($A144:$AL144,MATCH(Lists!$F$10,$A$1:$AL$1,0))&amp;"")="","",VALUE(TRIM(INDEX($A144:$AL144,MATCH(Lists!$F$10,$A$1:$AL$1,0))&amp;""))),"")</f>
        <v/>
      </c>
      <c r="AY144" s="21">
        <f>IF(IFERROR(TRIM(INDEX($A144:$AL144,MATCH(Lists!$F$2,$A$1:$AL$1,0))&amp;""),"")="","",IF(AN144="","New",AN144))</f>
        <v/>
      </c>
      <c r="AZ144" s="21">
        <f>IF(IFERROR(TRIM(INDEX($A144:$AL144,MATCH(Lists!$F$2,$A$1:$AL$1,0))&amp;""),"")="","",IF(OR(IFERROR(TRIM(INDEX($A144:$AL144,MATCH(Lists!$F$13,$A$1:$AL$1,0))&amp;""),"")="Paid",IFERROR(TRIM(INDEX($A144:$AL144,MATCH(Lists!$F$13,$A$1:$AL$1,0))&amp;""),"")="Partially refunded"),"Paid",IF(AP144="Yes","Paid (by hand)",IFERROR(TRIM(INDEX($A144:$AL144,MATCH(Lists!$F$13,$A$1:$AL$1,0))&amp;""),""))))</f>
        <v/>
      </c>
      <c r="BA144" s="21">
        <f>IF(AND(IFERROR(TRIM(INDEX($A144:$AL144,MATCH(Lists!$F$2,$A$1:$AL$1,0))&amp;""),"")&lt;&gt;"",AT144&gt;0,AU144&gt;=0,AV144&gt;AU144,AY144&lt;&gt;"Declined"),1,0)</f>
        <v/>
      </c>
      <c r="BB144" s="21">
        <f>IF(BA144=1,COUNTIFS($AS$2:$AS$501,AS144,$AT$2:$AT$501,AT144,$AU$2:$AU$501,"&lt;"&amp;AV144,$AV$2:$AV$501,"&gt;"&amp;AU144,$BA$2:$BA$501,1)-1,"")</f>
        <v/>
      </c>
      <c r="BC144" s="21">
        <f>IF(N(BB144)&gt;0,"Clashes with "&amp;INDEX($AW$2:$AW$501,SUMPRODUCT(MAX(($AS$2:$AS$501=AS144)*($AT$2:$AT$501=AT144)*($AU$2:$AU$501&lt;AV144)*($AV$2:$AV$501&gt;AU144)*($BA$2:$BA$501=1)*(ROW($AS$2:$AS$501)&lt;&gt;ROW())*ROW($AS$2:$AS$501)))-1)&amp;" ("&amp;INDEX($AY$2:$AY$501,SUMPRODUCT(MAX(($AS$2:$AS$501=AS144)*($AT$2:$AT$501=AT144)*($AU$2:$AU$501&lt;AV144)*($AV$2:$AV$501&gt;AU144)*($BA$2:$BA$501=1)*(ROW($AS$2:$AS$501)&lt;&gt;ROW())*ROW($AS$2:$AS$501)))-1)&amp;")"&amp;IF(BB144&gt;1," and "&amp;(BB144-1)&amp;" more",""),"")</f>
        <v/>
      </c>
      <c r="BD144" s="21">
        <f>IF(AND(BA144=1,AY144="Confirmed"),AT144*10000000+AU144*1000+ROW(),"")</f>
        <v/>
      </c>
      <c r="BE144" s="21">
        <f>IF(IFERROR(TRIM(INDEX($A144:$AL144,MATCH(Lists!$F$2,$A$1:$AL$1,0))&amp;""),"")="","",IFERROR(TRIM(INDEX($A144:$AL144,MATCH(Lists!$F$11,$A$1:$AL$1,0))&amp;""),""))</f>
        <v/>
      </c>
      <c r="BF144" s="21">
        <f>IF(IFERROR(TRIM(INDEX($A144:$AL144,MATCH(Lists!$F$2,$A$1:$AL$1,0))&amp;""),"")="","",IFERROR(TRIM(INDEX($A144:$AL144,MATCH(Lists!$F$12,$A$1:$AL$1,0))&amp;""),""))</f>
        <v/>
      </c>
    </row>
    <row r="145">
      <c r="AM145" s="19" t="n"/>
      <c r="AN145" s="23" t="n"/>
      <c r="AO145" s="23" t="n"/>
      <c r="AP145" s="23" t="n"/>
      <c r="AQ145" s="23" t="n"/>
      <c r="AR145" s="19" t="n"/>
      <c r="AS145" s="21">
        <f>IF(IFERROR(TRIM(INDEX($A145:$AL145,MATCH(Lists!$F$2,$A$1:$AL$1,0))&amp;""),"")="","",IF(AND(IFERROR(TRIM(INDEX($A145:$AL145,MATCH(Lists!$F$3,$A$1:$AL$1,0))&amp;""),"")="Other",IFERROR(TRIM(INDEX($A145:$AL145,MATCH(Lists!$F$4,$A$1:$AL$1,0))&amp;""),"")&lt;&gt;""),IFERROR(TRIM(INDEX($A145:$AL145,MATCH(Lists!$F$4,$A$1:$AL$1,0))&amp;""),""),IF(IFERROR(TRIM(INDEX($A145:$AL145,MATCH(Lists!$F$3,$A$1:$AL$1,0))&amp;""),"")="","(no space)",IFERROR(TRIM(INDEX($A145:$AL145,MATCH(Lists!$F$3,$A$1:$AL$1,0))&amp;""),""))))</f>
        <v/>
      </c>
      <c r="AT145" s="22">
        <f>IF(IFERROR(TRIM(INDEX($A145:$AL145,MATCH(Lists!$F$2,$A$1:$AL$1,0))&amp;""),"")="",0,N(IFERROR(IF(TRIM(INDEX($A145:$AL145,MATCH(Lists!$F$5,$A$1:$AL$1,0))&amp;"")="","",IF(ISNUMBER(INDEX($A145:$AL145,MATCH(Lists!$F$5,$A$1:$AL$1,0))),INT(INDEX($A145:$AL145,MATCH(Lists!$F$5,$A$1:$AL$1,0))),DATE(VALUE(LEFT(INDEX($A145:$AL145,MATCH(Lists!$F$5,$A$1:$AL$1,0)),4)),VALUE(MID(INDEX($A145:$AL145,MATCH(Lists!$F$5,$A$1:$AL$1,0)),6,2)),VALUE(MID(INDEX($A145:$AL145,MATCH(Lists!$F$5,$A$1:$AL$1,0)),9,2))))),"")))</f>
        <v/>
      </c>
      <c r="AU145" s="21">
        <f>IF(IFERROR(TRIM(INDEX($A145:$AL145,MATCH(Lists!$F$2,$A$1:$AL$1,0))&amp;""),"")="",-1,IF(ISNUMBER(IFERROR(IF(TRIM(INDEX($A145:$AL145,MATCH(Lists!$F$6,$A$1:$AL$1,0))&amp;"")="","",IF(ISNUMBER(INDEX($A145:$AL145,MATCH(Lists!$F$6,$A$1:$AL$1,0))),ROUND(MOD(INDEX($A145:$AL145,MATCH(Lists!$F$6,$A$1:$AL$1,0)),1)*1440,0),VALUE(LEFT(INDEX($A145:$AL145,MATCH(Lists!$F$6,$A$1:$AL$1,0)),2))*60+VALUE(MID(INDEX($A145:$AL145,MATCH(Lists!$F$6,$A$1:$AL$1,0)),4,2)))),"")),IFERROR(IF(TRIM(INDEX($A145:$AL145,MATCH(Lists!$F$6,$A$1:$AL$1,0))&amp;"")="","",IF(ISNUMBER(INDEX($A145:$AL145,MATCH(Lists!$F$6,$A$1:$AL$1,0))),ROUND(MOD(INDEX($A145:$AL145,MATCH(Lists!$F$6,$A$1:$AL$1,0)),1)*1440,0),VALUE(LEFT(INDEX($A145:$AL145,MATCH(Lists!$F$6,$A$1:$AL$1,0)),2))*60+VALUE(MID(INDEX($A145:$AL145,MATCH(Lists!$F$6,$A$1:$AL$1,0)),4,2)))),""),-1))</f>
        <v/>
      </c>
      <c r="AV145" s="21">
        <f>IF(IFERROR(TRIM(INDEX($A145:$AL145,MATCH(Lists!$F$2,$A$1:$AL$1,0))&amp;""),"")="",-1,IF(ISNUMBER(IFERROR(IF(TRIM(INDEX($A145:$AL145,MATCH(Lists!$F$7,$A$1:$AL$1,0))&amp;"")="","",IF(ISNUMBER(INDEX($A145:$AL145,MATCH(Lists!$F$7,$A$1:$AL$1,0))),ROUND(MOD(INDEX($A145:$AL145,MATCH(Lists!$F$7,$A$1:$AL$1,0)),1)*1440,0),VALUE(LEFT(INDEX($A145:$AL145,MATCH(Lists!$F$7,$A$1:$AL$1,0)),2))*60+VALUE(MID(INDEX($A145:$AL145,MATCH(Lists!$F$7,$A$1:$AL$1,0)),4,2)))),"")),IFERROR(IF(TRIM(INDEX($A145:$AL145,MATCH(Lists!$F$7,$A$1:$AL$1,0))&amp;"")="","",IF(ISNUMBER(INDEX($A145:$AL145,MATCH(Lists!$F$7,$A$1:$AL$1,0))),ROUND(MOD(INDEX($A145:$AL145,MATCH(Lists!$F$7,$A$1:$AL$1,0)),1)*1440,0),VALUE(LEFT(INDEX($A145:$AL145,MATCH(Lists!$F$7,$A$1:$AL$1,0)),2))*60+VALUE(MID(INDEX($A145:$AL145,MATCH(Lists!$F$7,$A$1:$AL$1,0)),4,2)))),""),-1))</f>
        <v/>
      </c>
      <c r="AW145" s="21">
        <f>IF(IFERROR(TRIM(INDEX($A145:$AL145,MATCH(Lists!$F$2,$A$1:$AL$1,0))&amp;""),"")="","",IF(IFERROR(TRIM(INDEX($A145:$AL145,MATCH(Lists!$F$8,$A$1:$AL$1,0))&amp;""),"")&lt;&gt;"",IFERROR(TRIM(INDEX($A145:$AL145,MATCH(Lists!$F$8,$A$1:$AL$1,0))&amp;""),""),IFERROR(TRIM(INDEX($A145:$AL145,MATCH(Lists!$F$9,$A$1:$AL$1,0))&amp;""),"")))</f>
        <v/>
      </c>
      <c r="AX145" s="21">
        <f>IFERROR(IF(TRIM(INDEX($A145:$AL145,MATCH(Lists!$F$10,$A$1:$AL$1,0))&amp;"")="","",VALUE(TRIM(INDEX($A145:$AL145,MATCH(Lists!$F$10,$A$1:$AL$1,0))&amp;""))),"")</f>
        <v/>
      </c>
      <c r="AY145" s="21">
        <f>IF(IFERROR(TRIM(INDEX($A145:$AL145,MATCH(Lists!$F$2,$A$1:$AL$1,0))&amp;""),"")="","",IF(AN145="","New",AN145))</f>
        <v/>
      </c>
      <c r="AZ145" s="21">
        <f>IF(IFERROR(TRIM(INDEX($A145:$AL145,MATCH(Lists!$F$2,$A$1:$AL$1,0))&amp;""),"")="","",IF(OR(IFERROR(TRIM(INDEX($A145:$AL145,MATCH(Lists!$F$13,$A$1:$AL$1,0))&amp;""),"")="Paid",IFERROR(TRIM(INDEX($A145:$AL145,MATCH(Lists!$F$13,$A$1:$AL$1,0))&amp;""),"")="Partially refunded"),"Paid",IF(AP145="Yes","Paid (by hand)",IFERROR(TRIM(INDEX($A145:$AL145,MATCH(Lists!$F$13,$A$1:$AL$1,0))&amp;""),""))))</f>
        <v/>
      </c>
      <c r="BA145" s="21">
        <f>IF(AND(IFERROR(TRIM(INDEX($A145:$AL145,MATCH(Lists!$F$2,$A$1:$AL$1,0))&amp;""),"")&lt;&gt;"",AT145&gt;0,AU145&gt;=0,AV145&gt;AU145,AY145&lt;&gt;"Declined"),1,0)</f>
        <v/>
      </c>
      <c r="BB145" s="21">
        <f>IF(BA145=1,COUNTIFS($AS$2:$AS$501,AS145,$AT$2:$AT$501,AT145,$AU$2:$AU$501,"&lt;"&amp;AV145,$AV$2:$AV$501,"&gt;"&amp;AU145,$BA$2:$BA$501,1)-1,"")</f>
        <v/>
      </c>
      <c r="BC145" s="21">
        <f>IF(N(BB145)&gt;0,"Clashes with "&amp;INDEX($AW$2:$AW$501,SUMPRODUCT(MAX(($AS$2:$AS$501=AS145)*($AT$2:$AT$501=AT145)*($AU$2:$AU$501&lt;AV145)*($AV$2:$AV$501&gt;AU145)*($BA$2:$BA$501=1)*(ROW($AS$2:$AS$501)&lt;&gt;ROW())*ROW($AS$2:$AS$501)))-1)&amp;" ("&amp;INDEX($AY$2:$AY$501,SUMPRODUCT(MAX(($AS$2:$AS$501=AS145)*($AT$2:$AT$501=AT145)*($AU$2:$AU$501&lt;AV145)*($AV$2:$AV$501&gt;AU145)*($BA$2:$BA$501=1)*(ROW($AS$2:$AS$501)&lt;&gt;ROW())*ROW($AS$2:$AS$501)))-1)&amp;")"&amp;IF(BB145&gt;1," and "&amp;(BB145-1)&amp;" more",""),"")</f>
        <v/>
      </c>
      <c r="BD145" s="21">
        <f>IF(AND(BA145=1,AY145="Confirmed"),AT145*10000000+AU145*1000+ROW(),"")</f>
        <v/>
      </c>
      <c r="BE145" s="21">
        <f>IF(IFERROR(TRIM(INDEX($A145:$AL145,MATCH(Lists!$F$2,$A$1:$AL$1,0))&amp;""),"")="","",IFERROR(TRIM(INDEX($A145:$AL145,MATCH(Lists!$F$11,$A$1:$AL$1,0))&amp;""),""))</f>
        <v/>
      </c>
      <c r="BF145" s="21">
        <f>IF(IFERROR(TRIM(INDEX($A145:$AL145,MATCH(Lists!$F$2,$A$1:$AL$1,0))&amp;""),"")="","",IFERROR(TRIM(INDEX($A145:$AL145,MATCH(Lists!$F$12,$A$1:$AL$1,0))&amp;""),""))</f>
        <v/>
      </c>
    </row>
    <row r="146">
      <c r="AM146" s="19" t="n"/>
      <c r="AN146" s="23" t="n"/>
      <c r="AO146" s="23" t="n"/>
      <c r="AP146" s="23" t="n"/>
      <c r="AQ146" s="23" t="n"/>
      <c r="AR146" s="19" t="n"/>
      <c r="AS146" s="21">
        <f>IF(IFERROR(TRIM(INDEX($A146:$AL146,MATCH(Lists!$F$2,$A$1:$AL$1,0))&amp;""),"")="","",IF(AND(IFERROR(TRIM(INDEX($A146:$AL146,MATCH(Lists!$F$3,$A$1:$AL$1,0))&amp;""),"")="Other",IFERROR(TRIM(INDEX($A146:$AL146,MATCH(Lists!$F$4,$A$1:$AL$1,0))&amp;""),"")&lt;&gt;""),IFERROR(TRIM(INDEX($A146:$AL146,MATCH(Lists!$F$4,$A$1:$AL$1,0))&amp;""),""),IF(IFERROR(TRIM(INDEX($A146:$AL146,MATCH(Lists!$F$3,$A$1:$AL$1,0))&amp;""),"")="","(no space)",IFERROR(TRIM(INDEX($A146:$AL146,MATCH(Lists!$F$3,$A$1:$AL$1,0))&amp;""),""))))</f>
        <v/>
      </c>
      <c r="AT146" s="22">
        <f>IF(IFERROR(TRIM(INDEX($A146:$AL146,MATCH(Lists!$F$2,$A$1:$AL$1,0))&amp;""),"")="",0,N(IFERROR(IF(TRIM(INDEX($A146:$AL146,MATCH(Lists!$F$5,$A$1:$AL$1,0))&amp;"")="","",IF(ISNUMBER(INDEX($A146:$AL146,MATCH(Lists!$F$5,$A$1:$AL$1,0))),INT(INDEX($A146:$AL146,MATCH(Lists!$F$5,$A$1:$AL$1,0))),DATE(VALUE(LEFT(INDEX($A146:$AL146,MATCH(Lists!$F$5,$A$1:$AL$1,0)),4)),VALUE(MID(INDEX($A146:$AL146,MATCH(Lists!$F$5,$A$1:$AL$1,0)),6,2)),VALUE(MID(INDEX($A146:$AL146,MATCH(Lists!$F$5,$A$1:$AL$1,0)),9,2))))),"")))</f>
        <v/>
      </c>
      <c r="AU146" s="21">
        <f>IF(IFERROR(TRIM(INDEX($A146:$AL146,MATCH(Lists!$F$2,$A$1:$AL$1,0))&amp;""),"")="",-1,IF(ISNUMBER(IFERROR(IF(TRIM(INDEX($A146:$AL146,MATCH(Lists!$F$6,$A$1:$AL$1,0))&amp;"")="","",IF(ISNUMBER(INDEX($A146:$AL146,MATCH(Lists!$F$6,$A$1:$AL$1,0))),ROUND(MOD(INDEX($A146:$AL146,MATCH(Lists!$F$6,$A$1:$AL$1,0)),1)*1440,0),VALUE(LEFT(INDEX($A146:$AL146,MATCH(Lists!$F$6,$A$1:$AL$1,0)),2))*60+VALUE(MID(INDEX($A146:$AL146,MATCH(Lists!$F$6,$A$1:$AL$1,0)),4,2)))),"")),IFERROR(IF(TRIM(INDEX($A146:$AL146,MATCH(Lists!$F$6,$A$1:$AL$1,0))&amp;"")="","",IF(ISNUMBER(INDEX($A146:$AL146,MATCH(Lists!$F$6,$A$1:$AL$1,0))),ROUND(MOD(INDEX($A146:$AL146,MATCH(Lists!$F$6,$A$1:$AL$1,0)),1)*1440,0),VALUE(LEFT(INDEX($A146:$AL146,MATCH(Lists!$F$6,$A$1:$AL$1,0)),2))*60+VALUE(MID(INDEX($A146:$AL146,MATCH(Lists!$F$6,$A$1:$AL$1,0)),4,2)))),""),-1))</f>
        <v/>
      </c>
      <c r="AV146" s="21">
        <f>IF(IFERROR(TRIM(INDEX($A146:$AL146,MATCH(Lists!$F$2,$A$1:$AL$1,0))&amp;""),"")="",-1,IF(ISNUMBER(IFERROR(IF(TRIM(INDEX($A146:$AL146,MATCH(Lists!$F$7,$A$1:$AL$1,0))&amp;"")="","",IF(ISNUMBER(INDEX($A146:$AL146,MATCH(Lists!$F$7,$A$1:$AL$1,0))),ROUND(MOD(INDEX($A146:$AL146,MATCH(Lists!$F$7,$A$1:$AL$1,0)),1)*1440,0),VALUE(LEFT(INDEX($A146:$AL146,MATCH(Lists!$F$7,$A$1:$AL$1,0)),2))*60+VALUE(MID(INDEX($A146:$AL146,MATCH(Lists!$F$7,$A$1:$AL$1,0)),4,2)))),"")),IFERROR(IF(TRIM(INDEX($A146:$AL146,MATCH(Lists!$F$7,$A$1:$AL$1,0))&amp;"")="","",IF(ISNUMBER(INDEX($A146:$AL146,MATCH(Lists!$F$7,$A$1:$AL$1,0))),ROUND(MOD(INDEX($A146:$AL146,MATCH(Lists!$F$7,$A$1:$AL$1,0)),1)*1440,0),VALUE(LEFT(INDEX($A146:$AL146,MATCH(Lists!$F$7,$A$1:$AL$1,0)),2))*60+VALUE(MID(INDEX($A146:$AL146,MATCH(Lists!$F$7,$A$1:$AL$1,0)),4,2)))),""),-1))</f>
        <v/>
      </c>
      <c r="AW146" s="21">
        <f>IF(IFERROR(TRIM(INDEX($A146:$AL146,MATCH(Lists!$F$2,$A$1:$AL$1,0))&amp;""),"")="","",IF(IFERROR(TRIM(INDEX($A146:$AL146,MATCH(Lists!$F$8,$A$1:$AL$1,0))&amp;""),"")&lt;&gt;"",IFERROR(TRIM(INDEX($A146:$AL146,MATCH(Lists!$F$8,$A$1:$AL$1,0))&amp;""),""),IFERROR(TRIM(INDEX($A146:$AL146,MATCH(Lists!$F$9,$A$1:$AL$1,0))&amp;""),"")))</f>
        <v/>
      </c>
      <c r="AX146" s="21">
        <f>IFERROR(IF(TRIM(INDEX($A146:$AL146,MATCH(Lists!$F$10,$A$1:$AL$1,0))&amp;"")="","",VALUE(TRIM(INDEX($A146:$AL146,MATCH(Lists!$F$10,$A$1:$AL$1,0))&amp;""))),"")</f>
        <v/>
      </c>
      <c r="AY146" s="21">
        <f>IF(IFERROR(TRIM(INDEX($A146:$AL146,MATCH(Lists!$F$2,$A$1:$AL$1,0))&amp;""),"")="","",IF(AN146="","New",AN146))</f>
        <v/>
      </c>
      <c r="AZ146" s="21">
        <f>IF(IFERROR(TRIM(INDEX($A146:$AL146,MATCH(Lists!$F$2,$A$1:$AL$1,0))&amp;""),"")="","",IF(OR(IFERROR(TRIM(INDEX($A146:$AL146,MATCH(Lists!$F$13,$A$1:$AL$1,0))&amp;""),"")="Paid",IFERROR(TRIM(INDEX($A146:$AL146,MATCH(Lists!$F$13,$A$1:$AL$1,0))&amp;""),"")="Partially refunded"),"Paid",IF(AP146="Yes","Paid (by hand)",IFERROR(TRIM(INDEX($A146:$AL146,MATCH(Lists!$F$13,$A$1:$AL$1,0))&amp;""),""))))</f>
        <v/>
      </c>
      <c r="BA146" s="21">
        <f>IF(AND(IFERROR(TRIM(INDEX($A146:$AL146,MATCH(Lists!$F$2,$A$1:$AL$1,0))&amp;""),"")&lt;&gt;"",AT146&gt;0,AU146&gt;=0,AV146&gt;AU146,AY146&lt;&gt;"Declined"),1,0)</f>
        <v/>
      </c>
      <c r="BB146" s="21">
        <f>IF(BA146=1,COUNTIFS($AS$2:$AS$501,AS146,$AT$2:$AT$501,AT146,$AU$2:$AU$501,"&lt;"&amp;AV146,$AV$2:$AV$501,"&gt;"&amp;AU146,$BA$2:$BA$501,1)-1,"")</f>
        <v/>
      </c>
      <c r="BC146" s="21">
        <f>IF(N(BB146)&gt;0,"Clashes with "&amp;INDEX($AW$2:$AW$501,SUMPRODUCT(MAX(($AS$2:$AS$501=AS146)*($AT$2:$AT$501=AT146)*($AU$2:$AU$501&lt;AV146)*($AV$2:$AV$501&gt;AU146)*($BA$2:$BA$501=1)*(ROW($AS$2:$AS$501)&lt;&gt;ROW())*ROW($AS$2:$AS$501)))-1)&amp;" ("&amp;INDEX($AY$2:$AY$501,SUMPRODUCT(MAX(($AS$2:$AS$501=AS146)*($AT$2:$AT$501=AT146)*($AU$2:$AU$501&lt;AV146)*($AV$2:$AV$501&gt;AU146)*($BA$2:$BA$501=1)*(ROW($AS$2:$AS$501)&lt;&gt;ROW())*ROW($AS$2:$AS$501)))-1)&amp;")"&amp;IF(BB146&gt;1," and "&amp;(BB146-1)&amp;" more",""),"")</f>
        <v/>
      </c>
      <c r="BD146" s="21">
        <f>IF(AND(BA146=1,AY146="Confirmed"),AT146*10000000+AU146*1000+ROW(),"")</f>
        <v/>
      </c>
      <c r="BE146" s="21">
        <f>IF(IFERROR(TRIM(INDEX($A146:$AL146,MATCH(Lists!$F$2,$A$1:$AL$1,0))&amp;""),"")="","",IFERROR(TRIM(INDEX($A146:$AL146,MATCH(Lists!$F$11,$A$1:$AL$1,0))&amp;""),""))</f>
        <v/>
      </c>
      <c r="BF146" s="21">
        <f>IF(IFERROR(TRIM(INDEX($A146:$AL146,MATCH(Lists!$F$2,$A$1:$AL$1,0))&amp;""),"")="","",IFERROR(TRIM(INDEX($A146:$AL146,MATCH(Lists!$F$12,$A$1:$AL$1,0))&amp;""),""))</f>
        <v/>
      </c>
    </row>
    <row r="147">
      <c r="AM147" s="19" t="n"/>
      <c r="AN147" s="23" t="n"/>
      <c r="AO147" s="23" t="n"/>
      <c r="AP147" s="23" t="n"/>
      <c r="AQ147" s="23" t="n"/>
      <c r="AR147" s="19" t="n"/>
      <c r="AS147" s="21">
        <f>IF(IFERROR(TRIM(INDEX($A147:$AL147,MATCH(Lists!$F$2,$A$1:$AL$1,0))&amp;""),"")="","",IF(AND(IFERROR(TRIM(INDEX($A147:$AL147,MATCH(Lists!$F$3,$A$1:$AL$1,0))&amp;""),"")="Other",IFERROR(TRIM(INDEX($A147:$AL147,MATCH(Lists!$F$4,$A$1:$AL$1,0))&amp;""),"")&lt;&gt;""),IFERROR(TRIM(INDEX($A147:$AL147,MATCH(Lists!$F$4,$A$1:$AL$1,0))&amp;""),""),IF(IFERROR(TRIM(INDEX($A147:$AL147,MATCH(Lists!$F$3,$A$1:$AL$1,0))&amp;""),"")="","(no space)",IFERROR(TRIM(INDEX($A147:$AL147,MATCH(Lists!$F$3,$A$1:$AL$1,0))&amp;""),""))))</f>
        <v/>
      </c>
      <c r="AT147" s="22">
        <f>IF(IFERROR(TRIM(INDEX($A147:$AL147,MATCH(Lists!$F$2,$A$1:$AL$1,0))&amp;""),"")="",0,N(IFERROR(IF(TRIM(INDEX($A147:$AL147,MATCH(Lists!$F$5,$A$1:$AL$1,0))&amp;"")="","",IF(ISNUMBER(INDEX($A147:$AL147,MATCH(Lists!$F$5,$A$1:$AL$1,0))),INT(INDEX($A147:$AL147,MATCH(Lists!$F$5,$A$1:$AL$1,0))),DATE(VALUE(LEFT(INDEX($A147:$AL147,MATCH(Lists!$F$5,$A$1:$AL$1,0)),4)),VALUE(MID(INDEX($A147:$AL147,MATCH(Lists!$F$5,$A$1:$AL$1,0)),6,2)),VALUE(MID(INDEX($A147:$AL147,MATCH(Lists!$F$5,$A$1:$AL$1,0)),9,2))))),"")))</f>
        <v/>
      </c>
      <c r="AU147" s="21">
        <f>IF(IFERROR(TRIM(INDEX($A147:$AL147,MATCH(Lists!$F$2,$A$1:$AL$1,0))&amp;""),"")="",-1,IF(ISNUMBER(IFERROR(IF(TRIM(INDEX($A147:$AL147,MATCH(Lists!$F$6,$A$1:$AL$1,0))&amp;"")="","",IF(ISNUMBER(INDEX($A147:$AL147,MATCH(Lists!$F$6,$A$1:$AL$1,0))),ROUND(MOD(INDEX($A147:$AL147,MATCH(Lists!$F$6,$A$1:$AL$1,0)),1)*1440,0),VALUE(LEFT(INDEX($A147:$AL147,MATCH(Lists!$F$6,$A$1:$AL$1,0)),2))*60+VALUE(MID(INDEX($A147:$AL147,MATCH(Lists!$F$6,$A$1:$AL$1,0)),4,2)))),"")),IFERROR(IF(TRIM(INDEX($A147:$AL147,MATCH(Lists!$F$6,$A$1:$AL$1,0))&amp;"")="","",IF(ISNUMBER(INDEX($A147:$AL147,MATCH(Lists!$F$6,$A$1:$AL$1,0))),ROUND(MOD(INDEX($A147:$AL147,MATCH(Lists!$F$6,$A$1:$AL$1,0)),1)*1440,0),VALUE(LEFT(INDEX($A147:$AL147,MATCH(Lists!$F$6,$A$1:$AL$1,0)),2))*60+VALUE(MID(INDEX($A147:$AL147,MATCH(Lists!$F$6,$A$1:$AL$1,0)),4,2)))),""),-1))</f>
        <v/>
      </c>
      <c r="AV147" s="21">
        <f>IF(IFERROR(TRIM(INDEX($A147:$AL147,MATCH(Lists!$F$2,$A$1:$AL$1,0))&amp;""),"")="",-1,IF(ISNUMBER(IFERROR(IF(TRIM(INDEX($A147:$AL147,MATCH(Lists!$F$7,$A$1:$AL$1,0))&amp;"")="","",IF(ISNUMBER(INDEX($A147:$AL147,MATCH(Lists!$F$7,$A$1:$AL$1,0))),ROUND(MOD(INDEX($A147:$AL147,MATCH(Lists!$F$7,$A$1:$AL$1,0)),1)*1440,0),VALUE(LEFT(INDEX($A147:$AL147,MATCH(Lists!$F$7,$A$1:$AL$1,0)),2))*60+VALUE(MID(INDEX($A147:$AL147,MATCH(Lists!$F$7,$A$1:$AL$1,0)),4,2)))),"")),IFERROR(IF(TRIM(INDEX($A147:$AL147,MATCH(Lists!$F$7,$A$1:$AL$1,0))&amp;"")="","",IF(ISNUMBER(INDEX($A147:$AL147,MATCH(Lists!$F$7,$A$1:$AL$1,0))),ROUND(MOD(INDEX($A147:$AL147,MATCH(Lists!$F$7,$A$1:$AL$1,0)),1)*1440,0),VALUE(LEFT(INDEX($A147:$AL147,MATCH(Lists!$F$7,$A$1:$AL$1,0)),2))*60+VALUE(MID(INDEX($A147:$AL147,MATCH(Lists!$F$7,$A$1:$AL$1,0)),4,2)))),""),-1))</f>
        <v/>
      </c>
      <c r="AW147" s="21">
        <f>IF(IFERROR(TRIM(INDEX($A147:$AL147,MATCH(Lists!$F$2,$A$1:$AL$1,0))&amp;""),"")="","",IF(IFERROR(TRIM(INDEX($A147:$AL147,MATCH(Lists!$F$8,$A$1:$AL$1,0))&amp;""),"")&lt;&gt;"",IFERROR(TRIM(INDEX($A147:$AL147,MATCH(Lists!$F$8,$A$1:$AL$1,0))&amp;""),""),IFERROR(TRIM(INDEX($A147:$AL147,MATCH(Lists!$F$9,$A$1:$AL$1,0))&amp;""),"")))</f>
        <v/>
      </c>
      <c r="AX147" s="21">
        <f>IFERROR(IF(TRIM(INDEX($A147:$AL147,MATCH(Lists!$F$10,$A$1:$AL$1,0))&amp;"")="","",VALUE(TRIM(INDEX($A147:$AL147,MATCH(Lists!$F$10,$A$1:$AL$1,0))&amp;""))),"")</f>
        <v/>
      </c>
      <c r="AY147" s="21">
        <f>IF(IFERROR(TRIM(INDEX($A147:$AL147,MATCH(Lists!$F$2,$A$1:$AL$1,0))&amp;""),"")="","",IF(AN147="","New",AN147))</f>
        <v/>
      </c>
      <c r="AZ147" s="21">
        <f>IF(IFERROR(TRIM(INDEX($A147:$AL147,MATCH(Lists!$F$2,$A$1:$AL$1,0))&amp;""),"")="","",IF(OR(IFERROR(TRIM(INDEX($A147:$AL147,MATCH(Lists!$F$13,$A$1:$AL$1,0))&amp;""),"")="Paid",IFERROR(TRIM(INDEX($A147:$AL147,MATCH(Lists!$F$13,$A$1:$AL$1,0))&amp;""),"")="Partially refunded"),"Paid",IF(AP147="Yes","Paid (by hand)",IFERROR(TRIM(INDEX($A147:$AL147,MATCH(Lists!$F$13,$A$1:$AL$1,0))&amp;""),""))))</f>
        <v/>
      </c>
      <c r="BA147" s="21">
        <f>IF(AND(IFERROR(TRIM(INDEX($A147:$AL147,MATCH(Lists!$F$2,$A$1:$AL$1,0))&amp;""),"")&lt;&gt;"",AT147&gt;0,AU147&gt;=0,AV147&gt;AU147,AY147&lt;&gt;"Declined"),1,0)</f>
        <v/>
      </c>
      <c r="BB147" s="21">
        <f>IF(BA147=1,COUNTIFS($AS$2:$AS$501,AS147,$AT$2:$AT$501,AT147,$AU$2:$AU$501,"&lt;"&amp;AV147,$AV$2:$AV$501,"&gt;"&amp;AU147,$BA$2:$BA$501,1)-1,"")</f>
        <v/>
      </c>
      <c r="BC147" s="21">
        <f>IF(N(BB147)&gt;0,"Clashes with "&amp;INDEX($AW$2:$AW$501,SUMPRODUCT(MAX(($AS$2:$AS$501=AS147)*($AT$2:$AT$501=AT147)*($AU$2:$AU$501&lt;AV147)*($AV$2:$AV$501&gt;AU147)*($BA$2:$BA$501=1)*(ROW($AS$2:$AS$501)&lt;&gt;ROW())*ROW($AS$2:$AS$501)))-1)&amp;" ("&amp;INDEX($AY$2:$AY$501,SUMPRODUCT(MAX(($AS$2:$AS$501=AS147)*($AT$2:$AT$501=AT147)*($AU$2:$AU$501&lt;AV147)*($AV$2:$AV$501&gt;AU147)*($BA$2:$BA$501=1)*(ROW($AS$2:$AS$501)&lt;&gt;ROW())*ROW($AS$2:$AS$501)))-1)&amp;")"&amp;IF(BB147&gt;1," and "&amp;(BB147-1)&amp;" more",""),"")</f>
        <v/>
      </c>
      <c r="BD147" s="21">
        <f>IF(AND(BA147=1,AY147="Confirmed"),AT147*10000000+AU147*1000+ROW(),"")</f>
        <v/>
      </c>
      <c r="BE147" s="21">
        <f>IF(IFERROR(TRIM(INDEX($A147:$AL147,MATCH(Lists!$F$2,$A$1:$AL$1,0))&amp;""),"")="","",IFERROR(TRIM(INDEX($A147:$AL147,MATCH(Lists!$F$11,$A$1:$AL$1,0))&amp;""),""))</f>
        <v/>
      </c>
      <c r="BF147" s="21">
        <f>IF(IFERROR(TRIM(INDEX($A147:$AL147,MATCH(Lists!$F$2,$A$1:$AL$1,0))&amp;""),"")="","",IFERROR(TRIM(INDEX($A147:$AL147,MATCH(Lists!$F$12,$A$1:$AL$1,0))&amp;""),""))</f>
        <v/>
      </c>
    </row>
    <row r="148">
      <c r="AM148" s="19" t="n"/>
      <c r="AN148" s="23" t="n"/>
      <c r="AO148" s="23" t="n"/>
      <c r="AP148" s="23" t="n"/>
      <c r="AQ148" s="23" t="n"/>
      <c r="AR148" s="19" t="n"/>
      <c r="AS148" s="21">
        <f>IF(IFERROR(TRIM(INDEX($A148:$AL148,MATCH(Lists!$F$2,$A$1:$AL$1,0))&amp;""),"")="","",IF(AND(IFERROR(TRIM(INDEX($A148:$AL148,MATCH(Lists!$F$3,$A$1:$AL$1,0))&amp;""),"")="Other",IFERROR(TRIM(INDEX($A148:$AL148,MATCH(Lists!$F$4,$A$1:$AL$1,0))&amp;""),"")&lt;&gt;""),IFERROR(TRIM(INDEX($A148:$AL148,MATCH(Lists!$F$4,$A$1:$AL$1,0))&amp;""),""),IF(IFERROR(TRIM(INDEX($A148:$AL148,MATCH(Lists!$F$3,$A$1:$AL$1,0))&amp;""),"")="","(no space)",IFERROR(TRIM(INDEX($A148:$AL148,MATCH(Lists!$F$3,$A$1:$AL$1,0))&amp;""),""))))</f>
        <v/>
      </c>
      <c r="AT148" s="22">
        <f>IF(IFERROR(TRIM(INDEX($A148:$AL148,MATCH(Lists!$F$2,$A$1:$AL$1,0))&amp;""),"")="",0,N(IFERROR(IF(TRIM(INDEX($A148:$AL148,MATCH(Lists!$F$5,$A$1:$AL$1,0))&amp;"")="","",IF(ISNUMBER(INDEX($A148:$AL148,MATCH(Lists!$F$5,$A$1:$AL$1,0))),INT(INDEX($A148:$AL148,MATCH(Lists!$F$5,$A$1:$AL$1,0))),DATE(VALUE(LEFT(INDEX($A148:$AL148,MATCH(Lists!$F$5,$A$1:$AL$1,0)),4)),VALUE(MID(INDEX($A148:$AL148,MATCH(Lists!$F$5,$A$1:$AL$1,0)),6,2)),VALUE(MID(INDEX($A148:$AL148,MATCH(Lists!$F$5,$A$1:$AL$1,0)),9,2))))),"")))</f>
        <v/>
      </c>
      <c r="AU148" s="21">
        <f>IF(IFERROR(TRIM(INDEX($A148:$AL148,MATCH(Lists!$F$2,$A$1:$AL$1,0))&amp;""),"")="",-1,IF(ISNUMBER(IFERROR(IF(TRIM(INDEX($A148:$AL148,MATCH(Lists!$F$6,$A$1:$AL$1,0))&amp;"")="","",IF(ISNUMBER(INDEX($A148:$AL148,MATCH(Lists!$F$6,$A$1:$AL$1,0))),ROUND(MOD(INDEX($A148:$AL148,MATCH(Lists!$F$6,$A$1:$AL$1,0)),1)*1440,0),VALUE(LEFT(INDEX($A148:$AL148,MATCH(Lists!$F$6,$A$1:$AL$1,0)),2))*60+VALUE(MID(INDEX($A148:$AL148,MATCH(Lists!$F$6,$A$1:$AL$1,0)),4,2)))),"")),IFERROR(IF(TRIM(INDEX($A148:$AL148,MATCH(Lists!$F$6,$A$1:$AL$1,0))&amp;"")="","",IF(ISNUMBER(INDEX($A148:$AL148,MATCH(Lists!$F$6,$A$1:$AL$1,0))),ROUND(MOD(INDEX($A148:$AL148,MATCH(Lists!$F$6,$A$1:$AL$1,0)),1)*1440,0),VALUE(LEFT(INDEX($A148:$AL148,MATCH(Lists!$F$6,$A$1:$AL$1,0)),2))*60+VALUE(MID(INDEX($A148:$AL148,MATCH(Lists!$F$6,$A$1:$AL$1,0)),4,2)))),""),-1))</f>
        <v/>
      </c>
      <c r="AV148" s="21">
        <f>IF(IFERROR(TRIM(INDEX($A148:$AL148,MATCH(Lists!$F$2,$A$1:$AL$1,0))&amp;""),"")="",-1,IF(ISNUMBER(IFERROR(IF(TRIM(INDEX($A148:$AL148,MATCH(Lists!$F$7,$A$1:$AL$1,0))&amp;"")="","",IF(ISNUMBER(INDEX($A148:$AL148,MATCH(Lists!$F$7,$A$1:$AL$1,0))),ROUND(MOD(INDEX($A148:$AL148,MATCH(Lists!$F$7,$A$1:$AL$1,0)),1)*1440,0),VALUE(LEFT(INDEX($A148:$AL148,MATCH(Lists!$F$7,$A$1:$AL$1,0)),2))*60+VALUE(MID(INDEX($A148:$AL148,MATCH(Lists!$F$7,$A$1:$AL$1,0)),4,2)))),"")),IFERROR(IF(TRIM(INDEX($A148:$AL148,MATCH(Lists!$F$7,$A$1:$AL$1,0))&amp;"")="","",IF(ISNUMBER(INDEX($A148:$AL148,MATCH(Lists!$F$7,$A$1:$AL$1,0))),ROUND(MOD(INDEX($A148:$AL148,MATCH(Lists!$F$7,$A$1:$AL$1,0)),1)*1440,0),VALUE(LEFT(INDEX($A148:$AL148,MATCH(Lists!$F$7,$A$1:$AL$1,0)),2))*60+VALUE(MID(INDEX($A148:$AL148,MATCH(Lists!$F$7,$A$1:$AL$1,0)),4,2)))),""),-1))</f>
        <v/>
      </c>
      <c r="AW148" s="21">
        <f>IF(IFERROR(TRIM(INDEX($A148:$AL148,MATCH(Lists!$F$2,$A$1:$AL$1,0))&amp;""),"")="","",IF(IFERROR(TRIM(INDEX($A148:$AL148,MATCH(Lists!$F$8,$A$1:$AL$1,0))&amp;""),"")&lt;&gt;"",IFERROR(TRIM(INDEX($A148:$AL148,MATCH(Lists!$F$8,$A$1:$AL$1,0))&amp;""),""),IFERROR(TRIM(INDEX($A148:$AL148,MATCH(Lists!$F$9,$A$1:$AL$1,0))&amp;""),"")))</f>
        <v/>
      </c>
      <c r="AX148" s="21">
        <f>IFERROR(IF(TRIM(INDEX($A148:$AL148,MATCH(Lists!$F$10,$A$1:$AL$1,0))&amp;"")="","",VALUE(TRIM(INDEX($A148:$AL148,MATCH(Lists!$F$10,$A$1:$AL$1,0))&amp;""))),"")</f>
        <v/>
      </c>
      <c r="AY148" s="21">
        <f>IF(IFERROR(TRIM(INDEX($A148:$AL148,MATCH(Lists!$F$2,$A$1:$AL$1,0))&amp;""),"")="","",IF(AN148="","New",AN148))</f>
        <v/>
      </c>
      <c r="AZ148" s="21">
        <f>IF(IFERROR(TRIM(INDEX($A148:$AL148,MATCH(Lists!$F$2,$A$1:$AL$1,0))&amp;""),"")="","",IF(OR(IFERROR(TRIM(INDEX($A148:$AL148,MATCH(Lists!$F$13,$A$1:$AL$1,0))&amp;""),"")="Paid",IFERROR(TRIM(INDEX($A148:$AL148,MATCH(Lists!$F$13,$A$1:$AL$1,0))&amp;""),"")="Partially refunded"),"Paid",IF(AP148="Yes","Paid (by hand)",IFERROR(TRIM(INDEX($A148:$AL148,MATCH(Lists!$F$13,$A$1:$AL$1,0))&amp;""),""))))</f>
        <v/>
      </c>
      <c r="BA148" s="21">
        <f>IF(AND(IFERROR(TRIM(INDEX($A148:$AL148,MATCH(Lists!$F$2,$A$1:$AL$1,0))&amp;""),"")&lt;&gt;"",AT148&gt;0,AU148&gt;=0,AV148&gt;AU148,AY148&lt;&gt;"Declined"),1,0)</f>
        <v/>
      </c>
      <c r="BB148" s="21">
        <f>IF(BA148=1,COUNTIFS($AS$2:$AS$501,AS148,$AT$2:$AT$501,AT148,$AU$2:$AU$501,"&lt;"&amp;AV148,$AV$2:$AV$501,"&gt;"&amp;AU148,$BA$2:$BA$501,1)-1,"")</f>
        <v/>
      </c>
      <c r="BC148" s="21">
        <f>IF(N(BB148)&gt;0,"Clashes with "&amp;INDEX($AW$2:$AW$501,SUMPRODUCT(MAX(($AS$2:$AS$501=AS148)*($AT$2:$AT$501=AT148)*($AU$2:$AU$501&lt;AV148)*($AV$2:$AV$501&gt;AU148)*($BA$2:$BA$501=1)*(ROW($AS$2:$AS$501)&lt;&gt;ROW())*ROW($AS$2:$AS$501)))-1)&amp;" ("&amp;INDEX($AY$2:$AY$501,SUMPRODUCT(MAX(($AS$2:$AS$501=AS148)*($AT$2:$AT$501=AT148)*($AU$2:$AU$501&lt;AV148)*($AV$2:$AV$501&gt;AU148)*($BA$2:$BA$501=1)*(ROW($AS$2:$AS$501)&lt;&gt;ROW())*ROW($AS$2:$AS$501)))-1)&amp;")"&amp;IF(BB148&gt;1," and "&amp;(BB148-1)&amp;" more",""),"")</f>
        <v/>
      </c>
      <c r="BD148" s="21">
        <f>IF(AND(BA148=1,AY148="Confirmed"),AT148*10000000+AU148*1000+ROW(),"")</f>
        <v/>
      </c>
      <c r="BE148" s="21">
        <f>IF(IFERROR(TRIM(INDEX($A148:$AL148,MATCH(Lists!$F$2,$A$1:$AL$1,0))&amp;""),"")="","",IFERROR(TRIM(INDEX($A148:$AL148,MATCH(Lists!$F$11,$A$1:$AL$1,0))&amp;""),""))</f>
        <v/>
      </c>
      <c r="BF148" s="21">
        <f>IF(IFERROR(TRIM(INDEX($A148:$AL148,MATCH(Lists!$F$2,$A$1:$AL$1,0))&amp;""),"")="","",IFERROR(TRIM(INDEX($A148:$AL148,MATCH(Lists!$F$12,$A$1:$AL$1,0))&amp;""),""))</f>
        <v/>
      </c>
    </row>
    <row r="149">
      <c r="AM149" s="19" t="n"/>
      <c r="AN149" s="23" t="n"/>
      <c r="AO149" s="23" t="n"/>
      <c r="AP149" s="23" t="n"/>
      <c r="AQ149" s="23" t="n"/>
      <c r="AR149" s="19" t="n"/>
      <c r="AS149" s="21">
        <f>IF(IFERROR(TRIM(INDEX($A149:$AL149,MATCH(Lists!$F$2,$A$1:$AL$1,0))&amp;""),"")="","",IF(AND(IFERROR(TRIM(INDEX($A149:$AL149,MATCH(Lists!$F$3,$A$1:$AL$1,0))&amp;""),"")="Other",IFERROR(TRIM(INDEX($A149:$AL149,MATCH(Lists!$F$4,$A$1:$AL$1,0))&amp;""),"")&lt;&gt;""),IFERROR(TRIM(INDEX($A149:$AL149,MATCH(Lists!$F$4,$A$1:$AL$1,0))&amp;""),""),IF(IFERROR(TRIM(INDEX($A149:$AL149,MATCH(Lists!$F$3,$A$1:$AL$1,0))&amp;""),"")="","(no space)",IFERROR(TRIM(INDEX($A149:$AL149,MATCH(Lists!$F$3,$A$1:$AL$1,0))&amp;""),""))))</f>
        <v/>
      </c>
      <c r="AT149" s="22">
        <f>IF(IFERROR(TRIM(INDEX($A149:$AL149,MATCH(Lists!$F$2,$A$1:$AL$1,0))&amp;""),"")="",0,N(IFERROR(IF(TRIM(INDEX($A149:$AL149,MATCH(Lists!$F$5,$A$1:$AL$1,0))&amp;"")="","",IF(ISNUMBER(INDEX($A149:$AL149,MATCH(Lists!$F$5,$A$1:$AL$1,0))),INT(INDEX($A149:$AL149,MATCH(Lists!$F$5,$A$1:$AL$1,0))),DATE(VALUE(LEFT(INDEX($A149:$AL149,MATCH(Lists!$F$5,$A$1:$AL$1,0)),4)),VALUE(MID(INDEX($A149:$AL149,MATCH(Lists!$F$5,$A$1:$AL$1,0)),6,2)),VALUE(MID(INDEX($A149:$AL149,MATCH(Lists!$F$5,$A$1:$AL$1,0)),9,2))))),"")))</f>
        <v/>
      </c>
      <c r="AU149" s="21">
        <f>IF(IFERROR(TRIM(INDEX($A149:$AL149,MATCH(Lists!$F$2,$A$1:$AL$1,0))&amp;""),"")="",-1,IF(ISNUMBER(IFERROR(IF(TRIM(INDEX($A149:$AL149,MATCH(Lists!$F$6,$A$1:$AL$1,0))&amp;"")="","",IF(ISNUMBER(INDEX($A149:$AL149,MATCH(Lists!$F$6,$A$1:$AL$1,0))),ROUND(MOD(INDEX($A149:$AL149,MATCH(Lists!$F$6,$A$1:$AL$1,0)),1)*1440,0),VALUE(LEFT(INDEX($A149:$AL149,MATCH(Lists!$F$6,$A$1:$AL$1,0)),2))*60+VALUE(MID(INDEX($A149:$AL149,MATCH(Lists!$F$6,$A$1:$AL$1,0)),4,2)))),"")),IFERROR(IF(TRIM(INDEX($A149:$AL149,MATCH(Lists!$F$6,$A$1:$AL$1,0))&amp;"")="","",IF(ISNUMBER(INDEX($A149:$AL149,MATCH(Lists!$F$6,$A$1:$AL$1,0))),ROUND(MOD(INDEX($A149:$AL149,MATCH(Lists!$F$6,$A$1:$AL$1,0)),1)*1440,0),VALUE(LEFT(INDEX($A149:$AL149,MATCH(Lists!$F$6,$A$1:$AL$1,0)),2))*60+VALUE(MID(INDEX($A149:$AL149,MATCH(Lists!$F$6,$A$1:$AL$1,0)),4,2)))),""),-1))</f>
        <v/>
      </c>
      <c r="AV149" s="21">
        <f>IF(IFERROR(TRIM(INDEX($A149:$AL149,MATCH(Lists!$F$2,$A$1:$AL$1,0))&amp;""),"")="",-1,IF(ISNUMBER(IFERROR(IF(TRIM(INDEX($A149:$AL149,MATCH(Lists!$F$7,$A$1:$AL$1,0))&amp;"")="","",IF(ISNUMBER(INDEX($A149:$AL149,MATCH(Lists!$F$7,$A$1:$AL$1,0))),ROUND(MOD(INDEX($A149:$AL149,MATCH(Lists!$F$7,$A$1:$AL$1,0)),1)*1440,0),VALUE(LEFT(INDEX($A149:$AL149,MATCH(Lists!$F$7,$A$1:$AL$1,0)),2))*60+VALUE(MID(INDEX($A149:$AL149,MATCH(Lists!$F$7,$A$1:$AL$1,0)),4,2)))),"")),IFERROR(IF(TRIM(INDEX($A149:$AL149,MATCH(Lists!$F$7,$A$1:$AL$1,0))&amp;"")="","",IF(ISNUMBER(INDEX($A149:$AL149,MATCH(Lists!$F$7,$A$1:$AL$1,0))),ROUND(MOD(INDEX($A149:$AL149,MATCH(Lists!$F$7,$A$1:$AL$1,0)),1)*1440,0),VALUE(LEFT(INDEX($A149:$AL149,MATCH(Lists!$F$7,$A$1:$AL$1,0)),2))*60+VALUE(MID(INDEX($A149:$AL149,MATCH(Lists!$F$7,$A$1:$AL$1,0)),4,2)))),""),-1))</f>
        <v/>
      </c>
      <c r="AW149" s="21">
        <f>IF(IFERROR(TRIM(INDEX($A149:$AL149,MATCH(Lists!$F$2,$A$1:$AL$1,0))&amp;""),"")="","",IF(IFERROR(TRIM(INDEX($A149:$AL149,MATCH(Lists!$F$8,$A$1:$AL$1,0))&amp;""),"")&lt;&gt;"",IFERROR(TRIM(INDEX($A149:$AL149,MATCH(Lists!$F$8,$A$1:$AL$1,0))&amp;""),""),IFERROR(TRIM(INDEX($A149:$AL149,MATCH(Lists!$F$9,$A$1:$AL$1,0))&amp;""),"")))</f>
        <v/>
      </c>
      <c r="AX149" s="21">
        <f>IFERROR(IF(TRIM(INDEX($A149:$AL149,MATCH(Lists!$F$10,$A$1:$AL$1,0))&amp;"")="","",VALUE(TRIM(INDEX($A149:$AL149,MATCH(Lists!$F$10,$A$1:$AL$1,0))&amp;""))),"")</f>
        <v/>
      </c>
      <c r="AY149" s="21">
        <f>IF(IFERROR(TRIM(INDEX($A149:$AL149,MATCH(Lists!$F$2,$A$1:$AL$1,0))&amp;""),"")="","",IF(AN149="","New",AN149))</f>
        <v/>
      </c>
      <c r="AZ149" s="21">
        <f>IF(IFERROR(TRIM(INDEX($A149:$AL149,MATCH(Lists!$F$2,$A$1:$AL$1,0))&amp;""),"")="","",IF(OR(IFERROR(TRIM(INDEX($A149:$AL149,MATCH(Lists!$F$13,$A$1:$AL$1,0))&amp;""),"")="Paid",IFERROR(TRIM(INDEX($A149:$AL149,MATCH(Lists!$F$13,$A$1:$AL$1,0))&amp;""),"")="Partially refunded"),"Paid",IF(AP149="Yes","Paid (by hand)",IFERROR(TRIM(INDEX($A149:$AL149,MATCH(Lists!$F$13,$A$1:$AL$1,0))&amp;""),""))))</f>
        <v/>
      </c>
      <c r="BA149" s="21">
        <f>IF(AND(IFERROR(TRIM(INDEX($A149:$AL149,MATCH(Lists!$F$2,$A$1:$AL$1,0))&amp;""),"")&lt;&gt;"",AT149&gt;0,AU149&gt;=0,AV149&gt;AU149,AY149&lt;&gt;"Declined"),1,0)</f>
        <v/>
      </c>
      <c r="BB149" s="21">
        <f>IF(BA149=1,COUNTIFS($AS$2:$AS$501,AS149,$AT$2:$AT$501,AT149,$AU$2:$AU$501,"&lt;"&amp;AV149,$AV$2:$AV$501,"&gt;"&amp;AU149,$BA$2:$BA$501,1)-1,"")</f>
        <v/>
      </c>
      <c r="BC149" s="21">
        <f>IF(N(BB149)&gt;0,"Clashes with "&amp;INDEX($AW$2:$AW$501,SUMPRODUCT(MAX(($AS$2:$AS$501=AS149)*($AT$2:$AT$501=AT149)*($AU$2:$AU$501&lt;AV149)*($AV$2:$AV$501&gt;AU149)*($BA$2:$BA$501=1)*(ROW($AS$2:$AS$501)&lt;&gt;ROW())*ROW($AS$2:$AS$501)))-1)&amp;" ("&amp;INDEX($AY$2:$AY$501,SUMPRODUCT(MAX(($AS$2:$AS$501=AS149)*($AT$2:$AT$501=AT149)*($AU$2:$AU$501&lt;AV149)*($AV$2:$AV$501&gt;AU149)*($BA$2:$BA$501=1)*(ROW($AS$2:$AS$501)&lt;&gt;ROW())*ROW($AS$2:$AS$501)))-1)&amp;")"&amp;IF(BB149&gt;1," and "&amp;(BB149-1)&amp;" more",""),"")</f>
        <v/>
      </c>
      <c r="BD149" s="21">
        <f>IF(AND(BA149=1,AY149="Confirmed"),AT149*10000000+AU149*1000+ROW(),"")</f>
        <v/>
      </c>
      <c r="BE149" s="21">
        <f>IF(IFERROR(TRIM(INDEX($A149:$AL149,MATCH(Lists!$F$2,$A$1:$AL$1,0))&amp;""),"")="","",IFERROR(TRIM(INDEX($A149:$AL149,MATCH(Lists!$F$11,$A$1:$AL$1,0))&amp;""),""))</f>
        <v/>
      </c>
      <c r="BF149" s="21">
        <f>IF(IFERROR(TRIM(INDEX($A149:$AL149,MATCH(Lists!$F$2,$A$1:$AL$1,0))&amp;""),"")="","",IFERROR(TRIM(INDEX($A149:$AL149,MATCH(Lists!$F$12,$A$1:$AL$1,0))&amp;""),""))</f>
        <v/>
      </c>
    </row>
    <row r="150">
      <c r="AM150" s="19" t="n"/>
      <c r="AN150" s="23" t="n"/>
      <c r="AO150" s="23" t="n"/>
      <c r="AP150" s="23" t="n"/>
      <c r="AQ150" s="23" t="n"/>
      <c r="AR150" s="19" t="n"/>
      <c r="AS150" s="21">
        <f>IF(IFERROR(TRIM(INDEX($A150:$AL150,MATCH(Lists!$F$2,$A$1:$AL$1,0))&amp;""),"")="","",IF(AND(IFERROR(TRIM(INDEX($A150:$AL150,MATCH(Lists!$F$3,$A$1:$AL$1,0))&amp;""),"")="Other",IFERROR(TRIM(INDEX($A150:$AL150,MATCH(Lists!$F$4,$A$1:$AL$1,0))&amp;""),"")&lt;&gt;""),IFERROR(TRIM(INDEX($A150:$AL150,MATCH(Lists!$F$4,$A$1:$AL$1,0))&amp;""),""),IF(IFERROR(TRIM(INDEX($A150:$AL150,MATCH(Lists!$F$3,$A$1:$AL$1,0))&amp;""),"")="","(no space)",IFERROR(TRIM(INDEX($A150:$AL150,MATCH(Lists!$F$3,$A$1:$AL$1,0))&amp;""),""))))</f>
        <v/>
      </c>
      <c r="AT150" s="22">
        <f>IF(IFERROR(TRIM(INDEX($A150:$AL150,MATCH(Lists!$F$2,$A$1:$AL$1,0))&amp;""),"")="",0,N(IFERROR(IF(TRIM(INDEX($A150:$AL150,MATCH(Lists!$F$5,$A$1:$AL$1,0))&amp;"")="","",IF(ISNUMBER(INDEX($A150:$AL150,MATCH(Lists!$F$5,$A$1:$AL$1,0))),INT(INDEX($A150:$AL150,MATCH(Lists!$F$5,$A$1:$AL$1,0))),DATE(VALUE(LEFT(INDEX($A150:$AL150,MATCH(Lists!$F$5,$A$1:$AL$1,0)),4)),VALUE(MID(INDEX($A150:$AL150,MATCH(Lists!$F$5,$A$1:$AL$1,0)),6,2)),VALUE(MID(INDEX($A150:$AL150,MATCH(Lists!$F$5,$A$1:$AL$1,0)),9,2))))),"")))</f>
        <v/>
      </c>
      <c r="AU150" s="21">
        <f>IF(IFERROR(TRIM(INDEX($A150:$AL150,MATCH(Lists!$F$2,$A$1:$AL$1,0))&amp;""),"")="",-1,IF(ISNUMBER(IFERROR(IF(TRIM(INDEX($A150:$AL150,MATCH(Lists!$F$6,$A$1:$AL$1,0))&amp;"")="","",IF(ISNUMBER(INDEX($A150:$AL150,MATCH(Lists!$F$6,$A$1:$AL$1,0))),ROUND(MOD(INDEX($A150:$AL150,MATCH(Lists!$F$6,$A$1:$AL$1,0)),1)*1440,0),VALUE(LEFT(INDEX($A150:$AL150,MATCH(Lists!$F$6,$A$1:$AL$1,0)),2))*60+VALUE(MID(INDEX($A150:$AL150,MATCH(Lists!$F$6,$A$1:$AL$1,0)),4,2)))),"")),IFERROR(IF(TRIM(INDEX($A150:$AL150,MATCH(Lists!$F$6,$A$1:$AL$1,0))&amp;"")="","",IF(ISNUMBER(INDEX($A150:$AL150,MATCH(Lists!$F$6,$A$1:$AL$1,0))),ROUND(MOD(INDEX($A150:$AL150,MATCH(Lists!$F$6,$A$1:$AL$1,0)),1)*1440,0),VALUE(LEFT(INDEX($A150:$AL150,MATCH(Lists!$F$6,$A$1:$AL$1,0)),2))*60+VALUE(MID(INDEX($A150:$AL150,MATCH(Lists!$F$6,$A$1:$AL$1,0)),4,2)))),""),-1))</f>
        <v/>
      </c>
      <c r="AV150" s="21">
        <f>IF(IFERROR(TRIM(INDEX($A150:$AL150,MATCH(Lists!$F$2,$A$1:$AL$1,0))&amp;""),"")="",-1,IF(ISNUMBER(IFERROR(IF(TRIM(INDEX($A150:$AL150,MATCH(Lists!$F$7,$A$1:$AL$1,0))&amp;"")="","",IF(ISNUMBER(INDEX($A150:$AL150,MATCH(Lists!$F$7,$A$1:$AL$1,0))),ROUND(MOD(INDEX($A150:$AL150,MATCH(Lists!$F$7,$A$1:$AL$1,0)),1)*1440,0),VALUE(LEFT(INDEX($A150:$AL150,MATCH(Lists!$F$7,$A$1:$AL$1,0)),2))*60+VALUE(MID(INDEX($A150:$AL150,MATCH(Lists!$F$7,$A$1:$AL$1,0)),4,2)))),"")),IFERROR(IF(TRIM(INDEX($A150:$AL150,MATCH(Lists!$F$7,$A$1:$AL$1,0))&amp;"")="","",IF(ISNUMBER(INDEX($A150:$AL150,MATCH(Lists!$F$7,$A$1:$AL$1,0))),ROUND(MOD(INDEX($A150:$AL150,MATCH(Lists!$F$7,$A$1:$AL$1,0)),1)*1440,0),VALUE(LEFT(INDEX($A150:$AL150,MATCH(Lists!$F$7,$A$1:$AL$1,0)),2))*60+VALUE(MID(INDEX($A150:$AL150,MATCH(Lists!$F$7,$A$1:$AL$1,0)),4,2)))),""),-1))</f>
        <v/>
      </c>
      <c r="AW150" s="21">
        <f>IF(IFERROR(TRIM(INDEX($A150:$AL150,MATCH(Lists!$F$2,$A$1:$AL$1,0))&amp;""),"")="","",IF(IFERROR(TRIM(INDEX($A150:$AL150,MATCH(Lists!$F$8,$A$1:$AL$1,0))&amp;""),"")&lt;&gt;"",IFERROR(TRIM(INDEX($A150:$AL150,MATCH(Lists!$F$8,$A$1:$AL$1,0))&amp;""),""),IFERROR(TRIM(INDEX($A150:$AL150,MATCH(Lists!$F$9,$A$1:$AL$1,0))&amp;""),"")))</f>
        <v/>
      </c>
      <c r="AX150" s="21">
        <f>IFERROR(IF(TRIM(INDEX($A150:$AL150,MATCH(Lists!$F$10,$A$1:$AL$1,0))&amp;"")="","",VALUE(TRIM(INDEX($A150:$AL150,MATCH(Lists!$F$10,$A$1:$AL$1,0))&amp;""))),"")</f>
        <v/>
      </c>
      <c r="AY150" s="21">
        <f>IF(IFERROR(TRIM(INDEX($A150:$AL150,MATCH(Lists!$F$2,$A$1:$AL$1,0))&amp;""),"")="","",IF(AN150="","New",AN150))</f>
        <v/>
      </c>
      <c r="AZ150" s="21">
        <f>IF(IFERROR(TRIM(INDEX($A150:$AL150,MATCH(Lists!$F$2,$A$1:$AL$1,0))&amp;""),"")="","",IF(OR(IFERROR(TRIM(INDEX($A150:$AL150,MATCH(Lists!$F$13,$A$1:$AL$1,0))&amp;""),"")="Paid",IFERROR(TRIM(INDEX($A150:$AL150,MATCH(Lists!$F$13,$A$1:$AL$1,0))&amp;""),"")="Partially refunded"),"Paid",IF(AP150="Yes","Paid (by hand)",IFERROR(TRIM(INDEX($A150:$AL150,MATCH(Lists!$F$13,$A$1:$AL$1,0))&amp;""),""))))</f>
        <v/>
      </c>
      <c r="BA150" s="21">
        <f>IF(AND(IFERROR(TRIM(INDEX($A150:$AL150,MATCH(Lists!$F$2,$A$1:$AL$1,0))&amp;""),"")&lt;&gt;"",AT150&gt;0,AU150&gt;=0,AV150&gt;AU150,AY150&lt;&gt;"Declined"),1,0)</f>
        <v/>
      </c>
      <c r="BB150" s="21">
        <f>IF(BA150=1,COUNTIFS($AS$2:$AS$501,AS150,$AT$2:$AT$501,AT150,$AU$2:$AU$501,"&lt;"&amp;AV150,$AV$2:$AV$501,"&gt;"&amp;AU150,$BA$2:$BA$501,1)-1,"")</f>
        <v/>
      </c>
      <c r="BC150" s="21">
        <f>IF(N(BB150)&gt;0,"Clashes with "&amp;INDEX($AW$2:$AW$501,SUMPRODUCT(MAX(($AS$2:$AS$501=AS150)*($AT$2:$AT$501=AT150)*($AU$2:$AU$501&lt;AV150)*($AV$2:$AV$501&gt;AU150)*($BA$2:$BA$501=1)*(ROW($AS$2:$AS$501)&lt;&gt;ROW())*ROW($AS$2:$AS$501)))-1)&amp;" ("&amp;INDEX($AY$2:$AY$501,SUMPRODUCT(MAX(($AS$2:$AS$501=AS150)*($AT$2:$AT$501=AT150)*($AU$2:$AU$501&lt;AV150)*($AV$2:$AV$501&gt;AU150)*($BA$2:$BA$501=1)*(ROW($AS$2:$AS$501)&lt;&gt;ROW())*ROW($AS$2:$AS$501)))-1)&amp;")"&amp;IF(BB150&gt;1," and "&amp;(BB150-1)&amp;" more",""),"")</f>
        <v/>
      </c>
      <c r="BD150" s="21">
        <f>IF(AND(BA150=1,AY150="Confirmed"),AT150*10000000+AU150*1000+ROW(),"")</f>
        <v/>
      </c>
      <c r="BE150" s="21">
        <f>IF(IFERROR(TRIM(INDEX($A150:$AL150,MATCH(Lists!$F$2,$A$1:$AL$1,0))&amp;""),"")="","",IFERROR(TRIM(INDEX($A150:$AL150,MATCH(Lists!$F$11,$A$1:$AL$1,0))&amp;""),""))</f>
        <v/>
      </c>
      <c r="BF150" s="21">
        <f>IF(IFERROR(TRIM(INDEX($A150:$AL150,MATCH(Lists!$F$2,$A$1:$AL$1,0))&amp;""),"")="","",IFERROR(TRIM(INDEX($A150:$AL150,MATCH(Lists!$F$12,$A$1:$AL$1,0))&amp;""),""))</f>
        <v/>
      </c>
    </row>
    <row r="151">
      <c r="AM151" s="19" t="n"/>
      <c r="AN151" s="23" t="n"/>
      <c r="AO151" s="23" t="n"/>
      <c r="AP151" s="23" t="n"/>
      <c r="AQ151" s="23" t="n"/>
      <c r="AR151" s="19" t="n"/>
      <c r="AS151" s="21">
        <f>IF(IFERROR(TRIM(INDEX($A151:$AL151,MATCH(Lists!$F$2,$A$1:$AL$1,0))&amp;""),"")="","",IF(AND(IFERROR(TRIM(INDEX($A151:$AL151,MATCH(Lists!$F$3,$A$1:$AL$1,0))&amp;""),"")="Other",IFERROR(TRIM(INDEX($A151:$AL151,MATCH(Lists!$F$4,$A$1:$AL$1,0))&amp;""),"")&lt;&gt;""),IFERROR(TRIM(INDEX($A151:$AL151,MATCH(Lists!$F$4,$A$1:$AL$1,0))&amp;""),""),IF(IFERROR(TRIM(INDEX($A151:$AL151,MATCH(Lists!$F$3,$A$1:$AL$1,0))&amp;""),"")="","(no space)",IFERROR(TRIM(INDEX($A151:$AL151,MATCH(Lists!$F$3,$A$1:$AL$1,0))&amp;""),""))))</f>
        <v/>
      </c>
      <c r="AT151" s="22">
        <f>IF(IFERROR(TRIM(INDEX($A151:$AL151,MATCH(Lists!$F$2,$A$1:$AL$1,0))&amp;""),"")="",0,N(IFERROR(IF(TRIM(INDEX($A151:$AL151,MATCH(Lists!$F$5,$A$1:$AL$1,0))&amp;"")="","",IF(ISNUMBER(INDEX($A151:$AL151,MATCH(Lists!$F$5,$A$1:$AL$1,0))),INT(INDEX($A151:$AL151,MATCH(Lists!$F$5,$A$1:$AL$1,0))),DATE(VALUE(LEFT(INDEX($A151:$AL151,MATCH(Lists!$F$5,$A$1:$AL$1,0)),4)),VALUE(MID(INDEX($A151:$AL151,MATCH(Lists!$F$5,$A$1:$AL$1,0)),6,2)),VALUE(MID(INDEX($A151:$AL151,MATCH(Lists!$F$5,$A$1:$AL$1,0)),9,2))))),"")))</f>
        <v/>
      </c>
      <c r="AU151" s="21">
        <f>IF(IFERROR(TRIM(INDEX($A151:$AL151,MATCH(Lists!$F$2,$A$1:$AL$1,0))&amp;""),"")="",-1,IF(ISNUMBER(IFERROR(IF(TRIM(INDEX($A151:$AL151,MATCH(Lists!$F$6,$A$1:$AL$1,0))&amp;"")="","",IF(ISNUMBER(INDEX($A151:$AL151,MATCH(Lists!$F$6,$A$1:$AL$1,0))),ROUND(MOD(INDEX($A151:$AL151,MATCH(Lists!$F$6,$A$1:$AL$1,0)),1)*1440,0),VALUE(LEFT(INDEX($A151:$AL151,MATCH(Lists!$F$6,$A$1:$AL$1,0)),2))*60+VALUE(MID(INDEX($A151:$AL151,MATCH(Lists!$F$6,$A$1:$AL$1,0)),4,2)))),"")),IFERROR(IF(TRIM(INDEX($A151:$AL151,MATCH(Lists!$F$6,$A$1:$AL$1,0))&amp;"")="","",IF(ISNUMBER(INDEX($A151:$AL151,MATCH(Lists!$F$6,$A$1:$AL$1,0))),ROUND(MOD(INDEX($A151:$AL151,MATCH(Lists!$F$6,$A$1:$AL$1,0)),1)*1440,0),VALUE(LEFT(INDEX($A151:$AL151,MATCH(Lists!$F$6,$A$1:$AL$1,0)),2))*60+VALUE(MID(INDEX($A151:$AL151,MATCH(Lists!$F$6,$A$1:$AL$1,0)),4,2)))),""),-1))</f>
        <v/>
      </c>
      <c r="AV151" s="21">
        <f>IF(IFERROR(TRIM(INDEX($A151:$AL151,MATCH(Lists!$F$2,$A$1:$AL$1,0))&amp;""),"")="",-1,IF(ISNUMBER(IFERROR(IF(TRIM(INDEX($A151:$AL151,MATCH(Lists!$F$7,$A$1:$AL$1,0))&amp;"")="","",IF(ISNUMBER(INDEX($A151:$AL151,MATCH(Lists!$F$7,$A$1:$AL$1,0))),ROUND(MOD(INDEX($A151:$AL151,MATCH(Lists!$F$7,$A$1:$AL$1,0)),1)*1440,0),VALUE(LEFT(INDEX($A151:$AL151,MATCH(Lists!$F$7,$A$1:$AL$1,0)),2))*60+VALUE(MID(INDEX($A151:$AL151,MATCH(Lists!$F$7,$A$1:$AL$1,0)),4,2)))),"")),IFERROR(IF(TRIM(INDEX($A151:$AL151,MATCH(Lists!$F$7,$A$1:$AL$1,0))&amp;"")="","",IF(ISNUMBER(INDEX($A151:$AL151,MATCH(Lists!$F$7,$A$1:$AL$1,0))),ROUND(MOD(INDEX($A151:$AL151,MATCH(Lists!$F$7,$A$1:$AL$1,0)),1)*1440,0),VALUE(LEFT(INDEX($A151:$AL151,MATCH(Lists!$F$7,$A$1:$AL$1,0)),2))*60+VALUE(MID(INDEX($A151:$AL151,MATCH(Lists!$F$7,$A$1:$AL$1,0)),4,2)))),""),-1))</f>
        <v/>
      </c>
      <c r="AW151" s="21">
        <f>IF(IFERROR(TRIM(INDEX($A151:$AL151,MATCH(Lists!$F$2,$A$1:$AL$1,0))&amp;""),"")="","",IF(IFERROR(TRIM(INDEX($A151:$AL151,MATCH(Lists!$F$8,$A$1:$AL$1,0))&amp;""),"")&lt;&gt;"",IFERROR(TRIM(INDEX($A151:$AL151,MATCH(Lists!$F$8,$A$1:$AL$1,0))&amp;""),""),IFERROR(TRIM(INDEX($A151:$AL151,MATCH(Lists!$F$9,$A$1:$AL$1,0))&amp;""),"")))</f>
        <v/>
      </c>
      <c r="AX151" s="21">
        <f>IFERROR(IF(TRIM(INDEX($A151:$AL151,MATCH(Lists!$F$10,$A$1:$AL$1,0))&amp;"")="","",VALUE(TRIM(INDEX($A151:$AL151,MATCH(Lists!$F$10,$A$1:$AL$1,0))&amp;""))),"")</f>
        <v/>
      </c>
      <c r="AY151" s="21">
        <f>IF(IFERROR(TRIM(INDEX($A151:$AL151,MATCH(Lists!$F$2,$A$1:$AL$1,0))&amp;""),"")="","",IF(AN151="","New",AN151))</f>
        <v/>
      </c>
      <c r="AZ151" s="21">
        <f>IF(IFERROR(TRIM(INDEX($A151:$AL151,MATCH(Lists!$F$2,$A$1:$AL$1,0))&amp;""),"")="","",IF(OR(IFERROR(TRIM(INDEX($A151:$AL151,MATCH(Lists!$F$13,$A$1:$AL$1,0))&amp;""),"")="Paid",IFERROR(TRIM(INDEX($A151:$AL151,MATCH(Lists!$F$13,$A$1:$AL$1,0))&amp;""),"")="Partially refunded"),"Paid",IF(AP151="Yes","Paid (by hand)",IFERROR(TRIM(INDEX($A151:$AL151,MATCH(Lists!$F$13,$A$1:$AL$1,0))&amp;""),""))))</f>
        <v/>
      </c>
      <c r="BA151" s="21">
        <f>IF(AND(IFERROR(TRIM(INDEX($A151:$AL151,MATCH(Lists!$F$2,$A$1:$AL$1,0))&amp;""),"")&lt;&gt;"",AT151&gt;0,AU151&gt;=0,AV151&gt;AU151,AY151&lt;&gt;"Declined"),1,0)</f>
        <v/>
      </c>
      <c r="BB151" s="21">
        <f>IF(BA151=1,COUNTIFS($AS$2:$AS$501,AS151,$AT$2:$AT$501,AT151,$AU$2:$AU$501,"&lt;"&amp;AV151,$AV$2:$AV$501,"&gt;"&amp;AU151,$BA$2:$BA$501,1)-1,"")</f>
        <v/>
      </c>
      <c r="BC151" s="21">
        <f>IF(N(BB151)&gt;0,"Clashes with "&amp;INDEX($AW$2:$AW$501,SUMPRODUCT(MAX(($AS$2:$AS$501=AS151)*($AT$2:$AT$501=AT151)*($AU$2:$AU$501&lt;AV151)*($AV$2:$AV$501&gt;AU151)*($BA$2:$BA$501=1)*(ROW($AS$2:$AS$501)&lt;&gt;ROW())*ROW($AS$2:$AS$501)))-1)&amp;" ("&amp;INDEX($AY$2:$AY$501,SUMPRODUCT(MAX(($AS$2:$AS$501=AS151)*($AT$2:$AT$501=AT151)*($AU$2:$AU$501&lt;AV151)*($AV$2:$AV$501&gt;AU151)*($BA$2:$BA$501=1)*(ROW($AS$2:$AS$501)&lt;&gt;ROW())*ROW($AS$2:$AS$501)))-1)&amp;")"&amp;IF(BB151&gt;1," and "&amp;(BB151-1)&amp;" more",""),"")</f>
        <v/>
      </c>
      <c r="BD151" s="21">
        <f>IF(AND(BA151=1,AY151="Confirmed"),AT151*10000000+AU151*1000+ROW(),"")</f>
        <v/>
      </c>
      <c r="BE151" s="21">
        <f>IF(IFERROR(TRIM(INDEX($A151:$AL151,MATCH(Lists!$F$2,$A$1:$AL$1,0))&amp;""),"")="","",IFERROR(TRIM(INDEX($A151:$AL151,MATCH(Lists!$F$11,$A$1:$AL$1,0))&amp;""),""))</f>
        <v/>
      </c>
      <c r="BF151" s="21">
        <f>IF(IFERROR(TRIM(INDEX($A151:$AL151,MATCH(Lists!$F$2,$A$1:$AL$1,0))&amp;""),"")="","",IFERROR(TRIM(INDEX($A151:$AL151,MATCH(Lists!$F$12,$A$1:$AL$1,0))&amp;""),""))</f>
        <v/>
      </c>
    </row>
    <row r="152">
      <c r="AM152" s="19" t="n"/>
      <c r="AN152" s="23" t="n"/>
      <c r="AO152" s="23" t="n"/>
      <c r="AP152" s="23" t="n"/>
      <c r="AQ152" s="23" t="n"/>
      <c r="AR152" s="19" t="n"/>
      <c r="AS152" s="21">
        <f>IF(IFERROR(TRIM(INDEX($A152:$AL152,MATCH(Lists!$F$2,$A$1:$AL$1,0))&amp;""),"")="","",IF(AND(IFERROR(TRIM(INDEX($A152:$AL152,MATCH(Lists!$F$3,$A$1:$AL$1,0))&amp;""),"")="Other",IFERROR(TRIM(INDEX($A152:$AL152,MATCH(Lists!$F$4,$A$1:$AL$1,0))&amp;""),"")&lt;&gt;""),IFERROR(TRIM(INDEX($A152:$AL152,MATCH(Lists!$F$4,$A$1:$AL$1,0))&amp;""),""),IF(IFERROR(TRIM(INDEX($A152:$AL152,MATCH(Lists!$F$3,$A$1:$AL$1,0))&amp;""),"")="","(no space)",IFERROR(TRIM(INDEX($A152:$AL152,MATCH(Lists!$F$3,$A$1:$AL$1,0))&amp;""),""))))</f>
        <v/>
      </c>
      <c r="AT152" s="22">
        <f>IF(IFERROR(TRIM(INDEX($A152:$AL152,MATCH(Lists!$F$2,$A$1:$AL$1,0))&amp;""),"")="",0,N(IFERROR(IF(TRIM(INDEX($A152:$AL152,MATCH(Lists!$F$5,$A$1:$AL$1,0))&amp;"")="","",IF(ISNUMBER(INDEX($A152:$AL152,MATCH(Lists!$F$5,$A$1:$AL$1,0))),INT(INDEX($A152:$AL152,MATCH(Lists!$F$5,$A$1:$AL$1,0))),DATE(VALUE(LEFT(INDEX($A152:$AL152,MATCH(Lists!$F$5,$A$1:$AL$1,0)),4)),VALUE(MID(INDEX($A152:$AL152,MATCH(Lists!$F$5,$A$1:$AL$1,0)),6,2)),VALUE(MID(INDEX($A152:$AL152,MATCH(Lists!$F$5,$A$1:$AL$1,0)),9,2))))),"")))</f>
        <v/>
      </c>
      <c r="AU152" s="21">
        <f>IF(IFERROR(TRIM(INDEX($A152:$AL152,MATCH(Lists!$F$2,$A$1:$AL$1,0))&amp;""),"")="",-1,IF(ISNUMBER(IFERROR(IF(TRIM(INDEX($A152:$AL152,MATCH(Lists!$F$6,$A$1:$AL$1,0))&amp;"")="","",IF(ISNUMBER(INDEX($A152:$AL152,MATCH(Lists!$F$6,$A$1:$AL$1,0))),ROUND(MOD(INDEX($A152:$AL152,MATCH(Lists!$F$6,$A$1:$AL$1,0)),1)*1440,0),VALUE(LEFT(INDEX($A152:$AL152,MATCH(Lists!$F$6,$A$1:$AL$1,0)),2))*60+VALUE(MID(INDEX($A152:$AL152,MATCH(Lists!$F$6,$A$1:$AL$1,0)),4,2)))),"")),IFERROR(IF(TRIM(INDEX($A152:$AL152,MATCH(Lists!$F$6,$A$1:$AL$1,0))&amp;"")="","",IF(ISNUMBER(INDEX($A152:$AL152,MATCH(Lists!$F$6,$A$1:$AL$1,0))),ROUND(MOD(INDEX($A152:$AL152,MATCH(Lists!$F$6,$A$1:$AL$1,0)),1)*1440,0),VALUE(LEFT(INDEX($A152:$AL152,MATCH(Lists!$F$6,$A$1:$AL$1,0)),2))*60+VALUE(MID(INDEX($A152:$AL152,MATCH(Lists!$F$6,$A$1:$AL$1,0)),4,2)))),""),-1))</f>
        <v/>
      </c>
      <c r="AV152" s="21">
        <f>IF(IFERROR(TRIM(INDEX($A152:$AL152,MATCH(Lists!$F$2,$A$1:$AL$1,0))&amp;""),"")="",-1,IF(ISNUMBER(IFERROR(IF(TRIM(INDEX($A152:$AL152,MATCH(Lists!$F$7,$A$1:$AL$1,0))&amp;"")="","",IF(ISNUMBER(INDEX($A152:$AL152,MATCH(Lists!$F$7,$A$1:$AL$1,0))),ROUND(MOD(INDEX($A152:$AL152,MATCH(Lists!$F$7,$A$1:$AL$1,0)),1)*1440,0),VALUE(LEFT(INDEX($A152:$AL152,MATCH(Lists!$F$7,$A$1:$AL$1,0)),2))*60+VALUE(MID(INDEX($A152:$AL152,MATCH(Lists!$F$7,$A$1:$AL$1,0)),4,2)))),"")),IFERROR(IF(TRIM(INDEX($A152:$AL152,MATCH(Lists!$F$7,$A$1:$AL$1,0))&amp;"")="","",IF(ISNUMBER(INDEX($A152:$AL152,MATCH(Lists!$F$7,$A$1:$AL$1,0))),ROUND(MOD(INDEX($A152:$AL152,MATCH(Lists!$F$7,$A$1:$AL$1,0)),1)*1440,0),VALUE(LEFT(INDEX($A152:$AL152,MATCH(Lists!$F$7,$A$1:$AL$1,0)),2))*60+VALUE(MID(INDEX($A152:$AL152,MATCH(Lists!$F$7,$A$1:$AL$1,0)),4,2)))),""),-1))</f>
        <v/>
      </c>
      <c r="AW152" s="21">
        <f>IF(IFERROR(TRIM(INDEX($A152:$AL152,MATCH(Lists!$F$2,$A$1:$AL$1,0))&amp;""),"")="","",IF(IFERROR(TRIM(INDEX($A152:$AL152,MATCH(Lists!$F$8,$A$1:$AL$1,0))&amp;""),"")&lt;&gt;"",IFERROR(TRIM(INDEX($A152:$AL152,MATCH(Lists!$F$8,$A$1:$AL$1,0))&amp;""),""),IFERROR(TRIM(INDEX($A152:$AL152,MATCH(Lists!$F$9,$A$1:$AL$1,0))&amp;""),"")))</f>
        <v/>
      </c>
      <c r="AX152" s="21">
        <f>IFERROR(IF(TRIM(INDEX($A152:$AL152,MATCH(Lists!$F$10,$A$1:$AL$1,0))&amp;"")="","",VALUE(TRIM(INDEX($A152:$AL152,MATCH(Lists!$F$10,$A$1:$AL$1,0))&amp;""))),"")</f>
        <v/>
      </c>
      <c r="AY152" s="21">
        <f>IF(IFERROR(TRIM(INDEX($A152:$AL152,MATCH(Lists!$F$2,$A$1:$AL$1,0))&amp;""),"")="","",IF(AN152="","New",AN152))</f>
        <v/>
      </c>
      <c r="AZ152" s="21">
        <f>IF(IFERROR(TRIM(INDEX($A152:$AL152,MATCH(Lists!$F$2,$A$1:$AL$1,0))&amp;""),"")="","",IF(OR(IFERROR(TRIM(INDEX($A152:$AL152,MATCH(Lists!$F$13,$A$1:$AL$1,0))&amp;""),"")="Paid",IFERROR(TRIM(INDEX($A152:$AL152,MATCH(Lists!$F$13,$A$1:$AL$1,0))&amp;""),"")="Partially refunded"),"Paid",IF(AP152="Yes","Paid (by hand)",IFERROR(TRIM(INDEX($A152:$AL152,MATCH(Lists!$F$13,$A$1:$AL$1,0))&amp;""),""))))</f>
        <v/>
      </c>
      <c r="BA152" s="21">
        <f>IF(AND(IFERROR(TRIM(INDEX($A152:$AL152,MATCH(Lists!$F$2,$A$1:$AL$1,0))&amp;""),"")&lt;&gt;"",AT152&gt;0,AU152&gt;=0,AV152&gt;AU152,AY152&lt;&gt;"Declined"),1,0)</f>
        <v/>
      </c>
      <c r="BB152" s="21">
        <f>IF(BA152=1,COUNTIFS($AS$2:$AS$501,AS152,$AT$2:$AT$501,AT152,$AU$2:$AU$501,"&lt;"&amp;AV152,$AV$2:$AV$501,"&gt;"&amp;AU152,$BA$2:$BA$501,1)-1,"")</f>
        <v/>
      </c>
      <c r="BC152" s="21">
        <f>IF(N(BB152)&gt;0,"Clashes with "&amp;INDEX($AW$2:$AW$501,SUMPRODUCT(MAX(($AS$2:$AS$501=AS152)*($AT$2:$AT$501=AT152)*($AU$2:$AU$501&lt;AV152)*($AV$2:$AV$501&gt;AU152)*($BA$2:$BA$501=1)*(ROW($AS$2:$AS$501)&lt;&gt;ROW())*ROW($AS$2:$AS$501)))-1)&amp;" ("&amp;INDEX($AY$2:$AY$501,SUMPRODUCT(MAX(($AS$2:$AS$501=AS152)*($AT$2:$AT$501=AT152)*($AU$2:$AU$501&lt;AV152)*($AV$2:$AV$501&gt;AU152)*($BA$2:$BA$501=1)*(ROW($AS$2:$AS$501)&lt;&gt;ROW())*ROW($AS$2:$AS$501)))-1)&amp;")"&amp;IF(BB152&gt;1," and "&amp;(BB152-1)&amp;" more",""),"")</f>
        <v/>
      </c>
      <c r="BD152" s="21">
        <f>IF(AND(BA152=1,AY152="Confirmed"),AT152*10000000+AU152*1000+ROW(),"")</f>
        <v/>
      </c>
      <c r="BE152" s="21">
        <f>IF(IFERROR(TRIM(INDEX($A152:$AL152,MATCH(Lists!$F$2,$A$1:$AL$1,0))&amp;""),"")="","",IFERROR(TRIM(INDEX($A152:$AL152,MATCH(Lists!$F$11,$A$1:$AL$1,0))&amp;""),""))</f>
        <v/>
      </c>
      <c r="BF152" s="21">
        <f>IF(IFERROR(TRIM(INDEX($A152:$AL152,MATCH(Lists!$F$2,$A$1:$AL$1,0))&amp;""),"")="","",IFERROR(TRIM(INDEX($A152:$AL152,MATCH(Lists!$F$12,$A$1:$AL$1,0))&amp;""),""))</f>
        <v/>
      </c>
    </row>
    <row r="153">
      <c r="AM153" s="19" t="n"/>
      <c r="AN153" s="23" t="n"/>
      <c r="AO153" s="23" t="n"/>
      <c r="AP153" s="23" t="n"/>
      <c r="AQ153" s="23" t="n"/>
      <c r="AR153" s="19" t="n"/>
      <c r="AS153" s="21">
        <f>IF(IFERROR(TRIM(INDEX($A153:$AL153,MATCH(Lists!$F$2,$A$1:$AL$1,0))&amp;""),"")="","",IF(AND(IFERROR(TRIM(INDEX($A153:$AL153,MATCH(Lists!$F$3,$A$1:$AL$1,0))&amp;""),"")="Other",IFERROR(TRIM(INDEX($A153:$AL153,MATCH(Lists!$F$4,$A$1:$AL$1,0))&amp;""),"")&lt;&gt;""),IFERROR(TRIM(INDEX($A153:$AL153,MATCH(Lists!$F$4,$A$1:$AL$1,0))&amp;""),""),IF(IFERROR(TRIM(INDEX($A153:$AL153,MATCH(Lists!$F$3,$A$1:$AL$1,0))&amp;""),"")="","(no space)",IFERROR(TRIM(INDEX($A153:$AL153,MATCH(Lists!$F$3,$A$1:$AL$1,0))&amp;""),""))))</f>
        <v/>
      </c>
      <c r="AT153" s="22">
        <f>IF(IFERROR(TRIM(INDEX($A153:$AL153,MATCH(Lists!$F$2,$A$1:$AL$1,0))&amp;""),"")="",0,N(IFERROR(IF(TRIM(INDEX($A153:$AL153,MATCH(Lists!$F$5,$A$1:$AL$1,0))&amp;"")="","",IF(ISNUMBER(INDEX($A153:$AL153,MATCH(Lists!$F$5,$A$1:$AL$1,0))),INT(INDEX($A153:$AL153,MATCH(Lists!$F$5,$A$1:$AL$1,0))),DATE(VALUE(LEFT(INDEX($A153:$AL153,MATCH(Lists!$F$5,$A$1:$AL$1,0)),4)),VALUE(MID(INDEX($A153:$AL153,MATCH(Lists!$F$5,$A$1:$AL$1,0)),6,2)),VALUE(MID(INDEX($A153:$AL153,MATCH(Lists!$F$5,$A$1:$AL$1,0)),9,2))))),"")))</f>
        <v/>
      </c>
      <c r="AU153" s="21">
        <f>IF(IFERROR(TRIM(INDEX($A153:$AL153,MATCH(Lists!$F$2,$A$1:$AL$1,0))&amp;""),"")="",-1,IF(ISNUMBER(IFERROR(IF(TRIM(INDEX($A153:$AL153,MATCH(Lists!$F$6,$A$1:$AL$1,0))&amp;"")="","",IF(ISNUMBER(INDEX($A153:$AL153,MATCH(Lists!$F$6,$A$1:$AL$1,0))),ROUND(MOD(INDEX($A153:$AL153,MATCH(Lists!$F$6,$A$1:$AL$1,0)),1)*1440,0),VALUE(LEFT(INDEX($A153:$AL153,MATCH(Lists!$F$6,$A$1:$AL$1,0)),2))*60+VALUE(MID(INDEX($A153:$AL153,MATCH(Lists!$F$6,$A$1:$AL$1,0)),4,2)))),"")),IFERROR(IF(TRIM(INDEX($A153:$AL153,MATCH(Lists!$F$6,$A$1:$AL$1,0))&amp;"")="","",IF(ISNUMBER(INDEX($A153:$AL153,MATCH(Lists!$F$6,$A$1:$AL$1,0))),ROUND(MOD(INDEX($A153:$AL153,MATCH(Lists!$F$6,$A$1:$AL$1,0)),1)*1440,0),VALUE(LEFT(INDEX($A153:$AL153,MATCH(Lists!$F$6,$A$1:$AL$1,0)),2))*60+VALUE(MID(INDEX($A153:$AL153,MATCH(Lists!$F$6,$A$1:$AL$1,0)),4,2)))),""),-1))</f>
        <v/>
      </c>
      <c r="AV153" s="21">
        <f>IF(IFERROR(TRIM(INDEX($A153:$AL153,MATCH(Lists!$F$2,$A$1:$AL$1,0))&amp;""),"")="",-1,IF(ISNUMBER(IFERROR(IF(TRIM(INDEX($A153:$AL153,MATCH(Lists!$F$7,$A$1:$AL$1,0))&amp;"")="","",IF(ISNUMBER(INDEX($A153:$AL153,MATCH(Lists!$F$7,$A$1:$AL$1,0))),ROUND(MOD(INDEX($A153:$AL153,MATCH(Lists!$F$7,$A$1:$AL$1,0)),1)*1440,0),VALUE(LEFT(INDEX($A153:$AL153,MATCH(Lists!$F$7,$A$1:$AL$1,0)),2))*60+VALUE(MID(INDEX($A153:$AL153,MATCH(Lists!$F$7,$A$1:$AL$1,0)),4,2)))),"")),IFERROR(IF(TRIM(INDEX($A153:$AL153,MATCH(Lists!$F$7,$A$1:$AL$1,0))&amp;"")="","",IF(ISNUMBER(INDEX($A153:$AL153,MATCH(Lists!$F$7,$A$1:$AL$1,0))),ROUND(MOD(INDEX($A153:$AL153,MATCH(Lists!$F$7,$A$1:$AL$1,0)),1)*1440,0),VALUE(LEFT(INDEX($A153:$AL153,MATCH(Lists!$F$7,$A$1:$AL$1,0)),2))*60+VALUE(MID(INDEX($A153:$AL153,MATCH(Lists!$F$7,$A$1:$AL$1,0)),4,2)))),""),-1))</f>
        <v/>
      </c>
      <c r="AW153" s="21">
        <f>IF(IFERROR(TRIM(INDEX($A153:$AL153,MATCH(Lists!$F$2,$A$1:$AL$1,0))&amp;""),"")="","",IF(IFERROR(TRIM(INDEX($A153:$AL153,MATCH(Lists!$F$8,$A$1:$AL$1,0))&amp;""),"")&lt;&gt;"",IFERROR(TRIM(INDEX($A153:$AL153,MATCH(Lists!$F$8,$A$1:$AL$1,0))&amp;""),""),IFERROR(TRIM(INDEX($A153:$AL153,MATCH(Lists!$F$9,$A$1:$AL$1,0))&amp;""),"")))</f>
        <v/>
      </c>
      <c r="AX153" s="21">
        <f>IFERROR(IF(TRIM(INDEX($A153:$AL153,MATCH(Lists!$F$10,$A$1:$AL$1,0))&amp;"")="","",VALUE(TRIM(INDEX($A153:$AL153,MATCH(Lists!$F$10,$A$1:$AL$1,0))&amp;""))),"")</f>
        <v/>
      </c>
      <c r="AY153" s="21">
        <f>IF(IFERROR(TRIM(INDEX($A153:$AL153,MATCH(Lists!$F$2,$A$1:$AL$1,0))&amp;""),"")="","",IF(AN153="","New",AN153))</f>
        <v/>
      </c>
      <c r="AZ153" s="21">
        <f>IF(IFERROR(TRIM(INDEX($A153:$AL153,MATCH(Lists!$F$2,$A$1:$AL$1,0))&amp;""),"")="","",IF(OR(IFERROR(TRIM(INDEX($A153:$AL153,MATCH(Lists!$F$13,$A$1:$AL$1,0))&amp;""),"")="Paid",IFERROR(TRIM(INDEX($A153:$AL153,MATCH(Lists!$F$13,$A$1:$AL$1,0))&amp;""),"")="Partially refunded"),"Paid",IF(AP153="Yes","Paid (by hand)",IFERROR(TRIM(INDEX($A153:$AL153,MATCH(Lists!$F$13,$A$1:$AL$1,0))&amp;""),""))))</f>
        <v/>
      </c>
      <c r="BA153" s="21">
        <f>IF(AND(IFERROR(TRIM(INDEX($A153:$AL153,MATCH(Lists!$F$2,$A$1:$AL$1,0))&amp;""),"")&lt;&gt;"",AT153&gt;0,AU153&gt;=0,AV153&gt;AU153,AY153&lt;&gt;"Declined"),1,0)</f>
        <v/>
      </c>
      <c r="BB153" s="21">
        <f>IF(BA153=1,COUNTIFS($AS$2:$AS$501,AS153,$AT$2:$AT$501,AT153,$AU$2:$AU$501,"&lt;"&amp;AV153,$AV$2:$AV$501,"&gt;"&amp;AU153,$BA$2:$BA$501,1)-1,"")</f>
        <v/>
      </c>
      <c r="BC153" s="21">
        <f>IF(N(BB153)&gt;0,"Clashes with "&amp;INDEX($AW$2:$AW$501,SUMPRODUCT(MAX(($AS$2:$AS$501=AS153)*($AT$2:$AT$501=AT153)*($AU$2:$AU$501&lt;AV153)*($AV$2:$AV$501&gt;AU153)*($BA$2:$BA$501=1)*(ROW($AS$2:$AS$501)&lt;&gt;ROW())*ROW($AS$2:$AS$501)))-1)&amp;" ("&amp;INDEX($AY$2:$AY$501,SUMPRODUCT(MAX(($AS$2:$AS$501=AS153)*($AT$2:$AT$501=AT153)*($AU$2:$AU$501&lt;AV153)*($AV$2:$AV$501&gt;AU153)*($BA$2:$BA$501=1)*(ROW($AS$2:$AS$501)&lt;&gt;ROW())*ROW($AS$2:$AS$501)))-1)&amp;")"&amp;IF(BB153&gt;1," and "&amp;(BB153-1)&amp;" more",""),"")</f>
        <v/>
      </c>
      <c r="BD153" s="21">
        <f>IF(AND(BA153=1,AY153="Confirmed"),AT153*10000000+AU153*1000+ROW(),"")</f>
        <v/>
      </c>
      <c r="BE153" s="21">
        <f>IF(IFERROR(TRIM(INDEX($A153:$AL153,MATCH(Lists!$F$2,$A$1:$AL$1,0))&amp;""),"")="","",IFERROR(TRIM(INDEX($A153:$AL153,MATCH(Lists!$F$11,$A$1:$AL$1,0))&amp;""),""))</f>
        <v/>
      </c>
      <c r="BF153" s="21">
        <f>IF(IFERROR(TRIM(INDEX($A153:$AL153,MATCH(Lists!$F$2,$A$1:$AL$1,0))&amp;""),"")="","",IFERROR(TRIM(INDEX($A153:$AL153,MATCH(Lists!$F$12,$A$1:$AL$1,0))&amp;""),""))</f>
        <v/>
      </c>
    </row>
    <row r="154">
      <c r="AM154" s="19" t="n"/>
      <c r="AN154" s="23" t="n"/>
      <c r="AO154" s="23" t="n"/>
      <c r="AP154" s="23" t="n"/>
      <c r="AQ154" s="23" t="n"/>
      <c r="AR154" s="19" t="n"/>
      <c r="AS154" s="21">
        <f>IF(IFERROR(TRIM(INDEX($A154:$AL154,MATCH(Lists!$F$2,$A$1:$AL$1,0))&amp;""),"")="","",IF(AND(IFERROR(TRIM(INDEX($A154:$AL154,MATCH(Lists!$F$3,$A$1:$AL$1,0))&amp;""),"")="Other",IFERROR(TRIM(INDEX($A154:$AL154,MATCH(Lists!$F$4,$A$1:$AL$1,0))&amp;""),"")&lt;&gt;""),IFERROR(TRIM(INDEX($A154:$AL154,MATCH(Lists!$F$4,$A$1:$AL$1,0))&amp;""),""),IF(IFERROR(TRIM(INDEX($A154:$AL154,MATCH(Lists!$F$3,$A$1:$AL$1,0))&amp;""),"")="","(no space)",IFERROR(TRIM(INDEX($A154:$AL154,MATCH(Lists!$F$3,$A$1:$AL$1,0))&amp;""),""))))</f>
        <v/>
      </c>
      <c r="AT154" s="22">
        <f>IF(IFERROR(TRIM(INDEX($A154:$AL154,MATCH(Lists!$F$2,$A$1:$AL$1,0))&amp;""),"")="",0,N(IFERROR(IF(TRIM(INDEX($A154:$AL154,MATCH(Lists!$F$5,$A$1:$AL$1,0))&amp;"")="","",IF(ISNUMBER(INDEX($A154:$AL154,MATCH(Lists!$F$5,$A$1:$AL$1,0))),INT(INDEX($A154:$AL154,MATCH(Lists!$F$5,$A$1:$AL$1,0))),DATE(VALUE(LEFT(INDEX($A154:$AL154,MATCH(Lists!$F$5,$A$1:$AL$1,0)),4)),VALUE(MID(INDEX($A154:$AL154,MATCH(Lists!$F$5,$A$1:$AL$1,0)),6,2)),VALUE(MID(INDEX($A154:$AL154,MATCH(Lists!$F$5,$A$1:$AL$1,0)),9,2))))),"")))</f>
        <v/>
      </c>
      <c r="AU154" s="21">
        <f>IF(IFERROR(TRIM(INDEX($A154:$AL154,MATCH(Lists!$F$2,$A$1:$AL$1,0))&amp;""),"")="",-1,IF(ISNUMBER(IFERROR(IF(TRIM(INDEX($A154:$AL154,MATCH(Lists!$F$6,$A$1:$AL$1,0))&amp;"")="","",IF(ISNUMBER(INDEX($A154:$AL154,MATCH(Lists!$F$6,$A$1:$AL$1,0))),ROUND(MOD(INDEX($A154:$AL154,MATCH(Lists!$F$6,$A$1:$AL$1,0)),1)*1440,0),VALUE(LEFT(INDEX($A154:$AL154,MATCH(Lists!$F$6,$A$1:$AL$1,0)),2))*60+VALUE(MID(INDEX($A154:$AL154,MATCH(Lists!$F$6,$A$1:$AL$1,0)),4,2)))),"")),IFERROR(IF(TRIM(INDEX($A154:$AL154,MATCH(Lists!$F$6,$A$1:$AL$1,0))&amp;"")="","",IF(ISNUMBER(INDEX($A154:$AL154,MATCH(Lists!$F$6,$A$1:$AL$1,0))),ROUND(MOD(INDEX($A154:$AL154,MATCH(Lists!$F$6,$A$1:$AL$1,0)),1)*1440,0),VALUE(LEFT(INDEX($A154:$AL154,MATCH(Lists!$F$6,$A$1:$AL$1,0)),2))*60+VALUE(MID(INDEX($A154:$AL154,MATCH(Lists!$F$6,$A$1:$AL$1,0)),4,2)))),""),-1))</f>
        <v/>
      </c>
      <c r="AV154" s="21">
        <f>IF(IFERROR(TRIM(INDEX($A154:$AL154,MATCH(Lists!$F$2,$A$1:$AL$1,0))&amp;""),"")="",-1,IF(ISNUMBER(IFERROR(IF(TRIM(INDEX($A154:$AL154,MATCH(Lists!$F$7,$A$1:$AL$1,0))&amp;"")="","",IF(ISNUMBER(INDEX($A154:$AL154,MATCH(Lists!$F$7,$A$1:$AL$1,0))),ROUND(MOD(INDEX($A154:$AL154,MATCH(Lists!$F$7,$A$1:$AL$1,0)),1)*1440,0),VALUE(LEFT(INDEX($A154:$AL154,MATCH(Lists!$F$7,$A$1:$AL$1,0)),2))*60+VALUE(MID(INDEX($A154:$AL154,MATCH(Lists!$F$7,$A$1:$AL$1,0)),4,2)))),"")),IFERROR(IF(TRIM(INDEX($A154:$AL154,MATCH(Lists!$F$7,$A$1:$AL$1,0))&amp;"")="","",IF(ISNUMBER(INDEX($A154:$AL154,MATCH(Lists!$F$7,$A$1:$AL$1,0))),ROUND(MOD(INDEX($A154:$AL154,MATCH(Lists!$F$7,$A$1:$AL$1,0)),1)*1440,0),VALUE(LEFT(INDEX($A154:$AL154,MATCH(Lists!$F$7,$A$1:$AL$1,0)),2))*60+VALUE(MID(INDEX($A154:$AL154,MATCH(Lists!$F$7,$A$1:$AL$1,0)),4,2)))),""),-1))</f>
        <v/>
      </c>
      <c r="AW154" s="21">
        <f>IF(IFERROR(TRIM(INDEX($A154:$AL154,MATCH(Lists!$F$2,$A$1:$AL$1,0))&amp;""),"")="","",IF(IFERROR(TRIM(INDEX($A154:$AL154,MATCH(Lists!$F$8,$A$1:$AL$1,0))&amp;""),"")&lt;&gt;"",IFERROR(TRIM(INDEX($A154:$AL154,MATCH(Lists!$F$8,$A$1:$AL$1,0))&amp;""),""),IFERROR(TRIM(INDEX($A154:$AL154,MATCH(Lists!$F$9,$A$1:$AL$1,0))&amp;""),"")))</f>
        <v/>
      </c>
      <c r="AX154" s="21">
        <f>IFERROR(IF(TRIM(INDEX($A154:$AL154,MATCH(Lists!$F$10,$A$1:$AL$1,0))&amp;"")="","",VALUE(TRIM(INDEX($A154:$AL154,MATCH(Lists!$F$10,$A$1:$AL$1,0))&amp;""))),"")</f>
        <v/>
      </c>
      <c r="AY154" s="21">
        <f>IF(IFERROR(TRIM(INDEX($A154:$AL154,MATCH(Lists!$F$2,$A$1:$AL$1,0))&amp;""),"")="","",IF(AN154="","New",AN154))</f>
        <v/>
      </c>
      <c r="AZ154" s="21">
        <f>IF(IFERROR(TRIM(INDEX($A154:$AL154,MATCH(Lists!$F$2,$A$1:$AL$1,0))&amp;""),"")="","",IF(OR(IFERROR(TRIM(INDEX($A154:$AL154,MATCH(Lists!$F$13,$A$1:$AL$1,0))&amp;""),"")="Paid",IFERROR(TRIM(INDEX($A154:$AL154,MATCH(Lists!$F$13,$A$1:$AL$1,0))&amp;""),"")="Partially refunded"),"Paid",IF(AP154="Yes","Paid (by hand)",IFERROR(TRIM(INDEX($A154:$AL154,MATCH(Lists!$F$13,$A$1:$AL$1,0))&amp;""),""))))</f>
        <v/>
      </c>
      <c r="BA154" s="21">
        <f>IF(AND(IFERROR(TRIM(INDEX($A154:$AL154,MATCH(Lists!$F$2,$A$1:$AL$1,0))&amp;""),"")&lt;&gt;"",AT154&gt;0,AU154&gt;=0,AV154&gt;AU154,AY154&lt;&gt;"Declined"),1,0)</f>
        <v/>
      </c>
      <c r="BB154" s="21">
        <f>IF(BA154=1,COUNTIFS($AS$2:$AS$501,AS154,$AT$2:$AT$501,AT154,$AU$2:$AU$501,"&lt;"&amp;AV154,$AV$2:$AV$501,"&gt;"&amp;AU154,$BA$2:$BA$501,1)-1,"")</f>
        <v/>
      </c>
      <c r="BC154" s="21">
        <f>IF(N(BB154)&gt;0,"Clashes with "&amp;INDEX($AW$2:$AW$501,SUMPRODUCT(MAX(($AS$2:$AS$501=AS154)*($AT$2:$AT$501=AT154)*($AU$2:$AU$501&lt;AV154)*($AV$2:$AV$501&gt;AU154)*($BA$2:$BA$501=1)*(ROW($AS$2:$AS$501)&lt;&gt;ROW())*ROW($AS$2:$AS$501)))-1)&amp;" ("&amp;INDEX($AY$2:$AY$501,SUMPRODUCT(MAX(($AS$2:$AS$501=AS154)*($AT$2:$AT$501=AT154)*($AU$2:$AU$501&lt;AV154)*($AV$2:$AV$501&gt;AU154)*($BA$2:$BA$501=1)*(ROW($AS$2:$AS$501)&lt;&gt;ROW())*ROW($AS$2:$AS$501)))-1)&amp;")"&amp;IF(BB154&gt;1," and "&amp;(BB154-1)&amp;" more",""),"")</f>
        <v/>
      </c>
      <c r="BD154" s="21">
        <f>IF(AND(BA154=1,AY154="Confirmed"),AT154*10000000+AU154*1000+ROW(),"")</f>
        <v/>
      </c>
      <c r="BE154" s="21">
        <f>IF(IFERROR(TRIM(INDEX($A154:$AL154,MATCH(Lists!$F$2,$A$1:$AL$1,0))&amp;""),"")="","",IFERROR(TRIM(INDEX($A154:$AL154,MATCH(Lists!$F$11,$A$1:$AL$1,0))&amp;""),""))</f>
        <v/>
      </c>
      <c r="BF154" s="21">
        <f>IF(IFERROR(TRIM(INDEX($A154:$AL154,MATCH(Lists!$F$2,$A$1:$AL$1,0))&amp;""),"")="","",IFERROR(TRIM(INDEX($A154:$AL154,MATCH(Lists!$F$12,$A$1:$AL$1,0))&amp;""),""))</f>
        <v/>
      </c>
    </row>
    <row r="155">
      <c r="AM155" s="19" t="n"/>
      <c r="AN155" s="23" t="n"/>
      <c r="AO155" s="23" t="n"/>
      <c r="AP155" s="23" t="n"/>
      <c r="AQ155" s="23" t="n"/>
      <c r="AR155" s="19" t="n"/>
      <c r="AS155" s="21">
        <f>IF(IFERROR(TRIM(INDEX($A155:$AL155,MATCH(Lists!$F$2,$A$1:$AL$1,0))&amp;""),"")="","",IF(AND(IFERROR(TRIM(INDEX($A155:$AL155,MATCH(Lists!$F$3,$A$1:$AL$1,0))&amp;""),"")="Other",IFERROR(TRIM(INDEX($A155:$AL155,MATCH(Lists!$F$4,$A$1:$AL$1,0))&amp;""),"")&lt;&gt;""),IFERROR(TRIM(INDEX($A155:$AL155,MATCH(Lists!$F$4,$A$1:$AL$1,0))&amp;""),""),IF(IFERROR(TRIM(INDEX($A155:$AL155,MATCH(Lists!$F$3,$A$1:$AL$1,0))&amp;""),"")="","(no space)",IFERROR(TRIM(INDEX($A155:$AL155,MATCH(Lists!$F$3,$A$1:$AL$1,0))&amp;""),""))))</f>
        <v/>
      </c>
      <c r="AT155" s="22">
        <f>IF(IFERROR(TRIM(INDEX($A155:$AL155,MATCH(Lists!$F$2,$A$1:$AL$1,0))&amp;""),"")="",0,N(IFERROR(IF(TRIM(INDEX($A155:$AL155,MATCH(Lists!$F$5,$A$1:$AL$1,0))&amp;"")="","",IF(ISNUMBER(INDEX($A155:$AL155,MATCH(Lists!$F$5,$A$1:$AL$1,0))),INT(INDEX($A155:$AL155,MATCH(Lists!$F$5,$A$1:$AL$1,0))),DATE(VALUE(LEFT(INDEX($A155:$AL155,MATCH(Lists!$F$5,$A$1:$AL$1,0)),4)),VALUE(MID(INDEX($A155:$AL155,MATCH(Lists!$F$5,$A$1:$AL$1,0)),6,2)),VALUE(MID(INDEX($A155:$AL155,MATCH(Lists!$F$5,$A$1:$AL$1,0)),9,2))))),"")))</f>
        <v/>
      </c>
      <c r="AU155" s="21">
        <f>IF(IFERROR(TRIM(INDEX($A155:$AL155,MATCH(Lists!$F$2,$A$1:$AL$1,0))&amp;""),"")="",-1,IF(ISNUMBER(IFERROR(IF(TRIM(INDEX($A155:$AL155,MATCH(Lists!$F$6,$A$1:$AL$1,0))&amp;"")="","",IF(ISNUMBER(INDEX($A155:$AL155,MATCH(Lists!$F$6,$A$1:$AL$1,0))),ROUND(MOD(INDEX($A155:$AL155,MATCH(Lists!$F$6,$A$1:$AL$1,0)),1)*1440,0),VALUE(LEFT(INDEX($A155:$AL155,MATCH(Lists!$F$6,$A$1:$AL$1,0)),2))*60+VALUE(MID(INDEX($A155:$AL155,MATCH(Lists!$F$6,$A$1:$AL$1,0)),4,2)))),"")),IFERROR(IF(TRIM(INDEX($A155:$AL155,MATCH(Lists!$F$6,$A$1:$AL$1,0))&amp;"")="","",IF(ISNUMBER(INDEX($A155:$AL155,MATCH(Lists!$F$6,$A$1:$AL$1,0))),ROUND(MOD(INDEX($A155:$AL155,MATCH(Lists!$F$6,$A$1:$AL$1,0)),1)*1440,0),VALUE(LEFT(INDEX($A155:$AL155,MATCH(Lists!$F$6,$A$1:$AL$1,0)),2))*60+VALUE(MID(INDEX($A155:$AL155,MATCH(Lists!$F$6,$A$1:$AL$1,0)),4,2)))),""),-1))</f>
        <v/>
      </c>
      <c r="AV155" s="21">
        <f>IF(IFERROR(TRIM(INDEX($A155:$AL155,MATCH(Lists!$F$2,$A$1:$AL$1,0))&amp;""),"")="",-1,IF(ISNUMBER(IFERROR(IF(TRIM(INDEX($A155:$AL155,MATCH(Lists!$F$7,$A$1:$AL$1,0))&amp;"")="","",IF(ISNUMBER(INDEX($A155:$AL155,MATCH(Lists!$F$7,$A$1:$AL$1,0))),ROUND(MOD(INDEX($A155:$AL155,MATCH(Lists!$F$7,$A$1:$AL$1,0)),1)*1440,0),VALUE(LEFT(INDEX($A155:$AL155,MATCH(Lists!$F$7,$A$1:$AL$1,0)),2))*60+VALUE(MID(INDEX($A155:$AL155,MATCH(Lists!$F$7,$A$1:$AL$1,0)),4,2)))),"")),IFERROR(IF(TRIM(INDEX($A155:$AL155,MATCH(Lists!$F$7,$A$1:$AL$1,0))&amp;"")="","",IF(ISNUMBER(INDEX($A155:$AL155,MATCH(Lists!$F$7,$A$1:$AL$1,0))),ROUND(MOD(INDEX($A155:$AL155,MATCH(Lists!$F$7,$A$1:$AL$1,0)),1)*1440,0),VALUE(LEFT(INDEX($A155:$AL155,MATCH(Lists!$F$7,$A$1:$AL$1,0)),2))*60+VALUE(MID(INDEX($A155:$AL155,MATCH(Lists!$F$7,$A$1:$AL$1,0)),4,2)))),""),-1))</f>
        <v/>
      </c>
      <c r="AW155" s="21">
        <f>IF(IFERROR(TRIM(INDEX($A155:$AL155,MATCH(Lists!$F$2,$A$1:$AL$1,0))&amp;""),"")="","",IF(IFERROR(TRIM(INDEX($A155:$AL155,MATCH(Lists!$F$8,$A$1:$AL$1,0))&amp;""),"")&lt;&gt;"",IFERROR(TRIM(INDEX($A155:$AL155,MATCH(Lists!$F$8,$A$1:$AL$1,0))&amp;""),""),IFERROR(TRIM(INDEX($A155:$AL155,MATCH(Lists!$F$9,$A$1:$AL$1,0))&amp;""),"")))</f>
        <v/>
      </c>
      <c r="AX155" s="21">
        <f>IFERROR(IF(TRIM(INDEX($A155:$AL155,MATCH(Lists!$F$10,$A$1:$AL$1,0))&amp;"")="","",VALUE(TRIM(INDEX($A155:$AL155,MATCH(Lists!$F$10,$A$1:$AL$1,0))&amp;""))),"")</f>
        <v/>
      </c>
      <c r="AY155" s="21">
        <f>IF(IFERROR(TRIM(INDEX($A155:$AL155,MATCH(Lists!$F$2,$A$1:$AL$1,0))&amp;""),"")="","",IF(AN155="","New",AN155))</f>
        <v/>
      </c>
      <c r="AZ155" s="21">
        <f>IF(IFERROR(TRIM(INDEX($A155:$AL155,MATCH(Lists!$F$2,$A$1:$AL$1,0))&amp;""),"")="","",IF(OR(IFERROR(TRIM(INDEX($A155:$AL155,MATCH(Lists!$F$13,$A$1:$AL$1,0))&amp;""),"")="Paid",IFERROR(TRIM(INDEX($A155:$AL155,MATCH(Lists!$F$13,$A$1:$AL$1,0))&amp;""),"")="Partially refunded"),"Paid",IF(AP155="Yes","Paid (by hand)",IFERROR(TRIM(INDEX($A155:$AL155,MATCH(Lists!$F$13,$A$1:$AL$1,0))&amp;""),""))))</f>
        <v/>
      </c>
      <c r="BA155" s="21">
        <f>IF(AND(IFERROR(TRIM(INDEX($A155:$AL155,MATCH(Lists!$F$2,$A$1:$AL$1,0))&amp;""),"")&lt;&gt;"",AT155&gt;0,AU155&gt;=0,AV155&gt;AU155,AY155&lt;&gt;"Declined"),1,0)</f>
        <v/>
      </c>
      <c r="BB155" s="21">
        <f>IF(BA155=1,COUNTIFS($AS$2:$AS$501,AS155,$AT$2:$AT$501,AT155,$AU$2:$AU$501,"&lt;"&amp;AV155,$AV$2:$AV$501,"&gt;"&amp;AU155,$BA$2:$BA$501,1)-1,"")</f>
        <v/>
      </c>
      <c r="BC155" s="21">
        <f>IF(N(BB155)&gt;0,"Clashes with "&amp;INDEX($AW$2:$AW$501,SUMPRODUCT(MAX(($AS$2:$AS$501=AS155)*($AT$2:$AT$501=AT155)*($AU$2:$AU$501&lt;AV155)*($AV$2:$AV$501&gt;AU155)*($BA$2:$BA$501=1)*(ROW($AS$2:$AS$501)&lt;&gt;ROW())*ROW($AS$2:$AS$501)))-1)&amp;" ("&amp;INDEX($AY$2:$AY$501,SUMPRODUCT(MAX(($AS$2:$AS$501=AS155)*($AT$2:$AT$501=AT155)*($AU$2:$AU$501&lt;AV155)*($AV$2:$AV$501&gt;AU155)*($BA$2:$BA$501=1)*(ROW($AS$2:$AS$501)&lt;&gt;ROW())*ROW($AS$2:$AS$501)))-1)&amp;")"&amp;IF(BB155&gt;1," and "&amp;(BB155-1)&amp;" more",""),"")</f>
        <v/>
      </c>
      <c r="BD155" s="21">
        <f>IF(AND(BA155=1,AY155="Confirmed"),AT155*10000000+AU155*1000+ROW(),"")</f>
        <v/>
      </c>
      <c r="BE155" s="21">
        <f>IF(IFERROR(TRIM(INDEX($A155:$AL155,MATCH(Lists!$F$2,$A$1:$AL$1,0))&amp;""),"")="","",IFERROR(TRIM(INDEX($A155:$AL155,MATCH(Lists!$F$11,$A$1:$AL$1,0))&amp;""),""))</f>
        <v/>
      </c>
      <c r="BF155" s="21">
        <f>IF(IFERROR(TRIM(INDEX($A155:$AL155,MATCH(Lists!$F$2,$A$1:$AL$1,0))&amp;""),"")="","",IFERROR(TRIM(INDEX($A155:$AL155,MATCH(Lists!$F$12,$A$1:$AL$1,0))&amp;""),""))</f>
        <v/>
      </c>
    </row>
    <row r="156">
      <c r="AM156" s="19" t="n"/>
      <c r="AN156" s="23" t="n"/>
      <c r="AO156" s="23" t="n"/>
      <c r="AP156" s="23" t="n"/>
      <c r="AQ156" s="23" t="n"/>
      <c r="AR156" s="19" t="n"/>
      <c r="AS156" s="21">
        <f>IF(IFERROR(TRIM(INDEX($A156:$AL156,MATCH(Lists!$F$2,$A$1:$AL$1,0))&amp;""),"")="","",IF(AND(IFERROR(TRIM(INDEX($A156:$AL156,MATCH(Lists!$F$3,$A$1:$AL$1,0))&amp;""),"")="Other",IFERROR(TRIM(INDEX($A156:$AL156,MATCH(Lists!$F$4,$A$1:$AL$1,0))&amp;""),"")&lt;&gt;""),IFERROR(TRIM(INDEX($A156:$AL156,MATCH(Lists!$F$4,$A$1:$AL$1,0))&amp;""),""),IF(IFERROR(TRIM(INDEX($A156:$AL156,MATCH(Lists!$F$3,$A$1:$AL$1,0))&amp;""),"")="","(no space)",IFERROR(TRIM(INDEX($A156:$AL156,MATCH(Lists!$F$3,$A$1:$AL$1,0))&amp;""),""))))</f>
        <v/>
      </c>
      <c r="AT156" s="22">
        <f>IF(IFERROR(TRIM(INDEX($A156:$AL156,MATCH(Lists!$F$2,$A$1:$AL$1,0))&amp;""),"")="",0,N(IFERROR(IF(TRIM(INDEX($A156:$AL156,MATCH(Lists!$F$5,$A$1:$AL$1,0))&amp;"")="","",IF(ISNUMBER(INDEX($A156:$AL156,MATCH(Lists!$F$5,$A$1:$AL$1,0))),INT(INDEX($A156:$AL156,MATCH(Lists!$F$5,$A$1:$AL$1,0))),DATE(VALUE(LEFT(INDEX($A156:$AL156,MATCH(Lists!$F$5,$A$1:$AL$1,0)),4)),VALUE(MID(INDEX($A156:$AL156,MATCH(Lists!$F$5,$A$1:$AL$1,0)),6,2)),VALUE(MID(INDEX($A156:$AL156,MATCH(Lists!$F$5,$A$1:$AL$1,0)),9,2))))),"")))</f>
        <v/>
      </c>
      <c r="AU156" s="21">
        <f>IF(IFERROR(TRIM(INDEX($A156:$AL156,MATCH(Lists!$F$2,$A$1:$AL$1,0))&amp;""),"")="",-1,IF(ISNUMBER(IFERROR(IF(TRIM(INDEX($A156:$AL156,MATCH(Lists!$F$6,$A$1:$AL$1,0))&amp;"")="","",IF(ISNUMBER(INDEX($A156:$AL156,MATCH(Lists!$F$6,$A$1:$AL$1,0))),ROUND(MOD(INDEX($A156:$AL156,MATCH(Lists!$F$6,$A$1:$AL$1,0)),1)*1440,0),VALUE(LEFT(INDEX($A156:$AL156,MATCH(Lists!$F$6,$A$1:$AL$1,0)),2))*60+VALUE(MID(INDEX($A156:$AL156,MATCH(Lists!$F$6,$A$1:$AL$1,0)),4,2)))),"")),IFERROR(IF(TRIM(INDEX($A156:$AL156,MATCH(Lists!$F$6,$A$1:$AL$1,0))&amp;"")="","",IF(ISNUMBER(INDEX($A156:$AL156,MATCH(Lists!$F$6,$A$1:$AL$1,0))),ROUND(MOD(INDEX($A156:$AL156,MATCH(Lists!$F$6,$A$1:$AL$1,0)),1)*1440,0),VALUE(LEFT(INDEX($A156:$AL156,MATCH(Lists!$F$6,$A$1:$AL$1,0)),2))*60+VALUE(MID(INDEX($A156:$AL156,MATCH(Lists!$F$6,$A$1:$AL$1,0)),4,2)))),""),-1))</f>
        <v/>
      </c>
      <c r="AV156" s="21">
        <f>IF(IFERROR(TRIM(INDEX($A156:$AL156,MATCH(Lists!$F$2,$A$1:$AL$1,0))&amp;""),"")="",-1,IF(ISNUMBER(IFERROR(IF(TRIM(INDEX($A156:$AL156,MATCH(Lists!$F$7,$A$1:$AL$1,0))&amp;"")="","",IF(ISNUMBER(INDEX($A156:$AL156,MATCH(Lists!$F$7,$A$1:$AL$1,0))),ROUND(MOD(INDEX($A156:$AL156,MATCH(Lists!$F$7,$A$1:$AL$1,0)),1)*1440,0),VALUE(LEFT(INDEX($A156:$AL156,MATCH(Lists!$F$7,$A$1:$AL$1,0)),2))*60+VALUE(MID(INDEX($A156:$AL156,MATCH(Lists!$F$7,$A$1:$AL$1,0)),4,2)))),"")),IFERROR(IF(TRIM(INDEX($A156:$AL156,MATCH(Lists!$F$7,$A$1:$AL$1,0))&amp;"")="","",IF(ISNUMBER(INDEX($A156:$AL156,MATCH(Lists!$F$7,$A$1:$AL$1,0))),ROUND(MOD(INDEX($A156:$AL156,MATCH(Lists!$F$7,$A$1:$AL$1,0)),1)*1440,0),VALUE(LEFT(INDEX($A156:$AL156,MATCH(Lists!$F$7,$A$1:$AL$1,0)),2))*60+VALUE(MID(INDEX($A156:$AL156,MATCH(Lists!$F$7,$A$1:$AL$1,0)),4,2)))),""),-1))</f>
        <v/>
      </c>
      <c r="AW156" s="21">
        <f>IF(IFERROR(TRIM(INDEX($A156:$AL156,MATCH(Lists!$F$2,$A$1:$AL$1,0))&amp;""),"")="","",IF(IFERROR(TRIM(INDEX($A156:$AL156,MATCH(Lists!$F$8,$A$1:$AL$1,0))&amp;""),"")&lt;&gt;"",IFERROR(TRIM(INDEX($A156:$AL156,MATCH(Lists!$F$8,$A$1:$AL$1,0))&amp;""),""),IFERROR(TRIM(INDEX($A156:$AL156,MATCH(Lists!$F$9,$A$1:$AL$1,0))&amp;""),"")))</f>
        <v/>
      </c>
      <c r="AX156" s="21">
        <f>IFERROR(IF(TRIM(INDEX($A156:$AL156,MATCH(Lists!$F$10,$A$1:$AL$1,0))&amp;"")="","",VALUE(TRIM(INDEX($A156:$AL156,MATCH(Lists!$F$10,$A$1:$AL$1,0))&amp;""))),"")</f>
        <v/>
      </c>
      <c r="AY156" s="21">
        <f>IF(IFERROR(TRIM(INDEX($A156:$AL156,MATCH(Lists!$F$2,$A$1:$AL$1,0))&amp;""),"")="","",IF(AN156="","New",AN156))</f>
        <v/>
      </c>
      <c r="AZ156" s="21">
        <f>IF(IFERROR(TRIM(INDEX($A156:$AL156,MATCH(Lists!$F$2,$A$1:$AL$1,0))&amp;""),"")="","",IF(OR(IFERROR(TRIM(INDEX($A156:$AL156,MATCH(Lists!$F$13,$A$1:$AL$1,0))&amp;""),"")="Paid",IFERROR(TRIM(INDEX($A156:$AL156,MATCH(Lists!$F$13,$A$1:$AL$1,0))&amp;""),"")="Partially refunded"),"Paid",IF(AP156="Yes","Paid (by hand)",IFERROR(TRIM(INDEX($A156:$AL156,MATCH(Lists!$F$13,$A$1:$AL$1,0))&amp;""),""))))</f>
        <v/>
      </c>
      <c r="BA156" s="21">
        <f>IF(AND(IFERROR(TRIM(INDEX($A156:$AL156,MATCH(Lists!$F$2,$A$1:$AL$1,0))&amp;""),"")&lt;&gt;"",AT156&gt;0,AU156&gt;=0,AV156&gt;AU156,AY156&lt;&gt;"Declined"),1,0)</f>
        <v/>
      </c>
      <c r="BB156" s="21">
        <f>IF(BA156=1,COUNTIFS($AS$2:$AS$501,AS156,$AT$2:$AT$501,AT156,$AU$2:$AU$501,"&lt;"&amp;AV156,$AV$2:$AV$501,"&gt;"&amp;AU156,$BA$2:$BA$501,1)-1,"")</f>
        <v/>
      </c>
      <c r="BC156" s="21">
        <f>IF(N(BB156)&gt;0,"Clashes with "&amp;INDEX($AW$2:$AW$501,SUMPRODUCT(MAX(($AS$2:$AS$501=AS156)*($AT$2:$AT$501=AT156)*($AU$2:$AU$501&lt;AV156)*($AV$2:$AV$501&gt;AU156)*($BA$2:$BA$501=1)*(ROW($AS$2:$AS$501)&lt;&gt;ROW())*ROW($AS$2:$AS$501)))-1)&amp;" ("&amp;INDEX($AY$2:$AY$501,SUMPRODUCT(MAX(($AS$2:$AS$501=AS156)*($AT$2:$AT$501=AT156)*($AU$2:$AU$501&lt;AV156)*($AV$2:$AV$501&gt;AU156)*($BA$2:$BA$501=1)*(ROW($AS$2:$AS$501)&lt;&gt;ROW())*ROW($AS$2:$AS$501)))-1)&amp;")"&amp;IF(BB156&gt;1," and "&amp;(BB156-1)&amp;" more",""),"")</f>
        <v/>
      </c>
      <c r="BD156" s="21">
        <f>IF(AND(BA156=1,AY156="Confirmed"),AT156*10000000+AU156*1000+ROW(),"")</f>
        <v/>
      </c>
      <c r="BE156" s="21">
        <f>IF(IFERROR(TRIM(INDEX($A156:$AL156,MATCH(Lists!$F$2,$A$1:$AL$1,0))&amp;""),"")="","",IFERROR(TRIM(INDEX($A156:$AL156,MATCH(Lists!$F$11,$A$1:$AL$1,0))&amp;""),""))</f>
        <v/>
      </c>
      <c r="BF156" s="21">
        <f>IF(IFERROR(TRIM(INDEX($A156:$AL156,MATCH(Lists!$F$2,$A$1:$AL$1,0))&amp;""),"")="","",IFERROR(TRIM(INDEX($A156:$AL156,MATCH(Lists!$F$12,$A$1:$AL$1,0))&amp;""),""))</f>
        <v/>
      </c>
    </row>
    <row r="157">
      <c r="AM157" s="19" t="n"/>
      <c r="AN157" s="23" t="n"/>
      <c r="AO157" s="23" t="n"/>
      <c r="AP157" s="23" t="n"/>
      <c r="AQ157" s="23" t="n"/>
      <c r="AR157" s="19" t="n"/>
      <c r="AS157" s="21">
        <f>IF(IFERROR(TRIM(INDEX($A157:$AL157,MATCH(Lists!$F$2,$A$1:$AL$1,0))&amp;""),"")="","",IF(AND(IFERROR(TRIM(INDEX($A157:$AL157,MATCH(Lists!$F$3,$A$1:$AL$1,0))&amp;""),"")="Other",IFERROR(TRIM(INDEX($A157:$AL157,MATCH(Lists!$F$4,$A$1:$AL$1,0))&amp;""),"")&lt;&gt;""),IFERROR(TRIM(INDEX($A157:$AL157,MATCH(Lists!$F$4,$A$1:$AL$1,0))&amp;""),""),IF(IFERROR(TRIM(INDEX($A157:$AL157,MATCH(Lists!$F$3,$A$1:$AL$1,0))&amp;""),"")="","(no space)",IFERROR(TRIM(INDEX($A157:$AL157,MATCH(Lists!$F$3,$A$1:$AL$1,0))&amp;""),""))))</f>
        <v/>
      </c>
      <c r="AT157" s="22">
        <f>IF(IFERROR(TRIM(INDEX($A157:$AL157,MATCH(Lists!$F$2,$A$1:$AL$1,0))&amp;""),"")="",0,N(IFERROR(IF(TRIM(INDEX($A157:$AL157,MATCH(Lists!$F$5,$A$1:$AL$1,0))&amp;"")="","",IF(ISNUMBER(INDEX($A157:$AL157,MATCH(Lists!$F$5,$A$1:$AL$1,0))),INT(INDEX($A157:$AL157,MATCH(Lists!$F$5,$A$1:$AL$1,0))),DATE(VALUE(LEFT(INDEX($A157:$AL157,MATCH(Lists!$F$5,$A$1:$AL$1,0)),4)),VALUE(MID(INDEX($A157:$AL157,MATCH(Lists!$F$5,$A$1:$AL$1,0)),6,2)),VALUE(MID(INDEX($A157:$AL157,MATCH(Lists!$F$5,$A$1:$AL$1,0)),9,2))))),"")))</f>
        <v/>
      </c>
      <c r="AU157" s="21">
        <f>IF(IFERROR(TRIM(INDEX($A157:$AL157,MATCH(Lists!$F$2,$A$1:$AL$1,0))&amp;""),"")="",-1,IF(ISNUMBER(IFERROR(IF(TRIM(INDEX($A157:$AL157,MATCH(Lists!$F$6,$A$1:$AL$1,0))&amp;"")="","",IF(ISNUMBER(INDEX($A157:$AL157,MATCH(Lists!$F$6,$A$1:$AL$1,0))),ROUND(MOD(INDEX($A157:$AL157,MATCH(Lists!$F$6,$A$1:$AL$1,0)),1)*1440,0),VALUE(LEFT(INDEX($A157:$AL157,MATCH(Lists!$F$6,$A$1:$AL$1,0)),2))*60+VALUE(MID(INDEX($A157:$AL157,MATCH(Lists!$F$6,$A$1:$AL$1,0)),4,2)))),"")),IFERROR(IF(TRIM(INDEX($A157:$AL157,MATCH(Lists!$F$6,$A$1:$AL$1,0))&amp;"")="","",IF(ISNUMBER(INDEX($A157:$AL157,MATCH(Lists!$F$6,$A$1:$AL$1,0))),ROUND(MOD(INDEX($A157:$AL157,MATCH(Lists!$F$6,$A$1:$AL$1,0)),1)*1440,0),VALUE(LEFT(INDEX($A157:$AL157,MATCH(Lists!$F$6,$A$1:$AL$1,0)),2))*60+VALUE(MID(INDEX($A157:$AL157,MATCH(Lists!$F$6,$A$1:$AL$1,0)),4,2)))),""),-1))</f>
        <v/>
      </c>
      <c r="AV157" s="21">
        <f>IF(IFERROR(TRIM(INDEX($A157:$AL157,MATCH(Lists!$F$2,$A$1:$AL$1,0))&amp;""),"")="",-1,IF(ISNUMBER(IFERROR(IF(TRIM(INDEX($A157:$AL157,MATCH(Lists!$F$7,$A$1:$AL$1,0))&amp;"")="","",IF(ISNUMBER(INDEX($A157:$AL157,MATCH(Lists!$F$7,$A$1:$AL$1,0))),ROUND(MOD(INDEX($A157:$AL157,MATCH(Lists!$F$7,$A$1:$AL$1,0)),1)*1440,0),VALUE(LEFT(INDEX($A157:$AL157,MATCH(Lists!$F$7,$A$1:$AL$1,0)),2))*60+VALUE(MID(INDEX($A157:$AL157,MATCH(Lists!$F$7,$A$1:$AL$1,0)),4,2)))),"")),IFERROR(IF(TRIM(INDEX($A157:$AL157,MATCH(Lists!$F$7,$A$1:$AL$1,0))&amp;"")="","",IF(ISNUMBER(INDEX($A157:$AL157,MATCH(Lists!$F$7,$A$1:$AL$1,0))),ROUND(MOD(INDEX($A157:$AL157,MATCH(Lists!$F$7,$A$1:$AL$1,0)),1)*1440,0),VALUE(LEFT(INDEX($A157:$AL157,MATCH(Lists!$F$7,$A$1:$AL$1,0)),2))*60+VALUE(MID(INDEX($A157:$AL157,MATCH(Lists!$F$7,$A$1:$AL$1,0)),4,2)))),""),-1))</f>
        <v/>
      </c>
      <c r="AW157" s="21">
        <f>IF(IFERROR(TRIM(INDEX($A157:$AL157,MATCH(Lists!$F$2,$A$1:$AL$1,0))&amp;""),"")="","",IF(IFERROR(TRIM(INDEX($A157:$AL157,MATCH(Lists!$F$8,$A$1:$AL$1,0))&amp;""),"")&lt;&gt;"",IFERROR(TRIM(INDEX($A157:$AL157,MATCH(Lists!$F$8,$A$1:$AL$1,0))&amp;""),""),IFERROR(TRIM(INDEX($A157:$AL157,MATCH(Lists!$F$9,$A$1:$AL$1,0))&amp;""),"")))</f>
        <v/>
      </c>
      <c r="AX157" s="21">
        <f>IFERROR(IF(TRIM(INDEX($A157:$AL157,MATCH(Lists!$F$10,$A$1:$AL$1,0))&amp;"")="","",VALUE(TRIM(INDEX($A157:$AL157,MATCH(Lists!$F$10,$A$1:$AL$1,0))&amp;""))),"")</f>
        <v/>
      </c>
      <c r="AY157" s="21">
        <f>IF(IFERROR(TRIM(INDEX($A157:$AL157,MATCH(Lists!$F$2,$A$1:$AL$1,0))&amp;""),"")="","",IF(AN157="","New",AN157))</f>
        <v/>
      </c>
      <c r="AZ157" s="21">
        <f>IF(IFERROR(TRIM(INDEX($A157:$AL157,MATCH(Lists!$F$2,$A$1:$AL$1,0))&amp;""),"")="","",IF(OR(IFERROR(TRIM(INDEX($A157:$AL157,MATCH(Lists!$F$13,$A$1:$AL$1,0))&amp;""),"")="Paid",IFERROR(TRIM(INDEX($A157:$AL157,MATCH(Lists!$F$13,$A$1:$AL$1,0))&amp;""),"")="Partially refunded"),"Paid",IF(AP157="Yes","Paid (by hand)",IFERROR(TRIM(INDEX($A157:$AL157,MATCH(Lists!$F$13,$A$1:$AL$1,0))&amp;""),""))))</f>
        <v/>
      </c>
      <c r="BA157" s="21">
        <f>IF(AND(IFERROR(TRIM(INDEX($A157:$AL157,MATCH(Lists!$F$2,$A$1:$AL$1,0))&amp;""),"")&lt;&gt;"",AT157&gt;0,AU157&gt;=0,AV157&gt;AU157,AY157&lt;&gt;"Declined"),1,0)</f>
        <v/>
      </c>
      <c r="BB157" s="21">
        <f>IF(BA157=1,COUNTIFS($AS$2:$AS$501,AS157,$AT$2:$AT$501,AT157,$AU$2:$AU$501,"&lt;"&amp;AV157,$AV$2:$AV$501,"&gt;"&amp;AU157,$BA$2:$BA$501,1)-1,"")</f>
        <v/>
      </c>
      <c r="BC157" s="21">
        <f>IF(N(BB157)&gt;0,"Clashes with "&amp;INDEX($AW$2:$AW$501,SUMPRODUCT(MAX(($AS$2:$AS$501=AS157)*($AT$2:$AT$501=AT157)*($AU$2:$AU$501&lt;AV157)*($AV$2:$AV$501&gt;AU157)*($BA$2:$BA$501=1)*(ROW($AS$2:$AS$501)&lt;&gt;ROW())*ROW($AS$2:$AS$501)))-1)&amp;" ("&amp;INDEX($AY$2:$AY$501,SUMPRODUCT(MAX(($AS$2:$AS$501=AS157)*($AT$2:$AT$501=AT157)*($AU$2:$AU$501&lt;AV157)*($AV$2:$AV$501&gt;AU157)*($BA$2:$BA$501=1)*(ROW($AS$2:$AS$501)&lt;&gt;ROW())*ROW($AS$2:$AS$501)))-1)&amp;")"&amp;IF(BB157&gt;1," and "&amp;(BB157-1)&amp;" more",""),"")</f>
        <v/>
      </c>
      <c r="BD157" s="21">
        <f>IF(AND(BA157=1,AY157="Confirmed"),AT157*10000000+AU157*1000+ROW(),"")</f>
        <v/>
      </c>
      <c r="BE157" s="21">
        <f>IF(IFERROR(TRIM(INDEX($A157:$AL157,MATCH(Lists!$F$2,$A$1:$AL$1,0))&amp;""),"")="","",IFERROR(TRIM(INDEX($A157:$AL157,MATCH(Lists!$F$11,$A$1:$AL$1,0))&amp;""),""))</f>
        <v/>
      </c>
      <c r="BF157" s="21">
        <f>IF(IFERROR(TRIM(INDEX($A157:$AL157,MATCH(Lists!$F$2,$A$1:$AL$1,0))&amp;""),"")="","",IFERROR(TRIM(INDEX($A157:$AL157,MATCH(Lists!$F$12,$A$1:$AL$1,0))&amp;""),""))</f>
        <v/>
      </c>
    </row>
    <row r="158">
      <c r="AM158" s="19" t="n"/>
      <c r="AN158" s="23" t="n"/>
      <c r="AO158" s="23" t="n"/>
      <c r="AP158" s="23" t="n"/>
      <c r="AQ158" s="23" t="n"/>
      <c r="AR158" s="19" t="n"/>
      <c r="AS158" s="21">
        <f>IF(IFERROR(TRIM(INDEX($A158:$AL158,MATCH(Lists!$F$2,$A$1:$AL$1,0))&amp;""),"")="","",IF(AND(IFERROR(TRIM(INDEX($A158:$AL158,MATCH(Lists!$F$3,$A$1:$AL$1,0))&amp;""),"")="Other",IFERROR(TRIM(INDEX($A158:$AL158,MATCH(Lists!$F$4,$A$1:$AL$1,0))&amp;""),"")&lt;&gt;""),IFERROR(TRIM(INDEX($A158:$AL158,MATCH(Lists!$F$4,$A$1:$AL$1,0))&amp;""),""),IF(IFERROR(TRIM(INDEX($A158:$AL158,MATCH(Lists!$F$3,$A$1:$AL$1,0))&amp;""),"")="","(no space)",IFERROR(TRIM(INDEX($A158:$AL158,MATCH(Lists!$F$3,$A$1:$AL$1,0))&amp;""),""))))</f>
        <v/>
      </c>
      <c r="AT158" s="22">
        <f>IF(IFERROR(TRIM(INDEX($A158:$AL158,MATCH(Lists!$F$2,$A$1:$AL$1,0))&amp;""),"")="",0,N(IFERROR(IF(TRIM(INDEX($A158:$AL158,MATCH(Lists!$F$5,$A$1:$AL$1,0))&amp;"")="","",IF(ISNUMBER(INDEX($A158:$AL158,MATCH(Lists!$F$5,$A$1:$AL$1,0))),INT(INDEX($A158:$AL158,MATCH(Lists!$F$5,$A$1:$AL$1,0))),DATE(VALUE(LEFT(INDEX($A158:$AL158,MATCH(Lists!$F$5,$A$1:$AL$1,0)),4)),VALUE(MID(INDEX($A158:$AL158,MATCH(Lists!$F$5,$A$1:$AL$1,0)),6,2)),VALUE(MID(INDEX($A158:$AL158,MATCH(Lists!$F$5,$A$1:$AL$1,0)),9,2))))),"")))</f>
        <v/>
      </c>
      <c r="AU158" s="21">
        <f>IF(IFERROR(TRIM(INDEX($A158:$AL158,MATCH(Lists!$F$2,$A$1:$AL$1,0))&amp;""),"")="",-1,IF(ISNUMBER(IFERROR(IF(TRIM(INDEX($A158:$AL158,MATCH(Lists!$F$6,$A$1:$AL$1,0))&amp;"")="","",IF(ISNUMBER(INDEX($A158:$AL158,MATCH(Lists!$F$6,$A$1:$AL$1,0))),ROUND(MOD(INDEX($A158:$AL158,MATCH(Lists!$F$6,$A$1:$AL$1,0)),1)*1440,0),VALUE(LEFT(INDEX($A158:$AL158,MATCH(Lists!$F$6,$A$1:$AL$1,0)),2))*60+VALUE(MID(INDEX($A158:$AL158,MATCH(Lists!$F$6,$A$1:$AL$1,0)),4,2)))),"")),IFERROR(IF(TRIM(INDEX($A158:$AL158,MATCH(Lists!$F$6,$A$1:$AL$1,0))&amp;"")="","",IF(ISNUMBER(INDEX($A158:$AL158,MATCH(Lists!$F$6,$A$1:$AL$1,0))),ROUND(MOD(INDEX($A158:$AL158,MATCH(Lists!$F$6,$A$1:$AL$1,0)),1)*1440,0),VALUE(LEFT(INDEX($A158:$AL158,MATCH(Lists!$F$6,$A$1:$AL$1,0)),2))*60+VALUE(MID(INDEX($A158:$AL158,MATCH(Lists!$F$6,$A$1:$AL$1,0)),4,2)))),""),-1))</f>
        <v/>
      </c>
      <c r="AV158" s="21">
        <f>IF(IFERROR(TRIM(INDEX($A158:$AL158,MATCH(Lists!$F$2,$A$1:$AL$1,0))&amp;""),"")="",-1,IF(ISNUMBER(IFERROR(IF(TRIM(INDEX($A158:$AL158,MATCH(Lists!$F$7,$A$1:$AL$1,0))&amp;"")="","",IF(ISNUMBER(INDEX($A158:$AL158,MATCH(Lists!$F$7,$A$1:$AL$1,0))),ROUND(MOD(INDEX($A158:$AL158,MATCH(Lists!$F$7,$A$1:$AL$1,0)),1)*1440,0),VALUE(LEFT(INDEX($A158:$AL158,MATCH(Lists!$F$7,$A$1:$AL$1,0)),2))*60+VALUE(MID(INDEX($A158:$AL158,MATCH(Lists!$F$7,$A$1:$AL$1,0)),4,2)))),"")),IFERROR(IF(TRIM(INDEX($A158:$AL158,MATCH(Lists!$F$7,$A$1:$AL$1,0))&amp;"")="","",IF(ISNUMBER(INDEX($A158:$AL158,MATCH(Lists!$F$7,$A$1:$AL$1,0))),ROUND(MOD(INDEX($A158:$AL158,MATCH(Lists!$F$7,$A$1:$AL$1,0)),1)*1440,0),VALUE(LEFT(INDEX($A158:$AL158,MATCH(Lists!$F$7,$A$1:$AL$1,0)),2))*60+VALUE(MID(INDEX($A158:$AL158,MATCH(Lists!$F$7,$A$1:$AL$1,0)),4,2)))),""),-1))</f>
        <v/>
      </c>
      <c r="AW158" s="21">
        <f>IF(IFERROR(TRIM(INDEX($A158:$AL158,MATCH(Lists!$F$2,$A$1:$AL$1,0))&amp;""),"")="","",IF(IFERROR(TRIM(INDEX($A158:$AL158,MATCH(Lists!$F$8,$A$1:$AL$1,0))&amp;""),"")&lt;&gt;"",IFERROR(TRIM(INDEX($A158:$AL158,MATCH(Lists!$F$8,$A$1:$AL$1,0))&amp;""),""),IFERROR(TRIM(INDEX($A158:$AL158,MATCH(Lists!$F$9,$A$1:$AL$1,0))&amp;""),"")))</f>
        <v/>
      </c>
      <c r="AX158" s="21">
        <f>IFERROR(IF(TRIM(INDEX($A158:$AL158,MATCH(Lists!$F$10,$A$1:$AL$1,0))&amp;"")="","",VALUE(TRIM(INDEX($A158:$AL158,MATCH(Lists!$F$10,$A$1:$AL$1,0))&amp;""))),"")</f>
        <v/>
      </c>
      <c r="AY158" s="21">
        <f>IF(IFERROR(TRIM(INDEX($A158:$AL158,MATCH(Lists!$F$2,$A$1:$AL$1,0))&amp;""),"")="","",IF(AN158="","New",AN158))</f>
        <v/>
      </c>
      <c r="AZ158" s="21">
        <f>IF(IFERROR(TRIM(INDEX($A158:$AL158,MATCH(Lists!$F$2,$A$1:$AL$1,0))&amp;""),"")="","",IF(OR(IFERROR(TRIM(INDEX($A158:$AL158,MATCH(Lists!$F$13,$A$1:$AL$1,0))&amp;""),"")="Paid",IFERROR(TRIM(INDEX($A158:$AL158,MATCH(Lists!$F$13,$A$1:$AL$1,0))&amp;""),"")="Partially refunded"),"Paid",IF(AP158="Yes","Paid (by hand)",IFERROR(TRIM(INDEX($A158:$AL158,MATCH(Lists!$F$13,$A$1:$AL$1,0))&amp;""),""))))</f>
        <v/>
      </c>
      <c r="BA158" s="21">
        <f>IF(AND(IFERROR(TRIM(INDEX($A158:$AL158,MATCH(Lists!$F$2,$A$1:$AL$1,0))&amp;""),"")&lt;&gt;"",AT158&gt;0,AU158&gt;=0,AV158&gt;AU158,AY158&lt;&gt;"Declined"),1,0)</f>
        <v/>
      </c>
      <c r="BB158" s="21">
        <f>IF(BA158=1,COUNTIFS($AS$2:$AS$501,AS158,$AT$2:$AT$501,AT158,$AU$2:$AU$501,"&lt;"&amp;AV158,$AV$2:$AV$501,"&gt;"&amp;AU158,$BA$2:$BA$501,1)-1,"")</f>
        <v/>
      </c>
      <c r="BC158" s="21">
        <f>IF(N(BB158)&gt;0,"Clashes with "&amp;INDEX($AW$2:$AW$501,SUMPRODUCT(MAX(($AS$2:$AS$501=AS158)*($AT$2:$AT$501=AT158)*($AU$2:$AU$501&lt;AV158)*($AV$2:$AV$501&gt;AU158)*($BA$2:$BA$501=1)*(ROW($AS$2:$AS$501)&lt;&gt;ROW())*ROW($AS$2:$AS$501)))-1)&amp;" ("&amp;INDEX($AY$2:$AY$501,SUMPRODUCT(MAX(($AS$2:$AS$501=AS158)*($AT$2:$AT$501=AT158)*($AU$2:$AU$501&lt;AV158)*($AV$2:$AV$501&gt;AU158)*($BA$2:$BA$501=1)*(ROW($AS$2:$AS$501)&lt;&gt;ROW())*ROW($AS$2:$AS$501)))-1)&amp;")"&amp;IF(BB158&gt;1," and "&amp;(BB158-1)&amp;" more",""),"")</f>
        <v/>
      </c>
      <c r="BD158" s="21">
        <f>IF(AND(BA158=1,AY158="Confirmed"),AT158*10000000+AU158*1000+ROW(),"")</f>
        <v/>
      </c>
      <c r="BE158" s="21">
        <f>IF(IFERROR(TRIM(INDEX($A158:$AL158,MATCH(Lists!$F$2,$A$1:$AL$1,0))&amp;""),"")="","",IFERROR(TRIM(INDEX($A158:$AL158,MATCH(Lists!$F$11,$A$1:$AL$1,0))&amp;""),""))</f>
        <v/>
      </c>
      <c r="BF158" s="21">
        <f>IF(IFERROR(TRIM(INDEX($A158:$AL158,MATCH(Lists!$F$2,$A$1:$AL$1,0))&amp;""),"")="","",IFERROR(TRIM(INDEX($A158:$AL158,MATCH(Lists!$F$12,$A$1:$AL$1,0))&amp;""),""))</f>
        <v/>
      </c>
    </row>
    <row r="159">
      <c r="AM159" s="19" t="n"/>
      <c r="AN159" s="23" t="n"/>
      <c r="AO159" s="23" t="n"/>
      <c r="AP159" s="23" t="n"/>
      <c r="AQ159" s="23" t="n"/>
      <c r="AR159" s="19" t="n"/>
      <c r="AS159" s="21">
        <f>IF(IFERROR(TRIM(INDEX($A159:$AL159,MATCH(Lists!$F$2,$A$1:$AL$1,0))&amp;""),"")="","",IF(AND(IFERROR(TRIM(INDEX($A159:$AL159,MATCH(Lists!$F$3,$A$1:$AL$1,0))&amp;""),"")="Other",IFERROR(TRIM(INDEX($A159:$AL159,MATCH(Lists!$F$4,$A$1:$AL$1,0))&amp;""),"")&lt;&gt;""),IFERROR(TRIM(INDEX($A159:$AL159,MATCH(Lists!$F$4,$A$1:$AL$1,0))&amp;""),""),IF(IFERROR(TRIM(INDEX($A159:$AL159,MATCH(Lists!$F$3,$A$1:$AL$1,0))&amp;""),"")="","(no space)",IFERROR(TRIM(INDEX($A159:$AL159,MATCH(Lists!$F$3,$A$1:$AL$1,0))&amp;""),""))))</f>
        <v/>
      </c>
      <c r="AT159" s="22">
        <f>IF(IFERROR(TRIM(INDEX($A159:$AL159,MATCH(Lists!$F$2,$A$1:$AL$1,0))&amp;""),"")="",0,N(IFERROR(IF(TRIM(INDEX($A159:$AL159,MATCH(Lists!$F$5,$A$1:$AL$1,0))&amp;"")="","",IF(ISNUMBER(INDEX($A159:$AL159,MATCH(Lists!$F$5,$A$1:$AL$1,0))),INT(INDEX($A159:$AL159,MATCH(Lists!$F$5,$A$1:$AL$1,0))),DATE(VALUE(LEFT(INDEX($A159:$AL159,MATCH(Lists!$F$5,$A$1:$AL$1,0)),4)),VALUE(MID(INDEX($A159:$AL159,MATCH(Lists!$F$5,$A$1:$AL$1,0)),6,2)),VALUE(MID(INDEX($A159:$AL159,MATCH(Lists!$F$5,$A$1:$AL$1,0)),9,2))))),"")))</f>
        <v/>
      </c>
      <c r="AU159" s="21">
        <f>IF(IFERROR(TRIM(INDEX($A159:$AL159,MATCH(Lists!$F$2,$A$1:$AL$1,0))&amp;""),"")="",-1,IF(ISNUMBER(IFERROR(IF(TRIM(INDEX($A159:$AL159,MATCH(Lists!$F$6,$A$1:$AL$1,0))&amp;"")="","",IF(ISNUMBER(INDEX($A159:$AL159,MATCH(Lists!$F$6,$A$1:$AL$1,0))),ROUND(MOD(INDEX($A159:$AL159,MATCH(Lists!$F$6,$A$1:$AL$1,0)),1)*1440,0),VALUE(LEFT(INDEX($A159:$AL159,MATCH(Lists!$F$6,$A$1:$AL$1,0)),2))*60+VALUE(MID(INDEX($A159:$AL159,MATCH(Lists!$F$6,$A$1:$AL$1,0)),4,2)))),"")),IFERROR(IF(TRIM(INDEX($A159:$AL159,MATCH(Lists!$F$6,$A$1:$AL$1,0))&amp;"")="","",IF(ISNUMBER(INDEX($A159:$AL159,MATCH(Lists!$F$6,$A$1:$AL$1,0))),ROUND(MOD(INDEX($A159:$AL159,MATCH(Lists!$F$6,$A$1:$AL$1,0)),1)*1440,0),VALUE(LEFT(INDEX($A159:$AL159,MATCH(Lists!$F$6,$A$1:$AL$1,0)),2))*60+VALUE(MID(INDEX($A159:$AL159,MATCH(Lists!$F$6,$A$1:$AL$1,0)),4,2)))),""),-1))</f>
        <v/>
      </c>
      <c r="AV159" s="21">
        <f>IF(IFERROR(TRIM(INDEX($A159:$AL159,MATCH(Lists!$F$2,$A$1:$AL$1,0))&amp;""),"")="",-1,IF(ISNUMBER(IFERROR(IF(TRIM(INDEX($A159:$AL159,MATCH(Lists!$F$7,$A$1:$AL$1,0))&amp;"")="","",IF(ISNUMBER(INDEX($A159:$AL159,MATCH(Lists!$F$7,$A$1:$AL$1,0))),ROUND(MOD(INDEX($A159:$AL159,MATCH(Lists!$F$7,$A$1:$AL$1,0)),1)*1440,0),VALUE(LEFT(INDEX($A159:$AL159,MATCH(Lists!$F$7,$A$1:$AL$1,0)),2))*60+VALUE(MID(INDEX($A159:$AL159,MATCH(Lists!$F$7,$A$1:$AL$1,0)),4,2)))),"")),IFERROR(IF(TRIM(INDEX($A159:$AL159,MATCH(Lists!$F$7,$A$1:$AL$1,0))&amp;"")="","",IF(ISNUMBER(INDEX($A159:$AL159,MATCH(Lists!$F$7,$A$1:$AL$1,0))),ROUND(MOD(INDEX($A159:$AL159,MATCH(Lists!$F$7,$A$1:$AL$1,0)),1)*1440,0),VALUE(LEFT(INDEX($A159:$AL159,MATCH(Lists!$F$7,$A$1:$AL$1,0)),2))*60+VALUE(MID(INDEX($A159:$AL159,MATCH(Lists!$F$7,$A$1:$AL$1,0)),4,2)))),""),-1))</f>
        <v/>
      </c>
      <c r="AW159" s="21">
        <f>IF(IFERROR(TRIM(INDEX($A159:$AL159,MATCH(Lists!$F$2,$A$1:$AL$1,0))&amp;""),"")="","",IF(IFERROR(TRIM(INDEX($A159:$AL159,MATCH(Lists!$F$8,$A$1:$AL$1,0))&amp;""),"")&lt;&gt;"",IFERROR(TRIM(INDEX($A159:$AL159,MATCH(Lists!$F$8,$A$1:$AL$1,0))&amp;""),""),IFERROR(TRIM(INDEX($A159:$AL159,MATCH(Lists!$F$9,$A$1:$AL$1,0))&amp;""),"")))</f>
        <v/>
      </c>
      <c r="AX159" s="21">
        <f>IFERROR(IF(TRIM(INDEX($A159:$AL159,MATCH(Lists!$F$10,$A$1:$AL$1,0))&amp;"")="","",VALUE(TRIM(INDEX($A159:$AL159,MATCH(Lists!$F$10,$A$1:$AL$1,0))&amp;""))),"")</f>
        <v/>
      </c>
      <c r="AY159" s="21">
        <f>IF(IFERROR(TRIM(INDEX($A159:$AL159,MATCH(Lists!$F$2,$A$1:$AL$1,0))&amp;""),"")="","",IF(AN159="","New",AN159))</f>
        <v/>
      </c>
      <c r="AZ159" s="21">
        <f>IF(IFERROR(TRIM(INDEX($A159:$AL159,MATCH(Lists!$F$2,$A$1:$AL$1,0))&amp;""),"")="","",IF(OR(IFERROR(TRIM(INDEX($A159:$AL159,MATCH(Lists!$F$13,$A$1:$AL$1,0))&amp;""),"")="Paid",IFERROR(TRIM(INDEX($A159:$AL159,MATCH(Lists!$F$13,$A$1:$AL$1,0))&amp;""),"")="Partially refunded"),"Paid",IF(AP159="Yes","Paid (by hand)",IFERROR(TRIM(INDEX($A159:$AL159,MATCH(Lists!$F$13,$A$1:$AL$1,0))&amp;""),""))))</f>
        <v/>
      </c>
      <c r="BA159" s="21">
        <f>IF(AND(IFERROR(TRIM(INDEX($A159:$AL159,MATCH(Lists!$F$2,$A$1:$AL$1,0))&amp;""),"")&lt;&gt;"",AT159&gt;0,AU159&gt;=0,AV159&gt;AU159,AY159&lt;&gt;"Declined"),1,0)</f>
        <v/>
      </c>
      <c r="BB159" s="21">
        <f>IF(BA159=1,COUNTIFS($AS$2:$AS$501,AS159,$AT$2:$AT$501,AT159,$AU$2:$AU$501,"&lt;"&amp;AV159,$AV$2:$AV$501,"&gt;"&amp;AU159,$BA$2:$BA$501,1)-1,"")</f>
        <v/>
      </c>
      <c r="BC159" s="21">
        <f>IF(N(BB159)&gt;0,"Clashes with "&amp;INDEX($AW$2:$AW$501,SUMPRODUCT(MAX(($AS$2:$AS$501=AS159)*($AT$2:$AT$501=AT159)*($AU$2:$AU$501&lt;AV159)*($AV$2:$AV$501&gt;AU159)*($BA$2:$BA$501=1)*(ROW($AS$2:$AS$501)&lt;&gt;ROW())*ROW($AS$2:$AS$501)))-1)&amp;" ("&amp;INDEX($AY$2:$AY$501,SUMPRODUCT(MAX(($AS$2:$AS$501=AS159)*($AT$2:$AT$501=AT159)*($AU$2:$AU$501&lt;AV159)*($AV$2:$AV$501&gt;AU159)*($BA$2:$BA$501=1)*(ROW($AS$2:$AS$501)&lt;&gt;ROW())*ROW($AS$2:$AS$501)))-1)&amp;")"&amp;IF(BB159&gt;1," and "&amp;(BB159-1)&amp;" more",""),"")</f>
        <v/>
      </c>
      <c r="BD159" s="21">
        <f>IF(AND(BA159=1,AY159="Confirmed"),AT159*10000000+AU159*1000+ROW(),"")</f>
        <v/>
      </c>
      <c r="BE159" s="21">
        <f>IF(IFERROR(TRIM(INDEX($A159:$AL159,MATCH(Lists!$F$2,$A$1:$AL$1,0))&amp;""),"")="","",IFERROR(TRIM(INDEX($A159:$AL159,MATCH(Lists!$F$11,$A$1:$AL$1,0))&amp;""),""))</f>
        <v/>
      </c>
      <c r="BF159" s="21">
        <f>IF(IFERROR(TRIM(INDEX($A159:$AL159,MATCH(Lists!$F$2,$A$1:$AL$1,0))&amp;""),"")="","",IFERROR(TRIM(INDEX($A159:$AL159,MATCH(Lists!$F$12,$A$1:$AL$1,0))&amp;""),""))</f>
        <v/>
      </c>
    </row>
    <row r="160">
      <c r="AM160" s="19" t="n"/>
      <c r="AN160" s="23" t="n"/>
      <c r="AO160" s="23" t="n"/>
      <c r="AP160" s="23" t="n"/>
      <c r="AQ160" s="23" t="n"/>
      <c r="AR160" s="19" t="n"/>
      <c r="AS160" s="21">
        <f>IF(IFERROR(TRIM(INDEX($A160:$AL160,MATCH(Lists!$F$2,$A$1:$AL$1,0))&amp;""),"")="","",IF(AND(IFERROR(TRIM(INDEX($A160:$AL160,MATCH(Lists!$F$3,$A$1:$AL$1,0))&amp;""),"")="Other",IFERROR(TRIM(INDEX($A160:$AL160,MATCH(Lists!$F$4,$A$1:$AL$1,0))&amp;""),"")&lt;&gt;""),IFERROR(TRIM(INDEX($A160:$AL160,MATCH(Lists!$F$4,$A$1:$AL$1,0))&amp;""),""),IF(IFERROR(TRIM(INDEX($A160:$AL160,MATCH(Lists!$F$3,$A$1:$AL$1,0))&amp;""),"")="","(no space)",IFERROR(TRIM(INDEX($A160:$AL160,MATCH(Lists!$F$3,$A$1:$AL$1,0))&amp;""),""))))</f>
        <v/>
      </c>
      <c r="AT160" s="22">
        <f>IF(IFERROR(TRIM(INDEX($A160:$AL160,MATCH(Lists!$F$2,$A$1:$AL$1,0))&amp;""),"")="",0,N(IFERROR(IF(TRIM(INDEX($A160:$AL160,MATCH(Lists!$F$5,$A$1:$AL$1,0))&amp;"")="","",IF(ISNUMBER(INDEX($A160:$AL160,MATCH(Lists!$F$5,$A$1:$AL$1,0))),INT(INDEX($A160:$AL160,MATCH(Lists!$F$5,$A$1:$AL$1,0))),DATE(VALUE(LEFT(INDEX($A160:$AL160,MATCH(Lists!$F$5,$A$1:$AL$1,0)),4)),VALUE(MID(INDEX($A160:$AL160,MATCH(Lists!$F$5,$A$1:$AL$1,0)),6,2)),VALUE(MID(INDEX($A160:$AL160,MATCH(Lists!$F$5,$A$1:$AL$1,0)),9,2))))),"")))</f>
        <v/>
      </c>
      <c r="AU160" s="21">
        <f>IF(IFERROR(TRIM(INDEX($A160:$AL160,MATCH(Lists!$F$2,$A$1:$AL$1,0))&amp;""),"")="",-1,IF(ISNUMBER(IFERROR(IF(TRIM(INDEX($A160:$AL160,MATCH(Lists!$F$6,$A$1:$AL$1,0))&amp;"")="","",IF(ISNUMBER(INDEX($A160:$AL160,MATCH(Lists!$F$6,$A$1:$AL$1,0))),ROUND(MOD(INDEX($A160:$AL160,MATCH(Lists!$F$6,$A$1:$AL$1,0)),1)*1440,0),VALUE(LEFT(INDEX($A160:$AL160,MATCH(Lists!$F$6,$A$1:$AL$1,0)),2))*60+VALUE(MID(INDEX($A160:$AL160,MATCH(Lists!$F$6,$A$1:$AL$1,0)),4,2)))),"")),IFERROR(IF(TRIM(INDEX($A160:$AL160,MATCH(Lists!$F$6,$A$1:$AL$1,0))&amp;"")="","",IF(ISNUMBER(INDEX($A160:$AL160,MATCH(Lists!$F$6,$A$1:$AL$1,0))),ROUND(MOD(INDEX($A160:$AL160,MATCH(Lists!$F$6,$A$1:$AL$1,0)),1)*1440,0),VALUE(LEFT(INDEX($A160:$AL160,MATCH(Lists!$F$6,$A$1:$AL$1,0)),2))*60+VALUE(MID(INDEX($A160:$AL160,MATCH(Lists!$F$6,$A$1:$AL$1,0)),4,2)))),""),-1))</f>
        <v/>
      </c>
      <c r="AV160" s="21">
        <f>IF(IFERROR(TRIM(INDEX($A160:$AL160,MATCH(Lists!$F$2,$A$1:$AL$1,0))&amp;""),"")="",-1,IF(ISNUMBER(IFERROR(IF(TRIM(INDEX($A160:$AL160,MATCH(Lists!$F$7,$A$1:$AL$1,0))&amp;"")="","",IF(ISNUMBER(INDEX($A160:$AL160,MATCH(Lists!$F$7,$A$1:$AL$1,0))),ROUND(MOD(INDEX($A160:$AL160,MATCH(Lists!$F$7,$A$1:$AL$1,0)),1)*1440,0),VALUE(LEFT(INDEX($A160:$AL160,MATCH(Lists!$F$7,$A$1:$AL$1,0)),2))*60+VALUE(MID(INDEX($A160:$AL160,MATCH(Lists!$F$7,$A$1:$AL$1,0)),4,2)))),"")),IFERROR(IF(TRIM(INDEX($A160:$AL160,MATCH(Lists!$F$7,$A$1:$AL$1,0))&amp;"")="","",IF(ISNUMBER(INDEX($A160:$AL160,MATCH(Lists!$F$7,$A$1:$AL$1,0))),ROUND(MOD(INDEX($A160:$AL160,MATCH(Lists!$F$7,$A$1:$AL$1,0)),1)*1440,0),VALUE(LEFT(INDEX($A160:$AL160,MATCH(Lists!$F$7,$A$1:$AL$1,0)),2))*60+VALUE(MID(INDEX($A160:$AL160,MATCH(Lists!$F$7,$A$1:$AL$1,0)),4,2)))),""),-1))</f>
        <v/>
      </c>
      <c r="AW160" s="21">
        <f>IF(IFERROR(TRIM(INDEX($A160:$AL160,MATCH(Lists!$F$2,$A$1:$AL$1,0))&amp;""),"")="","",IF(IFERROR(TRIM(INDEX($A160:$AL160,MATCH(Lists!$F$8,$A$1:$AL$1,0))&amp;""),"")&lt;&gt;"",IFERROR(TRIM(INDEX($A160:$AL160,MATCH(Lists!$F$8,$A$1:$AL$1,0))&amp;""),""),IFERROR(TRIM(INDEX($A160:$AL160,MATCH(Lists!$F$9,$A$1:$AL$1,0))&amp;""),"")))</f>
        <v/>
      </c>
      <c r="AX160" s="21">
        <f>IFERROR(IF(TRIM(INDEX($A160:$AL160,MATCH(Lists!$F$10,$A$1:$AL$1,0))&amp;"")="","",VALUE(TRIM(INDEX($A160:$AL160,MATCH(Lists!$F$10,$A$1:$AL$1,0))&amp;""))),"")</f>
        <v/>
      </c>
      <c r="AY160" s="21">
        <f>IF(IFERROR(TRIM(INDEX($A160:$AL160,MATCH(Lists!$F$2,$A$1:$AL$1,0))&amp;""),"")="","",IF(AN160="","New",AN160))</f>
        <v/>
      </c>
      <c r="AZ160" s="21">
        <f>IF(IFERROR(TRIM(INDEX($A160:$AL160,MATCH(Lists!$F$2,$A$1:$AL$1,0))&amp;""),"")="","",IF(OR(IFERROR(TRIM(INDEX($A160:$AL160,MATCH(Lists!$F$13,$A$1:$AL$1,0))&amp;""),"")="Paid",IFERROR(TRIM(INDEX($A160:$AL160,MATCH(Lists!$F$13,$A$1:$AL$1,0))&amp;""),"")="Partially refunded"),"Paid",IF(AP160="Yes","Paid (by hand)",IFERROR(TRIM(INDEX($A160:$AL160,MATCH(Lists!$F$13,$A$1:$AL$1,0))&amp;""),""))))</f>
        <v/>
      </c>
      <c r="BA160" s="21">
        <f>IF(AND(IFERROR(TRIM(INDEX($A160:$AL160,MATCH(Lists!$F$2,$A$1:$AL$1,0))&amp;""),"")&lt;&gt;"",AT160&gt;0,AU160&gt;=0,AV160&gt;AU160,AY160&lt;&gt;"Declined"),1,0)</f>
        <v/>
      </c>
      <c r="BB160" s="21">
        <f>IF(BA160=1,COUNTIFS($AS$2:$AS$501,AS160,$AT$2:$AT$501,AT160,$AU$2:$AU$501,"&lt;"&amp;AV160,$AV$2:$AV$501,"&gt;"&amp;AU160,$BA$2:$BA$501,1)-1,"")</f>
        <v/>
      </c>
      <c r="BC160" s="21">
        <f>IF(N(BB160)&gt;0,"Clashes with "&amp;INDEX($AW$2:$AW$501,SUMPRODUCT(MAX(($AS$2:$AS$501=AS160)*($AT$2:$AT$501=AT160)*($AU$2:$AU$501&lt;AV160)*($AV$2:$AV$501&gt;AU160)*($BA$2:$BA$501=1)*(ROW($AS$2:$AS$501)&lt;&gt;ROW())*ROW($AS$2:$AS$501)))-1)&amp;" ("&amp;INDEX($AY$2:$AY$501,SUMPRODUCT(MAX(($AS$2:$AS$501=AS160)*($AT$2:$AT$501=AT160)*($AU$2:$AU$501&lt;AV160)*($AV$2:$AV$501&gt;AU160)*($BA$2:$BA$501=1)*(ROW($AS$2:$AS$501)&lt;&gt;ROW())*ROW($AS$2:$AS$501)))-1)&amp;")"&amp;IF(BB160&gt;1," and "&amp;(BB160-1)&amp;" more",""),"")</f>
        <v/>
      </c>
      <c r="BD160" s="21">
        <f>IF(AND(BA160=1,AY160="Confirmed"),AT160*10000000+AU160*1000+ROW(),"")</f>
        <v/>
      </c>
      <c r="BE160" s="21">
        <f>IF(IFERROR(TRIM(INDEX($A160:$AL160,MATCH(Lists!$F$2,$A$1:$AL$1,0))&amp;""),"")="","",IFERROR(TRIM(INDEX($A160:$AL160,MATCH(Lists!$F$11,$A$1:$AL$1,0))&amp;""),""))</f>
        <v/>
      </c>
      <c r="BF160" s="21">
        <f>IF(IFERROR(TRIM(INDEX($A160:$AL160,MATCH(Lists!$F$2,$A$1:$AL$1,0))&amp;""),"")="","",IFERROR(TRIM(INDEX($A160:$AL160,MATCH(Lists!$F$12,$A$1:$AL$1,0))&amp;""),""))</f>
        <v/>
      </c>
    </row>
    <row r="161">
      <c r="AM161" s="19" t="n"/>
      <c r="AN161" s="23" t="n"/>
      <c r="AO161" s="23" t="n"/>
      <c r="AP161" s="23" t="n"/>
      <c r="AQ161" s="23" t="n"/>
      <c r="AR161" s="19" t="n"/>
      <c r="AS161" s="21">
        <f>IF(IFERROR(TRIM(INDEX($A161:$AL161,MATCH(Lists!$F$2,$A$1:$AL$1,0))&amp;""),"")="","",IF(AND(IFERROR(TRIM(INDEX($A161:$AL161,MATCH(Lists!$F$3,$A$1:$AL$1,0))&amp;""),"")="Other",IFERROR(TRIM(INDEX($A161:$AL161,MATCH(Lists!$F$4,$A$1:$AL$1,0))&amp;""),"")&lt;&gt;""),IFERROR(TRIM(INDEX($A161:$AL161,MATCH(Lists!$F$4,$A$1:$AL$1,0))&amp;""),""),IF(IFERROR(TRIM(INDEX($A161:$AL161,MATCH(Lists!$F$3,$A$1:$AL$1,0))&amp;""),"")="","(no space)",IFERROR(TRIM(INDEX($A161:$AL161,MATCH(Lists!$F$3,$A$1:$AL$1,0))&amp;""),""))))</f>
        <v/>
      </c>
      <c r="AT161" s="22">
        <f>IF(IFERROR(TRIM(INDEX($A161:$AL161,MATCH(Lists!$F$2,$A$1:$AL$1,0))&amp;""),"")="",0,N(IFERROR(IF(TRIM(INDEX($A161:$AL161,MATCH(Lists!$F$5,$A$1:$AL$1,0))&amp;"")="","",IF(ISNUMBER(INDEX($A161:$AL161,MATCH(Lists!$F$5,$A$1:$AL$1,0))),INT(INDEX($A161:$AL161,MATCH(Lists!$F$5,$A$1:$AL$1,0))),DATE(VALUE(LEFT(INDEX($A161:$AL161,MATCH(Lists!$F$5,$A$1:$AL$1,0)),4)),VALUE(MID(INDEX($A161:$AL161,MATCH(Lists!$F$5,$A$1:$AL$1,0)),6,2)),VALUE(MID(INDEX($A161:$AL161,MATCH(Lists!$F$5,$A$1:$AL$1,0)),9,2))))),"")))</f>
        <v/>
      </c>
      <c r="AU161" s="21">
        <f>IF(IFERROR(TRIM(INDEX($A161:$AL161,MATCH(Lists!$F$2,$A$1:$AL$1,0))&amp;""),"")="",-1,IF(ISNUMBER(IFERROR(IF(TRIM(INDEX($A161:$AL161,MATCH(Lists!$F$6,$A$1:$AL$1,0))&amp;"")="","",IF(ISNUMBER(INDEX($A161:$AL161,MATCH(Lists!$F$6,$A$1:$AL$1,0))),ROUND(MOD(INDEX($A161:$AL161,MATCH(Lists!$F$6,$A$1:$AL$1,0)),1)*1440,0),VALUE(LEFT(INDEX($A161:$AL161,MATCH(Lists!$F$6,$A$1:$AL$1,0)),2))*60+VALUE(MID(INDEX($A161:$AL161,MATCH(Lists!$F$6,$A$1:$AL$1,0)),4,2)))),"")),IFERROR(IF(TRIM(INDEX($A161:$AL161,MATCH(Lists!$F$6,$A$1:$AL$1,0))&amp;"")="","",IF(ISNUMBER(INDEX($A161:$AL161,MATCH(Lists!$F$6,$A$1:$AL$1,0))),ROUND(MOD(INDEX($A161:$AL161,MATCH(Lists!$F$6,$A$1:$AL$1,0)),1)*1440,0),VALUE(LEFT(INDEX($A161:$AL161,MATCH(Lists!$F$6,$A$1:$AL$1,0)),2))*60+VALUE(MID(INDEX($A161:$AL161,MATCH(Lists!$F$6,$A$1:$AL$1,0)),4,2)))),""),-1))</f>
        <v/>
      </c>
      <c r="AV161" s="21">
        <f>IF(IFERROR(TRIM(INDEX($A161:$AL161,MATCH(Lists!$F$2,$A$1:$AL$1,0))&amp;""),"")="",-1,IF(ISNUMBER(IFERROR(IF(TRIM(INDEX($A161:$AL161,MATCH(Lists!$F$7,$A$1:$AL$1,0))&amp;"")="","",IF(ISNUMBER(INDEX($A161:$AL161,MATCH(Lists!$F$7,$A$1:$AL$1,0))),ROUND(MOD(INDEX($A161:$AL161,MATCH(Lists!$F$7,$A$1:$AL$1,0)),1)*1440,0),VALUE(LEFT(INDEX($A161:$AL161,MATCH(Lists!$F$7,$A$1:$AL$1,0)),2))*60+VALUE(MID(INDEX($A161:$AL161,MATCH(Lists!$F$7,$A$1:$AL$1,0)),4,2)))),"")),IFERROR(IF(TRIM(INDEX($A161:$AL161,MATCH(Lists!$F$7,$A$1:$AL$1,0))&amp;"")="","",IF(ISNUMBER(INDEX($A161:$AL161,MATCH(Lists!$F$7,$A$1:$AL$1,0))),ROUND(MOD(INDEX($A161:$AL161,MATCH(Lists!$F$7,$A$1:$AL$1,0)),1)*1440,0),VALUE(LEFT(INDEX($A161:$AL161,MATCH(Lists!$F$7,$A$1:$AL$1,0)),2))*60+VALUE(MID(INDEX($A161:$AL161,MATCH(Lists!$F$7,$A$1:$AL$1,0)),4,2)))),""),-1))</f>
        <v/>
      </c>
      <c r="AW161" s="21">
        <f>IF(IFERROR(TRIM(INDEX($A161:$AL161,MATCH(Lists!$F$2,$A$1:$AL$1,0))&amp;""),"")="","",IF(IFERROR(TRIM(INDEX($A161:$AL161,MATCH(Lists!$F$8,$A$1:$AL$1,0))&amp;""),"")&lt;&gt;"",IFERROR(TRIM(INDEX($A161:$AL161,MATCH(Lists!$F$8,$A$1:$AL$1,0))&amp;""),""),IFERROR(TRIM(INDEX($A161:$AL161,MATCH(Lists!$F$9,$A$1:$AL$1,0))&amp;""),"")))</f>
        <v/>
      </c>
      <c r="AX161" s="21">
        <f>IFERROR(IF(TRIM(INDEX($A161:$AL161,MATCH(Lists!$F$10,$A$1:$AL$1,0))&amp;"")="","",VALUE(TRIM(INDEX($A161:$AL161,MATCH(Lists!$F$10,$A$1:$AL$1,0))&amp;""))),"")</f>
        <v/>
      </c>
      <c r="AY161" s="21">
        <f>IF(IFERROR(TRIM(INDEX($A161:$AL161,MATCH(Lists!$F$2,$A$1:$AL$1,0))&amp;""),"")="","",IF(AN161="","New",AN161))</f>
        <v/>
      </c>
      <c r="AZ161" s="21">
        <f>IF(IFERROR(TRIM(INDEX($A161:$AL161,MATCH(Lists!$F$2,$A$1:$AL$1,0))&amp;""),"")="","",IF(OR(IFERROR(TRIM(INDEX($A161:$AL161,MATCH(Lists!$F$13,$A$1:$AL$1,0))&amp;""),"")="Paid",IFERROR(TRIM(INDEX($A161:$AL161,MATCH(Lists!$F$13,$A$1:$AL$1,0))&amp;""),"")="Partially refunded"),"Paid",IF(AP161="Yes","Paid (by hand)",IFERROR(TRIM(INDEX($A161:$AL161,MATCH(Lists!$F$13,$A$1:$AL$1,0))&amp;""),""))))</f>
        <v/>
      </c>
      <c r="BA161" s="21">
        <f>IF(AND(IFERROR(TRIM(INDEX($A161:$AL161,MATCH(Lists!$F$2,$A$1:$AL$1,0))&amp;""),"")&lt;&gt;"",AT161&gt;0,AU161&gt;=0,AV161&gt;AU161,AY161&lt;&gt;"Declined"),1,0)</f>
        <v/>
      </c>
      <c r="BB161" s="21">
        <f>IF(BA161=1,COUNTIFS($AS$2:$AS$501,AS161,$AT$2:$AT$501,AT161,$AU$2:$AU$501,"&lt;"&amp;AV161,$AV$2:$AV$501,"&gt;"&amp;AU161,$BA$2:$BA$501,1)-1,"")</f>
        <v/>
      </c>
      <c r="BC161" s="21">
        <f>IF(N(BB161)&gt;0,"Clashes with "&amp;INDEX($AW$2:$AW$501,SUMPRODUCT(MAX(($AS$2:$AS$501=AS161)*($AT$2:$AT$501=AT161)*($AU$2:$AU$501&lt;AV161)*($AV$2:$AV$501&gt;AU161)*($BA$2:$BA$501=1)*(ROW($AS$2:$AS$501)&lt;&gt;ROW())*ROW($AS$2:$AS$501)))-1)&amp;" ("&amp;INDEX($AY$2:$AY$501,SUMPRODUCT(MAX(($AS$2:$AS$501=AS161)*($AT$2:$AT$501=AT161)*($AU$2:$AU$501&lt;AV161)*($AV$2:$AV$501&gt;AU161)*($BA$2:$BA$501=1)*(ROW($AS$2:$AS$501)&lt;&gt;ROW())*ROW($AS$2:$AS$501)))-1)&amp;")"&amp;IF(BB161&gt;1," and "&amp;(BB161-1)&amp;" more",""),"")</f>
        <v/>
      </c>
      <c r="BD161" s="21">
        <f>IF(AND(BA161=1,AY161="Confirmed"),AT161*10000000+AU161*1000+ROW(),"")</f>
        <v/>
      </c>
      <c r="BE161" s="21">
        <f>IF(IFERROR(TRIM(INDEX($A161:$AL161,MATCH(Lists!$F$2,$A$1:$AL$1,0))&amp;""),"")="","",IFERROR(TRIM(INDEX($A161:$AL161,MATCH(Lists!$F$11,$A$1:$AL$1,0))&amp;""),""))</f>
        <v/>
      </c>
      <c r="BF161" s="21">
        <f>IF(IFERROR(TRIM(INDEX($A161:$AL161,MATCH(Lists!$F$2,$A$1:$AL$1,0))&amp;""),"")="","",IFERROR(TRIM(INDEX($A161:$AL161,MATCH(Lists!$F$12,$A$1:$AL$1,0))&amp;""),""))</f>
        <v/>
      </c>
    </row>
    <row r="162">
      <c r="AM162" s="19" t="n"/>
      <c r="AN162" s="23" t="n"/>
      <c r="AO162" s="23" t="n"/>
      <c r="AP162" s="23" t="n"/>
      <c r="AQ162" s="23" t="n"/>
      <c r="AR162" s="19" t="n"/>
      <c r="AS162" s="21">
        <f>IF(IFERROR(TRIM(INDEX($A162:$AL162,MATCH(Lists!$F$2,$A$1:$AL$1,0))&amp;""),"")="","",IF(AND(IFERROR(TRIM(INDEX($A162:$AL162,MATCH(Lists!$F$3,$A$1:$AL$1,0))&amp;""),"")="Other",IFERROR(TRIM(INDEX($A162:$AL162,MATCH(Lists!$F$4,$A$1:$AL$1,0))&amp;""),"")&lt;&gt;""),IFERROR(TRIM(INDEX($A162:$AL162,MATCH(Lists!$F$4,$A$1:$AL$1,0))&amp;""),""),IF(IFERROR(TRIM(INDEX($A162:$AL162,MATCH(Lists!$F$3,$A$1:$AL$1,0))&amp;""),"")="","(no space)",IFERROR(TRIM(INDEX($A162:$AL162,MATCH(Lists!$F$3,$A$1:$AL$1,0))&amp;""),""))))</f>
        <v/>
      </c>
      <c r="AT162" s="22">
        <f>IF(IFERROR(TRIM(INDEX($A162:$AL162,MATCH(Lists!$F$2,$A$1:$AL$1,0))&amp;""),"")="",0,N(IFERROR(IF(TRIM(INDEX($A162:$AL162,MATCH(Lists!$F$5,$A$1:$AL$1,0))&amp;"")="","",IF(ISNUMBER(INDEX($A162:$AL162,MATCH(Lists!$F$5,$A$1:$AL$1,0))),INT(INDEX($A162:$AL162,MATCH(Lists!$F$5,$A$1:$AL$1,0))),DATE(VALUE(LEFT(INDEX($A162:$AL162,MATCH(Lists!$F$5,$A$1:$AL$1,0)),4)),VALUE(MID(INDEX($A162:$AL162,MATCH(Lists!$F$5,$A$1:$AL$1,0)),6,2)),VALUE(MID(INDEX($A162:$AL162,MATCH(Lists!$F$5,$A$1:$AL$1,0)),9,2))))),"")))</f>
        <v/>
      </c>
      <c r="AU162" s="21">
        <f>IF(IFERROR(TRIM(INDEX($A162:$AL162,MATCH(Lists!$F$2,$A$1:$AL$1,0))&amp;""),"")="",-1,IF(ISNUMBER(IFERROR(IF(TRIM(INDEX($A162:$AL162,MATCH(Lists!$F$6,$A$1:$AL$1,0))&amp;"")="","",IF(ISNUMBER(INDEX($A162:$AL162,MATCH(Lists!$F$6,$A$1:$AL$1,0))),ROUND(MOD(INDEX($A162:$AL162,MATCH(Lists!$F$6,$A$1:$AL$1,0)),1)*1440,0),VALUE(LEFT(INDEX($A162:$AL162,MATCH(Lists!$F$6,$A$1:$AL$1,0)),2))*60+VALUE(MID(INDEX($A162:$AL162,MATCH(Lists!$F$6,$A$1:$AL$1,0)),4,2)))),"")),IFERROR(IF(TRIM(INDEX($A162:$AL162,MATCH(Lists!$F$6,$A$1:$AL$1,0))&amp;"")="","",IF(ISNUMBER(INDEX($A162:$AL162,MATCH(Lists!$F$6,$A$1:$AL$1,0))),ROUND(MOD(INDEX($A162:$AL162,MATCH(Lists!$F$6,$A$1:$AL$1,0)),1)*1440,0),VALUE(LEFT(INDEX($A162:$AL162,MATCH(Lists!$F$6,$A$1:$AL$1,0)),2))*60+VALUE(MID(INDEX($A162:$AL162,MATCH(Lists!$F$6,$A$1:$AL$1,0)),4,2)))),""),-1))</f>
        <v/>
      </c>
      <c r="AV162" s="21">
        <f>IF(IFERROR(TRIM(INDEX($A162:$AL162,MATCH(Lists!$F$2,$A$1:$AL$1,0))&amp;""),"")="",-1,IF(ISNUMBER(IFERROR(IF(TRIM(INDEX($A162:$AL162,MATCH(Lists!$F$7,$A$1:$AL$1,0))&amp;"")="","",IF(ISNUMBER(INDEX($A162:$AL162,MATCH(Lists!$F$7,$A$1:$AL$1,0))),ROUND(MOD(INDEX($A162:$AL162,MATCH(Lists!$F$7,$A$1:$AL$1,0)),1)*1440,0),VALUE(LEFT(INDEX($A162:$AL162,MATCH(Lists!$F$7,$A$1:$AL$1,0)),2))*60+VALUE(MID(INDEX($A162:$AL162,MATCH(Lists!$F$7,$A$1:$AL$1,0)),4,2)))),"")),IFERROR(IF(TRIM(INDEX($A162:$AL162,MATCH(Lists!$F$7,$A$1:$AL$1,0))&amp;"")="","",IF(ISNUMBER(INDEX($A162:$AL162,MATCH(Lists!$F$7,$A$1:$AL$1,0))),ROUND(MOD(INDEX($A162:$AL162,MATCH(Lists!$F$7,$A$1:$AL$1,0)),1)*1440,0),VALUE(LEFT(INDEX($A162:$AL162,MATCH(Lists!$F$7,$A$1:$AL$1,0)),2))*60+VALUE(MID(INDEX($A162:$AL162,MATCH(Lists!$F$7,$A$1:$AL$1,0)),4,2)))),""),-1))</f>
        <v/>
      </c>
      <c r="AW162" s="21">
        <f>IF(IFERROR(TRIM(INDEX($A162:$AL162,MATCH(Lists!$F$2,$A$1:$AL$1,0))&amp;""),"")="","",IF(IFERROR(TRIM(INDEX($A162:$AL162,MATCH(Lists!$F$8,$A$1:$AL$1,0))&amp;""),"")&lt;&gt;"",IFERROR(TRIM(INDEX($A162:$AL162,MATCH(Lists!$F$8,$A$1:$AL$1,0))&amp;""),""),IFERROR(TRIM(INDEX($A162:$AL162,MATCH(Lists!$F$9,$A$1:$AL$1,0))&amp;""),"")))</f>
        <v/>
      </c>
      <c r="AX162" s="21">
        <f>IFERROR(IF(TRIM(INDEX($A162:$AL162,MATCH(Lists!$F$10,$A$1:$AL$1,0))&amp;"")="","",VALUE(TRIM(INDEX($A162:$AL162,MATCH(Lists!$F$10,$A$1:$AL$1,0))&amp;""))),"")</f>
        <v/>
      </c>
      <c r="AY162" s="21">
        <f>IF(IFERROR(TRIM(INDEX($A162:$AL162,MATCH(Lists!$F$2,$A$1:$AL$1,0))&amp;""),"")="","",IF(AN162="","New",AN162))</f>
        <v/>
      </c>
      <c r="AZ162" s="21">
        <f>IF(IFERROR(TRIM(INDEX($A162:$AL162,MATCH(Lists!$F$2,$A$1:$AL$1,0))&amp;""),"")="","",IF(OR(IFERROR(TRIM(INDEX($A162:$AL162,MATCH(Lists!$F$13,$A$1:$AL$1,0))&amp;""),"")="Paid",IFERROR(TRIM(INDEX($A162:$AL162,MATCH(Lists!$F$13,$A$1:$AL$1,0))&amp;""),"")="Partially refunded"),"Paid",IF(AP162="Yes","Paid (by hand)",IFERROR(TRIM(INDEX($A162:$AL162,MATCH(Lists!$F$13,$A$1:$AL$1,0))&amp;""),""))))</f>
        <v/>
      </c>
      <c r="BA162" s="21">
        <f>IF(AND(IFERROR(TRIM(INDEX($A162:$AL162,MATCH(Lists!$F$2,$A$1:$AL$1,0))&amp;""),"")&lt;&gt;"",AT162&gt;0,AU162&gt;=0,AV162&gt;AU162,AY162&lt;&gt;"Declined"),1,0)</f>
        <v/>
      </c>
      <c r="BB162" s="21">
        <f>IF(BA162=1,COUNTIFS($AS$2:$AS$501,AS162,$AT$2:$AT$501,AT162,$AU$2:$AU$501,"&lt;"&amp;AV162,$AV$2:$AV$501,"&gt;"&amp;AU162,$BA$2:$BA$501,1)-1,"")</f>
        <v/>
      </c>
      <c r="BC162" s="21">
        <f>IF(N(BB162)&gt;0,"Clashes with "&amp;INDEX($AW$2:$AW$501,SUMPRODUCT(MAX(($AS$2:$AS$501=AS162)*($AT$2:$AT$501=AT162)*($AU$2:$AU$501&lt;AV162)*($AV$2:$AV$501&gt;AU162)*($BA$2:$BA$501=1)*(ROW($AS$2:$AS$501)&lt;&gt;ROW())*ROW($AS$2:$AS$501)))-1)&amp;" ("&amp;INDEX($AY$2:$AY$501,SUMPRODUCT(MAX(($AS$2:$AS$501=AS162)*($AT$2:$AT$501=AT162)*($AU$2:$AU$501&lt;AV162)*($AV$2:$AV$501&gt;AU162)*($BA$2:$BA$501=1)*(ROW($AS$2:$AS$501)&lt;&gt;ROW())*ROW($AS$2:$AS$501)))-1)&amp;")"&amp;IF(BB162&gt;1," and "&amp;(BB162-1)&amp;" more",""),"")</f>
        <v/>
      </c>
      <c r="BD162" s="21">
        <f>IF(AND(BA162=1,AY162="Confirmed"),AT162*10000000+AU162*1000+ROW(),"")</f>
        <v/>
      </c>
      <c r="BE162" s="21">
        <f>IF(IFERROR(TRIM(INDEX($A162:$AL162,MATCH(Lists!$F$2,$A$1:$AL$1,0))&amp;""),"")="","",IFERROR(TRIM(INDEX($A162:$AL162,MATCH(Lists!$F$11,$A$1:$AL$1,0))&amp;""),""))</f>
        <v/>
      </c>
      <c r="BF162" s="21">
        <f>IF(IFERROR(TRIM(INDEX($A162:$AL162,MATCH(Lists!$F$2,$A$1:$AL$1,0))&amp;""),"")="","",IFERROR(TRIM(INDEX($A162:$AL162,MATCH(Lists!$F$12,$A$1:$AL$1,0))&amp;""),""))</f>
        <v/>
      </c>
    </row>
    <row r="163">
      <c r="AM163" s="19" t="n"/>
      <c r="AN163" s="23" t="n"/>
      <c r="AO163" s="23" t="n"/>
      <c r="AP163" s="23" t="n"/>
      <c r="AQ163" s="23" t="n"/>
      <c r="AR163" s="19" t="n"/>
      <c r="AS163" s="21">
        <f>IF(IFERROR(TRIM(INDEX($A163:$AL163,MATCH(Lists!$F$2,$A$1:$AL$1,0))&amp;""),"")="","",IF(AND(IFERROR(TRIM(INDEX($A163:$AL163,MATCH(Lists!$F$3,$A$1:$AL$1,0))&amp;""),"")="Other",IFERROR(TRIM(INDEX($A163:$AL163,MATCH(Lists!$F$4,$A$1:$AL$1,0))&amp;""),"")&lt;&gt;""),IFERROR(TRIM(INDEX($A163:$AL163,MATCH(Lists!$F$4,$A$1:$AL$1,0))&amp;""),""),IF(IFERROR(TRIM(INDEX($A163:$AL163,MATCH(Lists!$F$3,$A$1:$AL$1,0))&amp;""),"")="","(no space)",IFERROR(TRIM(INDEX($A163:$AL163,MATCH(Lists!$F$3,$A$1:$AL$1,0))&amp;""),""))))</f>
        <v/>
      </c>
      <c r="AT163" s="22">
        <f>IF(IFERROR(TRIM(INDEX($A163:$AL163,MATCH(Lists!$F$2,$A$1:$AL$1,0))&amp;""),"")="",0,N(IFERROR(IF(TRIM(INDEX($A163:$AL163,MATCH(Lists!$F$5,$A$1:$AL$1,0))&amp;"")="","",IF(ISNUMBER(INDEX($A163:$AL163,MATCH(Lists!$F$5,$A$1:$AL$1,0))),INT(INDEX($A163:$AL163,MATCH(Lists!$F$5,$A$1:$AL$1,0))),DATE(VALUE(LEFT(INDEX($A163:$AL163,MATCH(Lists!$F$5,$A$1:$AL$1,0)),4)),VALUE(MID(INDEX($A163:$AL163,MATCH(Lists!$F$5,$A$1:$AL$1,0)),6,2)),VALUE(MID(INDEX($A163:$AL163,MATCH(Lists!$F$5,$A$1:$AL$1,0)),9,2))))),"")))</f>
        <v/>
      </c>
      <c r="AU163" s="21">
        <f>IF(IFERROR(TRIM(INDEX($A163:$AL163,MATCH(Lists!$F$2,$A$1:$AL$1,0))&amp;""),"")="",-1,IF(ISNUMBER(IFERROR(IF(TRIM(INDEX($A163:$AL163,MATCH(Lists!$F$6,$A$1:$AL$1,0))&amp;"")="","",IF(ISNUMBER(INDEX($A163:$AL163,MATCH(Lists!$F$6,$A$1:$AL$1,0))),ROUND(MOD(INDEX($A163:$AL163,MATCH(Lists!$F$6,$A$1:$AL$1,0)),1)*1440,0),VALUE(LEFT(INDEX($A163:$AL163,MATCH(Lists!$F$6,$A$1:$AL$1,0)),2))*60+VALUE(MID(INDEX($A163:$AL163,MATCH(Lists!$F$6,$A$1:$AL$1,0)),4,2)))),"")),IFERROR(IF(TRIM(INDEX($A163:$AL163,MATCH(Lists!$F$6,$A$1:$AL$1,0))&amp;"")="","",IF(ISNUMBER(INDEX($A163:$AL163,MATCH(Lists!$F$6,$A$1:$AL$1,0))),ROUND(MOD(INDEX($A163:$AL163,MATCH(Lists!$F$6,$A$1:$AL$1,0)),1)*1440,0),VALUE(LEFT(INDEX($A163:$AL163,MATCH(Lists!$F$6,$A$1:$AL$1,0)),2))*60+VALUE(MID(INDEX($A163:$AL163,MATCH(Lists!$F$6,$A$1:$AL$1,0)),4,2)))),""),-1))</f>
        <v/>
      </c>
      <c r="AV163" s="21">
        <f>IF(IFERROR(TRIM(INDEX($A163:$AL163,MATCH(Lists!$F$2,$A$1:$AL$1,0))&amp;""),"")="",-1,IF(ISNUMBER(IFERROR(IF(TRIM(INDEX($A163:$AL163,MATCH(Lists!$F$7,$A$1:$AL$1,0))&amp;"")="","",IF(ISNUMBER(INDEX($A163:$AL163,MATCH(Lists!$F$7,$A$1:$AL$1,0))),ROUND(MOD(INDEX($A163:$AL163,MATCH(Lists!$F$7,$A$1:$AL$1,0)),1)*1440,0),VALUE(LEFT(INDEX($A163:$AL163,MATCH(Lists!$F$7,$A$1:$AL$1,0)),2))*60+VALUE(MID(INDEX($A163:$AL163,MATCH(Lists!$F$7,$A$1:$AL$1,0)),4,2)))),"")),IFERROR(IF(TRIM(INDEX($A163:$AL163,MATCH(Lists!$F$7,$A$1:$AL$1,0))&amp;"")="","",IF(ISNUMBER(INDEX($A163:$AL163,MATCH(Lists!$F$7,$A$1:$AL$1,0))),ROUND(MOD(INDEX($A163:$AL163,MATCH(Lists!$F$7,$A$1:$AL$1,0)),1)*1440,0),VALUE(LEFT(INDEX($A163:$AL163,MATCH(Lists!$F$7,$A$1:$AL$1,0)),2))*60+VALUE(MID(INDEX($A163:$AL163,MATCH(Lists!$F$7,$A$1:$AL$1,0)),4,2)))),""),-1))</f>
        <v/>
      </c>
      <c r="AW163" s="21">
        <f>IF(IFERROR(TRIM(INDEX($A163:$AL163,MATCH(Lists!$F$2,$A$1:$AL$1,0))&amp;""),"")="","",IF(IFERROR(TRIM(INDEX($A163:$AL163,MATCH(Lists!$F$8,$A$1:$AL$1,0))&amp;""),"")&lt;&gt;"",IFERROR(TRIM(INDEX($A163:$AL163,MATCH(Lists!$F$8,$A$1:$AL$1,0))&amp;""),""),IFERROR(TRIM(INDEX($A163:$AL163,MATCH(Lists!$F$9,$A$1:$AL$1,0))&amp;""),"")))</f>
        <v/>
      </c>
      <c r="AX163" s="21">
        <f>IFERROR(IF(TRIM(INDEX($A163:$AL163,MATCH(Lists!$F$10,$A$1:$AL$1,0))&amp;"")="","",VALUE(TRIM(INDEX($A163:$AL163,MATCH(Lists!$F$10,$A$1:$AL$1,0))&amp;""))),"")</f>
        <v/>
      </c>
      <c r="AY163" s="21">
        <f>IF(IFERROR(TRIM(INDEX($A163:$AL163,MATCH(Lists!$F$2,$A$1:$AL$1,0))&amp;""),"")="","",IF(AN163="","New",AN163))</f>
        <v/>
      </c>
      <c r="AZ163" s="21">
        <f>IF(IFERROR(TRIM(INDEX($A163:$AL163,MATCH(Lists!$F$2,$A$1:$AL$1,0))&amp;""),"")="","",IF(OR(IFERROR(TRIM(INDEX($A163:$AL163,MATCH(Lists!$F$13,$A$1:$AL$1,0))&amp;""),"")="Paid",IFERROR(TRIM(INDEX($A163:$AL163,MATCH(Lists!$F$13,$A$1:$AL$1,0))&amp;""),"")="Partially refunded"),"Paid",IF(AP163="Yes","Paid (by hand)",IFERROR(TRIM(INDEX($A163:$AL163,MATCH(Lists!$F$13,$A$1:$AL$1,0))&amp;""),""))))</f>
        <v/>
      </c>
      <c r="BA163" s="21">
        <f>IF(AND(IFERROR(TRIM(INDEX($A163:$AL163,MATCH(Lists!$F$2,$A$1:$AL$1,0))&amp;""),"")&lt;&gt;"",AT163&gt;0,AU163&gt;=0,AV163&gt;AU163,AY163&lt;&gt;"Declined"),1,0)</f>
        <v/>
      </c>
      <c r="BB163" s="21">
        <f>IF(BA163=1,COUNTIFS($AS$2:$AS$501,AS163,$AT$2:$AT$501,AT163,$AU$2:$AU$501,"&lt;"&amp;AV163,$AV$2:$AV$501,"&gt;"&amp;AU163,$BA$2:$BA$501,1)-1,"")</f>
        <v/>
      </c>
      <c r="BC163" s="21">
        <f>IF(N(BB163)&gt;0,"Clashes with "&amp;INDEX($AW$2:$AW$501,SUMPRODUCT(MAX(($AS$2:$AS$501=AS163)*($AT$2:$AT$501=AT163)*($AU$2:$AU$501&lt;AV163)*($AV$2:$AV$501&gt;AU163)*($BA$2:$BA$501=1)*(ROW($AS$2:$AS$501)&lt;&gt;ROW())*ROW($AS$2:$AS$501)))-1)&amp;" ("&amp;INDEX($AY$2:$AY$501,SUMPRODUCT(MAX(($AS$2:$AS$501=AS163)*($AT$2:$AT$501=AT163)*($AU$2:$AU$501&lt;AV163)*($AV$2:$AV$501&gt;AU163)*($BA$2:$BA$501=1)*(ROW($AS$2:$AS$501)&lt;&gt;ROW())*ROW($AS$2:$AS$501)))-1)&amp;")"&amp;IF(BB163&gt;1," and "&amp;(BB163-1)&amp;" more",""),"")</f>
        <v/>
      </c>
      <c r="BD163" s="21">
        <f>IF(AND(BA163=1,AY163="Confirmed"),AT163*10000000+AU163*1000+ROW(),"")</f>
        <v/>
      </c>
      <c r="BE163" s="21">
        <f>IF(IFERROR(TRIM(INDEX($A163:$AL163,MATCH(Lists!$F$2,$A$1:$AL$1,0))&amp;""),"")="","",IFERROR(TRIM(INDEX($A163:$AL163,MATCH(Lists!$F$11,$A$1:$AL$1,0))&amp;""),""))</f>
        <v/>
      </c>
      <c r="BF163" s="21">
        <f>IF(IFERROR(TRIM(INDEX($A163:$AL163,MATCH(Lists!$F$2,$A$1:$AL$1,0))&amp;""),"")="","",IFERROR(TRIM(INDEX($A163:$AL163,MATCH(Lists!$F$12,$A$1:$AL$1,0))&amp;""),""))</f>
        <v/>
      </c>
    </row>
    <row r="164">
      <c r="AM164" s="19" t="n"/>
      <c r="AN164" s="23" t="n"/>
      <c r="AO164" s="23" t="n"/>
      <c r="AP164" s="23" t="n"/>
      <c r="AQ164" s="23" t="n"/>
      <c r="AR164" s="19" t="n"/>
      <c r="AS164" s="21">
        <f>IF(IFERROR(TRIM(INDEX($A164:$AL164,MATCH(Lists!$F$2,$A$1:$AL$1,0))&amp;""),"")="","",IF(AND(IFERROR(TRIM(INDEX($A164:$AL164,MATCH(Lists!$F$3,$A$1:$AL$1,0))&amp;""),"")="Other",IFERROR(TRIM(INDEX($A164:$AL164,MATCH(Lists!$F$4,$A$1:$AL$1,0))&amp;""),"")&lt;&gt;""),IFERROR(TRIM(INDEX($A164:$AL164,MATCH(Lists!$F$4,$A$1:$AL$1,0))&amp;""),""),IF(IFERROR(TRIM(INDEX($A164:$AL164,MATCH(Lists!$F$3,$A$1:$AL$1,0))&amp;""),"")="","(no space)",IFERROR(TRIM(INDEX($A164:$AL164,MATCH(Lists!$F$3,$A$1:$AL$1,0))&amp;""),""))))</f>
        <v/>
      </c>
      <c r="AT164" s="22">
        <f>IF(IFERROR(TRIM(INDEX($A164:$AL164,MATCH(Lists!$F$2,$A$1:$AL$1,0))&amp;""),"")="",0,N(IFERROR(IF(TRIM(INDEX($A164:$AL164,MATCH(Lists!$F$5,$A$1:$AL$1,0))&amp;"")="","",IF(ISNUMBER(INDEX($A164:$AL164,MATCH(Lists!$F$5,$A$1:$AL$1,0))),INT(INDEX($A164:$AL164,MATCH(Lists!$F$5,$A$1:$AL$1,0))),DATE(VALUE(LEFT(INDEX($A164:$AL164,MATCH(Lists!$F$5,$A$1:$AL$1,0)),4)),VALUE(MID(INDEX($A164:$AL164,MATCH(Lists!$F$5,$A$1:$AL$1,0)),6,2)),VALUE(MID(INDEX($A164:$AL164,MATCH(Lists!$F$5,$A$1:$AL$1,0)),9,2))))),"")))</f>
        <v/>
      </c>
      <c r="AU164" s="21">
        <f>IF(IFERROR(TRIM(INDEX($A164:$AL164,MATCH(Lists!$F$2,$A$1:$AL$1,0))&amp;""),"")="",-1,IF(ISNUMBER(IFERROR(IF(TRIM(INDEX($A164:$AL164,MATCH(Lists!$F$6,$A$1:$AL$1,0))&amp;"")="","",IF(ISNUMBER(INDEX($A164:$AL164,MATCH(Lists!$F$6,$A$1:$AL$1,0))),ROUND(MOD(INDEX($A164:$AL164,MATCH(Lists!$F$6,$A$1:$AL$1,0)),1)*1440,0),VALUE(LEFT(INDEX($A164:$AL164,MATCH(Lists!$F$6,$A$1:$AL$1,0)),2))*60+VALUE(MID(INDEX($A164:$AL164,MATCH(Lists!$F$6,$A$1:$AL$1,0)),4,2)))),"")),IFERROR(IF(TRIM(INDEX($A164:$AL164,MATCH(Lists!$F$6,$A$1:$AL$1,0))&amp;"")="","",IF(ISNUMBER(INDEX($A164:$AL164,MATCH(Lists!$F$6,$A$1:$AL$1,0))),ROUND(MOD(INDEX($A164:$AL164,MATCH(Lists!$F$6,$A$1:$AL$1,0)),1)*1440,0),VALUE(LEFT(INDEX($A164:$AL164,MATCH(Lists!$F$6,$A$1:$AL$1,0)),2))*60+VALUE(MID(INDEX($A164:$AL164,MATCH(Lists!$F$6,$A$1:$AL$1,0)),4,2)))),""),-1))</f>
        <v/>
      </c>
      <c r="AV164" s="21">
        <f>IF(IFERROR(TRIM(INDEX($A164:$AL164,MATCH(Lists!$F$2,$A$1:$AL$1,0))&amp;""),"")="",-1,IF(ISNUMBER(IFERROR(IF(TRIM(INDEX($A164:$AL164,MATCH(Lists!$F$7,$A$1:$AL$1,0))&amp;"")="","",IF(ISNUMBER(INDEX($A164:$AL164,MATCH(Lists!$F$7,$A$1:$AL$1,0))),ROUND(MOD(INDEX($A164:$AL164,MATCH(Lists!$F$7,$A$1:$AL$1,0)),1)*1440,0),VALUE(LEFT(INDEX($A164:$AL164,MATCH(Lists!$F$7,$A$1:$AL$1,0)),2))*60+VALUE(MID(INDEX($A164:$AL164,MATCH(Lists!$F$7,$A$1:$AL$1,0)),4,2)))),"")),IFERROR(IF(TRIM(INDEX($A164:$AL164,MATCH(Lists!$F$7,$A$1:$AL$1,0))&amp;"")="","",IF(ISNUMBER(INDEX($A164:$AL164,MATCH(Lists!$F$7,$A$1:$AL$1,0))),ROUND(MOD(INDEX($A164:$AL164,MATCH(Lists!$F$7,$A$1:$AL$1,0)),1)*1440,0),VALUE(LEFT(INDEX($A164:$AL164,MATCH(Lists!$F$7,$A$1:$AL$1,0)),2))*60+VALUE(MID(INDEX($A164:$AL164,MATCH(Lists!$F$7,$A$1:$AL$1,0)),4,2)))),""),-1))</f>
        <v/>
      </c>
      <c r="AW164" s="21">
        <f>IF(IFERROR(TRIM(INDEX($A164:$AL164,MATCH(Lists!$F$2,$A$1:$AL$1,0))&amp;""),"")="","",IF(IFERROR(TRIM(INDEX($A164:$AL164,MATCH(Lists!$F$8,$A$1:$AL$1,0))&amp;""),"")&lt;&gt;"",IFERROR(TRIM(INDEX($A164:$AL164,MATCH(Lists!$F$8,$A$1:$AL$1,0))&amp;""),""),IFERROR(TRIM(INDEX($A164:$AL164,MATCH(Lists!$F$9,$A$1:$AL$1,0))&amp;""),"")))</f>
        <v/>
      </c>
      <c r="AX164" s="21">
        <f>IFERROR(IF(TRIM(INDEX($A164:$AL164,MATCH(Lists!$F$10,$A$1:$AL$1,0))&amp;"")="","",VALUE(TRIM(INDEX($A164:$AL164,MATCH(Lists!$F$10,$A$1:$AL$1,0))&amp;""))),"")</f>
        <v/>
      </c>
      <c r="AY164" s="21">
        <f>IF(IFERROR(TRIM(INDEX($A164:$AL164,MATCH(Lists!$F$2,$A$1:$AL$1,0))&amp;""),"")="","",IF(AN164="","New",AN164))</f>
        <v/>
      </c>
      <c r="AZ164" s="21">
        <f>IF(IFERROR(TRIM(INDEX($A164:$AL164,MATCH(Lists!$F$2,$A$1:$AL$1,0))&amp;""),"")="","",IF(OR(IFERROR(TRIM(INDEX($A164:$AL164,MATCH(Lists!$F$13,$A$1:$AL$1,0))&amp;""),"")="Paid",IFERROR(TRIM(INDEX($A164:$AL164,MATCH(Lists!$F$13,$A$1:$AL$1,0))&amp;""),"")="Partially refunded"),"Paid",IF(AP164="Yes","Paid (by hand)",IFERROR(TRIM(INDEX($A164:$AL164,MATCH(Lists!$F$13,$A$1:$AL$1,0))&amp;""),""))))</f>
        <v/>
      </c>
      <c r="BA164" s="21">
        <f>IF(AND(IFERROR(TRIM(INDEX($A164:$AL164,MATCH(Lists!$F$2,$A$1:$AL$1,0))&amp;""),"")&lt;&gt;"",AT164&gt;0,AU164&gt;=0,AV164&gt;AU164,AY164&lt;&gt;"Declined"),1,0)</f>
        <v/>
      </c>
      <c r="BB164" s="21">
        <f>IF(BA164=1,COUNTIFS($AS$2:$AS$501,AS164,$AT$2:$AT$501,AT164,$AU$2:$AU$501,"&lt;"&amp;AV164,$AV$2:$AV$501,"&gt;"&amp;AU164,$BA$2:$BA$501,1)-1,"")</f>
        <v/>
      </c>
      <c r="BC164" s="21">
        <f>IF(N(BB164)&gt;0,"Clashes with "&amp;INDEX($AW$2:$AW$501,SUMPRODUCT(MAX(($AS$2:$AS$501=AS164)*($AT$2:$AT$501=AT164)*($AU$2:$AU$501&lt;AV164)*($AV$2:$AV$501&gt;AU164)*($BA$2:$BA$501=1)*(ROW($AS$2:$AS$501)&lt;&gt;ROW())*ROW($AS$2:$AS$501)))-1)&amp;" ("&amp;INDEX($AY$2:$AY$501,SUMPRODUCT(MAX(($AS$2:$AS$501=AS164)*($AT$2:$AT$501=AT164)*($AU$2:$AU$501&lt;AV164)*($AV$2:$AV$501&gt;AU164)*($BA$2:$BA$501=1)*(ROW($AS$2:$AS$501)&lt;&gt;ROW())*ROW($AS$2:$AS$501)))-1)&amp;")"&amp;IF(BB164&gt;1," and "&amp;(BB164-1)&amp;" more",""),"")</f>
        <v/>
      </c>
      <c r="BD164" s="21">
        <f>IF(AND(BA164=1,AY164="Confirmed"),AT164*10000000+AU164*1000+ROW(),"")</f>
        <v/>
      </c>
      <c r="BE164" s="21">
        <f>IF(IFERROR(TRIM(INDEX($A164:$AL164,MATCH(Lists!$F$2,$A$1:$AL$1,0))&amp;""),"")="","",IFERROR(TRIM(INDEX($A164:$AL164,MATCH(Lists!$F$11,$A$1:$AL$1,0))&amp;""),""))</f>
        <v/>
      </c>
      <c r="BF164" s="21">
        <f>IF(IFERROR(TRIM(INDEX($A164:$AL164,MATCH(Lists!$F$2,$A$1:$AL$1,0))&amp;""),"")="","",IFERROR(TRIM(INDEX($A164:$AL164,MATCH(Lists!$F$12,$A$1:$AL$1,0))&amp;""),""))</f>
        <v/>
      </c>
    </row>
    <row r="165">
      <c r="AM165" s="19" t="n"/>
      <c r="AN165" s="23" t="n"/>
      <c r="AO165" s="23" t="n"/>
      <c r="AP165" s="23" t="n"/>
      <c r="AQ165" s="23" t="n"/>
      <c r="AR165" s="19" t="n"/>
      <c r="AS165" s="21">
        <f>IF(IFERROR(TRIM(INDEX($A165:$AL165,MATCH(Lists!$F$2,$A$1:$AL$1,0))&amp;""),"")="","",IF(AND(IFERROR(TRIM(INDEX($A165:$AL165,MATCH(Lists!$F$3,$A$1:$AL$1,0))&amp;""),"")="Other",IFERROR(TRIM(INDEX($A165:$AL165,MATCH(Lists!$F$4,$A$1:$AL$1,0))&amp;""),"")&lt;&gt;""),IFERROR(TRIM(INDEX($A165:$AL165,MATCH(Lists!$F$4,$A$1:$AL$1,0))&amp;""),""),IF(IFERROR(TRIM(INDEX($A165:$AL165,MATCH(Lists!$F$3,$A$1:$AL$1,0))&amp;""),"")="","(no space)",IFERROR(TRIM(INDEX($A165:$AL165,MATCH(Lists!$F$3,$A$1:$AL$1,0))&amp;""),""))))</f>
        <v/>
      </c>
      <c r="AT165" s="22">
        <f>IF(IFERROR(TRIM(INDEX($A165:$AL165,MATCH(Lists!$F$2,$A$1:$AL$1,0))&amp;""),"")="",0,N(IFERROR(IF(TRIM(INDEX($A165:$AL165,MATCH(Lists!$F$5,$A$1:$AL$1,0))&amp;"")="","",IF(ISNUMBER(INDEX($A165:$AL165,MATCH(Lists!$F$5,$A$1:$AL$1,0))),INT(INDEX($A165:$AL165,MATCH(Lists!$F$5,$A$1:$AL$1,0))),DATE(VALUE(LEFT(INDEX($A165:$AL165,MATCH(Lists!$F$5,$A$1:$AL$1,0)),4)),VALUE(MID(INDEX($A165:$AL165,MATCH(Lists!$F$5,$A$1:$AL$1,0)),6,2)),VALUE(MID(INDEX($A165:$AL165,MATCH(Lists!$F$5,$A$1:$AL$1,0)),9,2))))),"")))</f>
        <v/>
      </c>
      <c r="AU165" s="21">
        <f>IF(IFERROR(TRIM(INDEX($A165:$AL165,MATCH(Lists!$F$2,$A$1:$AL$1,0))&amp;""),"")="",-1,IF(ISNUMBER(IFERROR(IF(TRIM(INDEX($A165:$AL165,MATCH(Lists!$F$6,$A$1:$AL$1,0))&amp;"")="","",IF(ISNUMBER(INDEX($A165:$AL165,MATCH(Lists!$F$6,$A$1:$AL$1,0))),ROUND(MOD(INDEX($A165:$AL165,MATCH(Lists!$F$6,$A$1:$AL$1,0)),1)*1440,0),VALUE(LEFT(INDEX($A165:$AL165,MATCH(Lists!$F$6,$A$1:$AL$1,0)),2))*60+VALUE(MID(INDEX($A165:$AL165,MATCH(Lists!$F$6,$A$1:$AL$1,0)),4,2)))),"")),IFERROR(IF(TRIM(INDEX($A165:$AL165,MATCH(Lists!$F$6,$A$1:$AL$1,0))&amp;"")="","",IF(ISNUMBER(INDEX($A165:$AL165,MATCH(Lists!$F$6,$A$1:$AL$1,0))),ROUND(MOD(INDEX($A165:$AL165,MATCH(Lists!$F$6,$A$1:$AL$1,0)),1)*1440,0),VALUE(LEFT(INDEX($A165:$AL165,MATCH(Lists!$F$6,$A$1:$AL$1,0)),2))*60+VALUE(MID(INDEX($A165:$AL165,MATCH(Lists!$F$6,$A$1:$AL$1,0)),4,2)))),""),-1))</f>
        <v/>
      </c>
      <c r="AV165" s="21">
        <f>IF(IFERROR(TRIM(INDEX($A165:$AL165,MATCH(Lists!$F$2,$A$1:$AL$1,0))&amp;""),"")="",-1,IF(ISNUMBER(IFERROR(IF(TRIM(INDEX($A165:$AL165,MATCH(Lists!$F$7,$A$1:$AL$1,0))&amp;"")="","",IF(ISNUMBER(INDEX($A165:$AL165,MATCH(Lists!$F$7,$A$1:$AL$1,0))),ROUND(MOD(INDEX($A165:$AL165,MATCH(Lists!$F$7,$A$1:$AL$1,0)),1)*1440,0),VALUE(LEFT(INDEX($A165:$AL165,MATCH(Lists!$F$7,$A$1:$AL$1,0)),2))*60+VALUE(MID(INDEX($A165:$AL165,MATCH(Lists!$F$7,$A$1:$AL$1,0)),4,2)))),"")),IFERROR(IF(TRIM(INDEX($A165:$AL165,MATCH(Lists!$F$7,$A$1:$AL$1,0))&amp;"")="","",IF(ISNUMBER(INDEX($A165:$AL165,MATCH(Lists!$F$7,$A$1:$AL$1,0))),ROUND(MOD(INDEX($A165:$AL165,MATCH(Lists!$F$7,$A$1:$AL$1,0)),1)*1440,0),VALUE(LEFT(INDEX($A165:$AL165,MATCH(Lists!$F$7,$A$1:$AL$1,0)),2))*60+VALUE(MID(INDEX($A165:$AL165,MATCH(Lists!$F$7,$A$1:$AL$1,0)),4,2)))),""),-1))</f>
        <v/>
      </c>
      <c r="AW165" s="21">
        <f>IF(IFERROR(TRIM(INDEX($A165:$AL165,MATCH(Lists!$F$2,$A$1:$AL$1,0))&amp;""),"")="","",IF(IFERROR(TRIM(INDEX($A165:$AL165,MATCH(Lists!$F$8,$A$1:$AL$1,0))&amp;""),"")&lt;&gt;"",IFERROR(TRIM(INDEX($A165:$AL165,MATCH(Lists!$F$8,$A$1:$AL$1,0))&amp;""),""),IFERROR(TRIM(INDEX($A165:$AL165,MATCH(Lists!$F$9,$A$1:$AL$1,0))&amp;""),"")))</f>
        <v/>
      </c>
      <c r="AX165" s="21">
        <f>IFERROR(IF(TRIM(INDEX($A165:$AL165,MATCH(Lists!$F$10,$A$1:$AL$1,0))&amp;"")="","",VALUE(TRIM(INDEX($A165:$AL165,MATCH(Lists!$F$10,$A$1:$AL$1,0))&amp;""))),"")</f>
        <v/>
      </c>
      <c r="AY165" s="21">
        <f>IF(IFERROR(TRIM(INDEX($A165:$AL165,MATCH(Lists!$F$2,$A$1:$AL$1,0))&amp;""),"")="","",IF(AN165="","New",AN165))</f>
        <v/>
      </c>
      <c r="AZ165" s="21">
        <f>IF(IFERROR(TRIM(INDEX($A165:$AL165,MATCH(Lists!$F$2,$A$1:$AL$1,0))&amp;""),"")="","",IF(OR(IFERROR(TRIM(INDEX($A165:$AL165,MATCH(Lists!$F$13,$A$1:$AL$1,0))&amp;""),"")="Paid",IFERROR(TRIM(INDEX($A165:$AL165,MATCH(Lists!$F$13,$A$1:$AL$1,0))&amp;""),"")="Partially refunded"),"Paid",IF(AP165="Yes","Paid (by hand)",IFERROR(TRIM(INDEX($A165:$AL165,MATCH(Lists!$F$13,$A$1:$AL$1,0))&amp;""),""))))</f>
        <v/>
      </c>
      <c r="BA165" s="21">
        <f>IF(AND(IFERROR(TRIM(INDEX($A165:$AL165,MATCH(Lists!$F$2,$A$1:$AL$1,0))&amp;""),"")&lt;&gt;"",AT165&gt;0,AU165&gt;=0,AV165&gt;AU165,AY165&lt;&gt;"Declined"),1,0)</f>
        <v/>
      </c>
      <c r="BB165" s="21">
        <f>IF(BA165=1,COUNTIFS($AS$2:$AS$501,AS165,$AT$2:$AT$501,AT165,$AU$2:$AU$501,"&lt;"&amp;AV165,$AV$2:$AV$501,"&gt;"&amp;AU165,$BA$2:$BA$501,1)-1,"")</f>
        <v/>
      </c>
      <c r="BC165" s="21">
        <f>IF(N(BB165)&gt;0,"Clashes with "&amp;INDEX($AW$2:$AW$501,SUMPRODUCT(MAX(($AS$2:$AS$501=AS165)*($AT$2:$AT$501=AT165)*($AU$2:$AU$501&lt;AV165)*($AV$2:$AV$501&gt;AU165)*($BA$2:$BA$501=1)*(ROW($AS$2:$AS$501)&lt;&gt;ROW())*ROW($AS$2:$AS$501)))-1)&amp;" ("&amp;INDEX($AY$2:$AY$501,SUMPRODUCT(MAX(($AS$2:$AS$501=AS165)*($AT$2:$AT$501=AT165)*($AU$2:$AU$501&lt;AV165)*($AV$2:$AV$501&gt;AU165)*($BA$2:$BA$501=1)*(ROW($AS$2:$AS$501)&lt;&gt;ROW())*ROW($AS$2:$AS$501)))-1)&amp;")"&amp;IF(BB165&gt;1," and "&amp;(BB165-1)&amp;" more",""),"")</f>
        <v/>
      </c>
      <c r="BD165" s="21">
        <f>IF(AND(BA165=1,AY165="Confirmed"),AT165*10000000+AU165*1000+ROW(),"")</f>
        <v/>
      </c>
      <c r="BE165" s="21">
        <f>IF(IFERROR(TRIM(INDEX($A165:$AL165,MATCH(Lists!$F$2,$A$1:$AL$1,0))&amp;""),"")="","",IFERROR(TRIM(INDEX($A165:$AL165,MATCH(Lists!$F$11,$A$1:$AL$1,0))&amp;""),""))</f>
        <v/>
      </c>
      <c r="BF165" s="21">
        <f>IF(IFERROR(TRIM(INDEX($A165:$AL165,MATCH(Lists!$F$2,$A$1:$AL$1,0))&amp;""),"")="","",IFERROR(TRIM(INDEX($A165:$AL165,MATCH(Lists!$F$12,$A$1:$AL$1,0))&amp;""),""))</f>
        <v/>
      </c>
    </row>
    <row r="166">
      <c r="AM166" s="19" t="n"/>
      <c r="AN166" s="23" t="n"/>
      <c r="AO166" s="23" t="n"/>
      <c r="AP166" s="23" t="n"/>
      <c r="AQ166" s="23" t="n"/>
      <c r="AR166" s="19" t="n"/>
      <c r="AS166" s="21">
        <f>IF(IFERROR(TRIM(INDEX($A166:$AL166,MATCH(Lists!$F$2,$A$1:$AL$1,0))&amp;""),"")="","",IF(AND(IFERROR(TRIM(INDEX($A166:$AL166,MATCH(Lists!$F$3,$A$1:$AL$1,0))&amp;""),"")="Other",IFERROR(TRIM(INDEX($A166:$AL166,MATCH(Lists!$F$4,$A$1:$AL$1,0))&amp;""),"")&lt;&gt;""),IFERROR(TRIM(INDEX($A166:$AL166,MATCH(Lists!$F$4,$A$1:$AL$1,0))&amp;""),""),IF(IFERROR(TRIM(INDEX($A166:$AL166,MATCH(Lists!$F$3,$A$1:$AL$1,0))&amp;""),"")="","(no space)",IFERROR(TRIM(INDEX($A166:$AL166,MATCH(Lists!$F$3,$A$1:$AL$1,0))&amp;""),""))))</f>
        <v/>
      </c>
      <c r="AT166" s="22">
        <f>IF(IFERROR(TRIM(INDEX($A166:$AL166,MATCH(Lists!$F$2,$A$1:$AL$1,0))&amp;""),"")="",0,N(IFERROR(IF(TRIM(INDEX($A166:$AL166,MATCH(Lists!$F$5,$A$1:$AL$1,0))&amp;"")="","",IF(ISNUMBER(INDEX($A166:$AL166,MATCH(Lists!$F$5,$A$1:$AL$1,0))),INT(INDEX($A166:$AL166,MATCH(Lists!$F$5,$A$1:$AL$1,0))),DATE(VALUE(LEFT(INDEX($A166:$AL166,MATCH(Lists!$F$5,$A$1:$AL$1,0)),4)),VALUE(MID(INDEX($A166:$AL166,MATCH(Lists!$F$5,$A$1:$AL$1,0)),6,2)),VALUE(MID(INDEX($A166:$AL166,MATCH(Lists!$F$5,$A$1:$AL$1,0)),9,2))))),"")))</f>
        <v/>
      </c>
      <c r="AU166" s="21">
        <f>IF(IFERROR(TRIM(INDEX($A166:$AL166,MATCH(Lists!$F$2,$A$1:$AL$1,0))&amp;""),"")="",-1,IF(ISNUMBER(IFERROR(IF(TRIM(INDEX($A166:$AL166,MATCH(Lists!$F$6,$A$1:$AL$1,0))&amp;"")="","",IF(ISNUMBER(INDEX($A166:$AL166,MATCH(Lists!$F$6,$A$1:$AL$1,0))),ROUND(MOD(INDEX($A166:$AL166,MATCH(Lists!$F$6,$A$1:$AL$1,0)),1)*1440,0),VALUE(LEFT(INDEX($A166:$AL166,MATCH(Lists!$F$6,$A$1:$AL$1,0)),2))*60+VALUE(MID(INDEX($A166:$AL166,MATCH(Lists!$F$6,$A$1:$AL$1,0)),4,2)))),"")),IFERROR(IF(TRIM(INDEX($A166:$AL166,MATCH(Lists!$F$6,$A$1:$AL$1,0))&amp;"")="","",IF(ISNUMBER(INDEX($A166:$AL166,MATCH(Lists!$F$6,$A$1:$AL$1,0))),ROUND(MOD(INDEX($A166:$AL166,MATCH(Lists!$F$6,$A$1:$AL$1,0)),1)*1440,0),VALUE(LEFT(INDEX($A166:$AL166,MATCH(Lists!$F$6,$A$1:$AL$1,0)),2))*60+VALUE(MID(INDEX($A166:$AL166,MATCH(Lists!$F$6,$A$1:$AL$1,0)),4,2)))),""),-1))</f>
        <v/>
      </c>
      <c r="AV166" s="21">
        <f>IF(IFERROR(TRIM(INDEX($A166:$AL166,MATCH(Lists!$F$2,$A$1:$AL$1,0))&amp;""),"")="",-1,IF(ISNUMBER(IFERROR(IF(TRIM(INDEX($A166:$AL166,MATCH(Lists!$F$7,$A$1:$AL$1,0))&amp;"")="","",IF(ISNUMBER(INDEX($A166:$AL166,MATCH(Lists!$F$7,$A$1:$AL$1,0))),ROUND(MOD(INDEX($A166:$AL166,MATCH(Lists!$F$7,$A$1:$AL$1,0)),1)*1440,0),VALUE(LEFT(INDEX($A166:$AL166,MATCH(Lists!$F$7,$A$1:$AL$1,0)),2))*60+VALUE(MID(INDEX($A166:$AL166,MATCH(Lists!$F$7,$A$1:$AL$1,0)),4,2)))),"")),IFERROR(IF(TRIM(INDEX($A166:$AL166,MATCH(Lists!$F$7,$A$1:$AL$1,0))&amp;"")="","",IF(ISNUMBER(INDEX($A166:$AL166,MATCH(Lists!$F$7,$A$1:$AL$1,0))),ROUND(MOD(INDEX($A166:$AL166,MATCH(Lists!$F$7,$A$1:$AL$1,0)),1)*1440,0),VALUE(LEFT(INDEX($A166:$AL166,MATCH(Lists!$F$7,$A$1:$AL$1,0)),2))*60+VALUE(MID(INDEX($A166:$AL166,MATCH(Lists!$F$7,$A$1:$AL$1,0)),4,2)))),""),-1))</f>
        <v/>
      </c>
      <c r="AW166" s="21">
        <f>IF(IFERROR(TRIM(INDEX($A166:$AL166,MATCH(Lists!$F$2,$A$1:$AL$1,0))&amp;""),"")="","",IF(IFERROR(TRIM(INDEX($A166:$AL166,MATCH(Lists!$F$8,$A$1:$AL$1,0))&amp;""),"")&lt;&gt;"",IFERROR(TRIM(INDEX($A166:$AL166,MATCH(Lists!$F$8,$A$1:$AL$1,0))&amp;""),""),IFERROR(TRIM(INDEX($A166:$AL166,MATCH(Lists!$F$9,$A$1:$AL$1,0))&amp;""),"")))</f>
        <v/>
      </c>
      <c r="AX166" s="21">
        <f>IFERROR(IF(TRIM(INDEX($A166:$AL166,MATCH(Lists!$F$10,$A$1:$AL$1,0))&amp;"")="","",VALUE(TRIM(INDEX($A166:$AL166,MATCH(Lists!$F$10,$A$1:$AL$1,0))&amp;""))),"")</f>
        <v/>
      </c>
      <c r="AY166" s="21">
        <f>IF(IFERROR(TRIM(INDEX($A166:$AL166,MATCH(Lists!$F$2,$A$1:$AL$1,0))&amp;""),"")="","",IF(AN166="","New",AN166))</f>
        <v/>
      </c>
      <c r="AZ166" s="21">
        <f>IF(IFERROR(TRIM(INDEX($A166:$AL166,MATCH(Lists!$F$2,$A$1:$AL$1,0))&amp;""),"")="","",IF(OR(IFERROR(TRIM(INDEX($A166:$AL166,MATCH(Lists!$F$13,$A$1:$AL$1,0))&amp;""),"")="Paid",IFERROR(TRIM(INDEX($A166:$AL166,MATCH(Lists!$F$13,$A$1:$AL$1,0))&amp;""),"")="Partially refunded"),"Paid",IF(AP166="Yes","Paid (by hand)",IFERROR(TRIM(INDEX($A166:$AL166,MATCH(Lists!$F$13,$A$1:$AL$1,0))&amp;""),""))))</f>
        <v/>
      </c>
      <c r="BA166" s="21">
        <f>IF(AND(IFERROR(TRIM(INDEX($A166:$AL166,MATCH(Lists!$F$2,$A$1:$AL$1,0))&amp;""),"")&lt;&gt;"",AT166&gt;0,AU166&gt;=0,AV166&gt;AU166,AY166&lt;&gt;"Declined"),1,0)</f>
        <v/>
      </c>
      <c r="BB166" s="21">
        <f>IF(BA166=1,COUNTIFS($AS$2:$AS$501,AS166,$AT$2:$AT$501,AT166,$AU$2:$AU$501,"&lt;"&amp;AV166,$AV$2:$AV$501,"&gt;"&amp;AU166,$BA$2:$BA$501,1)-1,"")</f>
        <v/>
      </c>
      <c r="BC166" s="21">
        <f>IF(N(BB166)&gt;0,"Clashes with "&amp;INDEX($AW$2:$AW$501,SUMPRODUCT(MAX(($AS$2:$AS$501=AS166)*($AT$2:$AT$501=AT166)*($AU$2:$AU$501&lt;AV166)*($AV$2:$AV$501&gt;AU166)*($BA$2:$BA$501=1)*(ROW($AS$2:$AS$501)&lt;&gt;ROW())*ROW($AS$2:$AS$501)))-1)&amp;" ("&amp;INDEX($AY$2:$AY$501,SUMPRODUCT(MAX(($AS$2:$AS$501=AS166)*($AT$2:$AT$501=AT166)*($AU$2:$AU$501&lt;AV166)*($AV$2:$AV$501&gt;AU166)*($BA$2:$BA$501=1)*(ROW($AS$2:$AS$501)&lt;&gt;ROW())*ROW($AS$2:$AS$501)))-1)&amp;")"&amp;IF(BB166&gt;1," and "&amp;(BB166-1)&amp;" more",""),"")</f>
        <v/>
      </c>
      <c r="BD166" s="21">
        <f>IF(AND(BA166=1,AY166="Confirmed"),AT166*10000000+AU166*1000+ROW(),"")</f>
        <v/>
      </c>
      <c r="BE166" s="21">
        <f>IF(IFERROR(TRIM(INDEX($A166:$AL166,MATCH(Lists!$F$2,$A$1:$AL$1,0))&amp;""),"")="","",IFERROR(TRIM(INDEX($A166:$AL166,MATCH(Lists!$F$11,$A$1:$AL$1,0))&amp;""),""))</f>
        <v/>
      </c>
      <c r="BF166" s="21">
        <f>IF(IFERROR(TRIM(INDEX($A166:$AL166,MATCH(Lists!$F$2,$A$1:$AL$1,0))&amp;""),"")="","",IFERROR(TRIM(INDEX($A166:$AL166,MATCH(Lists!$F$12,$A$1:$AL$1,0))&amp;""),""))</f>
        <v/>
      </c>
    </row>
    <row r="167">
      <c r="AM167" s="19" t="n"/>
      <c r="AN167" s="23" t="n"/>
      <c r="AO167" s="23" t="n"/>
      <c r="AP167" s="23" t="n"/>
      <c r="AQ167" s="23" t="n"/>
      <c r="AR167" s="19" t="n"/>
      <c r="AS167" s="21">
        <f>IF(IFERROR(TRIM(INDEX($A167:$AL167,MATCH(Lists!$F$2,$A$1:$AL$1,0))&amp;""),"")="","",IF(AND(IFERROR(TRIM(INDEX($A167:$AL167,MATCH(Lists!$F$3,$A$1:$AL$1,0))&amp;""),"")="Other",IFERROR(TRIM(INDEX($A167:$AL167,MATCH(Lists!$F$4,$A$1:$AL$1,0))&amp;""),"")&lt;&gt;""),IFERROR(TRIM(INDEX($A167:$AL167,MATCH(Lists!$F$4,$A$1:$AL$1,0))&amp;""),""),IF(IFERROR(TRIM(INDEX($A167:$AL167,MATCH(Lists!$F$3,$A$1:$AL$1,0))&amp;""),"")="","(no space)",IFERROR(TRIM(INDEX($A167:$AL167,MATCH(Lists!$F$3,$A$1:$AL$1,0))&amp;""),""))))</f>
        <v/>
      </c>
      <c r="AT167" s="22">
        <f>IF(IFERROR(TRIM(INDEX($A167:$AL167,MATCH(Lists!$F$2,$A$1:$AL$1,0))&amp;""),"")="",0,N(IFERROR(IF(TRIM(INDEX($A167:$AL167,MATCH(Lists!$F$5,$A$1:$AL$1,0))&amp;"")="","",IF(ISNUMBER(INDEX($A167:$AL167,MATCH(Lists!$F$5,$A$1:$AL$1,0))),INT(INDEX($A167:$AL167,MATCH(Lists!$F$5,$A$1:$AL$1,0))),DATE(VALUE(LEFT(INDEX($A167:$AL167,MATCH(Lists!$F$5,$A$1:$AL$1,0)),4)),VALUE(MID(INDEX($A167:$AL167,MATCH(Lists!$F$5,$A$1:$AL$1,0)),6,2)),VALUE(MID(INDEX($A167:$AL167,MATCH(Lists!$F$5,$A$1:$AL$1,0)),9,2))))),"")))</f>
        <v/>
      </c>
      <c r="AU167" s="21">
        <f>IF(IFERROR(TRIM(INDEX($A167:$AL167,MATCH(Lists!$F$2,$A$1:$AL$1,0))&amp;""),"")="",-1,IF(ISNUMBER(IFERROR(IF(TRIM(INDEX($A167:$AL167,MATCH(Lists!$F$6,$A$1:$AL$1,0))&amp;"")="","",IF(ISNUMBER(INDEX($A167:$AL167,MATCH(Lists!$F$6,$A$1:$AL$1,0))),ROUND(MOD(INDEX($A167:$AL167,MATCH(Lists!$F$6,$A$1:$AL$1,0)),1)*1440,0),VALUE(LEFT(INDEX($A167:$AL167,MATCH(Lists!$F$6,$A$1:$AL$1,0)),2))*60+VALUE(MID(INDEX($A167:$AL167,MATCH(Lists!$F$6,$A$1:$AL$1,0)),4,2)))),"")),IFERROR(IF(TRIM(INDEX($A167:$AL167,MATCH(Lists!$F$6,$A$1:$AL$1,0))&amp;"")="","",IF(ISNUMBER(INDEX($A167:$AL167,MATCH(Lists!$F$6,$A$1:$AL$1,0))),ROUND(MOD(INDEX($A167:$AL167,MATCH(Lists!$F$6,$A$1:$AL$1,0)),1)*1440,0),VALUE(LEFT(INDEX($A167:$AL167,MATCH(Lists!$F$6,$A$1:$AL$1,0)),2))*60+VALUE(MID(INDEX($A167:$AL167,MATCH(Lists!$F$6,$A$1:$AL$1,0)),4,2)))),""),-1))</f>
        <v/>
      </c>
      <c r="AV167" s="21">
        <f>IF(IFERROR(TRIM(INDEX($A167:$AL167,MATCH(Lists!$F$2,$A$1:$AL$1,0))&amp;""),"")="",-1,IF(ISNUMBER(IFERROR(IF(TRIM(INDEX($A167:$AL167,MATCH(Lists!$F$7,$A$1:$AL$1,0))&amp;"")="","",IF(ISNUMBER(INDEX($A167:$AL167,MATCH(Lists!$F$7,$A$1:$AL$1,0))),ROUND(MOD(INDEX($A167:$AL167,MATCH(Lists!$F$7,$A$1:$AL$1,0)),1)*1440,0),VALUE(LEFT(INDEX($A167:$AL167,MATCH(Lists!$F$7,$A$1:$AL$1,0)),2))*60+VALUE(MID(INDEX($A167:$AL167,MATCH(Lists!$F$7,$A$1:$AL$1,0)),4,2)))),"")),IFERROR(IF(TRIM(INDEX($A167:$AL167,MATCH(Lists!$F$7,$A$1:$AL$1,0))&amp;"")="","",IF(ISNUMBER(INDEX($A167:$AL167,MATCH(Lists!$F$7,$A$1:$AL$1,0))),ROUND(MOD(INDEX($A167:$AL167,MATCH(Lists!$F$7,$A$1:$AL$1,0)),1)*1440,0),VALUE(LEFT(INDEX($A167:$AL167,MATCH(Lists!$F$7,$A$1:$AL$1,0)),2))*60+VALUE(MID(INDEX($A167:$AL167,MATCH(Lists!$F$7,$A$1:$AL$1,0)),4,2)))),""),-1))</f>
        <v/>
      </c>
      <c r="AW167" s="21">
        <f>IF(IFERROR(TRIM(INDEX($A167:$AL167,MATCH(Lists!$F$2,$A$1:$AL$1,0))&amp;""),"")="","",IF(IFERROR(TRIM(INDEX($A167:$AL167,MATCH(Lists!$F$8,$A$1:$AL$1,0))&amp;""),"")&lt;&gt;"",IFERROR(TRIM(INDEX($A167:$AL167,MATCH(Lists!$F$8,$A$1:$AL$1,0))&amp;""),""),IFERROR(TRIM(INDEX($A167:$AL167,MATCH(Lists!$F$9,$A$1:$AL$1,0))&amp;""),"")))</f>
        <v/>
      </c>
      <c r="AX167" s="21">
        <f>IFERROR(IF(TRIM(INDEX($A167:$AL167,MATCH(Lists!$F$10,$A$1:$AL$1,0))&amp;"")="","",VALUE(TRIM(INDEX($A167:$AL167,MATCH(Lists!$F$10,$A$1:$AL$1,0))&amp;""))),"")</f>
        <v/>
      </c>
      <c r="AY167" s="21">
        <f>IF(IFERROR(TRIM(INDEX($A167:$AL167,MATCH(Lists!$F$2,$A$1:$AL$1,0))&amp;""),"")="","",IF(AN167="","New",AN167))</f>
        <v/>
      </c>
      <c r="AZ167" s="21">
        <f>IF(IFERROR(TRIM(INDEX($A167:$AL167,MATCH(Lists!$F$2,$A$1:$AL$1,0))&amp;""),"")="","",IF(OR(IFERROR(TRIM(INDEX($A167:$AL167,MATCH(Lists!$F$13,$A$1:$AL$1,0))&amp;""),"")="Paid",IFERROR(TRIM(INDEX($A167:$AL167,MATCH(Lists!$F$13,$A$1:$AL$1,0))&amp;""),"")="Partially refunded"),"Paid",IF(AP167="Yes","Paid (by hand)",IFERROR(TRIM(INDEX($A167:$AL167,MATCH(Lists!$F$13,$A$1:$AL$1,0))&amp;""),""))))</f>
        <v/>
      </c>
      <c r="BA167" s="21">
        <f>IF(AND(IFERROR(TRIM(INDEX($A167:$AL167,MATCH(Lists!$F$2,$A$1:$AL$1,0))&amp;""),"")&lt;&gt;"",AT167&gt;0,AU167&gt;=0,AV167&gt;AU167,AY167&lt;&gt;"Declined"),1,0)</f>
        <v/>
      </c>
      <c r="BB167" s="21">
        <f>IF(BA167=1,COUNTIFS($AS$2:$AS$501,AS167,$AT$2:$AT$501,AT167,$AU$2:$AU$501,"&lt;"&amp;AV167,$AV$2:$AV$501,"&gt;"&amp;AU167,$BA$2:$BA$501,1)-1,"")</f>
        <v/>
      </c>
      <c r="BC167" s="21">
        <f>IF(N(BB167)&gt;0,"Clashes with "&amp;INDEX($AW$2:$AW$501,SUMPRODUCT(MAX(($AS$2:$AS$501=AS167)*($AT$2:$AT$501=AT167)*($AU$2:$AU$501&lt;AV167)*($AV$2:$AV$501&gt;AU167)*($BA$2:$BA$501=1)*(ROW($AS$2:$AS$501)&lt;&gt;ROW())*ROW($AS$2:$AS$501)))-1)&amp;" ("&amp;INDEX($AY$2:$AY$501,SUMPRODUCT(MAX(($AS$2:$AS$501=AS167)*($AT$2:$AT$501=AT167)*($AU$2:$AU$501&lt;AV167)*($AV$2:$AV$501&gt;AU167)*($BA$2:$BA$501=1)*(ROW($AS$2:$AS$501)&lt;&gt;ROW())*ROW($AS$2:$AS$501)))-1)&amp;")"&amp;IF(BB167&gt;1," and "&amp;(BB167-1)&amp;" more",""),"")</f>
        <v/>
      </c>
      <c r="BD167" s="21">
        <f>IF(AND(BA167=1,AY167="Confirmed"),AT167*10000000+AU167*1000+ROW(),"")</f>
        <v/>
      </c>
      <c r="BE167" s="21">
        <f>IF(IFERROR(TRIM(INDEX($A167:$AL167,MATCH(Lists!$F$2,$A$1:$AL$1,0))&amp;""),"")="","",IFERROR(TRIM(INDEX($A167:$AL167,MATCH(Lists!$F$11,$A$1:$AL$1,0))&amp;""),""))</f>
        <v/>
      </c>
      <c r="BF167" s="21">
        <f>IF(IFERROR(TRIM(INDEX($A167:$AL167,MATCH(Lists!$F$2,$A$1:$AL$1,0))&amp;""),"")="","",IFERROR(TRIM(INDEX($A167:$AL167,MATCH(Lists!$F$12,$A$1:$AL$1,0))&amp;""),""))</f>
        <v/>
      </c>
    </row>
    <row r="168">
      <c r="AM168" s="19" t="n"/>
      <c r="AN168" s="23" t="n"/>
      <c r="AO168" s="23" t="n"/>
      <c r="AP168" s="23" t="n"/>
      <c r="AQ168" s="23" t="n"/>
      <c r="AR168" s="19" t="n"/>
      <c r="AS168" s="21">
        <f>IF(IFERROR(TRIM(INDEX($A168:$AL168,MATCH(Lists!$F$2,$A$1:$AL$1,0))&amp;""),"")="","",IF(AND(IFERROR(TRIM(INDEX($A168:$AL168,MATCH(Lists!$F$3,$A$1:$AL$1,0))&amp;""),"")="Other",IFERROR(TRIM(INDEX($A168:$AL168,MATCH(Lists!$F$4,$A$1:$AL$1,0))&amp;""),"")&lt;&gt;""),IFERROR(TRIM(INDEX($A168:$AL168,MATCH(Lists!$F$4,$A$1:$AL$1,0))&amp;""),""),IF(IFERROR(TRIM(INDEX($A168:$AL168,MATCH(Lists!$F$3,$A$1:$AL$1,0))&amp;""),"")="","(no space)",IFERROR(TRIM(INDEX($A168:$AL168,MATCH(Lists!$F$3,$A$1:$AL$1,0))&amp;""),""))))</f>
        <v/>
      </c>
      <c r="AT168" s="22">
        <f>IF(IFERROR(TRIM(INDEX($A168:$AL168,MATCH(Lists!$F$2,$A$1:$AL$1,0))&amp;""),"")="",0,N(IFERROR(IF(TRIM(INDEX($A168:$AL168,MATCH(Lists!$F$5,$A$1:$AL$1,0))&amp;"")="","",IF(ISNUMBER(INDEX($A168:$AL168,MATCH(Lists!$F$5,$A$1:$AL$1,0))),INT(INDEX($A168:$AL168,MATCH(Lists!$F$5,$A$1:$AL$1,0))),DATE(VALUE(LEFT(INDEX($A168:$AL168,MATCH(Lists!$F$5,$A$1:$AL$1,0)),4)),VALUE(MID(INDEX($A168:$AL168,MATCH(Lists!$F$5,$A$1:$AL$1,0)),6,2)),VALUE(MID(INDEX($A168:$AL168,MATCH(Lists!$F$5,$A$1:$AL$1,0)),9,2))))),"")))</f>
        <v/>
      </c>
      <c r="AU168" s="21">
        <f>IF(IFERROR(TRIM(INDEX($A168:$AL168,MATCH(Lists!$F$2,$A$1:$AL$1,0))&amp;""),"")="",-1,IF(ISNUMBER(IFERROR(IF(TRIM(INDEX($A168:$AL168,MATCH(Lists!$F$6,$A$1:$AL$1,0))&amp;"")="","",IF(ISNUMBER(INDEX($A168:$AL168,MATCH(Lists!$F$6,$A$1:$AL$1,0))),ROUND(MOD(INDEX($A168:$AL168,MATCH(Lists!$F$6,$A$1:$AL$1,0)),1)*1440,0),VALUE(LEFT(INDEX($A168:$AL168,MATCH(Lists!$F$6,$A$1:$AL$1,0)),2))*60+VALUE(MID(INDEX($A168:$AL168,MATCH(Lists!$F$6,$A$1:$AL$1,0)),4,2)))),"")),IFERROR(IF(TRIM(INDEX($A168:$AL168,MATCH(Lists!$F$6,$A$1:$AL$1,0))&amp;"")="","",IF(ISNUMBER(INDEX($A168:$AL168,MATCH(Lists!$F$6,$A$1:$AL$1,0))),ROUND(MOD(INDEX($A168:$AL168,MATCH(Lists!$F$6,$A$1:$AL$1,0)),1)*1440,0),VALUE(LEFT(INDEX($A168:$AL168,MATCH(Lists!$F$6,$A$1:$AL$1,0)),2))*60+VALUE(MID(INDEX($A168:$AL168,MATCH(Lists!$F$6,$A$1:$AL$1,0)),4,2)))),""),-1))</f>
        <v/>
      </c>
      <c r="AV168" s="21">
        <f>IF(IFERROR(TRIM(INDEX($A168:$AL168,MATCH(Lists!$F$2,$A$1:$AL$1,0))&amp;""),"")="",-1,IF(ISNUMBER(IFERROR(IF(TRIM(INDEX($A168:$AL168,MATCH(Lists!$F$7,$A$1:$AL$1,0))&amp;"")="","",IF(ISNUMBER(INDEX($A168:$AL168,MATCH(Lists!$F$7,$A$1:$AL$1,0))),ROUND(MOD(INDEX($A168:$AL168,MATCH(Lists!$F$7,$A$1:$AL$1,0)),1)*1440,0),VALUE(LEFT(INDEX($A168:$AL168,MATCH(Lists!$F$7,$A$1:$AL$1,0)),2))*60+VALUE(MID(INDEX($A168:$AL168,MATCH(Lists!$F$7,$A$1:$AL$1,0)),4,2)))),"")),IFERROR(IF(TRIM(INDEX($A168:$AL168,MATCH(Lists!$F$7,$A$1:$AL$1,0))&amp;"")="","",IF(ISNUMBER(INDEX($A168:$AL168,MATCH(Lists!$F$7,$A$1:$AL$1,0))),ROUND(MOD(INDEX($A168:$AL168,MATCH(Lists!$F$7,$A$1:$AL$1,0)),1)*1440,0),VALUE(LEFT(INDEX($A168:$AL168,MATCH(Lists!$F$7,$A$1:$AL$1,0)),2))*60+VALUE(MID(INDEX($A168:$AL168,MATCH(Lists!$F$7,$A$1:$AL$1,0)),4,2)))),""),-1))</f>
        <v/>
      </c>
      <c r="AW168" s="21">
        <f>IF(IFERROR(TRIM(INDEX($A168:$AL168,MATCH(Lists!$F$2,$A$1:$AL$1,0))&amp;""),"")="","",IF(IFERROR(TRIM(INDEX($A168:$AL168,MATCH(Lists!$F$8,$A$1:$AL$1,0))&amp;""),"")&lt;&gt;"",IFERROR(TRIM(INDEX($A168:$AL168,MATCH(Lists!$F$8,$A$1:$AL$1,0))&amp;""),""),IFERROR(TRIM(INDEX($A168:$AL168,MATCH(Lists!$F$9,$A$1:$AL$1,0))&amp;""),"")))</f>
        <v/>
      </c>
      <c r="AX168" s="21">
        <f>IFERROR(IF(TRIM(INDEX($A168:$AL168,MATCH(Lists!$F$10,$A$1:$AL$1,0))&amp;"")="","",VALUE(TRIM(INDEX($A168:$AL168,MATCH(Lists!$F$10,$A$1:$AL$1,0))&amp;""))),"")</f>
        <v/>
      </c>
      <c r="AY168" s="21">
        <f>IF(IFERROR(TRIM(INDEX($A168:$AL168,MATCH(Lists!$F$2,$A$1:$AL$1,0))&amp;""),"")="","",IF(AN168="","New",AN168))</f>
        <v/>
      </c>
      <c r="AZ168" s="21">
        <f>IF(IFERROR(TRIM(INDEX($A168:$AL168,MATCH(Lists!$F$2,$A$1:$AL$1,0))&amp;""),"")="","",IF(OR(IFERROR(TRIM(INDEX($A168:$AL168,MATCH(Lists!$F$13,$A$1:$AL$1,0))&amp;""),"")="Paid",IFERROR(TRIM(INDEX($A168:$AL168,MATCH(Lists!$F$13,$A$1:$AL$1,0))&amp;""),"")="Partially refunded"),"Paid",IF(AP168="Yes","Paid (by hand)",IFERROR(TRIM(INDEX($A168:$AL168,MATCH(Lists!$F$13,$A$1:$AL$1,0))&amp;""),""))))</f>
        <v/>
      </c>
      <c r="BA168" s="21">
        <f>IF(AND(IFERROR(TRIM(INDEX($A168:$AL168,MATCH(Lists!$F$2,$A$1:$AL$1,0))&amp;""),"")&lt;&gt;"",AT168&gt;0,AU168&gt;=0,AV168&gt;AU168,AY168&lt;&gt;"Declined"),1,0)</f>
        <v/>
      </c>
      <c r="BB168" s="21">
        <f>IF(BA168=1,COUNTIFS($AS$2:$AS$501,AS168,$AT$2:$AT$501,AT168,$AU$2:$AU$501,"&lt;"&amp;AV168,$AV$2:$AV$501,"&gt;"&amp;AU168,$BA$2:$BA$501,1)-1,"")</f>
        <v/>
      </c>
      <c r="BC168" s="21">
        <f>IF(N(BB168)&gt;0,"Clashes with "&amp;INDEX($AW$2:$AW$501,SUMPRODUCT(MAX(($AS$2:$AS$501=AS168)*($AT$2:$AT$501=AT168)*($AU$2:$AU$501&lt;AV168)*($AV$2:$AV$501&gt;AU168)*($BA$2:$BA$501=1)*(ROW($AS$2:$AS$501)&lt;&gt;ROW())*ROW($AS$2:$AS$501)))-1)&amp;" ("&amp;INDEX($AY$2:$AY$501,SUMPRODUCT(MAX(($AS$2:$AS$501=AS168)*($AT$2:$AT$501=AT168)*($AU$2:$AU$501&lt;AV168)*($AV$2:$AV$501&gt;AU168)*($BA$2:$BA$501=1)*(ROW($AS$2:$AS$501)&lt;&gt;ROW())*ROW($AS$2:$AS$501)))-1)&amp;")"&amp;IF(BB168&gt;1," and "&amp;(BB168-1)&amp;" more",""),"")</f>
        <v/>
      </c>
      <c r="BD168" s="21">
        <f>IF(AND(BA168=1,AY168="Confirmed"),AT168*10000000+AU168*1000+ROW(),"")</f>
        <v/>
      </c>
      <c r="BE168" s="21">
        <f>IF(IFERROR(TRIM(INDEX($A168:$AL168,MATCH(Lists!$F$2,$A$1:$AL$1,0))&amp;""),"")="","",IFERROR(TRIM(INDEX($A168:$AL168,MATCH(Lists!$F$11,$A$1:$AL$1,0))&amp;""),""))</f>
        <v/>
      </c>
      <c r="BF168" s="21">
        <f>IF(IFERROR(TRIM(INDEX($A168:$AL168,MATCH(Lists!$F$2,$A$1:$AL$1,0))&amp;""),"")="","",IFERROR(TRIM(INDEX($A168:$AL168,MATCH(Lists!$F$12,$A$1:$AL$1,0))&amp;""),""))</f>
        <v/>
      </c>
    </row>
    <row r="169">
      <c r="AM169" s="19" t="n"/>
      <c r="AN169" s="23" t="n"/>
      <c r="AO169" s="23" t="n"/>
      <c r="AP169" s="23" t="n"/>
      <c r="AQ169" s="23" t="n"/>
      <c r="AR169" s="19" t="n"/>
      <c r="AS169" s="21">
        <f>IF(IFERROR(TRIM(INDEX($A169:$AL169,MATCH(Lists!$F$2,$A$1:$AL$1,0))&amp;""),"")="","",IF(AND(IFERROR(TRIM(INDEX($A169:$AL169,MATCH(Lists!$F$3,$A$1:$AL$1,0))&amp;""),"")="Other",IFERROR(TRIM(INDEX($A169:$AL169,MATCH(Lists!$F$4,$A$1:$AL$1,0))&amp;""),"")&lt;&gt;""),IFERROR(TRIM(INDEX($A169:$AL169,MATCH(Lists!$F$4,$A$1:$AL$1,0))&amp;""),""),IF(IFERROR(TRIM(INDEX($A169:$AL169,MATCH(Lists!$F$3,$A$1:$AL$1,0))&amp;""),"")="","(no space)",IFERROR(TRIM(INDEX($A169:$AL169,MATCH(Lists!$F$3,$A$1:$AL$1,0))&amp;""),""))))</f>
        <v/>
      </c>
      <c r="AT169" s="22">
        <f>IF(IFERROR(TRIM(INDEX($A169:$AL169,MATCH(Lists!$F$2,$A$1:$AL$1,0))&amp;""),"")="",0,N(IFERROR(IF(TRIM(INDEX($A169:$AL169,MATCH(Lists!$F$5,$A$1:$AL$1,0))&amp;"")="","",IF(ISNUMBER(INDEX($A169:$AL169,MATCH(Lists!$F$5,$A$1:$AL$1,0))),INT(INDEX($A169:$AL169,MATCH(Lists!$F$5,$A$1:$AL$1,0))),DATE(VALUE(LEFT(INDEX($A169:$AL169,MATCH(Lists!$F$5,$A$1:$AL$1,0)),4)),VALUE(MID(INDEX($A169:$AL169,MATCH(Lists!$F$5,$A$1:$AL$1,0)),6,2)),VALUE(MID(INDEX($A169:$AL169,MATCH(Lists!$F$5,$A$1:$AL$1,0)),9,2))))),"")))</f>
        <v/>
      </c>
      <c r="AU169" s="21">
        <f>IF(IFERROR(TRIM(INDEX($A169:$AL169,MATCH(Lists!$F$2,$A$1:$AL$1,0))&amp;""),"")="",-1,IF(ISNUMBER(IFERROR(IF(TRIM(INDEX($A169:$AL169,MATCH(Lists!$F$6,$A$1:$AL$1,0))&amp;"")="","",IF(ISNUMBER(INDEX($A169:$AL169,MATCH(Lists!$F$6,$A$1:$AL$1,0))),ROUND(MOD(INDEX($A169:$AL169,MATCH(Lists!$F$6,$A$1:$AL$1,0)),1)*1440,0),VALUE(LEFT(INDEX($A169:$AL169,MATCH(Lists!$F$6,$A$1:$AL$1,0)),2))*60+VALUE(MID(INDEX($A169:$AL169,MATCH(Lists!$F$6,$A$1:$AL$1,0)),4,2)))),"")),IFERROR(IF(TRIM(INDEX($A169:$AL169,MATCH(Lists!$F$6,$A$1:$AL$1,0))&amp;"")="","",IF(ISNUMBER(INDEX($A169:$AL169,MATCH(Lists!$F$6,$A$1:$AL$1,0))),ROUND(MOD(INDEX($A169:$AL169,MATCH(Lists!$F$6,$A$1:$AL$1,0)),1)*1440,0),VALUE(LEFT(INDEX($A169:$AL169,MATCH(Lists!$F$6,$A$1:$AL$1,0)),2))*60+VALUE(MID(INDEX($A169:$AL169,MATCH(Lists!$F$6,$A$1:$AL$1,0)),4,2)))),""),-1))</f>
        <v/>
      </c>
      <c r="AV169" s="21">
        <f>IF(IFERROR(TRIM(INDEX($A169:$AL169,MATCH(Lists!$F$2,$A$1:$AL$1,0))&amp;""),"")="",-1,IF(ISNUMBER(IFERROR(IF(TRIM(INDEX($A169:$AL169,MATCH(Lists!$F$7,$A$1:$AL$1,0))&amp;"")="","",IF(ISNUMBER(INDEX($A169:$AL169,MATCH(Lists!$F$7,$A$1:$AL$1,0))),ROUND(MOD(INDEX($A169:$AL169,MATCH(Lists!$F$7,$A$1:$AL$1,0)),1)*1440,0),VALUE(LEFT(INDEX($A169:$AL169,MATCH(Lists!$F$7,$A$1:$AL$1,0)),2))*60+VALUE(MID(INDEX($A169:$AL169,MATCH(Lists!$F$7,$A$1:$AL$1,0)),4,2)))),"")),IFERROR(IF(TRIM(INDEX($A169:$AL169,MATCH(Lists!$F$7,$A$1:$AL$1,0))&amp;"")="","",IF(ISNUMBER(INDEX($A169:$AL169,MATCH(Lists!$F$7,$A$1:$AL$1,0))),ROUND(MOD(INDEX($A169:$AL169,MATCH(Lists!$F$7,$A$1:$AL$1,0)),1)*1440,0),VALUE(LEFT(INDEX($A169:$AL169,MATCH(Lists!$F$7,$A$1:$AL$1,0)),2))*60+VALUE(MID(INDEX($A169:$AL169,MATCH(Lists!$F$7,$A$1:$AL$1,0)),4,2)))),""),-1))</f>
        <v/>
      </c>
      <c r="AW169" s="21">
        <f>IF(IFERROR(TRIM(INDEX($A169:$AL169,MATCH(Lists!$F$2,$A$1:$AL$1,0))&amp;""),"")="","",IF(IFERROR(TRIM(INDEX($A169:$AL169,MATCH(Lists!$F$8,$A$1:$AL$1,0))&amp;""),"")&lt;&gt;"",IFERROR(TRIM(INDEX($A169:$AL169,MATCH(Lists!$F$8,$A$1:$AL$1,0))&amp;""),""),IFERROR(TRIM(INDEX($A169:$AL169,MATCH(Lists!$F$9,$A$1:$AL$1,0))&amp;""),"")))</f>
        <v/>
      </c>
      <c r="AX169" s="21">
        <f>IFERROR(IF(TRIM(INDEX($A169:$AL169,MATCH(Lists!$F$10,$A$1:$AL$1,0))&amp;"")="","",VALUE(TRIM(INDEX($A169:$AL169,MATCH(Lists!$F$10,$A$1:$AL$1,0))&amp;""))),"")</f>
        <v/>
      </c>
      <c r="AY169" s="21">
        <f>IF(IFERROR(TRIM(INDEX($A169:$AL169,MATCH(Lists!$F$2,$A$1:$AL$1,0))&amp;""),"")="","",IF(AN169="","New",AN169))</f>
        <v/>
      </c>
      <c r="AZ169" s="21">
        <f>IF(IFERROR(TRIM(INDEX($A169:$AL169,MATCH(Lists!$F$2,$A$1:$AL$1,0))&amp;""),"")="","",IF(OR(IFERROR(TRIM(INDEX($A169:$AL169,MATCH(Lists!$F$13,$A$1:$AL$1,0))&amp;""),"")="Paid",IFERROR(TRIM(INDEX($A169:$AL169,MATCH(Lists!$F$13,$A$1:$AL$1,0))&amp;""),"")="Partially refunded"),"Paid",IF(AP169="Yes","Paid (by hand)",IFERROR(TRIM(INDEX($A169:$AL169,MATCH(Lists!$F$13,$A$1:$AL$1,0))&amp;""),""))))</f>
        <v/>
      </c>
      <c r="BA169" s="21">
        <f>IF(AND(IFERROR(TRIM(INDEX($A169:$AL169,MATCH(Lists!$F$2,$A$1:$AL$1,0))&amp;""),"")&lt;&gt;"",AT169&gt;0,AU169&gt;=0,AV169&gt;AU169,AY169&lt;&gt;"Declined"),1,0)</f>
        <v/>
      </c>
      <c r="BB169" s="21">
        <f>IF(BA169=1,COUNTIFS($AS$2:$AS$501,AS169,$AT$2:$AT$501,AT169,$AU$2:$AU$501,"&lt;"&amp;AV169,$AV$2:$AV$501,"&gt;"&amp;AU169,$BA$2:$BA$501,1)-1,"")</f>
        <v/>
      </c>
      <c r="BC169" s="21">
        <f>IF(N(BB169)&gt;0,"Clashes with "&amp;INDEX($AW$2:$AW$501,SUMPRODUCT(MAX(($AS$2:$AS$501=AS169)*($AT$2:$AT$501=AT169)*($AU$2:$AU$501&lt;AV169)*($AV$2:$AV$501&gt;AU169)*($BA$2:$BA$501=1)*(ROW($AS$2:$AS$501)&lt;&gt;ROW())*ROW($AS$2:$AS$501)))-1)&amp;" ("&amp;INDEX($AY$2:$AY$501,SUMPRODUCT(MAX(($AS$2:$AS$501=AS169)*($AT$2:$AT$501=AT169)*($AU$2:$AU$501&lt;AV169)*($AV$2:$AV$501&gt;AU169)*($BA$2:$BA$501=1)*(ROW($AS$2:$AS$501)&lt;&gt;ROW())*ROW($AS$2:$AS$501)))-1)&amp;")"&amp;IF(BB169&gt;1," and "&amp;(BB169-1)&amp;" more",""),"")</f>
        <v/>
      </c>
      <c r="BD169" s="21">
        <f>IF(AND(BA169=1,AY169="Confirmed"),AT169*10000000+AU169*1000+ROW(),"")</f>
        <v/>
      </c>
      <c r="BE169" s="21">
        <f>IF(IFERROR(TRIM(INDEX($A169:$AL169,MATCH(Lists!$F$2,$A$1:$AL$1,0))&amp;""),"")="","",IFERROR(TRIM(INDEX($A169:$AL169,MATCH(Lists!$F$11,$A$1:$AL$1,0))&amp;""),""))</f>
        <v/>
      </c>
      <c r="BF169" s="21">
        <f>IF(IFERROR(TRIM(INDEX($A169:$AL169,MATCH(Lists!$F$2,$A$1:$AL$1,0))&amp;""),"")="","",IFERROR(TRIM(INDEX($A169:$AL169,MATCH(Lists!$F$12,$A$1:$AL$1,0))&amp;""),""))</f>
        <v/>
      </c>
    </row>
    <row r="170">
      <c r="AM170" s="19" t="n"/>
      <c r="AN170" s="23" t="n"/>
      <c r="AO170" s="23" t="n"/>
      <c r="AP170" s="23" t="n"/>
      <c r="AQ170" s="23" t="n"/>
      <c r="AR170" s="19" t="n"/>
      <c r="AS170" s="21">
        <f>IF(IFERROR(TRIM(INDEX($A170:$AL170,MATCH(Lists!$F$2,$A$1:$AL$1,0))&amp;""),"")="","",IF(AND(IFERROR(TRIM(INDEX($A170:$AL170,MATCH(Lists!$F$3,$A$1:$AL$1,0))&amp;""),"")="Other",IFERROR(TRIM(INDEX($A170:$AL170,MATCH(Lists!$F$4,$A$1:$AL$1,0))&amp;""),"")&lt;&gt;""),IFERROR(TRIM(INDEX($A170:$AL170,MATCH(Lists!$F$4,$A$1:$AL$1,0))&amp;""),""),IF(IFERROR(TRIM(INDEX($A170:$AL170,MATCH(Lists!$F$3,$A$1:$AL$1,0))&amp;""),"")="","(no space)",IFERROR(TRIM(INDEX($A170:$AL170,MATCH(Lists!$F$3,$A$1:$AL$1,0))&amp;""),""))))</f>
        <v/>
      </c>
      <c r="AT170" s="22">
        <f>IF(IFERROR(TRIM(INDEX($A170:$AL170,MATCH(Lists!$F$2,$A$1:$AL$1,0))&amp;""),"")="",0,N(IFERROR(IF(TRIM(INDEX($A170:$AL170,MATCH(Lists!$F$5,$A$1:$AL$1,0))&amp;"")="","",IF(ISNUMBER(INDEX($A170:$AL170,MATCH(Lists!$F$5,$A$1:$AL$1,0))),INT(INDEX($A170:$AL170,MATCH(Lists!$F$5,$A$1:$AL$1,0))),DATE(VALUE(LEFT(INDEX($A170:$AL170,MATCH(Lists!$F$5,$A$1:$AL$1,0)),4)),VALUE(MID(INDEX($A170:$AL170,MATCH(Lists!$F$5,$A$1:$AL$1,0)),6,2)),VALUE(MID(INDEX($A170:$AL170,MATCH(Lists!$F$5,$A$1:$AL$1,0)),9,2))))),"")))</f>
        <v/>
      </c>
      <c r="AU170" s="21">
        <f>IF(IFERROR(TRIM(INDEX($A170:$AL170,MATCH(Lists!$F$2,$A$1:$AL$1,0))&amp;""),"")="",-1,IF(ISNUMBER(IFERROR(IF(TRIM(INDEX($A170:$AL170,MATCH(Lists!$F$6,$A$1:$AL$1,0))&amp;"")="","",IF(ISNUMBER(INDEX($A170:$AL170,MATCH(Lists!$F$6,$A$1:$AL$1,0))),ROUND(MOD(INDEX($A170:$AL170,MATCH(Lists!$F$6,$A$1:$AL$1,0)),1)*1440,0),VALUE(LEFT(INDEX($A170:$AL170,MATCH(Lists!$F$6,$A$1:$AL$1,0)),2))*60+VALUE(MID(INDEX($A170:$AL170,MATCH(Lists!$F$6,$A$1:$AL$1,0)),4,2)))),"")),IFERROR(IF(TRIM(INDEX($A170:$AL170,MATCH(Lists!$F$6,$A$1:$AL$1,0))&amp;"")="","",IF(ISNUMBER(INDEX($A170:$AL170,MATCH(Lists!$F$6,$A$1:$AL$1,0))),ROUND(MOD(INDEX($A170:$AL170,MATCH(Lists!$F$6,$A$1:$AL$1,0)),1)*1440,0),VALUE(LEFT(INDEX($A170:$AL170,MATCH(Lists!$F$6,$A$1:$AL$1,0)),2))*60+VALUE(MID(INDEX($A170:$AL170,MATCH(Lists!$F$6,$A$1:$AL$1,0)),4,2)))),""),-1))</f>
        <v/>
      </c>
      <c r="AV170" s="21">
        <f>IF(IFERROR(TRIM(INDEX($A170:$AL170,MATCH(Lists!$F$2,$A$1:$AL$1,0))&amp;""),"")="",-1,IF(ISNUMBER(IFERROR(IF(TRIM(INDEX($A170:$AL170,MATCH(Lists!$F$7,$A$1:$AL$1,0))&amp;"")="","",IF(ISNUMBER(INDEX($A170:$AL170,MATCH(Lists!$F$7,$A$1:$AL$1,0))),ROUND(MOD(INDEX($A170:$AL170,MATCH(Lists!$F$7,$A$1:$AL$1,0)),1)*1440,0),VALUE(LEFT(INDEX($A170:$AL170,MATCH(Lists!$F$7,$A$1:$AL$1,0)),2))*60+VALUE(MID(INDEX($A170:$AL170,MATCH(Lists!$F$7,$A$1:$AL$1,0)),4,2)))),"")),IFERROR(IF(TRIM(INDEX($A170:$AL170,MATCH(Lists!$F$7,$A$1:$AL$1,0))&amp;"")="","",IF(ISNUMBER(INDEX($A170:$AL170,MATCH(Lists!$F$7,$A$1:$AL$1,0))),ROUND(MOD(INDEX($A170:$AL170,MATCH(Lists!$F$7,$A$1:$AL$1,0)),1)*1440,0),VALUE(LEFT(INDEX($A170:$AL170,MATCH(Lists!$F$7,$A$1:$AL$1,0)),2))*60+VALUE(MID(INDEX($A170:$AL170,MATCH(Lists!$F$7,$A$1:$AL$1,0)),4,2)))),""),-1))</f>
        <v/>
      </c>
      <c r="AW170" s="21">
        <f>IF(IFERROR(TRIM(INDEX($A170:$AL170,MATCH(Lists!$F$2,$A$1:$AL$1,0))&amp;""),"")="","",IF(IFERROR(TRIM(INDEX($A170:$AL170,MATCH(Lists!$F$8,$A$1:$AL$1,0))&amp;""),"")&lt;&gt;"",IFERROR(TRIM(INDEX($A170:$AL170,MATCH(Lists!$F$8,$A$1:$AL$1,0))&amp;""),""),IFERROR(TRIM(INDEX($A170:$AL170,MATCH(Lists!$F$9,$A$1:$AL$1,0))&amp;""),"")))</f>
        <v/>
      </c>
      <c r="AX170" s="21">
        <f>IFERROR(IF(TRIM(INDEX($A170:$AL170,MATCH(Lists!$F$10,$A$1:$AL$1,0))&amp;"")="","",VALUE(TRIM(INDEX($A170:$AL170,MATCH(Lists!$F$10,$A$1:$AL$1,0))&amp;""))),"")</f>
        <v/>
      </c>
      <c r="AY170" s="21">
        <f>IF(IFERROR(TRIM(INDEX($A170:$AL170,MATCH(Lists!$F$2,$A$1:$AL$1,0))&amp;""),"")="","",IF(AN170="","New",AN170))</f>
        <v/>
      </c>
      <c r="AZ170" s="21">
        <f>IF(IFERROR(TRIM(INDEX($A170:$AL170,MATCH(Lists!$F$2,$A$1:$AL$1,0))&amp;""),"")="","",IF(OR(IFERROR(TRIM(INDEX($A170:$AL170,MATCH(Lists!$F$13,$A$1:$AL$1,0))&amp;""),"")="Paid",IFERROR(TRIM(INDEX($A170:$AL170,MATCH(Lists!$F$13,$A$1:$AL$1,0))&amp;""),"")="Partially refunded"),"Paid",IF(AP170="Yes","Paid (by hand)",IFERROR(TRIM(INDEX($A170:$AL170,MATCH(Lists!$F$13,$A$1:$AL$1,0))&amp;""),""))))</f>
        <v/>
      </c>
      <c r="BA170" s="21">
        <f>IF(AND(IFERROR(TRIM(INDEX($A170:$AL170,MATCH(Lists!$F$2,$A$1:$AL$1,0))&amp;""),"")&lt;&gt;"",AT170&gt;0,AU170&gt;=0,AV170&gt;AU170,AY170&lt;&gt;"Declined"),1,0)</f>
        <v/>
      </c>
      <c r="BB170" s="21">
        <f>IF(BA170=1,COUNTIFS($AS$2:$AS$501,AS170,$AT$2:$AT$501,AT170,$AU$2:$AU$501,"&lt;"&amp;AV170,$AV$2:$AV$501,"&gt;"&amp;AU170,$BA$2:$BA$501,1)-1,"")</f>
        <v/>
      </c>
      <c r="BC170" s="21">
        <f>IF(N(BB170)&gt;0,"Clashes with "&amp;INDEX($AW$2:$AW$501,SUMPRODUCT(MAX(($AS$2:$AS$501=AS170)*($AT$2:$AT$501=AT170)*($AU$2:$AU$501&lt;AV170)*($AV$2:$AV$501&gt;AU170)*($BA$2:$BA$501=1)*(ROW($AS$2:$AS$501)&lt;&gt;ROW())*ROW($AS$2:$AS$501)))-1)&amp;" ("&amp;INDEX($AY$2:$AY$501,SUMPRODUCT(MAX(($AS$2:$AS$501=AS170)*($AT$2:$AT$501=AT170)*($AU$2:$AU$501&lt;AV170)*($AV$2:$AV$501&gt;AU170)*($BA$2:$BA$501=1)*(ROW($AS$2:$AS$501)&lt;&gt;ROW())*ROW($AS$2:$AS$501)))-1)&amp;")"&amp;IF(BB170&gt;1," and "&amp;(BB170-1)&amp;" more",""),"")</f>
        <v/>
      </c>
      <c r="BD170" s="21">
        <f>IF(AND(BA170=1,AY170="Confirmed"),AT170*10000000+AU170*1000+ROW(),"")</f>
        <v/>
      </c>
      <c r="BE170" s="21">
        <f>IF(IFERROR(TRIM(INDEX($A170:$AL170,MATCH(Lists!$F$2,$A$1:$AL$1,0))&amp;""),"")="","",IFERROR(TRIM(INDEX($A170:$AL170,MATCH(Lists!$F$11,$A$1:$AL$1,0))&amp;""),""))</f>
        <v/>
      </c>
      <c r="BF170" s="21">
        <f>IF(IFERROR(TRIM(INDEX($A170:$AL170,MATCH(Lists!$F$2,$A$1:$AL$1,0))&amp;""),"")="","",IFERROR(TRIM(INDEX($A170:$AL170,MATCH(Lists!$F$12,$A$1:$AL$1,0))&amp;""),""))</f>
        <v/>
      </c>
    </row>
    <row r="171">
      <c r="AM171" s="19" t="n"/>
      <c r="AN171" s="23" t="n"/>
      <c r="AO171" s="23" t="n"/>
      <c r="AP171" s="23" t="n"/>
      <c r="AQ171" s="23" t="n"/>
      <c r="AR171" s="19" t="n"/>
      <c r="AS171" s="21">
        <f>IF(IFERROR(TRIM(INDEX($A171:$AL171,MATCH(Lists!$F$2,$A$1:$AL$1,0))&amp;""),"")="","",IF(AND(IFERROR(TRIM(INDEX($A171:$AL171,MATCH(Lists!$F$3,$A$1:$AL$1,0))&amp;""),"")="Other",IFERROR(TRIM(INDEX($A171:$AL171,MATCH(Lists!$F$4,$A$1:$AL$1,0))&amp;""),"")&lt;&gt;""),IFERROR(TRIM(INDEX($A171:$AL171,MATCH(Lists!$F$4,$A$1:$AL$1,0))&amp;""),""),IF(IFERROR(TRIM(INDEX($A171:$AL171,MATCH(Lists!$F$3,$A$1:$AL$1,0))&amp;""),"")="","(no space)",IFERROR(TRIM(INDEX($A171:$AL171,MATCH(Lists!$F$3,$A$1:$AL$1,0))&amp;""),""))))</f>
        <v/>
      </c>
      <c r="AT171" s="22">
        <f>IF(IFERROR(TRIM(INDEX($A171:$AL171,MATCH(Lists!$F$2,$A$1:$AL$1,0))&amp;""),"")="",0,N(IFERROR(IF(TRIM(INDEX($A171:$AL171,MATCH(Lists!$F$5,$A$1:$AL$1,0))&amp;"")="","",IF(ISNUMBER(INDEX($A171:$AL171,MATCH(Lists!$F$5,$A$1:$AL$1,0))),INT(INDEX($A171:$AL171,MATCH(Lists!$F$5,$A$1:$AL$1,0))),DATE(VALUE(LEFT(INDEX($A171:$AL171,MATCH(Lists!$F$5,$A$1:$AL$1,0)),4)),VALUE(MID(INDEX($A171:$AL171,MATCH(Lists!$F$5,$A$1:$AL$1,0)),6,2)),VALUE(MID(INDEX($A171:$AL171,MATCH(Lists!$F$5,$A$1:$AL$1,0)),9,2))))),"")))</f>
        <v/>
      </c>
      <c r="AU171" s="21">
        <f>IF(IFERROR(TRIM(INDEX($A171:$AL171,MATCH(Lists!$F$2,$A$1:$AL$1,0))&amp;""),"")="",-1,IF(ISNUMBER(IFERROR(IF(TRIM(INDEX($A171:$AL171,MATCH(Lists!$F$6,$A$1:$AL$1,0))&amp;"")="","",IF(ISNUMBER(INDEX($A171:$AL171,MATCH(Lists!$F$6,$A$1:$AL$1,0))),ROUND(MOD(INDEX($A171:$AL171,MATCH(Lists!$F$6,$A$1:$AL$1,0)),1)*1440,0),VALUE(LEFT(INDEX($A171:$AL171,MATCH(Lists!$F$6,$A$1:$AL$1,0)),2))*60+VALUE(MID(INDEX($A171:$AL171,MATCH(Lists!$F$6,$A$1:$AL$1,0)),4,2)))),"")),IFERROR(IF(TRIM(INDEX($A171:$AL171,MATCH(Lists!$F$6,$A$1:$AL$1,0))&amp;"")="","",IF(ISNUMBER(INDEX($A171:$AL171,MATCH(Lists!$F$6,$A$1:$AL$1,0))),ROUND(MOD(INDEX($A171:$AL171,MATCH(Lists!$F$6,$A$1:$AL$1,0)),1)*1440,0),VALUE(LEFT(INDEX($A171:$AL171,MATCH(Lists!$F$6,$A$1:$AL$1,0)),2))*60+VALUE(MID(INDEX($A171:$AL171,MATCH(Lists!$F$6,$A$1:$AL$1,0)),4,2)))),""),-1))</f>
        <v/>
      </c>
      <c r="AV171" s="21">
        <f>IF(IFERROR(TRIM(INDEX($A171:$AL171,MATCH(Lists!$F$2,$A$1:$AL$1,0))&amp;""),"")="",-1,IF(ISNUMBER(IFERROR(IF(TRIM(INDEX($A171:$AL171,MATCH(Lists!$F$7,$A$1:$AL$1,0))&amp;"")="","",IF(ISNUMBER(INDEX($A171:$AL171,MATCH(Lists!$F$7,$A$1:$AL$1,0))),ROUND(MOD(INDEX($A171:$AL171,MATCH(Lists!$F$7,$A$1:$AL$1,0)),1)*1440,0),VALUE(LEFT(INDEX($A171:$AL171,MATCH(Lists!$F$7,$A$1:$AL$1,0)),2))*60+VALUE(MID(INDEX($A171:$AL171,MATCH(Lists!$F$7,$A$1:$AL$1,0)),4,2)))),"")),IFERROR(IF(TRIM(INDEX($A171:$AL171,MATCH(Lists!$F$7,$A$1:$AL$1,0))&amp;"")="","",IF(ISNUMBER(INDEX($A171:$AL171,MATCH(Lists!$F$7,$A$1:$AL$1,0))),ROUND(MOD(INDEX($A171:$AL171,MATCH(Lists!$F$7,$A$1:$AL$1,0)),1)*1440,0),VALUE(LEFT(INDEX($A171:$AL171,MATCH(Lists!$F$7,$A$1:$AL$1,0)),2))*60+VALUE(MID(INDEX($A171:$AL171,MATCH(Lists!$F$7,$A$1:$AL$1,0)),4,2)))),""),-1))</f>
        <v/>
      </c>
      <c r="AW171" s="21">
        <f>IF(IFERROR(TRIM(INDEX($A171:$AL171,MATCH(Lists!$F$2,$A$1:$AL$1,0))&amp;""),"")="","",IF(IFERROR(TRIM(INDEX($A171:$AL171,MATCH(Lists!$F$8,$A$1:$AL$1,0))&amp;""),"")&lt;&gt;"",IFERROR(TRIM(INDEX($A171:$AL171,MATCH(Lists!$F$8,$A$1:$AL$1,0))&amp;""),""),IFERROR(TRIM(INDEX($A171:$AL171,MATCH(Lists!$F$9,$A$1:$AL$1,0))&amp;""),"")))</f>
        <v/>
      </c>
      <c r="AX171" s="21">
        <f>IFERROR(IF(TRIM(INDEX($A171:$AL171,MATCH(Lists!$F$10,$A$1:$AL$1,0))&amp;"")="","",VALUE(TRIM(INDEX($A171:$AL171,MATCH(Lists!$F$10,$A$1:$AL$1,0))&amp;""))),"")</f>
        <v/>
      </c>
      <c r="AY171" s="21">
        <f>IF(IFERROR(TRIM(INDEX($A171:$AL171,MATCH(Lists!$F$2,$A$1:$AL$1,0))&amp;""),"")="","",IF(AN171="","New",AN171))</f>
        <v/>
      </c>
      <c r="AZ171" s="21">
        <f>IF(IFERROR(TRIM(INDEX($A171:$AL171,MATCH(Lists!$F$2,$A$1:$AL$1,0))&amp;""),"")="","",IF(OR(IFERROR(TRIM(INDEX($A171:$AL171,MATCH(Lists!$F$13,$A$1:$AL$1,0))&amp;""),"")="Paid",IFERROR(TRIM(INDEX($A171:$AL171,MATCH(Lists!$F$13,$A$1:$AL$1,0))&amp;""),"")="Partially refunded"),"Paid",IF(AP171="Yes","Paid (by hand)",IFERROR(TRIM(INDEX($A171:$AL171,MATCH(Lists!$F$13,$A$1:$AL$1,0))&amp;""),""))))</f>
        <v/>
      </c>
      <c r="BA171" s="21">
        <f>IF(AND(IFERROR(TRIM(INDEX($A171:$AL171,MATCH(Lists!$F$2,$A$1:$AL$1,0))&amp;""),"")&lt;&gt;"",AT171&gt;0,AU171&gt;=0,AV171&gt;AU171,AY171&lt;&gt;"Declined"),1,0)</f>
        <v/>
      </c>
      <c r="BB171" s="21">
        <f>IF(BA171=1,COUNTIFS($AS$2:$AS$501,AS171,$AT$2:$AT$501,AT171,$AU$2:$AU$501,"&lt;"&amp;AV171,$AV$2:$AV$501,"&gt;"&amp;AU171,$BA$2:$BA$501,1)-1,"")</f>
        <v/>
      </c>
      <c r="BC171" s="21">
        <f>IF(N(BB171)&gt;0,"Clashes with "&amp;INDEX($AW$2:$AW$501,SUMPRODUCT(MAX(($AS$2:$AS$501=AS171)*($AT$2:$AT$501=AT171)*($AU$2:$AU$501&lt;AV171)*($AV$2:$AV$501&gt;AU171)*($BA$2:$BA$501=1)*(ROW($AS$2:$AS$501)&lt;&gt;ROW())*ROW($AS$2:$AS$501)))-1)&amp;" ("&amp;INDEX($AY$2:$AY$501,SUMPRODUCT(MAX(($AS$2:$AS$501=AS171)*($AT$2:$AT$501=AT171)*($AU$2:$AU$501&lt;AV171)*($AV$2:$AV$501&gt;AU171)*($BA$2:$BA$501=1)*(ROW($AS$2:$AS$501)&lt;&gt;ROW())*ROW($AS$2:$AS$501)))-1)&amp;")"&amp;IF(BB171&gt;1," and "&amp;(BB171-1)&amp;" more",""),"")</f>
        <v/>
      </c>
      <c r="BD171" s="21">
        <f>IF(AND(BA171=1,AY171="Confirmed"),AT171*10000000+AU171*1000+ROW(),"")</f>
        <v/>
      </c>
      <c r="BE171" s="21">
        <f>IF(IFERROR(TRIM(INDEX($A171:$AL171,MATCH(Lists!$F$2,$A$1:$AL$1,0))&amp;""),"")="","",IFERROR(TRIM(INDEX($A171:$AL171,MATCH(Lists!$F$11,$A$1:$AL$1,0))&amp;""),""))</f>
        <v/>
      </c>
      <c r="BF171" s="21">
        <f>IF(IFERROR(TRIM(INDEX($A171:$AL171,MATCH(Lists!$F$2,$A$1:$AL$1,0))&amp;""),"")="","",IFERROR(TRIM(INDEX($A171:$AL171,MATCH(Lists!$F$12,$A$1:$AL$1,0))&amp;""),""))</f>
        <v/>
      </c>
    </row>
    <row r="172">
      <c r="AM172" s="19" t="n"/>
      <c r="AN172" s="23" t="n"/>
      <c r="AO172" s="23" t="n"/>
      <c r="AP172" s="23" t="n"/>
      <c r="AQ172" s="23" t="n"/>
      <c r="AR172" s="19" t="n"/>
      <c r="AS172" s="21">
        <f>IF(IFERROR(TRIM(INDEX($A172:$AL172,MATCH(Lists!$F$2,$A$1:$AL$1,0))&amp;""),"")="","",IF(AND(IFERROR(TRIM(INDEX($A172:$AL172,MATCH(Lists!$F$3,$A$1:$AL$1,0))&amp;""),"")="Other",IFERROR(TRIM(INDEX($A172:$AL172,MATCH(Lists!$F$4,$A$1:$AL$1,0))&amp;""),"")&lt;&gt;""),IFERROR(TRIM(INDEX($A172:$AL172,MATCH(Lists!$F$4,$A$1:$AL$1,0))&amp;""),""),IF(IFERROR(TRIM(INDEX($A172:$AL172,MATCH(Lists!$F$3,$A$1:$AL$1,0))&amp;""),"")="","(no space)",IFERROR(TRIM(INDEX($A172:$AL172,MATCH(Lists!$F$3,$A$1:$AL$1,0))&amp;""),""))))</f>
        <v/>
      </c>
      <c r="AT172" s="22">
        <f>IF(IFERROR(TRIM(INDEX($A172:$AL172,MATCH(Lists!$F$2,$A$1:$AL$1,0))&amp;""),"")="",0,N(IFERROR(IF(TRIM(INDEX($A172:$AL172,MATCH(Lists!$F$5,$A$1:$AL$1,0))&amp;"")="","",IF(ISNUMBER(INDEX($A172:$AL172,MATCH(Lists!$F$5,$A$1:$AL$1,0))),INT(INDEX($A172:$AL172,MATCH(Lists!$F$5,$A$1:$AL$1,0))),DATE(VALUE(LEFT(INDEX($A172:$AL172,MATCH(Lists!$F$5,$A$1:$AL$1,0)),4)),VALUE(MID(INDEX($A172:$AL172,MATCH(Lists!$F$5,$A$1:$AL$1,0)),6,2)),VALUE(MID(INDEX($A172:$AL172,MATCH(Lists!$F$5,$A$1:$AL$1,0)),9,2))))),"")))</f>
        <v/>
      </c>
      <c r="AU172" s="21">
        <f>IF(IFERROR(TRIM(INDEX($A172:$AL172,MATCH(Lists!$F$2,$A$1:$AL$1,0))&amp;""),"")="",-1,IF(ISNUMBER(IFERROR(IF(TRIM(INDEX($A172:$AL172,MATCH(Lists!$F$6,$A$1:$AL$1,0))&amp;"")="","",IF(ISNUMBER(INDEX($A172:$AL172,MATCH(Lists!$F$6,$A$1:$AL$1,0))),ROUND(MOD(INDEX($A172:$AL172,MATCH(Lists!$F$6,$A$1:$AL$1,0)),1)*1440,0),VALUE(LEFT(INDEX($A172:$AL172,MATCH(Lists!$F$6,$A$1:$AL$1,0)),2))*60+VALUE(MID(INDEX($A172:$AL172,MATCH(Lists!$F$6,$A$1:$AL$1,0)),4,2)))),"")),IFERROR(IF(TRIM(INDEX($A172:$AL172,MATCH(Lists!$F$6,$A$1:$AL$1,0))&amp;"")="","",IF(ISNUMBER(INDEX($A172:$AL172,MATCH(Lists!$F$6,$A$1:$AL$1,0))),ROUND(MOD(INDEX($A172:$AL172,MATCH(Lists!$F$6,$A$1:$AL$1,0)),1)*1440,0),VALUE(LEFT(INDEX($A172:$AL172,MATCH(Lists!$F$6,$A$1:$AL$1,0)),2))*60+VALUE(MID(INDEX($A172:$AL172,MATCH(Lists!$F$6,$A$1:$AL$1,0)),4,2)))),""),-1))</f>
        <v/>
      </c>
      <c r="AV172" s="21">
        <f>IF(IFERROR(TRIM(INDEX($A172:$AL172,MATCH(Lists!$F$2,$A$1:$AL$1,0))&amp;""),"")="",-1,IF(ISNUMBER(IFERROR(IF(TRIM(INDEX($A172:$AL172,MATCH(Lists!$F$7,$A$1:$AL$1,0))&amp;"")="","",IF(ISNUMBER(INDEX($A172:$AL172,MATCH(Lists!$F$7,$A$1:$AL$1,0))),ROUND(MOD(INDEX($A172:$AL172,MATCH(Lists!$F$7,$A$1:$AL$1,0)),1)*1440,0),VALUE(LEFT(INDEX($A172:$AL172,MATCH(Lists!$F$7,$A$1:$AL$1,0)),2))*60+VALUE(MID(INDEX($A172:$AL172,MATCH(Lists!$F$7,$A$1:$AL$1,0)),4,2)))),"")),IFERROR(IF(TRIM(INDEX($A172:$AL172,MATCH(Lists!$F$7,$A$1:$AL$1,0))&amp;"")="","",IF(ISNUMBER(INDEX($A172:$AL172,MATCH(Lists!$F$7,$A$1:$AL$1,0))),ROUND(MOD(INDEX($A172:$AL172,MATCH(Lists!$F$7,$A$1:$AL$1,0)),1)*1440,0),VALUE(LEFT(INDEX($A172:$AL172,MATCH(Lists!$F$7,$A$1:$AL$1,0)),2))*60+VALUE(MID(INDEX($A172:$AL172,MATCH(Lists!$F$7,$A$1:$AL$1,0)),4,2)))),""),-1))</f>
        <v/>
      </c>
      <c r="AW172" s="21">
        <f>IF(IFERROR(TRIM(INDEX($A172:$AL172,MATCH(Lists!$F$2,$A$1:$AL$1,0))&amp;""),"")="","",IF(IFERROR(TRIM(INDEX($A172:$AL172,MATCH(Lists!$F$8,$A$1:$AL$1,0))&amp;""),"")&lt;&gt;"",IFERROR(TRIM(INDEX($A172:$AL172,MATCH(Lists!$F$8,$A$1:$AL$1,0))&amp;""),""),IFERROR(TRIM(INDEX($A172:$AL172,MATCH(Lists!$F$9,$A$1:$AL$1,0))&amp;""),"")))</f>
        <v/>
      </c>
      <c r="AX172" s="21">
        <f>IFERROR(IF(TRIM(INDEX($A172:$AL172,MATCH(Lists!$F$10,$A$1:$AL$1,0))&amp;"")="","",VALUE(TRIM(INDEX($A172:$AL172,MATCH(Lists!$F$10,$A$1:$AL$1,0))&amp;""))),"")</f>
        <v/>
      </c>
      <c r="AY172" s="21">
        <f>IF(IFERROR(TRIM(INDEX($A172:$AL172,MATCH(Lists!$F$2,$A$1:$AL$1,0))&amp;""),"")="","",IF(AN172="","New",AN172))</f>
        <v/>
      </c>
      <c r="AZ172" s="21">
        <f>IF(IFERROR(TRIM(INDEX($A172:$AL172,MATCH(Lists!$F$2,$A$1:$AL$1,0))&amp;""),"")="","",IF(OR(IFERROR(TRIM(INDEX($A172:$AL172,MATCH(Lists!$F$13,$A$1:$AL$1,0))&amp;""),"")="Paid",IFERROR(TRIM(INDEX($A172:$AL172,MATCH(Lists!$F$13,$A$1:$AL$1,0))&amp;""),"")="Partially refunded"),"Paid",IF(AP172="Yes","Paid (by hand)",IFERROR(TRIM(INDEX($A172:$AL172,MATCH(Lists!$F$13,$A$1:$AL$1,0))&amp;""),""))))</f>
        <v/>
      </c>
      <c r="BA172" s="21">
        <f>IF(AND(IFERROR(TRIM(INDEX($A172:$AL172,MATCH(Lists!$F$2,$A$1:$AL$1,0))&amp;""),"")&lt;&gt;"",AT172&gt;0,AU172&gt;=0,AV172&gt;AU172,AY172&lt;&gt;"Declined"),1,0)</f>
        <v/>
      </c>
      <c r="BB172" s="21">
        <f>IF(BA172=1,COUNTIFS($AS$2:$AS$501,AS172,$AT$2:$AT$501,AT172,$AU$2:$AU$501,"&lt;"&amp;AV172,$AV$2:$AV$501,"&gt;"&amp;AU172,$BA$2:$BA$501,1)-1,"")</f>
        <v/>
      </c>
      <c r="BC172" s="21">
        <f>IF(N(BB172)&gt;0,"Clashes with "&amp;INDEX($AW$2:$AW$501,SUMPRODUCT(MAX(($AS$2:$AS$501=AS172)*($AT$2:$AT$501=AT172)*($AU$2:$AU$501&lt;AV172)*($AV$2:$AV$501&gt;AU172)*($BA$2:$BA$501=1)*(ROW($AS$2:$AS$501)&lt;&gt;ROW())*ROW($AS$2:$AS$501)))-1)&amp;" ("&amp;INDEX($AY$2:$AY$501,SUMPRODUCT(MAX(($AS$2:$AS$501=AS172)*($AT$2:$AT$501=AT172)*($AU$2:$AU$501&lt;AV172)*($AV$2:$AV$501&gt;AU172)*($BA$2:$BA$501=1)*(ROW($AS$2:$AS$501)&lt;&gt;ROW())*ROW($AS$2:$AS$501)))-1)&amp;")"&amp;IF(BB172&gt;1," and "&amp;(BB172-1)&amp;" more",""),"")</f>
        <v/>
      </c>
      <c r="BD172" s="21">
        <f>IF(AND(BA172=1,AY172="Confirmed"),AT172*10000000+AU172*1000+ROW(),"")</f>
        <v/>
      </c>
      <c r="BE172" s="21">
        <f>IF(IFERROR(TRIM(INDEX($A172:$AL172,MATCH(Lists!$F$2,$A$1:$AL$1,0))&amp;""),"")="","",IFERROR(TRIM(INDEX($A172:$AL172,MATCH(Lists!$F$11,$A$1:$AL$1,0))&amp;""),""))</f>
        <v/>
      </c>
      <c r="BF172" s="21">
        <f>IF(IFERROR(TRIM(INDEX($A172:$AL172,MATCH(Lists!$F$2,$A$1:$AL$1,0))&amp;""),"")="","",IFERROR(TRIM(INDEX($A172:$AL172,MATCH(Lists!$F$12,$A$1:$AL$1,0))&amp;""),""))</f>
        <v/>
      </c>
    </row>
    <row r="173">
      <c r="AM173" s="19" t="n"/>
      <c r="AN173" s="23" t="n"/>
      <c r="AO173" s="23" t="n"/>
      <c r="AP173" s="23" t="n"/>
      <c r="AQ173" s="23" t="n"/>
      <c r="AR173" s="19" t="n"/>
      <c r="AS173" s="21">
        <f>IF(IFERROR(TRIM(INDEX($A173:$AL173,MATCH(Lists!$F$2,$A$1:$AL$1,0))&amp;""),"")="","",IF(AND(IFERROR(TRIM(INDEX($A173:$AL173,MATCH(Lists!$F$3,$A$1:$AL$1,0))&amp;""),"")="Other",IFERROR(TRIM(INDEX($A173:$AL173,MATCH(Lists!$F$4,$A$1:$AL$1,0))&amp;""),"")&lt;&gt;""),IFERROR(TRIM(INDEX($A173:$AL173,MATCH(Lists!$F$4,$A$1:$AL$1,0))&amp;""),""),IF(IFERROR(TRIM(INDEX($A173:$AL173,MATCH(Lists!$F$3,$A$1:$AL$1,0))&amp;""),"")="","(no space)",IFERROR(TRIM(INDEX($A173:$AL173,MATCH(Lists!$F$3,$A$1:$AL$1,0))&amp;""),""))))</f>
        <v/>
      </c>
      <c r="AT173" s="22">
        <f>IF(IFERROR(TRIM(INDEX($A173:$AL173,MATCH(Lists!$F$2,$A$1:$AL$1,0))&amp;""),"")="",0,N(IFERROR(IF(TRIM(INDEX($A173:$AL173,MATCH(Lists!$F$5,$A$1:$AL$1,0))&amp;"")="","",IF(ISNUMBER(INDEX($A173:$AL173,MATCH(Lists!$F$5,$A$1:$AL$1,0))),INT(INDEX($A173:$AL173,MATCH(Lists!$F$5,$A$1:$AL$1,0))),DATE(VALUE(LEFT(INDEX($A173:$AL173,MATCH(Lists!$F$5,$A$1:$AL$1,0)),4)),VALUE(MID(INDEX($A173:$AL173,MATCH(Lists!$F$5,$A$1:$AL$1,0)),6,2)),VALUE(MID(INDEX($A173:$AL173,MATCH(Lists!$F$5,$A$1:$AL$1,0)),9,2))))),"")))</f>
        <v/>
      </c>
      <c r="AU173" s="21">
        <f>IF(IFERROR(TRIM(INDEX($A173:$AL173,MATCH(Lists!$F$2,$A$1:$AL$1,0))&amp;""),"")="",-1,IF(ISNUMBER(IFERROR(IF(TRIM(INDEX($A173:$AL173,MATCH(Lists!$F$6,$A$1:$AL$1,0))&amp;"")="","",IF(ISNUMBER(INDEX($A173:$AL173,MATCH(Lists!$F$6,$A$1:$AL$1,0))),ROUND(MOD(INDEX($A173:$AL173,MATCH(Lists!$F$6,$A$1:$AL$1,0)),1)*1440,0),VALUE(LEFT(INDEX($A173:$AL173,MATCH(Lists!$F$6,$A$1:$AL$1,0)),2))*60+VALUE(MID(INDEX($A173:$AL173,MATCH(Lists!$F$6,$A$1:$AL$1,0)),4,2)))),"")),IFERROR(IF(TRIM(INDEX($A173:$AL173,MATCH(Lists!$F$6,$A$1:$AL$1,0))&amp;"")="","",IF(ISNUMBER(INDEX($A173:$AL173,MATCH(Lists!$F$6,$A$1:$AL$1,0))),ROUND(MOD(INDEX($A173:$AL173,MATCH(Lists!$F$6,$A$1:$AL$1,0)),1)*1440,0),VALUE(LEFT(INDEX($A173:$AL173,MATCH(Lists!$F$6,$A$1:$AL$1,0)),2))*60+VALUE(MID(INDEX($A173:$AL173,MATCH(Lists!$F$6,$A$1:$AL$1,0)),4,2)))),""),-1))</f>
        <v/>
      </c>
      <c r="AV173" s="21">
        <f>IF(IFERROR(TRIM(INDEX($A173:$AL173,MATCH(Lists!$F$2,$A$1:$AL$1,0))&amp;""),"")="",-1,IF(ISNUMBER(IFERROR(IF(TRIM(INDEX($A173:$AL173,MATCH(Lists!$F$7,$A$1:$AL$1,0))&amp;"")="","",IF(ISNUMBER(INDEX($A173:$AL173,MATCH(Lists!$F$7,$A$1:$AL$1,0))),ROUND(MOD(INDEX($A173:$AL173,MATCH(Lists!$F$7,$A$1:$AL$1,0)),1)*1440,0),VALUE(LEFT(INDEX($A173:$AL173,MATCH(Lists!$F$7,$A$1:$AL$1,0)),2))*60+VALUE(MID(INDEX($A173:$AL173,MATCH(Lists!$F$7,$A$1:$AL$1,0)),4,2)))),"")),IFERROR(IF(TRIM(INDEX($A173:$AL173,MATCH(Lists!$F$7,$A$1:$AL$1,0))&amp;"")="","",IF(ISNUMBER(INDEX($A173:$AL173,MATCH(Lists!$F$7,$A$1:$AL$1,0))),ROUND(MOD(INDEX($A173:$AL173,MATCH(Lists!$F$7,$A$1:$AL$1,0)),1)*1440,0),VALUE(LEFT(INDEX($A173:$AL173,MATCH(Lists!$F$7,$A$1:$AL$1,0)),2))*60+VALUE(MID(INDEX($A173:$AL173,MATCH(Lists!$F$7,$A$1:$AL$1,0)),4,2)))),""),-1))</f>
        <v/>
      </c>
      <c r="AW173" s="21">
        <f>IF(IFERROR(TRIM(INDEX($A173:$AL173,MATCH(Lists!$F$2,$A$1:$AL$1,0))&amp;""),"")="","",IF(IFERROR(TRIM(INDEX($A173:$AL173,MATCH(Lists!$F$8,$A$1:$AL$1,0))&amp;""),"")&lt;&gt;"",IFERROR(TRIM(INDEX($A173:$AL173,MATCH(Lists!$F$8,$A$1:$AL$1,0))&amp;""),""),IFERROR(TRIM(INDEX($A173:$AL173,MATCH(Lists!$F$9,$A$1:$AL$1,0))&amp;""),"")))</f>
        <v/>
      </c>
      <c r="AX173" s="21">
        <f>IFERROR(IF(TRIM(INDEX($A173:$AL173,MATCH(Lists!$F$10,$A$1:$AL$1,0))&amp;"")="","",VALUE(TRIM(INDEX($A173:$AL173,MATCH(Lists!$F$10,$A$1:$AL$1,0))&amp;""))),"")</f>
        <v/>
      </c>
      <c r="AY173" s="21">
        <f>IF(IFERROR(TRIM(INDEX($A173:$AL173,MATCH(Lists!$F$2,$A$1:$AL$1,0))&amp;""),"")="","",IF(AN173="","New",AN173))</f>
        <v/>
      </c>
      <c r="AZ173" s="21">
        <f>IF(IFERROR(TRIM(INDEX($A173:$AL173,MATCH(Lists!$F$2,$A$1:$AL$1,0))&amp;""),"")="","",IF(OR(IFERROR(TRIM(INDEX($A173:$AL173,MATCH(Lists!$F$13,$A$1:$AL$1,0))&amp;""),"")="Paid",IFERROR(TRIM(INDEX($A173:$AL173,MATCH(Lists!$F$13,$A$1:$AL$1,0))&amp;""),"")="Partially refunded"),"Paid",IF(AP173="Yes","Paid (by hand)",IFERROR(TRIM(INDEX($A173:$AL173,MATCH(Lists!$F$13,$A$1:$AL$1,0))&amp;""),""))))</f>
        <v/>
      </c>
      <c r="BA173" s="21">
        <f>IF(AND(IFERROR(TRIM(INDEX($A173:$AL173,MATCH(Lists!$F$2,$A$1:$AL$1,0))&amp;""),"")&lt;&gt;"",AT173&gt;0,AU173&gt;=0,AV173&gt;AU173,AY173&lt;&gt;"Declined"),1,0)</f>
        <v/>
      </c>
      <c r="BB173" s="21">
        <f>IF(BA173=1,COUNTIFS($AS$2:$AS$501,AS173,$AT$2:$AT$501,AT173,$AU$2:$AU$501,"&lt;"&amp;AV173,$AV$2:$AV$501,"&gt;"&amp;AU173,$BA$2:$BA$501,1)-1,"")</f>
        <v/>
      </c>
      <c r="BC173" s="21">
        <f>IF(N(BB173)&gt;0,"Clashes with "&amp;INDEX($AW$2:$AW$501,SUMPRODUCT(MAX(($AS$2:$AS$501=AS173)*($AT$2:$AT$501=AT173)*($AU$2:$AU$501&lt;AV173)*($AV$2:$AV$501&gt;AU173)*($BA$2:$BA$501=1)*(ROW($AS$2:$AS$501)&lt;&gt;ROW())*ROW($AS$2:$AS$501)))-1)&amp;" ("&amp;INDEX($AY$2:$AY$501,SUMPRODUCT(MAX(($AS$2:$AS$501=AS173)*($AT$2:$AT$501=AT173)*($AU$2:$AU$501&lt;AV173)*($AV$2:$AV$501&gt;AU173)*($BA$2:$BA$501=1)*(ROW($AS$2:$AS$501)&lt;&gt;ROW())*ROW($AS$2:$AS$501)))-1)&amp;")"&amp;IF(BB173&gt;1," and "&amp;(BB173-1)&amp;" more",""),"")</f>
        <v/>
      </c>
      <c r="BD173" s="21">
        <f>IF(AND(BA173=1,AY173="Confirmed"),AT173*10000000+AU173*1000+ROW(),"")</f>
        <v/>
      </c>
      <c r="BE173" s="21">
        <f>IF(IFERROR(TRIM(INDEX($A173:$AL173,MATCH(Lists!$F$2,$A$1:$AL$1,0))&amp;""),"")="","",IFERROR(TRIM(INDEX($A173:$AL173,MATCH(Lists!$F$11,$A$1:$AL$1,0))&amp;""),""))</f>
        <v/>
      </c>
      <c r="BF173" s="21">
        <f>IF(IFERROR(TRIM(INDEX($A173:$AL173,MATCH(Lists!$F$2,$A$1:$AL$1,0))&amp;""),"")="","",IFERROR(TRIM(INDEX($A173:$AL173,MATCH(Lists!$F$12,$A$1:$AL$1,0))&amp;""),""))</f>
        <v/>
      </c>
    </row>
    <row r="174">
      <c r="AM174" s="19" t="n"/>
      <c r="AN174" s="23" t="n"/>
      <c r="AO174" s="23" t="n"/>
      <c r="AP174" s="23" t="n"/>
      <c r="AQ174" s="23" t="n"/>
      <c r="AR174" s="19" t="n"/>
      <c r="AS174" s="21">
        <f>IF(IFERROR(TRIM(INDEX($A174:$AL174,MATCH(Lists!$F$2,$A$1:$AL$1,0))&amp;""),"")="","",IF(AND(IFERROR(TRIM(INDEX($A174:$AL174,MATCH(Lists!$F$3,$A$1:$AL$1,0))&amp;""),"")="Other",IFERROR(TRIM(INDEX($A174:$AL174,MATCH(Lists!$F$4,$A$1:$AL$1,0))&amp;""),"")&lt;&gt;""),IFERROR(TRIM(INDEX($A174:$AL174,MATCH(Lists!$F$4,$A$1:$AL$1,0))&amp;""),""),IF(IFERROR(TRIM(INDEX($A174:$AL174,MATCH(Lists!$F$3,$A$1:$AL$1,0))&amp;""),"")="","(no space)",IFERROR(TRIM(INDEX($A174:$AL174,MATCH(Lists!$F$3,$A$1:$AL$1,0))&amp;""),""))))</f>
        <v/>
      </c>
      <c r="AT174" s="22">
        <f>IF(IFERROR(TRIM(INDEX($A174:$AL174,MATCH(Lists!$F$2,$A$1:$AL$1,0))&amp;""),"")="",0,N(IFERROR(IF(TRIM(INDEX($A174:$AL174,MATCH(Lists!$F$5,$A$1:$AL$1,0))&amp;"")="","",IF(ISNUMBER(INDEX($A174:$AL174,MATCH(Lists!$F$5,$A$1:$AL$1,0))),INT(INDEX($A174:$AL174,MATCH(Lists!$F$5,$A$1:$AL$1,0))),DATE(VALUE(LEFT(INDEX($A174:$AL174,MATCH(Lists!$F$5,$A$1:$AL$1,0)),4)),VALUE(MID(INDEX($A174:$AL174,MATCH(Lists!$F$5,$A$1:$AL$1,0)),6,2)),VALUE(MID(INDEX($A174:$AL174,MATCH(Lists!$F$5,$A$1:$AL$1,0)),9,2))))),"")))</f>
        <v/>
      </c>
      <c r="AU174" s="21">
        <f>IF(IFERROR(TRIM(INDEX($A174:$AL174,MATCH(Lists!$F$2,$A$1:$AL$1,0))&amp;""),"")="",-1,IF(ISNUMBER(IFERROR(IF(TRIM(INDEX($A174:$AL174,MATCH(Lists!$F$6,$A$1:$AL$1,0))&amp;"")="","",IF(ISNUMBER(INDEX($A174:$AL174,MATCH(Lists!$F$6,$A$1:$AL$1,0))),ROUND(MOD(INDEX($A174:$AL174,MATCH(Lists!$F$6,$A$1:$AL$1,0)),1)*1440,0),VALUE(LEFT(INDEX($A174:$AL174,MATCH(Lists!$F$6,$A$1:$AL$1,0)),2))*60+VALUE(MID(INDEX($A174:$AL174,MATCH(Lists!$F$6,$A$1:$AL$1,0)),4,2)))),"")),IFERROR(IF(TRIM(INDEX($A174:$AL174,MATCH(Lists!$F$6,$A$1:$AL$1,0))&amp;"")="","",IF(ISNUMBER(INDEX($A174:$AL174,MATCH(Lists!$F$6,$A$1:$AL$1,0))),ROUND(MOD(INDEX($A174:$AL174,MATCH(Lists!$F$6,$A$1:$AL$1,0)),1)*1440,0),VALUE(LEFT(INDEX($A174:$AL174,MATCH(Lists!$F$6,$A$1:$AL$1,0)),2))*60+VALUE(MID(INDEX($A174:$AL174,MATCH(Lists!$F$6,$A$1:$AL$1,0)),4,2)))),""),-1))</f>
        <v/>
      </c>
      <c r="AV174" s="21">
        <f>IF(IFERROR(TRIM(INDEX($A174:$AL174,MATCH(Lists!$F$2,$A$1:$AL$1,0))&amp;""),"")="",-1,IF(ISNUMBER(IFERROR(IF(TRIM(INDEX($A174:$AL174,MATCH(Lists!$F$7,$A$1:$AL$1,0))&amp;"")="","",IF(ISNUMBER(INDEX($A174:$AL174,MATCH(Lists!$F$7,$A$1:$AL$1,0))),ROUND(MOD(INDEX($A174:$AL174,MATCH(Lists!$F$7,$A$1:$AL$1,0)),1)*1440,0),VALUE(LEFT(INDEX($A174:$AL174,MATCH(Lists!$F$7,$A$1:$AL$1,0)),2))*60+VALUE(MID(INDEX($A174:$AL174,MATCH(Lists!$F$7,$A$1:$AL$1,0)),4,2)))),"")),IFERROR(IF(TRIM(INDEX($A174:$AL174,MATCH(Lists!$F$7,$A$1:$AL$1,0))&amp;"")="","",IF(ISNUMBER(INDEX($A174:$AL174,MATCH(Lists!$F$7,$A$1:$AL$1,0))),ROUND(MOD(INDEX($A174:$AL174,MATCH(Lists!$F$7,$A$1:$AL$1,0)),1)*1440,0),VALUE(LEFT(INDEX($A174:$AL174,MATCH(Lists!$F$7,$A$1:$AL$1,0)),2))*60+VALUE(MID(INDEX($A174:$AL174,MATCH(Lists!$F$7,$A$1:$AL$1,0)),4,2)))),""),-1))</f>
        <v/>
      </c>
      <c r="AW174" s="21">
        <f>IF(IFERROR(TRIM(INDEX($A174:$AL174,MATCH(Lists!$F$2,$A$1:$AL$1,0))&amp;""),"")="","",IF(IFERROR(TRIM(INDEX($A174:$AL174,MATCH(Lists!$F$8,$A$1:$AL$1,0))&amp;""),"")&lt;&gt;"",IFERROR(TRIM(INDEX($A174:$AL174,MATCH(Lists!$F$8,$A$1:$AL$1,0))&amp;""),""),IFERROR(TRIM(INDEX($A174:$AL174,MATCH(Lists!$F$9,$A$1:$AL$1,0))&amp;""),"")))</f>
        <v/>
      </c>
      <c r="AX174" s="21">
        <f>IFERROR(IF(TRIM(INDEX($A174:$AL174,MATCH(Lists!$F$10,$A$1:$AL$1,0))&amp;"")="","",VALUE(TRIM(INDEX($A174:$AL174,MATCH(Lists!$F$10,$A$1:$AL$1,0))&amp;""))),"")</f>
        <v/>
      </c>
      <c r="AY174" s="21">
        <f>IF(IFERROR(TRIM(INDEX($A174:$AL174,MATCH(Lists!$F$2,$A$1:$AL$1,0))&amp;""),"")="","",IF(AN174="","New",AN174))</f>
        <v/>
      </c>
      <c r="AZ174" s="21">
        <f>IF(IFERROR(TRIM(INDEX($A174:$AL174,MATCH(Lists!$F$2,$A$1:$AL$1,0))&amp;""),"")="","",IF(OR(IFERROR(TRIM(INDEX($A174:$AL174,MATCH(Lists!$F$13,$A$1:$AL$1,0))&amp;""),"")="Paid",IFERROR(TRIM(INDEX($A174:$AL174,MATCH(Lists!$F$13,$A$1:$AL$1,0))&amp;""),"")="Partially refunded"),"Paid",IF(AP174="Yes","Paid (by hand)",IFERROR(TRIM(INDEX($A174:$AL174,MATCH(Lists!$F$13,$A$1:$AL$1,0))&amp;""),""))))</f>
        <v/>
      </c>
      <c r="BA174" s="21">
        <f>IF(AND(IFERROR(TRIM(INDEX($A174:$AL174,MATCH(Lists!$F$2,$A$1:$AL$1,0))&amp;""),"")&lt;&gt;"",AT174&gt;0,AU174&gt;=0,AV174&gt;AU174,AY174&lt;&gt;"Declined"),1,0)</f>
        <v/>
      </c>
      <c r="BB174" s="21">
        <f>IF(BA174=1,COUNTIFS($AS$2:$AS$501,AS174,$AT$2:$AT$501,AT174,$AU$2:$AU$501,"&lt;"&amp;AV174,$AV$2:$AV$501,"&gt;"&amp;AU174,$BA$2:$BA$501,1)-1,"")</f>
        <v/>
      </c>
      <c r="BC174" s="21">
        <f>IF(N(BB174)&gt;0,"Clashes with "&amp;INDEX($AW$2:$AW$501,SUMPRODUCT(MAX(($AS$2:$AS$501=AS174)*($AT$2:$AT$501=AT174)*($AU$2:$AU$501&lt;AV174)*($AV$2:$AV$501&gt;AU174)*($BA$2:$BA$501=1)*(ROW($AS$2:$AS$501)&lt;&gt;ROW())*ROW($AS$2:$AS$501)))-1)&amp;" ("&amp;INDEX($AY$2:$AY$501,SUMPRODUCT(MAX(($AS$2:$AS$501=AS174)*($AT$2:$AT$501=AT174)*($AU$2:$AU$501&lt;AV174)*($AV$2:$AV$501&gt;AU174)*($BA$2:$BA$501=1)*(ROW($AS$2:$AS$501)&lt;&gt;ROW())*ROW($AS$2:$AS$501)))-1)&amp;")"&amp;IF(BB174&gt;1," and "&amp;(BB174-1)&amp;" more",""),"")</f>
        <v/>
      </c>
      <c r="BD174" s="21">
        <f>IF(AND(BA174=1,AY174="Confirmed"),AT174*10000000+AU174*1000+ROW(),"")</f>
        <v/>
      </c>
      <c r="BE174" s="21">
        <f>IF(IFERROR(TRIM(INDEX($A174:$AL174,MATCH(Lists!$F$2,$A$1:$AL$1,0))&amp;""),"")="","",IFERROR(TRIM(INDEX($A174:$AL174,MATCH(Lists!$F$11,$A$1:$AL$1,0))&amp;""),""))</f>
        <v/>
      </c>
      <c r="BF174" s="21">
        <f>IF(IFERROR(TRIM(INDEX($A174:$AL174,MATCH(Lists!$F$2,$A$1:$AL$1,0))&amp;""),"")="","",IFERROR(TRIM(INDEX($A174:$AL174,MATCH(Lists!$F$12,$A$1:$AL$1,0))&amp;""),""))</f>
        <v/>
      </c>
    </row>
    <row r="175">
      <c r="AM175" s="19" t="n"/>
      <c r="AN175" s="23" t="n"/>
      <c r="AO175" s="23" t="n"/>
      <c r="AP175" s="23" t="n"/>
      <c r="AQ175" s="23" t="n"/>
      <c r="AR175" s="19" t="n"/>
      <c r="AS175" s="21">
        <f>IF(IFERROR(TRIM(INDEX($A175:$AL175,MATCH(Lists!$F$2,$A$1:$AL$1,0))&amp;""),"")="","",IF(AND(IFERROR(TRIM(INDEX($A175:$AL175,MATCH(Lists!$F$3,$A$1:$AL$1,0))&amp;""),"")="Other",IFERROR(TRIM(INDEX($A175:$AL175,MATCH(Lists!$F$4,$A$1:$AL$1,0))&amp;""),"")&lt;&gt;""),IFERROR(TRIM(INDEX($A175:$AL175,MATCH(Lists!$F$4,$A$1:$AL$1,0))&amp;""),""),IF(IFERROR(TRIM(INDEX($A175:$AL175,MATCH(Lists!$F$3,$A$1:$AL$1,0))&amp;""),"")="","(no space)",IFERROR(TRIM(INDEX($A175:$AL175,MATCH(Lists!$F$3,$A$1:$AL$1,0))&amp;""),""))))</f>
        <v/>
      </c>
      <c r="AT175" s="22">
        <f>IF(IFERROR(TRIM(INDEX($A175:$AL175,MATCH(Lists!$F$2,$A$1:$AL$1,0))&amp;""),"")="",0,N(IFERROR(IF(TRIM(INDEX($A175:$AL175,MATCH(Lists!$F$5,$A$1:$AL$1,0))&amp;"")="","",IF(ISNUMBER(INDEX($A175:$AL175,MATCH(Lists!$F$5,$A$1:$AL$1,0))),INT(INDEX($A175:$AL175,MATCH(Lists!$F$5,$A$1:$AL$1,0))),DATE(VALUE(LEFT(INDEX($A175:$AL175,MATCH(Lists!$F$5,$A$1:$AL$1,0)),4)),VALUE(MID(INDEX($A175:$AL175,MATCH(Lists!$F$5,$A$1:$AL$1,0)),6,2)),VALUE(MID(INDEX($A175:$AL175,MATCH(Lists!$F$5,$A$1:$AL$1,0)),9,2))))),"")))</f>
        <v/>
      </c>
      <c r="AU175" s="21">
        <f>IF(IFERROR(TRIM(INDEX($A175:$AL175,MATCH(Lists!$F$2,$A$1:$AL$1,0))&amp;""),"")="",-1,IF(ISNUMBER(IFERROR(IF(TRIM(INDEX($A175:$AL175,MATCH(Lists!$F$6,$A$1:$AL$1,0))&amp;"")="","",IF(ISNUMBER(INDEX($A175:$AL175,MATCH(Lists!$F$6,$A$1:$AL$1,0))),ROUND(MOD(INDEX($A175:$AL175,MATCH(Lists!$F$6,$A$1:$AL$1,0)),1)*1440,0),VALUE(LEFT(INDEX($A175:$AL175,MATCH(Lists!$F$6,$A$1:$AL$1,0)),2))*60+VALUE(MID(INDEX($A175:$AL175,MATCH(Lists!$F$6,$A$1:$AL$1,0)),4,2)))),"")),IFERROR(IF(TRIM(INDEX($A175:$AL175,MATCH(Lists!$F$6,$A$1:$AL$1,0))&amp;"")="","",IF(ISNUMBER(INDEX($A175:$AL175,MATCH(Lists!$F$6,$A$1:$AL$1,0))),ROUND(MOD(INDEX($A175:$AL175,MATCH(Lists!$F$6,$A$1:$AL$1,0)),1)*1440,0),VALUE(LEFT(INDEX($A175:$AL175,MATCH(Lists!$F$6,$A$1:$AL$1,0)),2))*60+VALUE(MID(INDEX($A175:$AL175,MATCH(Lists!$F$6,$A$1:$AL$1,0)),4,2)))),""),-1))</f>
        <v/>
      </c>
      <c r="AV175" s="21">
        <f>IF(IFERROR(TRIM(INDEX($A175:$AL175,MATCH(Lists!$F$2,$A$1:$AL$1,0))&amp;""),"")="",-1,IF(ISNUMBER(IFERROR(IF(TRIM(INDEX($A175:$AL175,MATCH(Lists!$F$7,$A$1:$AL$1,0))&amp;"")="","",IF(ISNUMBER(INDEX($A175:$AL175,MATCH(Lists!$F$7,$A$1:$AL$1,0))),ROUND(MOD(INDEX($A175:$AL175,MATCH(Lists!$F$7,$A$1:$AL$1,0)),1)*1440,0),VALUE(LEFT(INDEX($A175:$AL175,MATCH(Lists!$F$7,$A$1:$AL$1,0)),2))*60+VALUE(MID(INDEX($A175:$AL175,MATCH(Lists!$F$7,$A$1:$AL$1,0)),4,2)))),"")),IFERROR(IF(TRIM(INDEX($A175:$AL175,MATCH(Lists!$F$7,$A$1:$AL$1,0))&amp;"")="","",IF(ISNUMBER(INDEX($A175:$AL175,MATCH(Lists!$F$7,$A$1:$AL$1,0))),ROUND(MOD(INDEX($A175:$AL175,MATCH(Lists!$F$7,$A$1:$AL$1,0)),1)*1440,0),VALUE(LEFT(INDEX($A175:$AL175,MATCH(Lists!$F$7,$A$1:$AL$1,0)),2))*60+VALUE(MID(INDEX($A175:$AL175,MATCH(Lists!$F$7,$A$1:$AL$1,0)),4,2)))),""),-1))</f>
        <v/>
      </c>
      <c r="AW175" s="21">
        <f>IF(IFERROR(TRIM(INDEX($A175:$AL175,MATCH(Lists!$F$2,$A$1:$AL$1,0))&amp;""),"")="","",IF(IFERROR(TRIM(INDEX($A175:$AL175,MATCH(Lists!$F$8,$A$1:$AL$1,0))&amp;""),"")&lt;&gt;"",IFERROR(TRIM(INDEX($A175:$AL175,MATCH(Lists!$F$8,$A$1:$AL$1,0))&amp;""),""),IFERROR(TRIM(INDEX($A175:$AL175,MATCH(Lists!$F$9,$A$1:$AL$1,0))&amp;""),"")))</f>
        <v/>
      </c>
      <c r="AX175" s="21">
        <f>IFERROR(IF(TRIM(INDEX($A175:$AL175,MATCH(Lists!$F$10,$A$1:$AL$1,0))&amp;"")="","",VALUE(TRIM(INDEX($A175:$AL175,MATCH(Lists!$F$10,$A$1:$AL$1,0))&amp;""))),"")</f>
        <v/>
      </c>
      <c r="AY175" s="21">
        <f>IF(IFERROR(TRIM(INDEX($A175:$AL175,MATCH(Lists!$F$2,$A$1:$AL$1,0))&amp;""),"")="","",IF(AN175="","New",AN175))</f>
        <v/>
      </c>
      <c r="AZ175" s="21">
        <f>IF(IFERROR(TRIM(INDEX($A175:$AL175,MATCH(Lists!$F$2,$A$1:$AL$1,0))&amp;""),"")="","",IF(OR(IFERROR(TRIM(INDEX($A175:$AL175,MATCH(Lists!$F$13,$A$1:$AL$1,0))&amp;""),"")="Paid",IFERROR(TRIM(INDEX($A175:$AL175,MATCH(Lists!$F$13,$A$1:$AL$1,0))&amp;""),"")="Partially refunded"),"Paid",IF(AP175="Yes","Paid (by hand)",IFERROR(TRIM(INDEX($A175:$AL175,MATCH(Lists!$F$13,$A$1:$AL$1,0))&amp;""),""))))</f>
        <v/>
      </c>
      <c r="BA175" s="21">
        <f>IF(AND(IFERROR(TRIM(INDEX($A175:$AL175,MATCH(Lists!$F$2,$A$1:$AL$1,0))&amp;""),"")&lt;&gt;"",AT175&gt;0,AU175&gt;=0,AV175&gt;AU175,AY175&lt;&gt;"Declined"),1,0)</f>
        <v/>
      </c>
      <c r="BB175" s="21">
        <f>IF(BA175=1,COUNTIFS($AS$2:$AS$501,AS175,$AT$2:$AT$501,AT175,$AU$2:$AU$501,"&lt;"&amp;AV175,$AV$2:$AV$501,"&gt;"&amp;AU175,$BA$2:$BA$501,1)-1,"")</f>
        <v/>
      </c>
      <c r="BC175" s="21">
        <f>IF(N(BB175)&gt;0,"Clashes with "&amp;INDEX($AW$2:$AW$501,SUMPRODUCT(MAX(($AS$2:$AS$501=AS175)*($AT$2:$AT$501=AT175)*($AU$2:$AU$501&lt;AV175)*($AV$2:$AV$501&gt;AU175)*($BA$2:$BA$501=1)*(ROW($AS$2:$AS$501)&lt;&gt;ROW())*ROW($AS$2:$AS$501)))-1)&amp;" ("&amp;INDEX($AY$2:$AY$501,SUMPRODUCT(MAX(($AS$2:$AS$501=AS175)*($AT$2:$AT$501=AT175)*($AU$2:$AU$501&lt;AV175)*($AV$2:$AV$501&gt;AU175)*($BA$2:$BA$501=1)*(ROW($AS$2:$AS$501)&lt;&gt;ROW())*ROW($AS$2:$AS$501)))-1)&amp;")"&amp;IF(BB175&gt;1," and "&amp;(BB175-1)&amp;" more",""),"")</f>
        <v/>
      </c>
      <c r="BD175" s="21">
        <f>IF(AND(BA175=1,AY175="Confirmed"),AT175*10000000+AU175*1000+ROW(),"")</f>
        <v/>
      </c>
      <c r="BE175" s="21">
        <f>IF(IFERROR(TRIM(INDEX($A175:$AL175,MATCH(Lists!$F$2,$A$1:$AL$1,0))&amp;""),"")="","",IFERROR(TRIM(INDEX($A175:$AL175,MATCH(Lists!$F$11,$A$1:$AL$1,0))&amp;""),""))</f>
        <v/>
      </c>
      <c r="BF175" s="21">
        <f>IF(IFERROR(TRIM(INDEX($A175:$AL175,MATCH(Lists!$F$2,$A$1:$AL$1,0))&amp;""),"")="","",IFERROR(TRIM(INDEX($A175:$AL175,MATCH(Lists!$F$12,$A$1:$AL$1,0))&amp;""),""))</f>
        <v/>
      </c>
    </row>
    <row r="176">
      <c r="AM176" s="19" t="n"/>
      <c r="AN176" s="23" t="n"/>
      <c r="AO176" s="23" t="n"/>
      <c r="AP176" s="23" t="n"/>
      <c r="AQ176" s="23" t="n"/>
      <c r="AR176" s="19" t="n"/>
      <c r="AS176" s="21">
        <f>IF(IFERROR(TRIM(INDEX($A176:$AL176,MATCH(Lists!$F$2,$A$1:$AL$1,0))&amp;""),"")="","",IF(AND(IFERROR(TRIM(INDEX($A176:$AL176,MATCH(Lists!$F$3,$A$1:$AL$1,0))&amp;""),"")="Other",IFERROR(TRIM(INDEX($A176:$AL176,MATCH(Lists!$F$4,$A$1:$AL$1,0))&amp;""),"")&lt;&gt;""),IFERROR(TRIM(INDEX($A176:$AL176,MATCH(Lists!$F$4,$A$1:$AL$1,0))&amp;""),""),IF(IFERROR(TRIM(INDEX($A176:$AL176,MATCH(Lists!$F$3,$A$1:$AL$1,0))&amp;""),"")="","(no space)",IFERROR(TRIM(INDEX($A176:$AL176,MATCH(Lists!$F$3,$A$1:$AL$1,0))&amp;""),""))))</f>
        <v/>
      </c>
      <c r="AT176" s="22">
        <f>IF(IFERROR(TRIM(INDEX($A176:$AL176,MATCH(Lists!$F$2,$A$1:$AL$1,0))&amp;""),"")="",0,N(IFERROR(IF(TRIM(INDEX($A176:$AL176,MATCH(Lists!$F$5,$A$1:$AL$1,0))&amp;"")="","",IF(ISNUMBER(INDEX($A176:$AL176,MATCH(Lists!$F$5,$A$1:$AL$1,0))),INT(INDEX($A176:$AL176,MATCH(Lists!$F$5,$A$1:$AL$1,0))),DATE(VALUE(LEFT(INDEX($A176:$AL176,MATCH(Lists!$F$5,$A$1:$AL$1,0)),4)),VALUE(MID(INDEX($A176:$AL176,MATCH(Lists!$F$5,$A$1:$AL$1,0)),6,2)),VALUE(MID(INDEX($A176:$AL176,MATCH(Lists!$F$5,$A$1:$AL$1,0)),9,2))))),"")))</f>
        <v/>
      </c>
      <c r="AU176" s="21">
        <f>IF(IFERROR(TRIM(INDEX($A176:$AL176,MATCH(Lists!$F$2,$A$1:$AL$1,0))&amp;""),"")="",-1,IF(ISNUMBER(IFERROR(IF(TRIM(INDEX($A176:$AL176,MATCH(Lists!$F$6,$A$1:$AL$1,0))&amp;"")="","",IF(ISNUMBER(INDEX($A176:$AL176,MATCH(Lists!$F$6,$A$1:$AL$1,0))),ROUND(MOD(INDEX($A176:$AL176,MATCH(Lists!$F$6,$A$1:$AL$1,0)),1)*1440,0),VALUE(LEFT(INDEX($A176:$AL176,MATCH(Lists!$F$6,$A$1:$AL$1,0)),2))*60+VALUE(MID(INDEX($A176:$AL176,MATCH(Lists!$F$6,$A$1:$AL$1,0)),4,2)))),"")),IFERROR(IF(TRIM(INDEX($A176:$AL176,MATCH(Lists!$F$6,$A$1:$AL$1,0))&amp;"")="","",IF(ISNUMBER(INDEX($A176:$AL176,MATCH(Lists!$F$6,$A$1:$AL$1,0))),ROUND(MOD(INDEX($A176:$AL176,MATCH(Lists!$F$6,$A$1:$AL$1,0)),1)*1440,0),VALUE(LEFT(INDEX($A176:$AL176,MATCH(Lists!$F$6,$A$1:$AL$1,0)),2))*60+VALUE(MID(INDEX($A176:$AL176,MATCH(Lists!$F$6,$A$1:$AL$1,0)),4,2)))),""),-1))</f>
        <v/>
      </c>
      <c r="AV176" s="21">
        <f>IF(IFERROR(TRIM(INDEX($A176:$AL176,MATCH(Lists!$F$2,$A$1:$AL$1,0))&amp;""),"")="",-1,IF(ISNUMBER(IFERROR(IF(TRIM(INDEX($A176:$AL176,MATCH(Lists!$F$7,$A$1:$AL$1,0))&amp;"")="","",IF(ISNUMBER(INDEX($A176:$AL176,MATCH(Lists!$F$7,$A$1:$AL$1,0))),ROUND(MOD(INDEX($A176:$AL176,MATCH(Lists!$F$7,$A$1:$AL$1,0)),1)*1440,0),VALUE(LEFT(INDEX($A176:$AL176,MATCH(Lists!$F$7,$A$1:$AL$1,0)),2))*60+VALUE(MID(INDEX($A176:$AL176,MATCH(Lists!$F$7,$A$1:$AL$1,0)),4,2)))),"")),IFERROR(IF(TRIM(INDEX($A176:$AL176,MATCH(Lists!$F$7,$A$1:$AL$1,0))&amp;"")="","",IF(ISNUMBER(INDEX($A176:$AL176,MATCH(Lists!$F$7,$A$1:$AL$1,0))),ROUND(MOD(INDEX($A176:$AL176,MATCH(Lists!$F$7,$A$1:$AL$1,0)),1)*1440,0),VALUE(LEFT(INDEX($A176:$AL176,MATCH(Lists!$F$7,$A$1:$AL$1,0)),2))*60+VALUE(MID(INDEX($A176:$AL176,MATCH(Lists!$F$7,$A$1:$AL$1,0)),4,2)))),""),-1))</f>
        <v/>
      </c>
      <c r="AW176" s="21">
        <f>IF(IFERROR(TRIM(INDEX($A176:$AL176,MATCH(Lists!$F$2,$A$1:$AL$1,0))&amp;""),"")="","",IF(IFERROR(TRIM(INDEX($A176:$AL176,MATCH(Lists!$F$8,$A$1:$AL$1,0))&amp;""),"")&lt;&gt;"",IFERROR(TRIM(INDEX($A176:$AL176,MATCH(Lists!$F$8,$A$1:$AL$1,0))&amp;""),""),IFERROR(TRIM(INDEX($A176:$AL176,MATCH(Lists!$F$9,$A$1:$AL$1,0))&amp;""),"")))</f>
        <v/>
      </c>
      <c r="AX176" s="21">
        <f>IFERROR(IF(TRIM(INDEX($A176:$AL176,MATCH(Lists!$F$10,$A$1:$AL$1,0))&amp;"")="","",VALUE(TRIM(INDEX($A176:$AL176,MATCH(Lists!$F$10,$A$1:$AL$1,0))&amp;""))),"")</f>
        <v/>
      </c>
      <c r="AY176" s="21">
        <f>IF(IFERROR(TRIM(INDEX($A176:$AL176,MATCH(Lists!$F$2,$A$1:$AL$1,0))&amp;""),"")="","",IF(AN176="","New",AN176))</f>
        <v/>
      </c>
      <c r="AZ176" s="21">
        <f>IF(IFERROR(TRIM(INDEX($A176:$AL176,MATCH(Lists!$F$2,$A$1:$AL$1,0))&amp;""),"")="","",IF(OR(IFERROR(TRIM(INDEX($A176:$AL176,MATCH(Lists!$F$13,$A$1:$AL$1,0))&amp;""),"")="Paid",IFERROR(TRIM(INDEX($A176:$AL176,MATCH(Lists!$F$13,$A$1:$AL$1,0))&amp;""),"")="Partially refunded"),"Paid",IF(AP176="Yes","Paid (by hand)",IFERROR(TRIM(INDEX($A176:$AL176,MATCH(Lists!$F$13,$A$1:$AL$1,0))&amp;""),""))))</f>
        <v/>
      </c>
      <c r="BA176" s="21">
        <f>IF(AND(IFERROR(TRIM(INDEX($A176:$AL176,MATCH(Lists!$F$2,$A$1:$AL$1,0))&amp;""),"")&lt;&gt;"",AT176&gt;0,AU176&gt;=0,AV176&gt;AU176,AY176&lt;&gt;"Declined"),1,0)</f>
        <v/>
      </c>
      <c r="BB176" s="21">
        <f>IF(BA176=1,COUNTIFS($AS$2:$AS$501,AS176,$AT$2:$AT$501,AT176,$AU$2:$AU$501,"&lt;"&amp;AV176,$AV$2:$AV$501,"&gt;"&amp;AU176,$BA$2:$BA$501,1)-1,"")</f>
        <v/>
      </c>
      <c r="BC176" s="21">
        <f>IF(N(BB176)&gt;0,"Clashes with "&amp;INDEX($AW$2:$AW$501,SUMPRODUCT(MAX(($AS$2:$AS$501=AS176)*($AT$2:$AT$501=AT176)*($AU$2:$AU$501&lt;AV176)*($AV$2:$AV$501&gt;AU176)*($BA$2:$BA$501=1)*(ROW($AS$2:$AS$501)&lt;&gt;ROW())*ROW($AS$2:$AS$501)))-1)&amp;" ("&amp;INDEX($AY$2:$AY$501,SUMPRODUCT(MAX(($AS$2:$AS$501=AS176)*($AT$2:$AT$501=AT176)*($AU$2:$AU$501&lt;AV176)*($AV$2:$AV$501&gt;AU176)*($BA$2:$BA$501=1)*(ROW($AS$2:$AS$501)&lt;&gt;ROW())*ROW($AS$2:$AS$501)))-1)&amp;")"&amp;IF(BB176&gt;1," and "&amp;(BB176-1)&amp;" more",""),"")</f>
        <v/>
      </c>
      <c r="BD176" s="21">
        <f>IF(AND(BA176=1,AY176="Confirmed"),AT176*10000000+AU176*1000+ROW(),"")</f>
        <v/>
      </c>
      <c r="BE176" s="21">
        <f>IF(IFERROR(TRIM(INDEX($A176:$AL176,MATCH(Lists!$F$2,$A$1:$AL$1,0))&amp;""),"")="","",IFERROR(TRIM(INDEX($A176:$AL176,MATCH(Lists!$F$11,$A$1:$AL$1,0))&amp;""),""))</f>
        <v/>
      </c>
      <c r="BF176" s="21">
        <f>IF(IFERROR(TRIM(INDEX($A176:$AL176,MATCH(Lists!$F$2,$A$1:$AL$1,0))&amp;""),"")="","",IFERROR(TRIM(INDEX($A176:$AL176,MATCH(Lists!$F$12,$A$1:$AL$1,0))&amp;""),""))</f>
        <v/>
      </c>
    </row>
    <row r="177">
      <c r="AM177" s="19" t="n"/>
      <c r="AN177" s="23" t="n"/>
      <c r="AO177" s="23" t="n"/>
      <c r="AP177" s="23" t="n"/>
      <c r="AQ177" s="23" t="n"/>
      <c r="AR177" s="19" t="n"/>
      <c r="AS177" s="21">
        <f>IF(IFERROR(TRIM(INDEX($A177:$AL177,MATCH(Lists!$F$2,$A$1:$AL$1,0))&amp;""),"")="","",IF(AND(IFERROR(TRIM(INDEX($A177:$AL177,MATCH(Lists!$F$3,$A$1:$AL$1,0))&amp;""),"")="Other",IFERROR(TRIM(INDEX($A177:$AL177,MATCH(Lists!$F$4,$A$1:$AL$1,0))&amp;""),"")&lt;&gt;""),IFERROR(TRIM(INDEX($A177:$AL177,MATCH(Lists!$F$4,$A$1:$AL$1,0))&amp;""),""),IF(IFERROR(TRIM(INDEX($A177:$AL177,MATCH(Lists!$F$3,$A$1:$AL$1,0))&amp;""),"")="","(no space)",IFERROR(TRIM(INDEX($A177:$AL177,MATCH(Lists!$F$3,$A$1:$AL$1,0))&amp;""),""))))</f>
        <v/>
      </c>
      <c r="AT177" s="22">
        <f>IF(IFERROR(TRIM(INDEX($A177:$AL177,MATCH(Lists!$F$2,$A$1:$AL$1,0))&amp;""),"")="",0,N(IFERROR(IF(TRIM(INDEX($A177:$AL177,MATCH(Lists!$F$5,$A$1:$AL$1,0))&amp;"")="","",IF(ISNUMBER(INDEX($A177:$AL177,MATCH(Lists!$F$5,$A$1:$AL$1,0))),INT(INDEX($A177:$AL177,MATCH(Lists!$F$5,$A$1:$AL$1,0))),DATE(VALUE(LEFT(INDEX($A177:$AL177,MATCH(Lists!$F$5,$A$1:$AL$1,0)),4)),VALUE(MID(INDEX($A177:$AL177,MATCH(Lists!$F$5,$A$1:$AL$1,0)),6,2)),VALUE(MID(INDEX($A177:$AL177,MATCH(Lists!$F$5,$A$1:$AL$1,0)),9,2))))),"")))</f>
        <v/>
      </c>
      <c r="AU177" s="21">
        <f>IF(IFERROR(TRIM(INDEX($A177:$AL177,MATCH(Lists!$F$2,$A$1:$AL$1,0))&amp;""),"")="",-1,IF(ISNUMBER(IFERROR(IF(TRIM(INDEX($A177:$AL177,MATCH(Lists!$F$6,$A$1:$AL$1,0))&amp;"")="","",IF(ISNUMBER(INDEX($A177:$AL177,MATCH(Lists!$F$6,$A$1:$AL$1,0))),ROUND(MOD(INDEX($A177:$AL177,MATCH(Lists!$F$6,$A$1:$AL$1,0)),1)*1440,0),VALUE(LEFT(INDEX($A177:$AL177,MATCH(Lists!$F$6,$A$1:$AL$1,0)),2))*60+VALUE(MID(INDEX($A177:$AL177,MATCH(Lists!$F$6,$A$1:$AL$1,0)),4,2)))),"")),IFERROR(IF(TRIM(INDEX($A177:$AL177,MATCH(Lists!$F$6,$A$1:$AL$1,0))&amp;"")="","",IF(ISNUMBER(INDEX($A177:$AL177,MATCH(Lists!$F$6,$A$1:$AL$1,0))),ROUND(MOD(INDEX($A177:$AL177,MATCH(Lists!$F$6,$A$1:$AL$1,0)),1)*1440,0),VALUE(LEFT(INDEX($A177:$AL177,MATCH(Lists!$F$6,$A$1:$AL$1,0)),2))*60+VALUE(MID(INDEX($A177:$AL177,MATCH(Lists!$F$6,$A$1:$AL$1,0)),4,2)))),""),-1))</f>
        <v/>
      </c>
      <c r="AV177" s="21">
        <f>IF(IFERROR(TRIM(INDEX($A177:$AL177,MATCH(Lists!$F$2,$A$1:$AL$1,0))&amp;""),"")="",-1,IF(ISNUMBER(IFERROR(IF(TRIM(INDEX($A177:$AL177,MATCH(Lists!$F$7,$A$1:$AL$1,0))&amp;"")="","",IF(ISNUMBER(INDEX($A177:$AL177,MATCH(Lists!$F$7,$A$1:$AL$1,0))),ROUND(MOD(INDEX($A177:$AL177,MATCH(Lists!$F$7,$A$1:$AL$1,0)),1)*1440,0),VALUE(LEFT(INDEX($A177:$AL177,MATCH(Lists!$F$7,$A$1:$AL$1,0)),2))*60+VALUE(MID(INDEX($A177:$AL177,MATCH(Lists!$F$7,$A$1:$AL$1,0)),4,2)))),"")),IFERROR(IF(TRIM(INDEX($A177:$AL177,MATCH(Lists!$F$7,$A$1:$AL$1,0))&amp;"")="","",IF(ISNUMBER(INDEX($A177:$AL177,MATCH(Lists!$F$7,$A$1:$AL$1,0))),ROUND(MOD(INDEX($A177:$AL177,MATCH(Lists!$F$7,$A$1:$AL$1,0)),1)*1440,0),VALUE(LEFT(INDEX($A177:$AL177,MATCH(Lists!$F$7,$A$1:$AL$1,0)),2))*60+VALUE(MID(INDEX($A177:$AL177,MATCH(Lists!$F$7,$A$1:$AL$1,0)),4,2)))),""),-1))</f>
        <v/>
      </c>
      <c r="AW177" s="21">
        <f>IF(IFERROR(TRIM(INDEX($A177:$AL177,MATCH(Lists!$F$2,$A$1:$AL$1,0))&amp;""),"")="","",IF(IFERROR(TRIM(INDEX($A177:$AL177,MATCH(Lists!$F$8,$A$1:$AL$1,0))&amp;""),"")&lt;&gt;"",IFERROR(TRIM(INDEX($A177:$AL177,MATCH(Lists!$F$8,$A$1:$AL$1,0))&amp;""),""),IFERROR(TRIM(INDEX($A177:$AL177,MATCH(Lists!$F$9,$A$1:$AL$1,0))&amp;""),"")))</f>
        <v/>
      </c>
      <c r="AX177" s="21">
        <f>IFERROR(IF(TRIM(INDEX($A177:$AL177,MATCH(Lists!$F$10,$A$1:$AL$1,0))&amp;"")="","",VALUE(TRIM(INDEX($A177:$AL177,MATCH(Lists!$F$10,$A$1:$AL$1,0))&amp;""))),"")</f>
        <v/>
      </c>
      <c r="AY177" s="21">
        <f>IF(IFERROR(TRIM(INDEX($A177:$AL177,MATCH(Lists!$F$2,$A$1:$AL$1,0))&amp;""),"")="","",IF(AN177="","New",AN177))</f>
        <v/>
      </c>
      <c r="AZ177" s="21">
        <f>IF(IFERROR(TRIM(INDEX($A177:$AL177,MATCH(Lists!$F$2,$A$1:$AL$1,0))&amp;""),"")="","",IF(OR(IFERROR(TRIM(INDEX($A177:$AL177,MATCH(Lists!$F$13,$A$1:$AL$1,0))&amp;""),"")="Paid",IFERROR(TRIM(INDEX($A177:$AL177,MATCH(Lists!$F$13,$A$1:$AL$1,0))&amp;""),"")="Partially refunded"),"Paid",IF(AP177="Yes","Paid (by hand)",IFERROR(TRIM(INDEX($A177:$AL177,MATCH(Lists!$F$13,$A$1:$AL$1,0))&amp;""),""))))</f>
        <v/>
      </c>
      <c r="BA177" s="21">
        <f>IF(AND(IFERROR(TRIM(INDEX($A177:$AL177,MATCH(Lists!$F$2,$A$1:$AL$1,0))&amp;""),"")&lt;&gt;"",AT177&gt;0,AU177&gt;=0,AV177&gt;AU177,AY177&lt;&gt;"Declined"),1,0)</f>
        <v/>
      </c>
      <c r="BB177" s="21">
        <f>IF(BA177=1,COUNTIFS($AS$2:$AS$501,AS177,$AT$2:$AT$501,AT177,$AU$2:$AU$501,"&lt;"&amp;AV177,$AV$2:$AV$501,"&gt;"&amp;AU177,$BA$2:$BA$501,1)-1,"")</f>
        <v/>
      </c>
      <c r="BC177" s="21">
        <f>IF(N(BB177)&gt;0,"Clashes with "&amp;INDEX($AW$2:$AW$501,SUMPRODUCT(MAX(($AS$2:$AS$501=AS177)*($AT$2:$AT$501=AT177)*($AU$2:$AU$501&lt;AV177)*($AV$2:$AV$501&gt;AU177)*($BA$2:$BA$501=1)*(ROW($AS$2:$AS$501)&lt;&gt;ROW())*ROW($AS$2:$AS$501)))-1)&amp;" ("&amp;INDEX($AY$2:$AY$501,SUMPRODUCT(MAX(($AS$2:$AS$501=AS177)*($AT$2:$AT$501=AT177)*($AU$2:$AU$501&lt;AV177)*($AV$2:$AV$501&gt;AU177)*($BA$2:$BA$501=1)*(ROW($AS$2:$AS$501)&lt;&gt;ROW())*ROW($AS$2:$AS$501)))-1)&amp;")"&amp;IF(BB177&gt;1," and "&amp;(BB177-1)&amp;" more",""),"")</f>
        <v/>
      </c>
      <c r="BD177" s="21">
        <f>IF(AND(BA177=1,AY177="Confirmed"),AT177*10000000+AU177*1000+ROW(),"")</f>
        <v/>
      </c>
      <c r="BE177" s="21">
        <f>IF(IFERROR(TRIM(INDEX($A177:$AL177,MATCH(Lists!$F$2,$A$1:$AL$1,0))&amp;""),"")="","",IFERROR(TRIM(INDEX($A177:$AL177,MATCH(Lists!$F$11,$A$1:$AL$1,0))&amp;""),""))</f>
        <v/>
      </c>
      <c r="BF177" s="21">
        <f>IF(IFERROR(TRIM(INDEX($A177:$AL177,MATCH(Lists!$F$2,$A$1:$AL$1,0))&amp;""),"")="","",IFERROR(TRIM(INDEX($A177:$AL177,MATCH(Lists!$F$12,$A$1:$AL$1,0))&amp;""),""))</f>
        <v/>
      </c>
    </row>
    <row r="178">
      <c r="AM178" s="19" t="n"/>
      <c r="AN178" s="23" t="n"/>
      <c r="AO178" s="23" t="n"/>
      <c r="AP178" s="23" t="n"/>
      <c r="AQ178" s="23" t="n"/>
      <c r="AR178" s="19" t="n"/>
      <c r="AS178" s="21">
        <f>IF(IFERROR(TRIM(INDEX($A178:$AL178,MATCH(Lists!$F$2,$A$1:$AL$1,0))&amp;""),"")="","",IF(AND(IFERROR(TRIM(INDEX($A178:$AL178,MATCH(Lists!$F$3,$A$1:$AL$1,0))&amp;""),"")="Other",IFERROR(TRIM(INDEX($A178:$AL178,MATCH(Lists!$F$4,$A$1:$AL$1,0))&amp;""),"")&lt;&gt;""),IFERROR(TRIM(INDEX($A178:$AL178,MATCH(Lists!$F$4,$A$1:$AL$1,0))&amp;""),""),IF(IFERROR(TRIM(INDEX($A178:$AL178,MATCH(Lists!$F$3,$A$1:$AL$1,0))&amp;""),"")="","(no space)",IFERROR(TRIM(INDEX($A178:$AL178,MATCH(Lists!$F$3,$A$1:$AL$1,0))&amp;""),""))))</f>
        <v/>
      </c>
      <c r="AT178" s="22">
        <f>IF(IFERROR(TRIM(INDEX($A178:$AL178,MATCH(Lists!$F$2,$A$1:$AL$1,0))&amp;""),"")="",0,N(IFERROR(IF(TRIM(INDEX($A178:$AL178,MATCH(Lists!$F$5,$A$1:$AL$1,0))&amp;"")="","",IF(ISNUMBER(INDEX($A178:$AL178,MATCH(Lists!$F$5,$A$1:$AL$1,0))),INT(INDEX($A178:$AL178,MATCH(Lists!$F$5,$A$1:$AL$1,0))),DATE(VALUE(LEFT(INDEX($A178:$AL178,MATCH(Lists!$F$5,$A$1:$AL$1,0)),4)),VALUE(MID(INDEX($A178:$AL178,MATCH(Lists!$F$5,$A$1:$AL$1,0)),6,2)),VALUE(MID(INDEX($A178:$AL178,MATCH(Lists!$F$5,$A$1:$AL$1,0)),9,2))))),"")))</f>
        <v/>
      </c>
      <c r="AU178" s="21">
        <f>IF(IFERROR(TRIM(INDEX($A178:$AL178,MATCH(Lists!$F$2,$A$1:$AL$1,0))&amp;""),"")="",-1,IF(ISNUMBER(IFERROR(IF(TRIM(INDEX($A178:$AL178,MATCH(Lists!$F$6,$A$1:$AL$1,0))&amp;"")="","",IF(ISNUMBER(INDEX($A178:$AL178,MATCH(Lists!$F$6,$A$1:$AL$1,0))),ROUND(MOD(INDEX($A178:$AL178,MATCH(Lists!$F$6,$A$1:$AL$1,0)),1)*1440,0),VALUE(LEFT(INDEX($A178:$AL178,MATCH(Lists!$F$6,$A$1:$AL$1,0)),2))*60+VALUE(MID(INDEX($A178:$AL178,MATCH(Lists!$F$6,$A$1:$AL$1,0)),4,2)))),"")),IFERROR(IF(TRIM(INDEX($A178:$AL178,MATCH(Lists!$F$6,$A$1:$AL$1,0))&amp;"")="","",IF(ISNUMBER(INDEX($A178:$AL178,MATCH(Lists!$F$6,$A$1:$AL$1,0))),ROUND(MOD(INDEX($A178:$AL178,MATCH(Lists!$F$6,$A$1:$AL$1,0)),1)*1440,0),VALUE(LEFT(INDEX($A178:$AL178,MATCH(Lists!$F$6,$A$1:$AL$1,0)),2))*60+VALUE(MID(INDEX($A178:$AL178,MATCH(Lists!$F$6,$A$1:$AL$1,0)),4,2)))),""),-1))</f>
        <v/>
      </c>
      <c r="AV178" s="21">
        <f>IF(IFERROR(TRIM(INDEX($A178:$AL178,MATCH(Lists!$F$2,$A$1:$AL$1,0))&amp;""),"")="",-1,IF(ISNUMBER(IFERROR(IF(TRIM(INDEX($A178:$AL178,MATCH(Lists!$F$7,$A$1:$AL$1,0))&amp;"")="","",IF(ISNUMBER(INDEX($A178:$AL178,MATCH(Lists!$F$7,$A$1:$AL$1,0))),ROUND(MOD(INDEX($A178:$AL178,MATCH(Lists!$F$7,$A$1:$AL$1,0)),1)*1440,0),VALUE(LEFT(INDEX($A178:$AL178,MATCH(Lists!$F$7,$A$1:$AL$1,0)),2))*60+VALUE(MID(INDEX($A178:$AL178,MATCH(Lists!$F$7,$A$1:$AL$1,0)),4,2)))),"")),IFERROR(IF(TRIM(INDEX($A178:$AL178,MATCH(Lists!$F$7,$A$1:$AL$1,0))&amp;"")="","",IF(ISNUMBER(INDEX($A178:$AL178,MATCH(Lists!$F$7,$A$1:$AL$1,0))),ROUND(MOD(INDEX($A178:$AL178,MATCH(Lists!$F$7,$A$1:$AL$1,0)),1)*1440,0),VALUE(LEFT(INDEX($A178:$AL178,MATCH(Lists!$F$7,$A$1:$AL$1,0)),2))*60+VALUE(MID(INDEX($A178:$AL178,MATCH(Lists!$F$7,$A$1:$AL$1,0)),4,2)))),""),-1))</f>
        <v/>
      </c>
      <c r="AW178" s="21">
        <f>IF(IFERROR(TRIM(INDEX($A178:$AL178,MATCH(Lists!$F$2,$A$1:$AL$1,0))&amp;""),"")="","",IF(IFERROR(TRIM(INDEX($A178:$AL178,MATCH(Lists!$F$8,$A$1:$AL$1,0))&amp;""),"")&lt;&gt;"",IFERROR(TRIM(INDEX($A178:$AL178,MATCH(Lists!$F$8,$A$1:$AL$1,0))&amp;""),""),IFERROR(TRIM(INDEX($A178:$AL178,MATCH(Lists!$F$9,$A$1:$AL$1,0))&amp;""),"")))</f>
        <v/>
      </c>
      <c r="AX178" s="21">
        <f>IFERROR(IF(TRIM(INDEX($A178:$AL178,MATCH(Lists!$F$10,$A$1:$AL$1,0))&amp;"")="","",VALUE(TRIM(INDEX($A178:$AL178,MATCH(Lists!$F$10,$A$1:$AL$1,0))&amp;""))),"")</f>
        <v/>
      </c>
      <c r="AY178" s="21">
        <f>IF(IFERROR(TRIM(INDEX($A178:$AL178,MATCH(Lists!$F$2,$A$1:$AL$1,0))&amp;""),"")="","",IF(AN178="","New",AN178))</f>
        <v/>
      </c>
      <c r="AZ178" s="21">
        <f>IF(IFERROR(TRIM(INDEX($A178:$AL178,MATCH(Lists!$F$2,$A$1:$AL$1,0))&amp;""),"")="","",IF(OR(IFERROR(TRIM(INDEX($A178:$AL178,MATCH(Lists!$F$13,$A$1:$AL$1,0))&amp;""),"")="Paid",IFERROR(TRIM(INDEX($A178:$AL178,MATCH(Lists!$F$13,$A$1:$AL$1,0))&amp;""),"")="Partially refunded"),"Paid",IF(AP178="Yes","Paid (by hand)",IFERROR(TRIM(INDEX($A178:$AL178,MATCH(Lists!$F$13,$A$1:$AL$1,0))&amp;""),""))))</f>
        <v/>
      </c>
      <c r="BA178" s="21">
        <f>IF(AND(IFERROR(TRIM(INDEX($A178:$AL178,MATCH(Lists!$F$2,$A$1:$AL$1,0))&amp;""),"")&lt;&gt;"",AT178&gt;0,AU178&gt;=0,AV178&gt;AU178,AY178&lt;&gt;"Declined"),1,0)</f>
        <v/>
      </c>
      <c r="BB178" s="21">
        <f>IF(BA178=1,COUNTIFS($AS$2:$AS$501,AS178,$AT$2:$AT$501,AT178,$AU$2:$AU$501,"&lt;"&amp;AV178,$AV$2:$AV$501,"&gt;"&amp;AU178,$BA$2:$BA$501,1)-1,"")</f>
        <v/>
      </c>
      <c r="BC178" s="21">
        <f>IF(N(BB178)&gt;0,"Clashes with "&amp;INDEX($AW$2:$AW$501,SUMPRODUCT(MAX(($AS$2:$AS$501=AS178)*($AT$2:$AT$501=AT178)*($AU$2:$AU$501&lt;AV178)*($AV$2:$AV$501&gt;AU178)*($BA$2:$BA$501=1)*(ROW($AS$2:$AS$501)&lt;&gt;ROW())*ROW($AS$2:$AS$501)))-1)&amp;" ("&amp;INDEX($AY$2:$AY$501,SUMPRODUCT(MAX(($AS$2:$AS$501=AS178)*($AT$2:$AT$501=AT178)*($AU$2:$AU$501&lt;AV178)*($AV$2:$AV$501&gt;AU178)*($BA$2:$BA$501=1)*(ROW($AS$2:$AS$501)&lt;&gt;ROW())*ROW($AS$2:$AS$501)))-1)&amp;")"&amp;IF(BB178&gt;1," and "&amp;(BB178-1)&amp;" more",""),"")</f>
        <v/>
      </c>
      <c r="BD178" s="21">
        <f>IF(AND(BA178=1,AY178="Confirmed"),AT178*10000000+AU178*1000+ROW(),"")</f>
        <v/>
      </c>
      <c r="BE178" s="21">
        <f>IF(IFERROR(TRIM(INDEX($A178:$AL178,MATCH(Lists!$F$2,$A$1:$AL$1,0))&amp;""),"")="","",IFERROR(TRIM(INDEX($A178:$AL178,MATCH(Lists!$F$11,$A$1:$AL$1,0))&amp;""),""))</f>
        <v/>
      </c>
      <c r="BF178" s="21">
        <f>IF(IFERROR(TRIM(INDEX($A178:$AL178,MATCH(Lists!$F$2,$A$1:$AL$1,0))&amp;""),"")="","",IFERROR(TRIM(INDEX($A178:$AL178,MATCH(Lists!$F$12,$A$1:$AL$1,0))&amp;""),""))</f>
        <v/>
      </c>
    </row>
    <row r="179">
      <c r="AM179" s="19" t="n"/>
      <c r="AN179" s="23" t="n"/>
      <c r="AO179" s="23" t="n"/>
      <c r="AP179" s="23" t="n"/>
      <c r="AQ179" s="23" t="n"/>
      <c r="AR179" s="19" t="n"/>
      <c r="AS179" s="21">
        <f>IF(IFERROR(TRIM(INDEX($A179:$AL179,MATCH(Lists!$F$2,$A$1:$AL$1,0))&amp;""),"")="","",IF(AND(IFERROR(TRIM(INDEX($A179:$AL179,MATCH(Lists!$F$3,$A$1:$AL$1,0))&amp;""),"")="Other",IFERROR(TRIM(INDEX($A179:$AL179,MATCH(Lists!$F$4,$A$1:$AL$1,0))&amp;""),"")&lt;&gt;""),IFERROR(TRIM(INDEX($A179:$AL179,MATCH(Lists!$F$4,$A$1:$AL$1,0))&amp;""),""),IF(IFERROR(TRIM(INDEX($A179:$AL179,MATCH(Lists!$F$3,$A$1:$AL$1,0))&amp;""),"")="","(no space)",IFERROR(TRIM(INDEX($A179:$AL179,MATCH(Lists!$F$3,$A$1:$AL$1,0))&amp;""),""))))</f>
        <v/>
      </c>
      <c r="AT179" s="22">
        <f>IF(IFERROR(TRIM(INDEX($A179:$AL179,MATCH(Lists!$F$2,$A$1:$AL$1,0))&amp;""),"")="",0,N(IFERROR(IF(TRIM(INDEX($A179:$AL179,MATCH(Lists!$F$5,$A$1:$AL$1,0))&amp;"")="","",IF(ISNUMBER(INDEX($A179:$AL179,MATCH(Lists!$F$5,$A$1:$AL$1,0))),INT(INDEX($A179:$AL179,MATCH(Lists!$F$5,$A$1:$AL$1,0))),DATE(VALUE(LEFT(INDEX($A179:$AL179,MATCH(Lists!$F$5,$A$1:$AL$1,0)),4)),VALUE(MID(INDEX($A179:$AL179,MATCH(Lists!$F$5,$A$1:$AL$1,0)),6,2)),VALUE(MID(INDEX($A179:$AL179,MATCH(Lists!$F$5,$A$1:$AL$1,0)),9,2))))),"")))</f>
        <v/>
      </c>
      <c r="AU179" s="21">
        <f>IF(IFERROR(TRIM(INDEX($A179:$AL179,MATCH(Lists!$F$2,$A$1:$AL$1,0))&amp;""),"")="",-1,IF(ISNUMBER(IFERROR(IF(TRIM(INDEX($A179:$AL179,MATCH(Lists!$F$6,$A$1:$AL$1,0))&amp;"")="","",IF(ISNUMBER(INDEX($A179:$AL179,MATCH(Lists!$F$6,$A$1:$AL$1,0))),ROUND(MOD(INDEX($A179:$AL179,MATCH(Lists!$F$6,$A$1:$AL$1,0)),1)*1440,0),VALUE(LEFT(INDEX($A179:$AL179,MATCH(Lists!$F$6,$A$1:$AL$1,0)),2))*60+VALUE(MID(INDEX($A179:$AL179,MATCH(Lists!$F$6,$A$1:$AL$1,0)),4,2)))),"")),IFERROR(IF(TRIM(INDEX($A179:$AL179,MATCH(Lists!$F$6,$A$1:$AL$1,0))&amp;"")="","",IF(ISNUMBER(INDEX($A179:$AL179,MATCH(Lists!$F$6,$A$1:$AL$1,0))),ROUND(MOD(INDEX($A179:$AL179,MATCH(Lists!$F$6,$A$1:$AL$1,0)),1)*1440,0),VALUE(LEFT(INDEX($A179:$AL179,MATCH(Lists!$F$6,$A$1:$AL$1,0)),2))*60+VALUE(MID(INDEX($A179:$AL179,MATCH(Lists!$F$6,$A$1:$AL$1,0)),4,2)))),""),-1))</f>
        <v/>
      </c>
      <c r="AV179" s="21">
        <f>IF(IFERROR(TRIM(INDEX($A179:$AL179,MATCH(Lists!$F$2,$A$1:$AL$1,0))&amp;""),"")="",-1,IF(ISNUMBER(IFERROR(IF(TRIM(INDEX($A179:$AL179,MATCH(Lists!$F$7,$A$1:$AL$1,0))&amp;"")="","",IF(ISNUMBER(INDEX($A179:$AL179,MATCH(Lists!$F$7,$A$1:$AL$1,0))),ROUND(MOD(INDEX($A179:$AL179,MATCH(Lists!$F$7,$A$1:$AL$1,0)),1)*1440,0),VALUE(LEFT(INDEX($A179:$AL179,MATCH(Lists!$F$7,$A$1:$AL$1,0)),2))*60+VALUE(MID(INDEX($A179:$AL179,MATCH(Lists!$F$7,$A$1:$AL$1,0)),4,2)))),"")),IFERROR(IF(TRIM(INDEX($A179:$AL179,MATCH(Lists!$F$7,$A$1:$AL$1,0))&amp;"")="","",IF(ISNUMBER(INDEX($A179:$AL179,MATCH(Lists!$F$7,$A$1:$AL$1,0))),ROUND(MOD(INDEX($A179:$AL179,MATCH(Lists!$F$7,$A$1:$AL$1,0)),1)*1440,0),VALUE(LEFT(INDEX($A179:$AL179,MATCH(Lists!$F$7,$A$1:$AL$1,0)),2))*60+VALUE(MID(INDEX($A179:$AL179,MATCH(Lists!$F$7,$A$1:$AL$1,0)),4,2)))),""),-1))</f>
        <v/>
      </c>
      <c r="AW179" s="21">
        <f>IF(IFERROR(TRIM(INDEX($A179:$AL179,MATCH(Lists!$F$2,$A$1:$AL$1,0))&amp;""),"")="","",IF(IFERROR(TRIM(INDEX($A179:$AL179,MATCH(Lists!$F$8,$A$1:$AL$1,0))&amp;""),"")&lt;&gt;"",IFERROR(TRIM(INDEX($A179:$AL179,MATCH(Lists!$F$8,$A$1:$AL$1,0))&amp;""),""),IFERROR(TRIM(INDEX($A179:$AL179,MATCH(Lists!$F$9,$A$1:$AL$1,0))&amp;""),"")))</f>
        <v/>
      </c>
      <c r="AX179" s="21">
        <f>IFERROR(IF(TRIM(INDEX($A179:$AL179,MATCH(Lists!$F$10,$A$1:$AL$1,0))&amp;"")="","",VALUE(TRIM(INDEX($A179:$AL179,MATCH(Lists!$F$10,$A$1:$AL$1,0))&amp;""))),"")</f>
        <v/>
      </c>
      <c r="AY179" s="21">
        <f>IF(IFERROR(TRIM(INDEX($A179:$AL179,MATCH(Lists!$F$2,$A$1:$AL$1,0))&amp;""),"")="","",IF(AN179="","New",AN179))</f>
        <v/>
      </c>
      <c r="AZ179" s="21">
        <f>IF(IFERROR(TRIM(INDEX($A179:$AL179,MATCH(Lists!$F$2,$A$1:$AL$1,0))&amp;""),"")="","",IF(OR(IFERROR(TRIM(INDEX($A179:$AL179,MATCH(Lists!$F$13,$A$1:$AL$1,0))&amp;""),"")="Paid",IFERROR(TRIM(INDEX($A179:$AL179,MATCH(Lists!$F$13,$A$1:$AL$1,0))&amp;""),"")="Partially refunded"),"Paid",IF(AP179="Yes","Paid (by hand)",IFERROR(TRIM(INDEX($A179:$AL179,MATCH(Lists!$F$13,$A$1:$AL$1,0))&amp;""),""))))</f>
        <v/>
      </c>
      <c r="BA179" s="21">
        <f>IF(AND(IFERROR(TRIM(INDEX($A179:$AL179,MATCH(Lists!$F$2,$A$1:$AL$1,0))&amp;""),"")&lt;&gt;"",AT179&gt;0,AU179&gt;=0,AV179&gt;AU179,AY179&lt;&gt;"Declined"),1,0)</f>
        <v/>
      </c>
      <c r="BB179" s="21">
        <f>IF(BA179=1,COUNTIFS($AS$2:$AS$501,AS179,$AT$2:$AT$501,AT179,$AU$2:$AU$501,"&lt;"&amp;AV179,$AV$2:$AV$501,"&gt;"&amp;AU179,$BA$2:$BA$501,1)-1,"")</f>
        <v/>
      </c>
      <c r="BC179" s="21">
        <f>IF(N(BB179)&gt;0,"Clashes with "&amp;INDEX($AW$2:$AW$501,SUMPRODUCT(MAX(($AS$2:$AS$501=AS179)*($AT$2:$AT$501=AT179)*($AU$2:$AU$501&lt;AV179)*($AV$2:$AV$501&gt;AU179)*($BA$2:$BA$501=1)*(ROW($AS$2:$AS$501)&lt;&gt;ROW())*ROW($AS$2:$AS$501)))-1)&amp;" ("&amp;INDEX($AY$2:$AY$501,SUMPRODUCT(MAX(($AS$2:$AS$501=AS179)*($AT$2:$AT$501=AT179)*($AU$2:$AU$501&lt;AV179)*($AV$2:$AV$501&gt;AU179)*($BA$2:$BA$501=1)*(ROW($AS$2:$AS$501)&lt;&gt;ROW())*ROW($AS$2:$AS$501)))-1)&amp;")"&amp;IF(BB179&gt;1," and "&amp;(BB179-1)&amp;" more",""),"")</f>
        <v/>
      </c>
      <c r="BD179" s="21">
        <f>IF(AND(BA179=1,AY179="Confirmed"),AT179*10000000+AU179*1000+ROW(),"")</f>
        <v/>
      </c>
      <c r="BE179" s="21">
        <f>IF(IFERROR(TRIM(INDEX($A179:$AL179,MATCH(Lists!$F$2,$A$1:$AL$1,0))&amp;""),"")="","",IFERROR(TRIM(INDEX($A179:$AL179,MATCH(Lists!$F$11,$A$1:$AL$1,0))&amp;""),""))</f>
        <v/>
      </c>
      <c r="BF179" s="21">
        <f>IF(IFERROR(TRIM(INDEX($A179:$AL179,MATCH(Lists!$F$2,$A$1:$AL$1,0))&amp;""),"")="","",IFERROR(TRIM(INDEX($A179:$AL179,MATCH(Lists!$F$12,$A$1:$AL$1,0))&amp;""),""))</f>
        <v/>
      </c>
    </row>
    <row r="180">
      <c r="AM180" s="19" t="n"/>
      <c r="AN180" s="23" t="n"/>
      <c r="AO180" s="23" t="n"/>
      <c r="AP180" s="23" t="n"/>
      <c r="AQ180" s="23" t="n"/>
      <c r="AR180" s="19" t="n"/>
      <c r="AS180" s="21">
        <f>IF(IFERROR(TRIM(INDEX($A180:$AL180,MATCH(Lists!$F$2,$A$1:$AL$1,0))&amp;""),"")="","",IF(AND(IFERROR(TRIM(INDEX($A180:$AL180,MATCH(Lists!$F$3,$A$1:$AL$1,0))&amp;""),"")="Other",IFERROR(TRIM(INDEX($A180:$AL180,MATCH(Lists!$F$4,$A$1:$AL$1,0))&amp;""),"")&lt;&gt;""),IFERROR(TRIM(INDEX($A180:$AL180,MATCH(Lists!$F$4,$A$1:$AL$1,0))&amp;""),""),IF(IFERROR(TRIM(INDEX($A180:$AL180,MATCH(Lists!$F$3,$A$1:$AL$1,0))&amp;""),"")="","(no space)",IFERROR(TRIM(INDEX($A180:$AL180,MATCH(Lists!$F$3,$A$1:$AL$1,0))&amp;""),""))))</f>
        <v/>
      </c>
      <c r="AT180" s="22">
        <f>IF(IFERROR(TRIM(INDEX($A180:$AL180,MATCH(Lists!$F$2,$A$1:$AL$1,0))&amp;""),"")="",0,N(IFERROR(IF(TRIM(INDEX($A180:$AL180,MATCH(Lists!$F$5,$A$1:$AL$1,0))&amp;"")="","",IF(ISNUMBER(INDEX($A180:$AL180,MATCH(Lists!$F$5,$A$1:$AL$1,0))),INT(INDEX($A180:$AL180,MATCH(Lists!$F$5,$A$1:$AL$1,0))),DATE(VALUE(LEFT(INDEX($A180:$AL180,MATCH(Lists!$F$5,$A$1:$AL$1,0)),4)),VALUE(MID(INDEX($A180:$AL180,MATCH(Lists!$F$5,$A$1:$AL$1,0)),6,2)),VALUE(MID(INDEX($A180:$AL180,MATCH(Lists!$F$5,$A$1:$AL$1,0)),9,2))))),"")))</f>
        <v/>
      </c>
      <c r="AU180" s="21">
        <f>IF(IFERROR(TRIM(INDEX($A180:$AL180,MATCH(Lists!$F$2,$A$1:$AL$1,0))&amp;""),"")="",-1,IF(ISNUMBER(IFERROR(IF(TRIM(INDEX($A180:$AL180,MATCH(Lists!$F$6,$A$1:$AL$1,0))&amp;"")="","",IF(ISNUMBER(INDEX($A180:$AL180,MATCH(Lists!$F$6,$A$1:$AL$1,0))),ROUND(MOD(INDEX($A180:$AL180,MATCH(Lists!$F$6,$A$1:$AL$1,0)),1)*1440,0),VALUE(LEFT(INDEX($A180:$AL180,MATCH(Lists!$F$6,$A$1:$AL$1,0)),2))*60+VALUE(MID(INDEX($A180:$AL180,MATCH(Lists!$F$6,$A$1:$AL$1,0)),4,2)))),"")),IFERROR(IF(TRIM(INDEX($A180:$AL180,MATCH(Lists!$F$6,$A$1:$AL$1,0))&amp;"")="","",IF(ISNUMBER(INDEX($A180:$AL180,MATCH(Lists!$F$6,$A$1:$AL$1,0))),ROUND(MOD(INDEX($A180:$AL180,MATCH(Lists!$F$6,$A$1:$AL$1,0)),1)*1440,0),VALUE(LEFT(INDEX($A180:$AL180,MATCH(Lists!$F$6,$A$1:$AL$1,0)),2))*60+VALUE(MID(INDEX($A180:$AL180,MATCH(Lists!$F$6,$A$1:$AL$1,0)),4,2)))),""),-1))</f>
        <v/>
      </c>
      <c r="AV180" s="21">
        <f>IF(IFERROR(TRIM(INDEX($A180:$AL180,MATCH(Lists!$F$2,$A$1:$AL$1,0))&amp;""),"")="",-1,IF(ISNUMBER(IFERROR(IF(TRIM(INDEX($A180:$AL180,MATCH(Lists!$F$7,$A$1:$AL$1,0))&amp;"")="","",IF(ISNUMBER(INDEX($A180:$AL180,MATCH(Lists!$F$7,$A$1:$AL$1,0))),ROUND(MOD(INDEX($A180:$AL180,MATCH(Lists!$F$7,$A$1:$AL$1,0)),1)*1440,0),VALUE(LEFT(INDEX($A180:$AL180,MATCH(Lists!$F$7,$A$1:$AL$1,0)),2))*60+VALUE(MID(INDEX($A180:$AL180,MATCH(Lists!$F$7,$A$1:$AL$1,0)),4,2)))),"")),IFERROR(IF(TRIM(INDEX($A180:$AL180,MATCH(Lists!$F$7,$A$1:$AL$1,0))&amp;"")="","",IF(ISNUMBER(INDEX($A180:$AL180,MATCH(Lists!$F$7,$A$1:$AL$1,0))),ROUND(MOD(INDEX($A180:$AL180,MATCH(Lists!$F$7,$A$1:$AL$1,0)),1)*1440,0),VALUE(LEFT(INDEX($A180:$AL180,MATCH(Lists!$F$7,$A$1:$AL$1,0)),2))*60+VALUE(MID(INDEX($A180:$AL180,MATCH(Lists!$F$7,$A$1:$AL$1,0)),4,2)))),""),-1))</f>
        <v/>
      </c>
      <c r="AW180" s="21">
        <f>IF(IFERROR(TRIM(INDEX($A180:$AL180,MATCH(Lists!$F$2,$A$1:$AL$1,0))&amp;""),"")="","",IF(IFERROR(TRIM(INDEX($A180:$AL180,MATCH(Lists!$F$8,$A$1:$AL$1,0))&amp;""),"")&lt;&gt;"",IFERROR(TRIM(INDEX($A180:$AL180,MATCH(Lists!$F$8,$A$1:$AL$1,0))&amp;""),""),IFERROR(TRIM(INDEX($A180:$AL180,MATCH(Lists!$F$9,$A$1:$AL$1,0))&amp;""),"")))</f>
        <v/>
      </c>
      <c r="AX180" s="21">
        <f>IFERROR(IF(TRIM(INDEX($A180:$AL180,MATCH(Lists!$F$10,$A$1:$AL$1,0))&amp;"")="","",VALUE(TRIM(INDEX($A180:$AL180,MATCH(Lists!$F$10,$A$1:$AL$1,0))&amp;""))),"")</f>
        <v/>
      </c>
      <c r="AY180" s="21">
        <f>IF(IFERROR(TRIM(INDEX($A180:$AL180,MATCH(Lists!$F$2,$A$1:$AL$1,0))&amp;""),"")="","",IF(AN180="","New",AN180))</f>
        <v/>
      </c>
      <c r="AZ180" s="21">
        <f>IF(IFERROR(TRIM(INDEX($A180:$AL180,MATCH(Lists!$F$2,$A$1:$AL$1,0))&amp;""),"")="","",IF(OR(IFERROR(TRIM(INDEX($A180:$AL180,MATCH(Lists!$F$13,$A$1:$AL$1,0))&amp;""),"")="Paid",IFERROR(TRIM(INDEX($A180:$AL180,MATCH(Lists!$F$13,$A$1:$AL$1,0))&amp;""),"")="Partially refunded"),"Paid",IF(AP180="Yes","Paid (by hand)",IFERROR(TRIM(INDEX($A180:$AL180,MATCH(Lists!$F$13,$A$1:$AL$1,0))&amp;""),""))))</f>
        <v/>
      </c>
      <c r="BA180" s="21">
        <f>IF(AND(IFERROR(TRIM(INDEX($A180:$AL180,MATCH(Lists!$F$2,$A$1:$AL$1,0))&amp;""),"")&lt;&gt;"",AT180&gt;0,AU180&gt;=0,AV180&gt;AU180,AY180&lt;&gt;"Declined"),1,0)</f>
        <v/>
      </c>
      <c r="BB180" s="21">
        <f>IF(BA180=1,COUNTIFS($AS$2:$AS$501,AS180,$AT$2:$AT$501,AT180,$AU$2:$AU$501,"&lt;"&amp;AV180,$AV$2:$AV$501,"&gt;"&amp;AU180,$BA$2:$BA$501,1)-1,"")</f>
        <v/>
      </c>
      <c r="BC180" s="21">
        <f>IF(N(BB180)&gt;0,"Clashes with "&amp;INDEX($AW$2:$AW$501,SUMPRODUCT(MAX(($AS$2:$AS$501=AS180)*($AT$2:$AT$501=AT180)*($AU$2:$AU$501&lt;AV180)*($AV$2:$AV$501&gt;AU180)*($BA$2:$BA$501=1)*(ROW($AS$2:$AS$501)&lt;&gt;ROW())*ROW($AS$2:$AS$501)))-1)&amp;" ("&amp;INDEX($AY$2:$AY$501,SUMPRODUCT(MAX(($AS$2:$AS$501=AS180)*($AT$2:$AT$501=AT180)*($AU$2:$AU$501&lt;AV180)*($AV$2:$AV$501&gt;AU180)*($BA$2:$BA$501=1)*(ROW($AS$2:$AS$501)&lt;&gt;ROW())*ROW($AS$2:$AS$501)))-1)&amp;")"&amp;IF(BB180&gt;1," and "&amp;(BB180-1)&amp;" more",""),"")</f>
        <v/>
      </c>
      <c r="BD180" s="21">
        <f>IF(AND(BA180=1,AY180="Confirmed"),AT180*10000000+AU180*1000+ROW(),"")</f>
        <v/>
      </c>
      <c r="BE180" s="21">
        <f>IF(IFERROR(TRIM(INDEX($A180:$AL180,MATCH(Lists!$F$2,$A$1:$AL$1,0))&amp;""),"")="","",IFERROR(TRIM(INDEX($A180:$AL180,MATCH(Lists!$F$11,$A$1:$AL$1,0))&amp;""),""))</f>
        <v/>
      </c>
      <c r="BF180" s="21">
        <f>IF(IFERROR(TRIM(INDEX($A180:$AL180,MATCH(Lists!$F$2,$A$1:$AL$1,0))&amp;""),"")="","",IFERROR(TRIM(INDEX($A180:$AL180,MATCH(Lists!$F$12,$A$1:$AL$1,0))&amp;""),""))</f>
        <v/>
      </c>
    </row>
    <row r="181">
      <c r="AM181" s="19" t="n"/>
      <c r="AN181" s="23" t="n"/>
      <c r="AO181" s="23" t="n"/>
      <c r="AP181" s="23" t="n"/>
      <c r="AQ181" s="23" t="n"/>
      <c r="AR181" s="19" t="n"/>
      <c r="AS181" s="21">
        <f>IF(IFERROR(TRIM(INDEX($A181:$AL181,MATCH(Lists!$F$2,$A$1:$AL$1,0))&amp;""),"")="","",IF(AND(IFERROR(TRIM(INDEX($A181:$AL181,MATCH(Lists!$F$3,$A$1:$AL$1,0))&amp;""),"")="Other",IFERROR(TRIM(INDEX($A181:$AL181,MATCH(Lists!$F$4,$A$1:$AL$1,0))&amp;""),"")&lt;&gt;""),IFERROR(TRIM(INDEX($A181:$AL181,MATCH(Lists!$F$4,$A$1:$AL$1,0))&amp;""),""),IF(IFERROR(TRIM(INDEX($A181:$AL181,MATCH(Lists!$F$3,$A$1:$AL$1,0))&amp;""),"")="","(no space)",IFERROR(TRIM(INDEX($A181:$AL181,MATCH(Lists!$F$3,$A$1:$AL$1,0))&amp;""),""))))</f>
        <v/>
      </c>
      <c r="AT181" s="22">
        <f>IF(IFERROR(TRIM(INDEX($A181:$AL181,MATCH(Lists!$F$2,$A$1:$AL$1,0))&amp;""),"")="",0,N(IFERROR(IF(TRIM(INDEX($A181:$AL181,MATCH(Lists!$F$5,$A$1:$AL$1,0))&amp;"")="","",IF(ISNUMBER(INDEX($A181:$AL181,MATCH(Lists!$F$5,$A$1:$AL$1,0))),INT(INDEX($A181:$AL181,MATCH(Lists!$F$5,$A$1:$AL$1,0))),DATE(VALUE(LEFT(INDEX($A181:$AL181,MATCH(Lists!$F$5,$A$1:$AL$1,0)),4)),VALUE(MID(INDEX($A181:$AL181,MATCH(Lists!$F$5,$A$1:$AL$1,0)),6,2)),VALUE(MID(INDEX($A181:$AL181,MATCH(Lists!$F$5,$A$1:$AL$1,0)),9,2))))),"")))</f>
        <v/>
      </c>
      <c r="AU181" s="21">
        <f>IF(IFERROR(TRIM(INDEX($A181:$AL181,MATCH(Lists!$F$2,$A$1:$AL$1,0))&amp;""),"")="",-1,IF(ISNUMBER(IFERROR(IF(TRIM(INDEX($A181:$AL181,MATCH(Lists!$F$6,$A$1:$AL$1,0))&amp;"")="","",IF(ISNUMBER(INDEX($A181:$AL181,MATCH(Lists!$F$6,$A$1:$AL$1,0))),ROUND(MOD(INDEX($A181:$AL181,MATCH(Lists!$F$6,$A$1:$AL$1,0)),1)*1440,0),VALUE(LEFT(INDEX($A181:$AL181,MATCH(Lists!$F$6,$A$1:$AL$1,0)),2))*60+VALUE(MID(INDEX($A181:$AL181,MATCH(Lists!$F$6,$A$1:$AL$1,0)),4,2)))),"")),IFERROR(IF(TRIM(INDEX($A181:$AL181,MATCH(Lists!$F$6,$A$1:$AL$1,0))&amp;"")="","",IF(ISNUMBER(INDEX($A181:$AL181,MATCH(Lists!$F$6,$A$1:$AL$1,0))),ROUND(MOD(INDEX($A181:$AL181,MATCH(Lists!$F$6,$A$1:$AL$1,0)),1)*1440,0),VALUE(LEFT(INDEX($A181:$AL181,MATCH(Lists!$F$6,$A$1:$AL$1,0)),2))*60+VALUE(MID(INDEX($A181:$AL181,MATCH(Lists!$F$6,$A$1:$AL$1,0)),4,2)))),""),-1))</f>
        <v/>
      </c>
      <c r="AV181" s="21">
        <f>IF(IFERROR(TRIM(INDEX($A181:$AL181,MATCH(Lists!$F$2,$A$1:$AL$1,0))&amp;""),"")="",-1,IF(ISNUMBER(IFERROR(IF(TRIM(INDEX($A181:$AL181,MATCH(Lists!$F$7,$A$1:$AL$1,0))&amp;"")="","",IF(ISNUMBER(INDEX($A181:$AL181,MATCH(Lists!$F$7,$A$1:$AL$1,0))),ROUND(MOD(INDEX($A181:$AL181,MATCH(Lists!$F$7,$A$1:$AL$1,0)),1)*1440,0),VALUE(LEFT(INDEX($A181:$AL181,MATCH(Lists!$F$7,$A$1:$AL$1,0)),2))*60+VALUE(MID(INDEX($A181:$AL181,MATCH(Lists!$F$7,$A$1:$AL$1,0)),4,2)))),"")),IFERROR(IF(TRIM(INDEX($A181:$AL181,MATCH(Lists!$F$7,$A$1:$AL$1,0))&amp;"")="","",IF(ISNUMBER(INDEX($A181:$AL181,MATCH(Lists!$F$7,$A$1:$AL$1,0))),ROUND(MOD(INDEX($A181:$AL181,MATCH(Lists!$F$7,$A$1:$AL$1,0)),1)*1440,0),VALUE(LEFT(INDEX($A181:$AL181,MATCH(Lists!$F$7,$A$1:$AL$1,0)),2))*60+VALUE(MID(INDEX($A181:$AL181,MATCH(Lists!$F$7,$A$1:$AL$1,0)),4,2)))),""),-1))</f>
        <v/>
      </c>
      <c r="AW181" s="21">
        <f>IF(IFERROR(TRIM(INDEX($A181:$AL181,MATCH(Lists!$F$2,$A$1:$AL$1,0))&amp;""),"")="","",IF(IFERROR(TRIM(INDEX($A181:$AL181,MATCH(Lists!$F$8,$A$1:$AL$1,0))&amp;""),"")&lt;&gt;"",IFERROR(TRIM(INDEX($A181:$AL181,MATCH(Lists!$F$8,$A$1:$AL$1,0))&amp;""),""),IFERROR(TRIM(INDEX($A181:$AL181,MATCH(Lists!$F$9,$A$1:$AL$1,0))&amp;""),"")))</f>
        <v/>
      </c>
      <c r="AX181" s="21">
        <f>IFERROR(IF(TRIM(INDEX($A181:$AL181,MATCH(Lists!$F$10,$A$1:$AL$1,0))&amp;"")="","",VALUE(TRIM(INDEX($A181:$AL181,MATCH(Lists!$F$10,$A$1:$AL$1,0))&amp;""))),"")</f>
        <v/>
      </c>
      <c r="AY181" s="21">
        <f>IF(IFERROR(TRIM(INDEX($A181:$AL181,MATCH(Lists!$F$2,$A$1:$AL$1,0))&amp;""),"")="","",IF(AN181="","New",AN181))</f>
        <v/>
      </c>
      <c r="AZ181" s="21">
        <f>IF(IFERROR(TRIM(INDEX($A181:$AL181,MATCH(Lists!$F$2,$A$1:$AL$1,0))&amp;""),"")="","",IF(OR(IFERROR(TRIM(INDEX($A181:$AL181,MATCH(Lists!$F$13,$A$1:$AL$1,0))&amp;""),"")="Paid",IFERROR(TRIM(INDEX($A181:$AL181,MATCH(Lists!$F$13,$A$1:$AL$1,0))&amp;""),"")="Partially refunded"),"Paid",IF(AP181="Yes","Paid (by hand)",IFERROR(TRIM(INDEX($A181:$AL181,MATCH(Lists!$F$13,$A$1:$AL$1,0))&amp;""),""))))</f>
        <v/>
      </c>
      <c r="BA181" s="21">
        <f>IF(AND(IFERROR(TRIM(INDEX($A181:$AL181,MATCH(Lists!$F$2,$A$1:$AL$1,0))&amp;""),"")&lt;&gt;"",AT181&gt;0,AU181&gt;=0,AV181&gt;AU181,AY181&lt;&gt;"Declined"),1,0)</f>
        <v/>
      </c>
      <c r="BB181" s="21">
        <f>IF(BA181=1,COUNTIFS($AS$2:$AS$501,AS181,$AT$2:$AT$501,AT181,$AU$2:$AU$501,"&lt;"&amp;AV181,$AV$2:$AV$501,"&gt;"&amp;AU181,$BA$2:$BA$501,1)-1,"")</f>
        <v/>
      </c>
      <c r="BC181" s="21">
        <f>IF(N(BB181)&gt;0,"Clashes with "&amp;INDEX($AW$2:$AW$501,SUMPRODUCT(MAX(($AS$2:$AS$501=AS181)*($AT$2:$AT$501=AT181)*($AU$2:$AU$501&lt;AV181)*($AV$2:$AV$501&gt;AU181)*($BA$2:$BA$501=1)*(ROW($AS$2:$AS$501)&lt;&gt;ROW())*ROW($AS$2:$AS$501)))-1)&amp;" ("&amp;INDEX($AY$2:$AY$501,SUMPRODUCT(MAX(($AS$2:$AS$501=AS181)*($AT$2:$AT$501=AT181)*($AU$2:$AU$501&lt;AV181)*($AV$2:$AV$501&gt;AU181)*($BA$2:$BA$501=1)*(ROW($AS$2:$AS$501)&lt;&gt;ROW())*ROW($AS$2:$AS$501)))-1)&amp;")"&amp;IF(BB181&gt;1," and "&amp;(BB181-1)&amp;" more",""),"")</f>
        <v/>
      </c>
      <c r="BD181" s="21">
        <f>IF(AND(BA181=1,AY181="Confirmed"),AT181*10000000+AU181*1000+ROW(),"")</f>
        <v/>
      </c>
      <c r="BE181" s="21">
        <f>IF(IFERROR(TRIM(INDEX($A181:$AL181,MATCH(Lists!$F$2,$A$1:$AL$1,0))&amp;""),"")="","",IFERROR(TRIM(INDEX($A181:$AL181,MATCH(Lists!$F$11,$A$1:$AL$1,0))&amp;""),""))</f>
        <v/>
      </c>
      <c r="BF181" s="21">
        <f>IF(IFERROR(TRIM(INDEX($A181:$AL181,MATCH(Lists!$F$2,$A$1:$AL$1,0))&amp;""),"")="","",IFERROR(TRIM(INDEX($A181:$AL181,MATCH(Lists!$F$12,$A$1:$AL$1,0))&amp;""),""))</f>
        <v/>
      </c>
    </row>
    <row r="182">
      <c r="AM182" s="19" t="n"/>
      <c r="AN182" s="23" t="n"/>
      <c r="AO182" s="23" t="n"/>
      <c r="AP182" s="23" t="n"/>
      <c r="AQ182" s="23" t="n"/>
      <c r="AR182" s="19" t="n"/>
      <c r="AS182" s="21">
        <f>IF(IFERROR(TRIM(INDEX($A182:$AL182,MATCH(Lists!$F$2,$A$1:$AL$1,0))&amp;""),"")="","",IF(AND(IFERROR(TRIM(INDEX($A182:$AL182,MATCH(Lists!$F$3,$A$1:$AL$1,0))&amp;""),"")="Other",IFERROR(TRIM(INDEX($A182:$AL182,MATCH(Lists!$F$4,$A$1:$AL$1,0))&amp;""),"")&lt;&gt;""),IFERROR(TRIM(INDEX($A182:$AL182,MATCH(Lists!$F$4,$A$1:$AL$1,0))&amp;""),""),IF(IFERROR(TRIM(INDEX($A182:$AL182,MATCH(Lists!$F$3,$A$1:$AL$1,0))&amp;""),"")="","(no space)",IFERROR(TRIM(INDEX($A182:$AL182,MATCH(Lists!$F$3,$A$1:$AL$1,0))&amp;""),""))))</f>
        <v/>
      </c>
      <c r="AT182" s="22">
        <f>IF(IFERROR(TRIM(INDEX($A182:$AL182,MATCH(Lists!$F$2,$A$1:$AL$1,0))&amp;""),"")="",0,N(IFERROR(IF(TRIM(INDEX($A182:$AL182,MATCH(Lists!$F$5,$A$1:$AL$1,0))&amp;"")="","",IF(ISNUMBER(INDEX($A182:$AL182,MATCH(Lists!$F$5,$A$1:$AL$1,0))),INT(INDEX($A182:$AL182,MATCH(Lists!$F$5,$A$1:$AL$1,0))),DATE(VALUE(LEFT(INDEX($A182:$AL182,MATCH(Lists!$F$5,$A$1:$AL$1,0)),4)),VALUE(MID(INDEX($A182:$AL182,MATCH(Lists!$F$5,$A$1:$AL$1,0)),6,2)),VALUE(MID(INDEX($A182:$AL182,MATCH(Lists!$F$5,$A$1:$AL$1,0)),9,2))))),"")))</f>
        <v/>
      </c>
      <c r="AU182" s="21">
        <f>IF(IFERROR(TRIM(INDEX($A182:$AL182,MATCH(Lists!$F$2,$A$1:$AL$1,0))&amp;""),"")="",-1,IF(ISNUMBER(IFERROR(IF(TRIM(INDEX($A182:$AL182,MATCH(Lists!$F$6,$A$1:$AL$1,0))&amp;"")="","",IF(ISNUMBER(INDEX($A182:$AL182,MATCH(Lists!$F$6,$A$1:$AL$1,0))),ROUND(MOD(INDEX($A182:$AL182,MATCH(Lists!$F$6,$A$1:$AL$1,0)),1)*1440,0),VALUE(LEFT(INDEX($A182:$AL182,MATCH(Lists!$F$6,$A$1:$AL$1,0)),2))*60+VALUE(MID(INDEX($A182:$AL182,MATCH(Lists!$F$6,$A$1:$AL$1,0)),4,2)))),"")),IFERROR(IF(TRIM(INDEX($A182:$AL182,MATCH(Lists!$F$6,$A$1:$AL$1,0))&amp;"")="","",IF(ISNUMBER(INDEX($A182:$AL182,MATCH(Lists!$F$6,$A$1:$AL$1,0))),ROUND(MOD(INDEX($A182:$AL182,MATCH(Lists!$F$6,$A$1:$AL$1,0)),1)*1440,0),VALUE(LEFT(INDEX($A182:$AL182,MATCH(Lists!$F$6,$A$1:$AL$1,0)),2))*60+VALUE(MID(INDEX($A182:$AL182,MATCH(Lists!$F$6,$A$1:$AL$1,0)),4,2)))),""),-1))</f>
        <v/>
      </c>
      <c r="AV182" s="21">
        <f>IF(IFERROR(TRIM(INDEX($A182:$AL182,MATCH(Lists!$F$2,$A$1:$AL$1,0))&amp;""),"")="",-1,IF(ISNUMBER(IFERROR(IF(TRIM(INDEX($A182:$AL182,MATCH(Lists!$F$7,$A$1:$AL$1,0))&amp;"")="","",IF(ISNUMBER(INDEX($A182:$AL182,MATCH(Lists!$F$7,$A$1:$AL$1,0))),ROUND(MOD(INDEX($A182:$AL182,MATCH(Lists!$F$7,$A$1:$AL$1,0)),1)*1440,0),VALUE(LEFT(INDEX($A182:$AL182,MATCH(Lists!$F$7,$A$1:$AL$1,0)),2))*60+VALUE(MID(INDEX($A182:$AL182,MATCH(Lists!$F$7,$A$1:$AL$1,0)),4,2)))),"")),IFERROR(IF(TRIM(INDEX($A182:$AL182,MATCH(Lists!$F$7,$A$1:$AL$1,0))&amp;"")="","",IF(ISNUMBER(INDEX($A182:$AL182,MATCH(Lists!$F$7,$A$1:$AL$1,0))),ROUND(MOD(INDEX($A182:$AL182,MATCH(Lists!$F$7,$A$1:$AL$1,0)),1)*1440,0),VALUE(LEFT(INDEX($A182:$AL182,MATCH(Lists!$F$7,$A$1:$AL$1,0)),2))*60+VALUE(MID(INDEX($A182:$AL182,MATCH(Lists!$F$7,$A$1:$AL$1,0)),4,2)))),""),-1))</f>
        <v/>
      </c>
      <c r="AW182" s="21">
        <f>IF(IFERROR(TRIM(INDEX($A182:$AL182,MATCH(Lists!$F$2,$A$1:$AL$1,0))&amp;""),"")="","",IF(IFERROR(TRIM(INDEX($A182:$AL182,MATCH(Lists!$F$8,$A$1:$AL$1,0))&amp;""),"")&lt;&gt;"",IFERROR(TRIM(INDEX($A182:$AL182,MATCH(Lists!$F$8,$A$1:$AL$1,0))&amp;""),""),IFERROR(TRIM(INDEX($A182:$AL182,MATCH(Lists!$F$9,$A$1:$AL$1,0))&amp;""),"")))</f>
        <v/>
      </c>
      <c r="AX182" s="21">
        <f>IFERROR(IF(TRIM(INDEX($A182:$AL182,MATCH(Lists!$F$10,$A$1:$AL$1,0))&amp;"")="","",VALUE(TRIM(INDEX($A182:$AL182,MATCH(Lists!$F$10,$A$1:$AL$1,0))&amp;""))),"")</f>
        <v/>
      </c>
      <c r="AY182" s="21">
        <f>IF(IFERROR(TRIM(INDEX($A182:$AL182,MATCH(Lists!$F$2,$A$1:$AL$1,0))&amp;""),"")="","",IF(AN182="","New",AN182))</f>
        <v/>
      </c>
      <c r="AZ182" s="21">
        <f>IF(IFERROR(TRIM(INDEX($A182:$AL182,MATCH(Lists!$F$2,$A$1:$AL$1,0))&amp;""),"")="","",IF(OR(IFERROR(TRIM(INDEX($A182:$AL182,MATCH(Lists!$F$13,$A$1:$AL$1,0))&amp;""),"")="Paid",IFERROR(TRIM(INDEX($A182:$AL182,MATCH(Lists!$F$13,$A$1:$AL$1,0))&amp;""),"")="Partially refunded"),"Paid",IF(AP182="Yes","Paid (by hand)",IFERROR(TRIM(INDEX($A182:$AL182,MATCH(Lists!$F$13,$A$1:$AL$1,0))&amp;""),""))))</f>
        <v/>
      </c>
      <c r="BA182" s="21">
        <f>IF(AND(IFERROR(TRIM(INDEX($A182:$AL182,MATCH(Lists!$F$2,$A$1:$AL$1,0))&amp;""),"")&lt;&gt;"",AT182&gt;0,AU182&gt;=0,AV182&gt;AU182,AY182&lt;&gt;"Declined"),1,0)</f>
        <v/>
      </c>
      <c r="BB182" s="21">
        <f>IF(BA182=1,COUNTIFS($AS$2:$AS$501,AS182,$AT$2:$AT$501,AT182,$AU$2:$AU$501,"&lt;"&amp;AV182,$AV$2:$AV$501,"&gt;"&amp;AU182,$BA$2:$BA$501,1)-1,"")</f>
        <v/>
      </c>
      <c r="BC182" s="21">
        <f>IF(N(BB182)&gt;0,"Clashes with "&amp;INDEX($AW$2:$AW$501,SUMPRODUCT(MAX(($AS$2:$AS$501=AS182)*($AT$2:$AT$501=AT182)*($AU$2:$AU$501&lt;AV182)*($AV$2:$AV$501&gt;AU182)*($BA$2:$BA$501=1)*(ROW($AS$2:$AS$501)&lt;&gt;ROW())*ROW($AS$2:$AS$501)))-1)&amp;" ("&amp;INDEX($AY$2:$AY$501,SUMPRODUCT(MAX(($AS$2:$AS$501=AS182)*($AT$2:$AT$501=AT182)*($AU$2:$AU$501&lt;AV182)*($AV$2:$AV$501&gt;AU182)*($BA$2:$BA$501=1)*(ROW($AS$2:$AS$501)&lt;&gt;ROW())*ROW($AS$2:$AS$501)))-1)&amp;")"&amp;IF(BB182&gt;1," and "&amp;(BB182-1)&amp;" more",""),"")</f>
        <v/>
      </c>
      <c r="BD182" s="21">
        <f>IF(AND(BA182=1,AY182="Confirmed"),AT182*10000000+AU182*1000+ROW(),"")</f>
        <v/>
      </c>
      <c r="BE182" s="21">
        <f>IF(IFERROR(TRIM(INDEX($A182:$AL182,MATCH(Lists!$F$2,$A$1:$AL$1,0))&amp;""),"")="","",IFERROR(TRIM(INDEX($A182:$AL182,MATCH(Lists!$F$11,$A$1:$AL$1,0))&amp;""),""))</f>
        <v/>
      </c>
      <c r="BF182" s="21">
        <f>IF(IFERROR(TRIM(INDEX($A182:$AL182,MATCH(Lists!$F$2,$A$1:$AL$1,0))&amp;""),"")="","",IFERROR(TRIM(INDEX($A182:$AL182,MATCH(Lists!$F$12,$A$1:$AL$1,0))&amp;""),""))</f>
        <v/>
      </c>
    </row>
    <row r="183">
      <c r="AM183" s="19" t="n"/>
      <c r="AN183" s="23" t="n"/>
      <c r="AO183" s="23" t="n"/>
      <c r="AP183" s="23" t="n"/>
      <c r="AQ183" s="23" t="n"/>
      <c r="AR183" s="19" t="n"/>
      <c r="AS183" s="21">
        <f>IF(IFERROR(TRIM(INDEX($A183:$AL183,MATCH(Lists!$F$2,$A$1:$AL$1,0))&amp;""),"")="","",IF(AND(IFERROR(TRIM(INDEX($A183:$AL183,MATCH(Lists!$F$3,$A$1:$AL$1,0))&amp;""),"")="Other",IFERROR(TRIM(INDEX($A183:$AL183,MATCH(Lists!$F$4,$A$1:$AL$1,0))&amp;""),"")&lt;&gt;""),IFERROR(TRIM(INDEX($A183:$AL183,MATCH(Lists!$F$4,$A$1:$AL$1,0))&amp;""),""),IF(IFERROR(TRIM(INDEX($A183:$AL183,MATCH(Lists!$F$3,$A$1:$AL$1,0))&amp;""),"")="","(no space)",IFERROR(TRIM(INDEX($A183:$AL183,MATCH(Lists!$F$3,$A$1:$AL$1,0))&amp;""),""))))</f>
        <v/>
      </c>
      <c r="AT183" s="22">
        <f>IF(IFERROR(TRIM(INDEX($A183:$AL183,MATCH(Lists!$F$2,$A$1:$AL$1,0))&amp;""),"")="",0,N(IFERROR(IF(TRIM(INDEX($A183:$AL183,MATCH(Lists!$F$5,$A$1:$AL$1,0))&amp;"")="","",IF(ISNUMBER(INDEX($A183:$AL183,MATCH(Lists!$F$5,$A$1:$AL$1,0))),INT(INDEX($A183:$AL183,MATCH(Lists!$F$5,$A$1:$AL$1,0))),DATE(VALUE(LEFT(INDEX($A183:$AL183,MATCH(Lists!$F$5,$A$1:$AL$1,0)),4)),VALUE(MID(INDEX($A183:$AL183,MATCH(Lists!$F$5,$A$1:$AL$1,0)),6,2)),VALUE(MID(INDEX($A183:$AL183,MATCH(Lists!$F$5,$A$1:$AL$1,0)),9,2))))),"")))</f>
        <v/>
      </c>
      <c r="AU183" s="21">
        <f>IF(IFERROR(TRIM(INDEX($A183:$AL183,MATCH(Lists!$F$2,$A$1:$AL$1,0))&amp;""),"")="",-1,IF(ISNUMBER(IFERROR(IF(TRIM(INDEX($A183:$AL183,MATCH(Lists!$F$6,$A$1:$AL$1,0))&amp;"")="","",IF(ISNUMBER(INDEX($A183:$AL183,MATCH(Lists!$F$6,$A$1:$AL$1,0))),ROUND(MOD(INDEX($A183:$AL183,MATCH(Lists!$F$6,$A$1:$AL$1,0)),1)*1440,0),VALUE(LEFT(INDEX($A183:$AL183,MATCH(Lists!$F$6,$A$1:$AL$1,0)),2))*60+VALUE(MID(INDEX($A183:$AL183,MATCH(Lists!$F$6,$A$1:$AL$1,0)),4,2)))),"")),IFERROR(IF(TRIM(INDEX($A183:$AL183,MATCH(Lists!$F$6,$A$1:$AL$1,0))&amp;"")="","",IF(ISNUMBER(INDEX($A183:$AL183,MATCH(Lists!$F$6,$A$1:$AL$1,0))),ROUND(MOD(INDEX($A183:$AL183,MATCH(Lists!$F$6,$A$1:$AL$1,0)),1)*1440,0),VALUE(LEFT(INDEX($A183:$AL183,MATCH(Lists!$F$6,$A$1:$AL$1,0)),2))*60+VALUE(MID(INDEX($A183:$AL183,MATCH(Lists!$F$6,$A$1:$AL$1,0)),4,2)))),""),-1))</f>
        <v/>
      </c>
      <c r="AV183" s="21">
        <f>IF(IFERROR(TRIM(INDEX($A183:$AL183,MATCH(Lists!$F$2,$A$1:$AL$1,0))&amp;""),"")="",-1,IF(ISNUMBER(IFERROR(IF(TRIM(INDEX($A183:$AL183,MATCH(Lists!$F$7,$A$1:$AL$1,0))&amp;"")="","",IF(ISNUMBER(INDEX($A183:$AL183,MATCH(Lists!$F$7,$A$1:$AL$1,0))),ROUND(MOD(INDEX($A183:$AL183,MATCH(Lists!$F$7,$A$1:$AL$1,0)),1)*1440,0),VALUE(LEFT(INDEX($A183:$AL183,MATCH(Lists!$F$7,$A$1:$AL$1,0)),2))*60+VALUE(MID(INDEX($A183:$AL183,MATCH(Lists!$F$7,$A$1:$AL$1,0)),4,2)))),"")),IFERROR(IF(TRIM(INDEX($A183:$AL183,MATCH(Lists!$F$7,$A$1:$AL$1,0))&amp;"")="","",IF(ISNUMBER(INDEX($A183:$AL183,MATCH(Lists!$F$7,$A$1:$AL$1,0))),ROUND(MOD(INDEX($A183:$AL183,MATCH(Lists!$F$7,$A$1:$AL$1,0)),1)*1440,0),VALUE(LEFT(INDEX($A183:$AL183,MATCH(Lists!$F$7,$A$1:$AL$1,0)),2))*60+VALUE(MID(INDEX($A183:$AL183,MATCH(Lists!$F$7,$A$1:$AL$1,0)),4,2)))),""),-1))</f>
        <v/>
      </c>
      <c r="AW183" s="21">
        <f>IF(IFERROR(TRIM(INDEX($A183:$AL183,MATCH(Lists!$F$2,$A$1:$AL$1,0))&amp;""),"")="","",IF(IFERROR(TRIM(INDEX($A183:$AL183,MATCH(Lists!$F$8,$A$1:$AL$1,0))&amp;""),"")&lt;&gt;"",IFERROR(TRIM(INDEX($A183:$AL183,MATCH(Lists!$F$8,$A$1:$AL$1,0))&amp;""),""),IFERROR(TRIM(INDEX($A183:$AL183,MATCH(Lists!$F$9,$A$1:$AL$1,0))&amp;""),"")))</f>
        <v/>
      </c>
      <c r="AX183" s="21">
        <f>IFERROR(IF(TRIM(INDEX($A183:$AL183,MATCH(Lists!$F$10,$A$1:$AL$1,0))&amp;"")="","",VALUE(TRIM(INDEX($A183:$AL183,MATCH(Lists!$F$10,$A$1:$AL$1,0))&amp;""))),"")</f>
        <v/>
      </c>
      <c r="AY183" s="21">
        <f>IF(IFERROR(TRIM(INDEX($A183:$AL183,MATCH(Lists!$F$2,$A$1:$AL$1,0))&amp;""),"")="","",IF(AN183="","New",AN183))</f>
        <v/>
      </c>
      <c r="AZ183" s="21">
        <f>IF(IFERROR(TRIM(INDEX($A183:$AL183,MATCH(Lists!$F$2,$A$1:$AL$1,0))&amp;""),"")="","",IF(OR(IFERROR(TRIM(INDEX($A183:$AL183,MATCH(Lists!$F$13,$A$1:$AL$1,0))&amp;""),"")="Paid",IFERROR(TRIM(INDEX($A183:$AL183,MATCH(Lists!$F$13,$A$1:$AL$1,0))&amp;""),"")="Partially refunded"),"Paid",IF(AP183="Yes","Paid (by hand)",IFERROR(TRIM(INDEX($A183:$AL183,MATCH(Lists!$F$13,$A$1:$AL$1,0))&amp;""),""))))</f>
        <v/>
      </c>
      <c r="BA183" s="21">
        <f>IF(AND(IFERROR(TRIM(INDEX($A183:$AL183,MATCH(Lists!$F$2,$A$1:$AL$1,0))&amp;""),"")&lt;&gt;"",AT183&gt;0,AU183&gt;=0,AV183&gt;AU183,AY183&lt;&gt;"Declined"),1,0)</f>
        <v/>
      </c>
      <c r="BB183" s="21">
        <f>IF(BA183=1,COUNTIFS($AS$2:$AS$501,AS183,$AT$2:$AT$501,AT183,$AU$2:$AU$501,"&lt;"&amp;AV183,$AV$2:$AV$501,"&gt;"&amp;AU183,$BA$2:$BA$501,1)-1,"")</f>
        <v/>
      </c>
      <c r="BC183" s="21">
        <f>IF(N(BB183)&gt;0,"Clashes with "&amp;INDEX($AW$2:$AW$501,SUMPRODUCT(MAX(($AS$2:$AS$501=AS183)*($AT$2:$AT$501=AT183)*($AU$2:$AU$501&lt;AV183)*($AV$2:$AV$501&gt;AU183)*($BA$2:$BA$501=1)*(ROW($AS$2:$AS$501)&lt;&gt;ROW())*ROW($AS$2:$AS$501)))-1)&amp;" ("&amp;INDEX($AY$2:$AY$501,SUMPRODUCT(MAX(($AS$2:$AS$501=AS183)*($AT$2:$AT$501=AT183)*($AU$2:$AU$501&lt;AV183)*($AV$2:$AV$501&gt;AU183)*($BA$2:$BA$501=1)*(ROW($AS$2:$AS$501)&lt;&gt;ROW())*ROW($AS$2:$AS$501)))-1)&amp;")"&amp;IF(BB183&gt;1," and "&amp;(BB183-1)&amp;" more",""),"")</f>
        <v/>
      </c>
      <c r="BD183" s="21">
        <f>IF(AND(BA183=1,AY183="Confirmed"),AT183*10000000+AU183*1000+ROW(),"")</f>
        <v/>
      </c>
      <c r="BE183" s="21">
        <f>IF(IFERROR(TRIM(INDEX($A183:$AL183,MATCH(Lists!$F$2,$A$1:$AL$1,0))&amp;""),"")="","",IFERROR(TRIM(INDEX($A183:$AL183,MATCH(Lists!$F$11,$A$1:$AL$1,0))&amp;""),""))</f>
        <v/>
      </c>
      <c r="BF183" s="21">
        <f>IF(IFERROR(TRIM(INDEX($A183:$AL183,MATCH(Lists!$F$2,$A$1:$AL$1,0))&amp;""),"")="","",IFERROR(TRIM(INDEX($A183:$AL183,MATCH(Lists!$F$12,$A$1:$AL$1,0))&amp;""),""))</f>
        <v/>
      </c>
    </row>
    <row r="184">
      <c r="AM184" s="19" t="n"/>
      <c r="AN184" s="23" t="n"/>
      <c r="AO184" s="23" t="n"/>
      <c r="AP184" s="23" t="n"/>
      <c r="AQ184" s="23" t="n"/>
      <c r="AR184" s="19" t="n"/>
      <c r="AS184" s="21">
        <f>IF(IFERROR(TRIM(INDEX($A184:$AL184,MATCH(Lists!$F$2,$A$1:$AL$1,0))&amp;""),"")="","",IF(AND(IFERROR(TRIM(INDEX($A184:$AL184,MATCH(Lists!$F$3,$A$1:$AL$1,0))&amp;""),"")="Other",IFERROR(TRIM(INDEX($A184:$AL184,MATCH(Lists!$F$4,$A$1:$AL$1,0))&amp;""),"")&lt;&gt;""),IFERROR(TRIM(INDEX($A184:$AL184,MATCH(Lists!$F$4,$A$1:$AL$1,0))&amp;""),""),IF(IFERROR(TRIM(INDEX($A184:$AL184,MATCH(Lists!$F$3,$A$1:$AL$1,0))&amp;""),"")="","(no space)",IFERROR(TRIM(INDEX($A184:$AL184,MATCH(Lists!$F$3,$A$1:$AL$1,0))&amp;""),""))))</f>
        <v/>
      </c>
      <c r="AT184" s="22">
        <f>IF(IFERROR(TRIM(INDEX($A184:$AL184,MATCH(Lists!$F$2,$A$1:$AL$1,0))&amp;""),"")="",0,N(IFERROR(IF(TRIM(INDEX($A184:$AL184,MATCH(Lists!$F$5,$A$1:$AL$1,0))&amp;"")="","",IF(ISNUMBER(INDEX($A184:$AL184,MATCH(Lists!$F$5,$A$1:$AL$1,0))),INT(INDEX($A184:$AL184,MATCH(Lists!$F$5,$A$1:$AL$1,0))),DATE(VALUE(LEFT(INDEX($A184:$AL184,MATCH(Lists!$F$5,$A$1:$AL$1,0)),4)),VALUE(MID(INDEX($A184:$AL184,MATCH(Lists!$F$5,$A$1:$AL$1,0)),6,2)),VALUE(MID(INDEX($A184:$AL184,MATCH(Lists!$F$5,$A$1:$AL$1,0)),9,2))))),"")))</f>
        <v/>
      </c>
      <c r="AU184" s="21">
        <f>IF(IFERROR(TRIM(INDEX($A184:$AL184,MATCH(Lists!$F$2,$A$1:$AL$1,0))&amp;""),"")="",-1,IF(ISNUMBER(IFERROR(IF(TRIM(INDEX($A184:$AL184,MATCH(Lists!$F$6,$A$1:$AL$1,0))&amp;"")="","",IF(ISNUMBER(INDEX($A184:$AL184,MATCH(Lists!$F$6,$A$1:$AL$1,0))),ROUND(MOD(INDEX($A184:$AL184,MATCH(Lists!$F$6,$A$1:$AL$1,0)),1)*1440,0),VALUE(LEFT(INDEX($A184:$AL184,MATCH(Lists!$F$6,$A$1:$AL$1,0)),2))*60+VALUE(MID(INDEX($A184:$AL184,MATCH(Lists!$F$6,$A$1:$AL$1,0)),4,2)))),"")),IFERROR(IF(TRIM(INDEX($A184:$AL184,MATCH(Lists!$F$6,$A$1:$AL$1,0))&amp;"")="","",IF(ISNUMBER(INDEX($A184:$AL184,MATCH(Lists!$F$6,$A$1:$AL$1,0))),ROUND(MOD(INDEX($A184:$AL184,MATCH(Lists!$F$6,$A$1:$AL$1,0)),1)*1440,0),VALUE(LEFT(INDEX($A184:$AL184,MATCH(Lists!$F$6,$A$1:$AL$1,0)),2))*60+VALUE(MID(INDEX($A184:$AL184,MATCH(Lists!$F$6,$A$1:$AL$1,0)),4,2)))),""),-1))</f>
        <v/>
      </c>
      <c r="AV184" s="21">
        <f>IF(IFERROR(TRIM(INDEX($A184:$AL184,MATCH(Lists!$F$2,$A$1:$AL$1,0))&amp;""),"")="",-1,IF(ISNUMBER(IFERROR(IF(TRIM(INDEX($A184:$AL184,MATCH(Lists!$F$7,$A$1:$AL$1,0))&amp;"")="","",IF(ISNUMBER(INDEX($A184:$AL184,MATCH(Lists!$F$7,$A$1:$AL$1,0))),ROUND(MOD(INDEX($A184:$AL184,MATCH(Lists!$F$7,$A$1:$AL$1,0)),1)*1440,0),VALUE(LEFT(INDEX($A184:$AL184,MATCH(Lists!$F$7,$A$1:$AL$1,0)),2))*60+VALUE(MID(INDEX($A184:$AL184,MATCH(Lists!$F$7,$A$1:$AL$1,0)),4,2)))),"")),IFERROR(IF(TRIM(INDEX($A184:$AL184,MATCH(Lists!$F$7,$A$1:$AL$1,0))&amp;"")="","",IF(ISNUMBER(INDEX($A184:$AL184,MATCH(Lists!$F$7,$A$1:$AL$1,0))),ROUND(MOD(INDEX($A184:$AL184,MATCH(Lists!$F$7,$A$1:$AL$1,0)),1)*1440,0),VALUE(LEFT(INDEX($A184:$AL184,MATCH(Lists!$F$7,$A$1:$AL$1,0)),2))*60+VALUE(MID(INDEX($A184:$AL184,MATCH(Lists!$F$7,$A$1:$AL$1,0)),4,2)))),""),-1))</f>
        <v/>
      </c>
      <c r="AW184" s="21">
        <f>IF(IFERROR(TRIM(INDEX($A184:$AL184,MATCH(Lists!$F$2,$A$1:$AL$1,0))&amp;""),"")="","",IF(IFERROR(TRIM(INDEX($A184:$AL184,MATCH(Lists!$F$8,$A$1:$AL$1,0))&amp;""),"")&lt;&gt;"",IFERROR(TRIM(INDEX($A184:$AL184,MATCH(Lists!$F$8,$A$1:$AL$1,0))&amp;""),""),IFERROR(TRIM(INDEX($A184:$AL184,MATCH(Lists!$F$9,$A$1:$AL$1,0))&amp;""),"")))</f>
        <v/>
      </c>
      <c r="AX184" s="21">
        <f>IFERROR(IF(TRIM(INDEX($A184:$AL184,MATCH(Lists!$F$10,$A$1:$AL$1,0))&amp;"")="","",VALUE(TRIM(INDEX($A184:$AL184,MATCH(Lists!$F$10,$A$1:$AL$1,0))&amp;""))),"")</f>
        <v/>
      </c>
      <c r="AY184" s="21">
        <f>IF(IFERROR(TRIM(INDEX($A184:$AL184,MATCH(Lists!$F$2,$A$1:$AL$1,0))&amp;""),"")="","",IF(AN184="","New",AN184))</f>
        <v/>
      </c>
      <c r="AZ184" s="21">
        <f>IF(IFERROR(TRIM(INDEX($A184:$AL184,MATCH(Lists!$F$2,$A$1:$AL$1,0))&amp;""),"")="","",IF(OR(IFERROR(TRIM(INDEX($A184:$AL184,MATCH(Lists!$F$13,$A$1:$AL$1,0))&amp;""),"")="Paid",IFERROR(TRIM(INDEX($A184:$AL184,MATCH(Lists!$F$13,$A$1:$AL$1,0))&amp;""),"")="Partially refunded"),"Paid",IF(AP184="Yes","Paid (by hand)",IFERROR(TRIM(INDEX($A184:$AL184,MATCH(Lists!$F$13,$A$1:$AL$1,0))&amp;""),""))))</f>
        <v/>
      </c>
      <c r="BA184" s="21">
        <f>IF(AND(IFERROR(TRIM(INDEX($A184:$AL184,MATCH(Lists!$F$2,$A$1:$AL$1,0))&amp;""),"")&lt;&gt;"",AT184&gt;0,AU184&gt;=0,AV184&gt;AU184,AY184&lt;&gt;"Declined"),1,0)</f>
        <v/>
      </c>
      <c r="BB184" s="21">
        <f>IF(BA184=1,COUNTIFS($AS$2:$AS$501,AS184,$AT$2:$AT$501,AT184,$AU$2:$AU$501,"&lt;"&amp;AV184,$AV$2:$AV$501,"&gt;"&amp;AU184,$BA$2:$BA$501,1)-1,"")</f>
        <v/>
      </c>
      <c r="BC184" s="21">
        <f>IF(N(BB184)&gt;0,"Clashes with "&amp;INDEX($AW$2:$AW$501,SUMPRODUCT(MAX(($AS$2:$AS$501=AS184)*($AT$2:$AT$501=AT184)*($AU$2:$AU$501&lt;AV184)*($AV$2:$AV$501&gt;AU184)*($BA$2:$BA$501=1)*(ROW($AS$2:$AS$501)&lt;&gt;ROW())*ROW($AS$2:$AS$501)))-1)&amp;" ("&amp;INDEX($AY$2:$AY$501,SUMPRODUCT(MAX(($AS$2:$AS$501=AS184)*($AT$2:$AT$501=AT184)*($AU$2:$AU$501&lt;AV184)*($AV$2:$AV$501&gt;AU184)*($BA$2:$BA$501=1)*(ROW($AS$2:$AS$501)&lt;&gt;ROW())*ROW($AS$2:$AS$501)))-1)&amp;")"&amp;IF(BB184&gt;1," and "&amp;(BB184-1)&amp;" more",""),"")</f>
        <v/>
      </c>
      <c r="BD184" s="21">
        <f>IF(AND(BA184=1,AY184="Confirmed"),AT184*10000000+AU184*1000+ROW(),"")</f>
        <v/>
      </c>
      <c r="BE184" s="21">
        <f>IF(IFERROR(TRIM(INDEX($A184:$AL184,MATCH(Lists!$F$2,$A$1:$AL$1,0))&amp;""),"")="","",IFERROR(TRIM(INDEX($A184:$AL184,MATCH(Lists!$F$11,$A$1:$AL$1,0))&amp;""),""))</f>
        <v/>
      </c>
      <c r="BF184" s="21">
        <f>IF(IFERROR(TRIM(INDEX($A184:$AL184,MATCH(Lists!$F$2,$A$1:$AL$1,0))&amp;""),"")="","",IFERROR(TRIM(INDEX($A184:$AL184,MATCH(Lists!$F$12,$A$1:$AL$1,0))&amp;""),""))</f>
        <v/>
      </c>
    </row>
    <row r="185">
      <c r="AM185" s="19" t="n"/>
      <c r="AN185" s="23" t="n"/>
      <c r="AO185" s="23" t="n"/>
      <c r="AP185" s="23" t="n"/>
      <c r="AQ185" s="23" t="n"/>
      <c r="AR185" s="19" t="n"/>
      <c r="AS185" s="21">
        <f>IF(IFERROR(TRIM(INDEX($A185:$AL185,MATCH(Lists!$F$2,$A$1:$AL$1,0))&amp;""),"")="","",IF(AND(IFERROR(TRIM(INDEX($A185:$AL185,MATCH(Lists!$F$3,$A$1:$AL$1,0))&amp;""),"")="Other",IFERROR(TRIM(INDEX($A185:$AL185,MATCH(Lists!$F$4,$A$1:$AL$1,0))&amp;""),"")&lt;&gt;""),IFERROR(TRIM(INDEX($A185:$AL185,MATCH(Lists!$F$4,$A$1:$AL$1,0))&amp;""),""),IF(IFERROR(TRIM(INDEX($A185:$AL185,MATCH(Lists!$F$3,$A$1:$AL$1,0))&amp;""),"")="","(no space)",IFERROR(TRIM(INDEX($A185:$AL185,MATCH(Lists!$F$3,$A$1:$AL$1,0))&amp;""),""))))</f>
        <v/>
      </c>
      <c r="AT185" s="22">
        <f>IF(IFERROR(TRIM(INDEX($A185:$AL185,MATCH(Lists!$F$2,$A$1:$AL$1,0))&amp;""),"")="",0,N(IFERROR(IF(TRIM(INDEX($A185:$AL185,MATCH(Lists!$F$5,$A$1:$AL$1,0))&amp;"")="","",IF(ISNUMBER(INDEX($A185:$AL185,MATCH(Lists!$F$5,$A$1:$AL$1,0))),INT(INDEX($A185:$AL185,MATCH(Lists!$F$5,$A$1:$AL$1,0))),DATE(VALUE(LEFT(INDEX($A185:$AL185,MATCH(Lists!$F$5,$A$1:$AL$1,0)),4)),VALUE(MID(INDEX($A185:$AL185,MATCH(Lists!$F$5,$A$1:$AL$1,0)),6,2)),VALUE(MID(INDEX($A185:$AL185,MATCH(Lists!$F$5,$A$1:$AL$1,0)),9,2))))),"")))</f>
        <v/>
      </c>
      <c r="AU185" s="21">
        <f>IF(IFERROR(TRIM(INDEX($A185:$AL185,MATCH(Lists!$F$2,$A$1:$AL$1,0))&amp;""),"")="",-1,IF(ISNUMBER(IFERROR(IF(TRIM(INDEX($A185:$AL185,MATCH(Lists!$F$6,$A$1:$AL$1,0))&amp;"")="","",IF(ISNUMBER(INDEX($A185:$AL185,MATCH(Lists!$F$6,$A$1:$AL$1,0))),ROUND(MOD(INDEX($A185:$AL185,MATCH(Lists!$F$6,$A$1:$AL$1,0)),1)*1440,0),VALUE(LEFT(INDEX($A185:$AL185,MATCH(Lists!$F$6,$A$1:$AL$1,0)),2))*60+VALUE(MID(INDEX($A185:$AL185,MATCH(Lists!$F$6,$A$1:$AL$1,0)),4,2)))),"")),IFERROR(IF(TRIM(INDEX($A185:$AL185,MATCH(Lists!$F$6,$A$1:$AL$1,0))&amp;"")="","",IF(ISNUMBER(INDEX($A185:$AL185,MATCH(Lists!$F$6,$A$1:$AL$1,0))),ROUND(MOD(INDEX($A185:$AL185,MATCH(Lists!$F$6,$A$1:$AL$1,0)),1)*1440,0),VALUE(LEFT(INDEX($A185:$AL185,MATCH(Lists!$F$6,$A$1:$AL$1,0)),2))*60+VALUE(MID(INDEX($A185:$AL185,MATCH(Lists!$F$6,$A$1:$AL$1,0)),4,2)))),""),-1))</f>
        <v/>
      </c>
      <c r="AV185" s="21">
        <f>IF(IFERROR(TRIM(INDEX($A185:$AL185,MATCH(Lists!$F$2,$A$1:$AL$1,0))&amp;""),"")="",-1,IF(ISNUMBER(IFERROR(IF(TRIM(INDEX($A185:$AL185,MATCH(Lists!$F$7,$A$1:$AL$1,0))&amp;"")="","",IF(ISNUMBER(INDEX($A185:$AL185,MATCH(Lists!$F$7,$A$1:$AL$1,0))),ROUND(MOD(INDEX($A185:$AL185,MATCH(Lists!$F$7,$A$1:$AL$1,0)),1)*1440,0),VALUE(LEFT(INDEX($A185:$AL185,MATCH(Lists!$F$7,$A$1:$AL$1,0)),2))*60+VALUE(MID(INDEX($A185:$AL185,MATCH(Lists!$F$7,$A$1:$AL$1,0)),4,2)))),"")),IFERROR(IF(TRIM(INDEX($A185:$AL185,MATCH(Lists!$F$7,$A$1:$AL$1,0))&amp;"")="","",IF(ISNUMBER(INDEX($A185:$AL185,MATCH(Lists!$F$7,$A$1:$AL$1,0))),ROUND(MOD(INDEX($A185:$AL185,MATCH(Lists!$F$7,$A$1:$AL$1,0)),1)*1440,0),VALUE(LEFT(INDEX($A185:$AL185,MATCH(Lists!$F$7,$A$1:$AL$1,0)),2))*60+VALUE(MID(INDEX($A185:$AL185,MATCH(Lists!$F$7,$A$1:$AL$1,0)),4,2)))),""),-1))</f>
        <v/>
      </c>
      <c r="AW185" s="21">
        <f>IF(IFERROR(TRIM(INDEX($A185:$AL185,MATCH(Lists!$F$2,$A$1:$AL$1,0))&amp;""),"")="","",IF(IFERROR(TRIM(INDEX($A185:$AL185,MATCH(Lists!$F$8,$A$1:$AL$1,0))&amp;""),"")&lt;&gt;"",IFERROR(TRIM(INDEX($A185:$AL185,MATCH(Lists!$F$8,$A$1:$AL$1,0))&amp;""),""),IFERROR(TRIM(INDEX($A185:$AL185,MATCH(Lists!$F$9,$A$1:$AL$1,0))&amp;""),"")))</f>
        <v/>
      </c>
      <c r="AX185" s="21">
        <f>IFERROR(IF(TRIM(INDEX($A185:$AL185,MATCH(Lists!$F$10,$A$1:$AL$1,0))&amp;"")="","",VALUE(TRIM(INDEX($A185:$AL185,MATCH(Lists!$F$10,$A$1:$AL$1,0))&amp;""))),"")</f>
        <v/>
      </c>
      <c r="AY185" s="21">
        <f>IF(IFERROR(TRIM(INDEX($A185:$AL185,MATCH(Lists!$F$2,$A$1:$AL$1,0))&amp;""),"")="","",IF(AN185="","New",AN185))</f>
        <v/>
      </c>
      <c r="AZ185" s="21">
        <f>IF(IFERROR(TRIM(INDEX($A185:$AL185,MATCH(Lists!$F$2,$A$1:$AL$1,0))&amp;""),"")="","",IF(OR(IFERROR(TRIM(INDEX($A185:$AL185,MATCH(Lists!$F$13,$A$1:$AL$1,0))&amp;""),"")="Paid",IFERROR(TRIM(INDEX($A185:$AL185,MATCH(Lists!$F$13,$A$1:$AL$1,0))&amp;""),"")="Partially refunded"),"Paid",IF(AP185="Yes","Paid (by hand)",IFERROR(TRIM(INDEX($A185:$AL185,MATCH(Lists!$F$13,$A$1:$AL$1,0))&amp;""),""))))</f>
        <v/>
      </c>
      <c r="BA185" s="21">
        <f>IF(AND(IFERROR(TRIM(INDEX($A185:$AL185,MATCH(Lists!$F$2,$A$1:$AL$1,0))&amp;""),"")&lt;&gt;"",AT185&gt;0,AU185&gt;=0,AV185&gt;AU185,AY185&lt;&gt;"Declined"),1,0)</f>
        <v/>
      </c>
      <c r="BB185" s="21">
        <f>IF(BA185=1,COUNTIFS($AS$2:$AS$501,AS185,$AT$2:$AT$501,AT185,$AU$2:$AU$501,"&lt;"&amp;AV185,$AV$2:$AV$501,"&gt;"&amp;AU185,$BA$2:$BA$501,1)-1,"")</f>
        <v/>
      </c>
      <c r="BC185" s="21">
        <f>IF(N(BB185)&gt;0,"Clashes with "&amp;INDEX($AW$2:$AW$501,SUMPRODUCT(MAX(($AS$2:$AS$501=AS185)*($AT$2:$AT$501=AT185)*($AU$2:$AU$501&lt;AV185)*($AV$2:$AV$501&gt;AU185)*($BA$2:$BA$501=1)*(ROW($AS$2:$AS$501)&lt;&gt;ROW())*ROW($AS$2:$AS$501)))-1)&amp;" ("&amp;INDEX($AY$2:$AY$501,SUMPRODUCT(MAX(($AS$2:$AS$501=AS185)*($AT$2:$AT$501=AT185)*($AU$2:$AU$501&lt;AV185)*($AV$2:$AV$501&gt;AU185)*($BA$2:$BA$501=1)*(ROW($AS$2:$AS$501)&lt;&gt;ROW())*ROW($AS$2:$AS$501)))-1)&amp;")"&amp;IF(BB185&gt;1," and "&amp;(BB185-1)&amp;" more",""),"")</f>
        <v/>
      </c>
      <c r="BD185" s="21">
        <f>IF(AND(BA185=1,AY185="Confirmed"),AT185*10000000+AU185*1000+ROW(),"")</f>
        <v/>
      </c>
      <c r="BE185" s="21">
        <f>IF(IFERROR(TRIM(INDEX($A185:$AL185,MATCH(Lists!$F$2,$A$1:$AL$1,0))&amp;""),"")="","",IFERROR(TRIM(INDEX($A185:$AL185,MATCH(Lists!$F$11,$A$1:$AL$1,0))&amp;""),""))</f>
        <v/>
      </c>
      <c r="BF185" s="21">
        <f>IF(IFERROR(TRIM(INDEX($A185:$AL185,MATCH(Lists!$F$2,$A$1:$AL$1,0))&amp;""),"")="","",IFERROR(TRIM(INDEX($A185:$AL185,MATCH(Lists!$F$12,$A$1:$AL$1,0))&amp;""),""))</f>
        <v/>
      </c>
    </row>
    <row r="186">
      <c r="AM186" s="19" t="n"/>
      <c r="AN186" s="23" t="n"/>
      <c r="AO186" s="23" t="n"/>
      <c r="AP186" s="23" t="n"/>
      <c r="AQ186" s="23" t="n"/>
      <c r="AR186" s="19" t="n"/>
      <c r="AS186" s="21">
        <f>IF(IFERROR(TRIM(INDEX($A186:$AL186,MATCH(Lists!$F$2,$A$1:$AL$1,0))&amp;""),"")="","",IF(AND(IFERROR(TRIM(INDEX($A186:$AL186,MATCH(Lists!$F$3,$A$1:$AL$1,0))&amp;""),"")="Other",IFERROR(TRIM(INDEX($A186:$AL186,MATCH(Lists!$F$4,$A$1:$AL$1,0))&amp;""),"")&lt;&gt;""),IFERROR(TRIM(INDEX($A186:$AL186,MATCH(Lists!$F$4,$A$1:$AL$1,0))&amp;""),""),IF(IFERROR(TRIM(INDEX($A186:$AL186,MATCH(Lists!$F$3,$A$1:$AL$1,0))&amp;""),"")="","(no space)",IFERROR(TRIM(INDEX($A186:$AL186,MATCH(Lists!$F$3,$A$1:$AL$1,0))&amp;""),""))))</f>
        <v/>
      </c>
      <c r="AT186" s="22">
        <f>IF(IFERROR(TRIM(INDEX($A186:$AL186,MATCH(Lists!$F$2,$A$1:$AL$1,0))&amp;""),"")="",0,N(IFERROR(IF(TRIM(INDEX($A186:$AL186,MATCH(Lists!$F$5,$A$1:$AL$1,0))&amp;"")="","",IF(ISNUMBER(INDEX($A186:$AL186,MATCH(Lists!$F$5,$A$1:$AL$1,0))),INT(INDEX($A186:$AL186,MATCH(Lists!$F$5,$A$1:$AL$1,0))),DATE(VALUE(LEFT(INDEX($A186:$AL186,MATCH(Lists!$F$5,$A$1:$AL$1,0)),4)),VALUE(MID(INDEX($A186:$AL186,MATCH(Lists!$F$5,$A$1:$AL$1,0)),6,2)),VALUE(MID(INDEX($A186:$AL186,MATCH(Lists!$F$5,$A$1:$AL$1,0)),9,2))))),"")))</f>
        <v/>
      </c>
      <c r="AU186" s="21">
        <f>IF(IFERROR(TRIM(INDEX($A186:$AL186,MATCH(Lists!$F$2,$A$1:$AL$1,0))&amp;""),"")="",-1,IF(ISNUMBER(IFERROR(IF(TRIM(INDEX($A186:$AL186,MATCH(Lists!$F$6,$A$1:$AL$1,0))&amp;"")="","",IF(ISNUMBER(INDEX($A186:$AL186,MATCH(Lists!$F$6,$A$1:$AL$1,0))),ROUND(MOD(INDEX($A186:$AL186,MATCH(Lists!$F$6,$A$1:$AL$1,0)),1)*1440,0),VALUE(LEFT(INDEX($A186:$AL186,MATCH(Lists!$F$6,$A$1:$AL$1,0)),2))*60+VALUE(MID(INDEX($A186:$AL186,MATCH(Lists!$F$6,$A$1:$AL$1,0)),4,2)))),"")),IFERROR(IF(TRIM(INDEX($A186:$AL186,MATCH(Lists!$F$6,$A$1:$AL$1,0))&amp;"")="","",IF(ISNUMBER(INDEX($A186:$AL186,MATCH(Lists!$F$6,$A$1:$AL$1,0))),ROUND(MOD(INDEX($A186:$AL186,MATCH(Lists!$F$6,$A$1:$AL$1,0)),1)*1440,0),VALUE(LEFT(INDEX($A186:$AL186,MATCH(Lists!$F$6,$A$1:$AL$1,0)),2))*60+VALUE(MID(INDEX($A186:$AL186,MATCH(Lists!$F$6,$A$1:$AL$1,0)),4,2)))),""),-1))</f>
        <v/>
      </c>
      <c r="AV186" s="21">
        <f>IF(IFERROR(TRIM(INDEX($A186:$AL186,MATCH(Lists!$F$2,$A$1:$AL$1,0))&amp;""),"")="",-1,IF(ISNUMBER(IFERROR(IF(TRIM(INDEX($A186:$AL186,MATCH(Lists!$F$7,$A$1:$AL$1,0))&amp;"")="","",IF(ISNUMBER(INDEX($A186:$AL186,MATCH(Lists!$F$7,$A$1:$AL$1,0))),ROUND(MOD(INDEX($A186:$AL186,MATCH(Lists!$F$7,$A$1:$AL$1,0)),1)*1440,0),VALUE(LEFT(INDEX($A186:$AL186,MATCH(Lists!$F$7,$A$1:$AL$1,0)),2))*60+VALUE(MID(INDEX($A186:$AL186,MATCH(Lists!$F$7,$A$1:$AL$1,0)),4,2)))),"")),IFERROR(IF(TRIM(INDEX($A186:$AL186,MATCH(Lists!$F$7,$A$1:$AL$1,0))&amp;"")="","",IF(ISNUMBER(INDEX($A186:$AL186,MATCH(Lists!$F$7,$A$1:$AL$1,0))),ROUND(MOD(INDEX($A186:$AL186,MATCH(Lists!$F$7,$A$1:$AL$1,0)),1)*1440,0),VALUE(LEFT(INDEX($A186:$AL186,MATCH(Lists!$F$7,$A$1:$AL$1,0)),2))*60+VALUE(MID(INDEX($A186:$AL186,MATCH(Lists!$F$7,$A$1:$AL$1,0)),4,2)))),""),-1))</f>
        <v/>
      </c>
      <c r="AW186" s="21">
        <f>IF(IFERROR(TRIM(INDEX($A186:$AL186,MATCH(Lists!$F$2,$A$1:$AL$1,0))&amp;""),"")="","",IF(IFERROR(TRIM(INDEX($A186:$AL186,MATCH(Lists!$F$8,$A$1:$AL$1,0))&amp;""),"")&lt;&gt;"",IFERROR(TRIM(INDEX($A186:$AL186,MATCH(Lists!$F$8,$A$1:$AL$1,0))&amp;""),""),IFERROR(TRIM(INDEX($A186:$AL186,MATCH(Lists!$F$9,$A$1:$AL$1,0))&amp;""),"")))</f>
        <v/>
      </c>
      <c r="AX186" s="21">
        <f>IFERROR(IF(TRIM(INDEX($A186:$AL186,MATCH(Lists!$F$10,$A$1:$AL$1,0))&amp;"")="","",VALUE(TRIM(INDEX($A186:$AL186,MATCH(Lists!$F$10,$A$1:$AL$1,0))&amp;""))),"")</f>
        <v/>
      </c>
      <c r="AY186" s="21">
        <f>IF(IFERROR(TRIM(INDEX($A186:$AL186,MATCH(Lists!$F$2,$A$1:$AL$1,0))&amp;""),"")="","",IF(AN186="","New",AN186))</f>
        <v/>
      </c>
      <c r="AZ186" s="21">
        <f>IF(IFERROR(TRIM(INDEX($A186:$AL186,MATCH(Lists!$F$2,$A$1:$AL$1,0))&amp;""),"")="","",IF(OR(IFERROR(TRIM(INDEX($A186:$AL186,MATCH(Lists!$F$13,$A$1:$AL$1,0))&amp;""),"")="Paid",IFERROR(TRIM(INDEX($A186:$AL186,MATCH(Lists!$F$13,$A$1:$AL$1,0))&amp;""),"")="Partially refunded"),"Paid",IF(AP186="Yes","Paid (by hand)",IFERROR(TRIM(INDEX($A186:$AL186,MATCH(Lists!$F$13,$A$1:$AL$1,0))&amp;""),""))))</f>
        <v/>
      </c>
      <c r="BA186" s="21">
        <f>IF(AND(IFERROR(TRIM(INDEX($A186:$AL186,MATCH(Lists!$F$2,$A$1:$AL$1,0))&amp;""),"")&lt;&gt;"",AT186&gt;0,AU186&gt;=0,AV186&gt;AU186,AY186&lt;&gt;"Declined"),1,0)</f>
        <v/>
      </c>
      <c r="BB186" s="21">
        <f>IF(BA186=1,COUNTIFS($AS$2:$AS$501,AS186,$AT$2:$AT$501,AT186,$AU$2:$AU$501,"&lt;"&amp;AV186,$AV$2:$AV$501,"&gt;"&amp;AU186,$BA$2:$BA$501,1)-1,"")</f>
        <v/>
      </c>
      <c r="BC186" s="21">
        <f>IF(N(BB186)&gt;0,"Clashes with "&amp;INDEX($AW$2:$AW$501,SUMPRODUCT(MAX(($AS$2:$AS$501=AS186)*($AT$2:$AT$501=AT186)*($AU$2:$AU$501&lt;AV186)*($AV$2:$AV$501&gt;AU186)*($BA$2:$BA$501=1)*(ROW($AS$2:$AS$501)&lt;&gt;ROW())*ROW($AS$2:$AS$501)))-1)&amp;" ("&amp;INDEX($AY$2:$AY$501,SUMPRODUCT(MAX(($AS$2:$AS$501=AS186)*($AT$2:$AT$501=AT186)*($AU$2:$AU$501&lt;AV186)*($AV$2:$AV$501&gt;AU186)*($BA$2:$BA$501=1)*(ROW($AS$2:$AS$501)&lt;&gt;ROW())*ROW($AS$2:$AS$501)))-1)&amp;")"&amp;IF(BB186&gt;1," and "&amp;(BB186-1)&amp;" more",""),"")</f>
        <v/>
      </c>
      <c r="BD186" s="21">
        <f>IF(AND(BA186=1,AY186="Confirmed"),AT186*10000000+AU186*1000+ROW(),"")</f>
        <v/>
      </c>
      <c r="BE186" s="21">
        <f>IF(IFERROR(TRIM(INDEX($A186:$AL186,MATCH(Lists!$F$2,$A$1:$AL$1,0))&amp;""),"")="","",IFERROR(TRIM(INDEX($A186:$AL186,MATCH(Lists!$F$11,$A$1:$AL$1,0))&amp;""),""))</f>
        <v/>
      </c>
      <c r="BF186" s="21">
        <f>IF(IFERROR(TRIM(INDEX($A186:$AL186,MATCH(Lists!$F$2,$A$1:$AL$1,0))&amp;""),"")="","",IFERROR(TRIM(INDEX($A186:$AL186,MATCH(Lists!$F$12,$A$1:$AL$1,0))&amp;""),""))</f>
        <v/>
      </c>
    </row>
    <row r="187">
      <c r="AM187" s="19" t="n"/>
      <c r="AN187" s="23" t="n"/>
      <c r="AO187" s="23" t="n"/>
      <c r="AP187" s="23" t="n"/>
      <c r="AQ187" s="23" t="n"/>
      <c r="AR187" s="19" t="n"/>
      <c r="AS187" s="21">
        <f>IF(IFERROR(TRIM(INDEX($A187:$AL187,MATCH(Lists!$F$2,$A$1:$AL$1,0))&amp;""),"")="","",IF(AND(IFERROR(TRIM(INDEX($A187:$AL187,MATCH(Lists!$F$3,$A$1:$AL$1,0))&amp;""),"")="Other",IFERROR(TRIM(INDEX($A187:$AL187,MATCH(Lists!$F$4,$A$1:$AL$1,0))&amp;""),"")&lt;&gt;""),IFERROR(TRIM(INDEX($A187:$AL187,MATCH(Lists!$F$4,$A$1:$AL$1,0))&amp;""),""),IF(IFERROR(TRIM(INDEX($A187:$AL187,MATCH(Lists!$F$3,$A$1:$AL$1,0))&amp;""),"")="","(no space)",IFERROR(TRIM(INDEX($A187:$AL187,MATCH(Lists!$F$3,$A$1:$AL$1,0))&amp;""),""))))</f>
        <v/>
      </c>
      <c r="AT187" s="22">
        <f>IF(IFERROR(TRIM(INDEX($A187:$AL187,MATCH(Lists!$F$2,$A$1:$AL$1,0))&amp;""),"")="",0,N(IFERROR(IF(TRIM(INDEX($A187:$AL187,MATCH(Lists!$F$5,$A$1:$AL$1,0))&amp;"")="","",IF(ISNUMBER(INDEX($A187:$AL187,MATCH(Lists!$F$5,$A$1:$AL$1,0))),INT(INDEX($A187:$AL187,MATCH(Lists!$F$5,$A$1:$AL$1,0))),DATE(VALUE(LEFT(INDEX($A187:$AL187,MATCH(Lists!$F$5,$A$1:$AL$1,0)),4)),VALUE(MID(INDEX($A187:$AL187,MATCH(Lists!$F$5,$A$1:$AL$1,0)),6,2)),VALUE(MID(INDEX($A187:$AL187,MATCH(Lists!$F$5,$A$1:$AL$1,0)),9,2))))),"")))</f>
        <v/>
      </c>
      <c r="AU187" s="21">
        <f>IF(IFERROR(TRIM(INDEX($A187:$AL187,MATCH(Lists!$F$2,$A$1:$AL$1,0))&amp;""),"")="",-1,IF(ISNUMBER(IFERROR(IF(TRIM(INDEX($A187:$AL187,MATCH(Lists!$F$6,$A$1:$AL$1,0))&amp;"")="","",IF(ISNUMBER(INDEX($A187:$AL187,MATCH(Lists!$F$6,$A$1:$AL$1,0))),ROUND(MOD(INDEX($A187:$AL187,MATCH(Lists!$F$6,$A$1:$AL$1,0)),1)*1440,0),VALUE(LEFT(INDEX($A187:$AL187,MATCH(Lists!$F$6,$A$1:$AL$1,0)),2))*60+VALUE(MID(INDEX($A187:$AL187,MATCH(Lists!$F$6,$A$1:$AL$1,0)),4,2)))),"")),IFERROR(IF(TRIM(INDEX($A187:$AL187,MATCH(Lists!$F$6,$A$1:$AL$1,0))&amp;"")="","",IF(ISNUMBER(INDEX($A187:$AL187,MATCH(Lists!$F$6,$A$1:$AL$1,0))),ROUND(MOD(INDEX($A187:$AL187,MATCH(Lists!$F$6,$A$1:$AL$1,0)),1)*1440,0),VALUE(LEFT(INDEX($A187:$AL187,MATCH(Lists!$F$6,$A$1:$AL$1,0)),2))*60+VALUE(MID(INDEX($A187:$AL187,MATCH(Lists!$F$6,$A$1:$AL$1,0)),4,2)))),""),-1))</f>
        <v/>
      </c>
      <c r="AV187" s="21">
        <f>IF(IFERROR(TRIM(INDEX($A187:$AL187,MATCH(Lists!$F$2,$A$1:$AL$1,0))&amp;""),"")="",-1,IF(ISNUMBER(IFERROR(IF(TRIM(INDEX($A187:$AL187,MATCH(Lists!$F$7,$A$1:$AL$1,0))&amp;"")="","",IF(ISNUMBER(INDEX($A187:$AL187,MATCH(Lists!$F$7,$A$1:$AL$1,0))),ROUND(MOD(INDEX($A187:$AL187,MATCH(Lists!$F$7,$A$1:$AL$1,0)),1)*1440,0),VALUE(LEFT(INDEX($A187:$AL187,MATCH(Lists!$F$7,$A$1:$AL$1,0)),2))*60+VALUE(MID(INDEX($A187:$AL187,MATCH(Lists!$F$7,$A$1:$AL$1,0)),4,2)))),"")),IFERROR(IF(TRIM(INDEX($A187:$AL187,MATCH(Lists!$F$7,$A$1:$AL$1,0))&amp;"")="","",IF(ISNUMBER(INDEX($A187:$AL187,MATCH(Lists!$F$7,$A$1:$AL$1,0))),ROUND(MOD(INDEX($A187:$AL187,MATCH(Lists!$F$7,$A$1:$AL$1,0)),1)*1440,0),VALUE(LEFT(INDEX($A187:$AL187,MATCH(Lists!$F$7,$A$1:$AL$1,0)),2))*60+VALUE(MID(INDEX($A187:$AL187,MATCH(Lists!$F$7,$A$1:$AL$1,0)),4,2)))),""),-1))</f>
        <v/>
      </c>
      <c r="AW187" s="21">
        <f>IF(IFERROR(TRIM(INDEX($A187:$AL187,MATCH(Lists!$F$2,$A$1:$AL$1,0))&amp;""),"")="","",IF(IFERROR(TRIM(INDEX($A187:$AL187,MATCH(Lists!$F$8,$A$1:$AL$1,0))&amp;""),"")&lt;&gt;"",IFERROR(TRIM(INDEX($A187:$AL187,MATCH(Lists!$F$8,$A$1:$AL$1,0))&amp;""),""),IFERROR(TRIM(INDEX($A187:$AL187,MATCH(Lists!$F$9,$A$1:$AL$1,0))&amp;""),"")))</f>
        <v/>
      </c>
      <c r="AX187" s="21">
        <f>IFERROR(IF(TRIM(INDEX($A187:$AL187,MATCH(Lists!$F$10,$A$1:$AL$1,0))&amp;"")="","",VALUE(TRIM(INDEX($A187:$AL187,MATCH(Lists!$F$10,$A$1:$AL$1,0))&amp;""))),"")</f>
        <v/>
      </c>
      <c r="AY187" s="21">
        <f>IF(IFERROR(TRIM(INDEX($A187:$AL187,MATCH(Lists!$F$2,$A$1:$AL$1,0))&amp;""),"")="","",IF(AN187="","New",AN187))</f>
        <v/>
      </c>
      <c r="AZ187" s="21">
        <f>IF(IFERROR(TRIM(INDEX($A187:$AL187,MATCH(Lists!$F$2,$A$1:$AL$1,0))&amp;""),"")="","",IF(OR(IFERROR(TRIM(INDEX($A187:$AL187,MATCH(Lists!$F$13,$A$1:$AL$1,0))&amp;""),"")="Paid",IFERROR(TRIM(INDEX($A187:$AL187,MATCH(Lists!$F$13,$A$1:$AL$1,0))&amp;""),"")="Partially refunded"),"Paid",IF(AP187="Yes","Paid (by hand)",IFERROR(TRIM(INDEX($A187:$AL187,MATCH(Lists!$F$13,$A$1:$AL$1,0))&amp;""),""))))</f>
        <v/>
      </c>
      <c r="BA187" s="21">
        <f>IF(AND(IFERROR(TRIM(INDEX($A187:$AL187,MATCH(Lists!$F$2,$A$1:$AL$1,0))&amp;""),"")&lt;&gt;"",AT187&gt;0,AU187&gt;=0,AV187&gt;AU187,AY187&lt;&gt;"Declined"),1,0)</f>
        <v/>
      </c>
      <c r="BB187" s="21">
        <f>IF(BA187=1,COUNTIFS($AS$2:$AS$501,AS187,$AT$2:$AT$501,AT187,$AU$2:$AU$501,"&lt;"&amp;AV187,$AV$2:$AV$501,"&gt;"&amp;AU187,$BA$2:$BA$501,1)-1,"")</f>
        <v/>
      </c>
      <c r="BC187" s="21">
        <f>IF(N(BB187)&gt;0,"Clashes with "&amp;INDEX($AW$2:$AW$501,SUMPRODUCT(MAX(($AS$2:$AS$501=AS187)*($AT$2:$AT$501=AT187)*($AU$2:$AU$501&lt;AV187)*($AV$2:$AV$501&gt;AU187)*($BA$2:$BA$501=1)*(ROW($AS$2:$AS$501)&lt;&gt;ROW())*ROW($AS$2:$AS$501)))-1)&amp;" ("&amp;INDEX($AY$2:$AY$501,SUMPRODUCT(MAX(($AS$2:$AS$501=AS187)*($AT$2:$AT$501=AT187)*($AU$2:$AU$501&lt;AV187)*($AV$2:$AV$501&gt;AU187)*($BA$2:$BA$501=1)*(ROW($AS$2:$AS$501)&lt;&gt;ROW())*ROW($AS$2:$AS$501)))-1)&amp;")"&amp;IF(BB187&gt;1," and "&amp;(BB187-1)&amp;" more",""),"")</f>
        <v/>
      </c>
      <c r="BD187" s="21">
        <f>IF(AND(BA187=1,AY187="Confirmed"),AT187*10000000+AU187*1000+ROW(),"")</f>
        <v/>
      </c>
      <c r="BE187" s="21">
        <f>IF(IFERROR(TRIM(INDEX($A187:$AL187,MATCH(Lists!$F$2,$A$1:$AL$1,0))&amp;""),"")="","",IFERROR(TRIM(INDEX($A187:$AL187,MATCH(Lists!$F$11,$A$1:$AL$1,0))&amp;""),""))</f>
        <v/>
      </c>
      <c r="BF187" s="21">
        <f>IF(IFERROR(TRIM(INDEX($A187:$AL187,MATCH(Lists!$F$2,$A$1:$AL$1,0))&amp;""),"")="","",IFERROR(TRIM(INDEX($A187:$AL187,MATCH(Lists!$F$12,$A$1:$AL$1,0))&amp;""),""))</f>
        <v/>
      </c>
    </row>
    <row r="188">
      <c r="AM188" s="19" t="n"/>
      <c r="AN188" s="23" t="n"/>
      <c r="AO188" s="23" t="n"/>
      <c r="AP188" s="23" t="n"/>
      <c r="AQ188" s="23" t="n"/>
      <c r="AR188" s="19" t="n"/>
      <c r="AS188" s="21">
        <f>IF(IFERROR(TRIM(INDEX($A188:$AL188,MATCH(Lists!$F$2,$A$1:$AL$1,0))&amp;""),"")="","",IF(AND(IFERROR(TRIM(INDEX($A188:$AL188,MATCH(Lists!$F$3,$A$1:$AL$1,0))&amp;""),"")="Other",IFERROR(TRIM(INDEX($A188:$AL188,MATCH(Lists!$F$4,$A$1:$AL$1,0))&amp;""),"")&lt;&gt;""),IFERROR(TRIM(INDEX($A188:$AL188,MATCH(Lists!$F$4,$A$1:$AL$1,0))&amp;""),""),IF(IFERROR(TRIM(INDEX($A188:$AL188,MATCH(Lists!$F$3,$A$1:$AL$1,0))&amp;""),"")="","(no space)",IFERROR(TRIM(INDEX($A188:$AL188,MATCH(Lists!$F$3,$A$1:$AL$1,0))&amp;""),""))))</f>
        <v/>
      </c>
      <c r="AT188" s="22">
        <f>IF(IFERROR(TRIM(INDEX($A188:$AL188,MATCH(Lists!$F$2,$A$1:$AL$1,0))&amp;""),"")="",0,N(IFERROR(IF(TRIM(INDEX($A188:$AL188,MATCH(Lists!$F$5,$A$1:$AL$1,0))&amp;"")="","",IF(ISNUMBER(INDEX($A188:$AL188,MATCH(Lists!$F$5,$A$1:$AL$1,0))),INT(INDEX($A188:$AL188,MATCH(Lists!$F$5,$A$1:$AL$1,0))),DATE(VALUE(LEFT(INDEX($A188:$AL188,MATCH(Lists!$F$5,$A$1:$AL$1,0)),4)),VALUE(MID(INDEX($A188:$AL188,MATCH(Lists!$F$5,$A$1:$AL$1,0)),6,2)),VALUE(MID(INDEX($A188:$AL188,MATCH(Lists!$F$5,$A$1:$AL$1,0)),9,2))))),"")))</f>
        <v/>
      </c>
      <c r="AU188" s="21">
        <f>IF(IFERROR(TRIM(INDEX($A188:$AL188,MATCH(Lists!$F$2,$A$1:$AL$1,0))&amp;""),"")="",-1,IF(ISNUMBER(IFERROR(IF(TRIM(INDEX($A188:$AL188,MATCH(Lists!$F$6,$A$1:$AL$1,0))&amp;"")="","",IF(ISNUMBER(INDEX($A188:$AL188,MATCH(Lists!$F$6,$A$1:$AL$1,0))),ROUND(MOD(INDEX($A188:$AL188,MATCH(Lists!$F$6,$A$1:$AL$1,0)),1)*1440,0),VALUE(LEFT(INDEX($A188:$AL188,MATCH(Lists!$F$6,$A$1:$AL$1,0)),2))*60+VALUE(MID(INDEX($A188:$AL188,MATCH(Lists!$F$6,$A$1:$AL$1,0)),4,2)))),"")),IFERROR(IF(TRIM(INDEX($A188:$AL188,MATCH(Lists!$F$6,$A$1:$AL$1,0))&amp;"")="","",IF(ISNUMBER(INDEX($A188:$AL188,MATCH(Lists!$F$6,$A$1:$AL$1,0))),ROUND(MOD(INDEX($A188:$AL188,MATCH(Lists!$F$6,$A$1:$AL$1,0)),1)*1440,0),VALUE(LEFT(INDEX($A188:$AL188,MATCH(Lists!$F$6,$A$1:$AL$1,0)),2))*60+VALUE(MID(INDEX($A188:$AL188,MATCH(Lists!$F$6,$A$1:$AL$1,0)),4,2)))),""),-1))</f>
        <v/>
      </c>
      <c r="AV188" s="21">
        <f>IF(IFERROR(TRIM(INDEX($A188:$AL188,MATCH(Lists!$F$2,$A$1:$AL$1,0))&amp;""),"")="",-1,IF(ISNUMBER(IFERROR(IF(TRIM(INDEX($A188:$AL188,MATCH(Lists!$F$7,$A$1:$AL$1,0))&amp;"")="","",IF(ISNUMBER(INDEX($A188:$AL188,MATCH(Lists!$F$7,$A$1:$AL$1,0))),ROUND(MOD(INDEX($A188:$AL188,MATCH(Lists!$F$7,$A$1:$AL$1,0)),1)*1440,0),VALUE(LEFT(INDEX($A188:$AL188,MATCH(Lists!$F$7,$A$1:$AL$1,0)),2))*60+VALUE(MID(INDEX($A188:$AL188,MATCH(Lists!$F$7,$A$1:$AL$1,0)),4,2)))),"")),IFERROR(IF(TRIM(INDEX($A188:$AL188,MATCH(Lists!$F$7,$A$1:$AL$1,0))&amp;"")="","",IF(ISNUMBER(INDEX($A188:$AL188,MATCH(Lists!$F$7,$A$1:$AL$1,0))),ROUND(MOD(INDEX($A188:$AL188,MATCH(Lists!$F$7,$A$1:$AL$1,0)),1)*1440,0),VALUE(LEFT(INDEX($A188:$AL188,MATCH(Lists!$F$7,$A$1:$AL$1,0)),2))*60+VALUE(MID(INDEX($A188:$AL188,MATCH(Lists!$F$7,$A$1:$AL$1,0)),4,2)))),""),-1))</f>
        <v/>
      </c>
      <c r="AW188" s="21">
        <f>IF(IFERROR(TRIM(INDEX($A188:$AL188,MATCH(Lists!$F$2,$A$1:$AL$1,0))&amp;""),"")="","",IF(IFERROR(TRIM(INDEX($A188:$AL188,MATCH(Lists!$F$8,$A$1:$AL$1,0))&amp;""),"")&lt;&gt;"",IFERROR(TRIM(INDEX($A188:$AL188,MATCH(Lists!$F$8,$A$1:$AL$1,0))&amp;""),""),IFERROR(TRIM(INDEX($A188:$AL188,MATCH(Lists!$F$9,$A$1:$AL$1,0))&amp;""),"")))</f>
        <v/>
      </c>
      <c r="AX188" s="21">
        <f>IFERROR(IF(TRIM(INDEX($A188:$AL188,MATCH(Lists!$F$10,$A$1:$AL$1,0))&amp;"")="","",VALUE(TRIM(INDEX($A188:$AL188,MATCH(Lists!$F$10,$A$1:$AL$1,0))&amp;""))),"")</f>
        <v/>
      </c>
      <c r="AY188" s="21">
        <f>IF(IFERROR(TRIM(INDEX($A188:$AL188,MATCH(Lists!$F$2,$A$1:$AL$1,0))&amp;""),"")="","",IF(AN188="","New",AN188))</f>
        <v/>
      </c>
      <c r="AZ188" s="21">
        <f>IF(IFERROR(TRIM(INDEX($A188:$AL188,MATCH(Lists!$F$2,$A$1:$AL$1,0))&amp;""),"")="","",IF(OR(IFERROR(TRIM(INDEX($A188:$AL188,MATCH(Lists!$F$13,$A$1:$AL$1,0))&amp;""),"")="Paid",IFERROR(TRIM(INDEX($A188:$AL188,MATCH(Lists!$F$13,$A$1:$AL$1,0))&amp;""),"")="Partially refunded"),"Paid",IF(AP188="Yes","Paid (by hand)",IFERROR(TRIM(INDEX($A188:$AL188,MATCH(Lists!$F$13,$A$1:$AL$1,0))&amp;""),""))))</f>
        <v/>
      </c>
      <c r="BA188" s="21">
        <f>IF(AND(IFERROR(TRIM(INDEX($A188:$AL188,MATCH(Lists!$F$2,$A$1:$AL$1,0))&amp;""),"")&lt;&gt;"",AT188&gt;0,AU188&gt;=0,AV188&gt;AU188,AY188&lt;&gt;"Declined"),1,0)</f>
        <v/>
      </c>
      <c r="BB188" s="21">
        <f>IF(BA188=1,COUNTIFS($AS$2:$AS$501,AS188,$AT$2:$AT$501,AT188,$AU$2:$AU$501,"&lt;"&amp;AV188,$AV$2:$AV$501,"&gt;"&amp;AU188,$BA$2:$BA$501,1)-1,"")</f>
        <v/>
      </c>
      <c r="BC188" s="21">
        <f>IF(N(BB188)&gt;0,"Clashes with "&amp;INDEX($AW$2:$AW$501,SUMPRODUCT(MAX(($AS$2:$AS$501=AS188)*($AT$2:$AT$501=AT188)*($AU$2:$AU$501&lt;AV188)*($AV$2:$AV$501&gt;AU188)*($BA$2:$BA$501=1)*(ROW($AS$2:$AS$501)&lt;&gt;ROW())*ROW($AS$2:$AS$501)))-1)&amp;" ("&amp;INDEX($AY$2:$AY$501,SUMPRODUCT(MAX(($AS$2:$AS$501=AS188)*($AT$2:$AT$501=AT188)*($AU$2:$AU$501&lt;AV188)*($AV$2:$AV$501&gt;AU188)*($BA$2:$BA$501=1)*(ROW($AS$2:$AS$501)&lt;&gt;ROW())*ROW($AS$2:$AS$501)))-1)&amp;")"&amp;IF(BB188&gt;1," and "&amp;(BB188-1)&amp;" more",""),"")</f>
        <v/>
      </c>
      <c r="BD188" s="21">
        <f>IF(AND(BA188=1,AY188="Confirmed"),AT188*10000000+AU188*1000+ROW(),"")</f>
        <v/>
      </c>
      <c r="BE188" s="21">
        <f>IF(IFERROR(TRIM(INDEX($A188:$AL188,MATCH(Lists!$F$2,$A$1:$AL$1,0))&amp;""),"")="","",IFERROR(TRIM(INDEX($A188:$AL188,MATCH(Lists!$F$11,$A$1:$AL$1,0))&amp;""),""))</f>
        <v/>
      </c>
      <c r="BF188" s="21">
        <f>IF(IFERROR(TRIM(INDEX($A188:$AL188,MATCH(Lists!$F$2,$A$1:$AL$1,0))&amp;""),"")="","",IFERROR(TRIM(INDEX($A188:$AL188,MATCH(Lists!$F$12,$A$1:$AL$1,0))&amp;""),""))</f>
        <v/>
      </c>
    </row>
    <row r="189">
      <c r="AM189" s="19" t="n"/>
      <c r="AN189" s="23" t="n"/>
      <c r="AO189" s="23" t="n"/>
      <c r="AP189" s="23" t="n"/>
      <c r="AQ189" s="23" t="n"/>
      <c r="AR189" s="19" t="n"/>
      <c r="AS189" s="21">
        <f>IF(IFERROR(TRIM(INDEX($A189:$AL189,MATCH(Lists!$F$2,$A$1:$AL$1,0))&amp;""),"")="","",IF(AND(IFERROR(TRIM(INDEX($A189:$AL189,MATCH(Lists!$F$3,$A$1:$AL$1,0))&amp;""),"")="Other",IFERROR(TRIM(INDEX($A189:$AL189,MATCH(Lists!$F$4,$A$1:$AL$1,0))&amp;""),"")&lt;&gt;""),IFERROR(TRIM(INDEX($A189:$AL189,MATCH(Lists!$F$4,$A$1:$AL$1,0))&amp;""),""),IF(IFERROR(TRIM(INDEX($A189:$AL189,MATCH(Lists!$F$3,$A$1:$AL$1,0))&amp;""),"")="","(no space)",IFERROR(TRIM(INDEX($A189:$AL189,MATCH(Lists!$F$3,$A$1:$AL$1,0))&amp;""),""))))</f>
        <v/>
      </c>
      <c r="AT189" s="22">
        <f>IF(IFERROR(TRIM(INDEX($A189:$AL189,MATCH(Lists!$F$2,$A$1:$AL$1,0))&amp;""),"")="",0,N(IFERROR(IF(TRIM(INDEX($A189:$AL189,MATCH(Lists!$F$5,$A$1:$AL$1,0))&amp;"")="","",IF(ISNUMBER(INDEX($A189:$AL189,MATCH(Lists!$F$5,$A$1:$AL$1,0))),INT(INDEX($A189:$AL189,MATCH(Lists!$F$5,$A$1:$AL$1,0))),DATE(VALUE(LEFT(INDEX($A189:$AL189,MATCH(Lists!$F$5,$A$1:$AL$1,0)),4)),VALUE(MID(INDEX($A189:$AL189,MATCH(Lists!$F$5,$A$1:$AL$1,0)),6,2)),VALUE(MID(INDEX($A189:$AL189,MATCH(Lists!$F$5,$A$1:$AL$1,0)),9,2))))),"")))</f>
        <v/>
      </c>
      <c r="AU189" s="21">
        <f>IF(IFERROR(TRIM(INDEX($A189:$AL189,MATCH(Lists!$F$2,$A$1:$AL$1,0))&amp;""),"")="",-1,IF(ISNUMBER(IFERROR(IF(TRIM(INDEX($A189:$AL189,MATCH(Lists!$F$6,$A$1:$AL$1,0))&amp;"")="","",IF(ISNUMBER(INDEX($A189:$AL189,MATCH(Lists!$F$6,$A$1:$AL$1,0))),ROUND(MOD(INDEX($A189:$AL189,MATCH(Lists!$F$6,$A$1:$AL$1,0)),1)*1440,0),VALUE(LEFT(INDEX($A189:$AL189,MATCH(Lists!$F$6,$A$1:$AL$1,0)),2))*60+VALUE(MID(INDEX($A189:$AL189,MATCH(Lists!$F$6,$A$1:$AL$1,0)),4,2)))),"")),IFERROR(IF(TRIM(INDEX($A189:$AL189,MATCH(Lists!$F$6,$A$1:$AL$1,0))&amp;"")="","",IF(ISNUMBER(INDEX($A189:$AL189,MATCH(Lists!$F$6,$A$1:$AL$1,0))),ROUND(MOD(INDEX($A189:$AL189,MATCH(Lists!$F$6,$A$1:$AL$1,0)),1)*1440,0),VALUE(LEFT(INDEX($A189:$AL189,MATCH(Lists!$F$6,$A$1:$AL$1,0)),2))*60+VALUE(MID(INDEX($A189:$AL189,MATCH(Lists!$F$6,$A$1:$AL$1,0)),4,2)))),""),-1))</f>
        <v/>
      </c>
      <c r="AV189" s="21">
        <f>IF(IFERROR(TRIM(INDEX($A189:$AL189,MATCH(Lists!$F$2,$A$1:$AL$1,0))&amp;""),"")="",-1,IF(ISNUMBER(IFERROR(IF(TRIM(INDEX($A189:$AL189,MATCH(Lists!$F$7,$A$1:$AL$1,0))&amp;"")="","",IF(ISNUMBER(INDEX($A189:$AL189,MATCH(Lists!$F$7,$A$1:$AL$1,0))),ROUND(MOD(INDEX($A189:$AL189,MATCH(Lists!$F$7,$A$1:$AL$1,0)),1)*1440,0),VALUE(LEFT(INDEX($A189:$AL189,MATCH(Lists!$F$7,$A$1:$AL$1,0)),2))*60+VALUE(MID(INDEX($A189:$AL189,MATCH(Lists!$F$7,$A$1:$AL$1,0)),4,2)))),"")),IFERROR(IF(TRIM(INDEX($A189:$AL189,MATCH(Lists!$F$7,$A$1:$AL$1,0))&amp;"")="","",IF(ISNUMBER(INDEX($A189:$AL189,MATCH(Lists!$F$7,$A$1:$AL$1,0))),ROUND(MOD(INDEX($A189:$AL189,MATCH(Lists!$F$7,$A$1:$AL$1,0)),1)*1440,0),VALUE(LEFT(INDEX($A189:$AL189,MATCH(Lists!$F$7,$A$1:$AL$1,0)),2))*60+VALUE(MID(INDEX($A189:$AL189,MATCH(Lists!$F$7,$A$1:$AL$1,0)),4,2)))),""),-1))</f>
        <v/>
      </c>
      <c r="AW189" s="21">
        <f>IF(IFERROR(TRIM(INDEX($A189:$AL189,MATCH(Lists!$F$2,$A$1:$AL$1,0))&amp;""),"")="","",IF(IFERROR(TRIM(INDEX($A189:$AL189,MATCH(Lists!$F$8,$A$1:$AL$1,0))&amp;""),"")&lt;&gt;"",IFERROR(TRIM(INDEX($A189:$AL189,MATCH(Lists!$F$8,$A$1:$AL$1,0))&amp;""),""),IFERROR(TRIM(INDEX($A189:$AL189,MATCH(Lists!$F$9,$A$1:$AL$1,0))&amp;""),"")))</f>
        <v/>
      </c>
      <c r="AX189" s="21">
        <f>IFERROR(IF(TRIM(INDEX($A189:$AL189,MATCH(Lists!$F$10,$A$1:$AL$1,0))&amp;"")="","",VALUE(TRIM(INDEX($A189:$AL189,MATCH(Lists!$F$10,$A$1:$AL$1,0))&amp;""))),"")</f>
        <v/>
      </c>
      <c r="AY189" s="21">
        <f>IF(IFERROR(TRIM(INDEX($A189:$AL189,MATCH(Lists!$F$2,$A$1:$AL$1,0))&amp;""),"")="","",IF(AN189="","New",AN189))</f>
        <v/>
      </c>
      <c r="AZ189" s="21">
        <f>IF(IFERROR(TRIM(INDEX($A189:$AL189,MATCH(Lists!$F$2,$A$1:$AL$1,0))&amp;""),"")="","",IF(OR(IFERROR(TRIM(INDEX($A189:$AL189,MATCH(Lists!$F$13,$A$1:$AL$1,0))&amp;""),"")="Paid",IFERROR(TRIM(INDEX($A189:$AL189,MATCH(Lists!$F$13,$A$1:$AL$1,0))&amp;""),"")="Partially refunded"),"Paid",IF(AP189="Yes","Paid (by hand)",IFERROR(TRIM(INDEX($A189:$AL189,MATCH(Lists!$F$13,$A$1:$AL$1,0))&amp;""),""))))</f>
        <v/>
      </c>
      <c r="BA189" s="21">
        <f>IF(AND(IFERROR(TRIM(INDEX($A189:$AL189,MATCH(Lists!$F$2,$A$1:$AL$1,0))&amp;""),"")&lt;&gt;"",AT189&gt;0,AU189&gt;=0,AV189&gt;AU189,AY189&lt;&gt;"Declined"),1,0)</f>
        <v/>
      </c>
      <c r="BB189" s="21">
        <f>IF(BA189=1,COUNTIFS($AS$2:$AS$501,AS189,$AT$2:$AT$501,AT189,$AU$2:$AU$501,"&lt;"&amp;AV189,$AV$2:$AV$501,"&gt;"&amp;AU189,$BA$2:$BA$501,1)-1,"")</f>
        <v/>
      </c>
      <c r="BC189" s="21">
        <f>IF(N(BB189)&gt;0,"Clashes with "&amp;INDEX($AW$2:$AW$501,SUMPRODUCT(MAX(($AS$2:$AS$501=AS189)*($AT$2:$AT$501=AT189)*($AU$2:$AU$501&lt;AV189)*($AV$2:$AV$501&gt;AU189)*($BA$2:$BA$501=1)*(ROW($AS$2:$AS$501)&lt;&gt;ROW())*ROW($AS$2:$AS$501)))-1)&amp;" ("&amp;INDEX($AY$2:$AY$501,SUMPRODUCT(MAX(($AS$2:$AS$501=AS189)*($AT$2:$AT$501=AT189)*($AU$2:$AU$501&lt;AV189)*($AV$2:$AV$501&gt;AU189)*($BA$2:$BA$501=1)*(ROW($AS$2:$AS$501)&lt;&gt;ROW())*ROW($AS$2:$AS$501)))-1)&amp;")"&amp;IF(BB189&gt;1," and "&amp;(BB189-1)&amp;" more",""),"")</f>
        <v/>
      </c>
      <c r="BD189" s="21">
        <f>IF(AND(BA189=1,AY189="Confirmed"),AT189*10000000+AU189*1000+ROW(),"")</f>
        <v/>
      </c>
      <c r="BE189" s="21">
        <f>IF(IFERROR(TRIM(INDEX($A189:$AL189,MATCH(Lists!$F$2,$A$1:$AL$1,0))&amp;""),"")="","",IFERROR(TRIM(INDEX($A189:$AL189,MATCH(Lists!$F$11,$A$1:$AL$1,0))&amp;""),""))</f>
        <v/>
      </c>
      <c r="BF189" s="21">
        <f>IF(IFERROR(TRIM(INDEX($A189:$AL189,MATCH(Lists!$F$2,$A$1:$AL$1,0))&amp;""),"")="","",IFERROR(TRIM(INDEX($A189:$AL189,MATCH(Lists!$F$12,$A$1:$AL$1,0))&amp;""),""))</f>
        <v/>
      </c>
    </row>
    <row r="190">
      <c r="AM190" s="19" t="n"/>
      <c r="AN190" s="23" t="n"/>
      <c r="AO190" s="23" t="n"/>
      <c r="AP190" s="23" t="n"/>
      <c r="AQ190" s="23" t="n"/>
      <c r="AR190" s="19" t="n"/>
      <c r="AS190" s="21">
        <f>IF(IFERROR(TRIM(INDEX($A190:$AL190,MATCH(Lists!$F$2,$A$1:$AL$1,0))&amp;""),"")="","",IF(AND(IFERROR(TRIM(INDEX($A190:$AL190,MATCH(Lists!$F$3,$A$1:$AL$1,0))&amp;""),"")="Other",IFERROR(TRIM(INDEX($A190:$AL190,MATCH(Lists!$F$4,$A$1:$AL$1,0))&amp;""),"")&lt;&gt;""),IFERROR(TRIM(INDEX($A190:$AL190,MATCH(Lists!$F$4,$A$1:$AL$1,0))&amp;""),""),IF(IFERROR(TRIM(INDEX($A190:$AL190,MATCH(Lists!$F$3,$A$1:$AL$1,0))&amp;""),"")="","(no space)",IFERROR(TRIM(INDEX($A190:$AL190,MATCH(Lists!$F$3,$A$1:$AL$1,0))&amp;""),""))))</f>
        <v/>
      </c>
      <c r="AT190" s="22">
        <f>IF(IFERROR(TRIM(INDEX($A190:$AL190,MATCH(Lists!$F$2,$A$1:$AL$1,0))&amp;""),"")="",0,N(IFERROR(IF(TRIM(INDEX($A190:$AL190,MATCH(Lists!$F$5,$A$1:$AL$1,0))&amp;"")="","",IF(ISNUMBER(INDEX($A190:$AL190,MATCH(Lists!$F$5,$A$1:$AL$1,0))),INT(INDEX($A190:$AL190,MATCH(Lists!$F$5,$A$1:$AL$1,0))),DATE(VALUE(LEFT(INDEX($A190:$AL190,MATCH(Lists!$F$5,$A$1:$AL$1,0)),4)),VALUE(MID(INDEX($A190:$AL190,MATCH(Lists!$F$5,$A$1:$AL$1,0)),6,2)),VALUE(MID(INDEX($A190:$AL190,MATCH(Lists!$F$5,$A$1:$AL$1,0)),9,2))))),"")))</f>
        <v/>
      </c>
      <c r="AU190" s="21">
        <f>IF(IFERROR(TRIM(INDEX($A190:$AL190,MATCH(Lists!$F$2,$A$1:$AL$1,0))&amp;""),"")="",-1,IF(ISNUMBER(IFERROR(IF(TRIM(INDEX($A190:$AL190,MATCH(Lists!$F$6,$A$1:$AL$1,0))&amp;"")="","",IF(ISNUMBER(INDEX($A190:$AL190,MATCH(Lists!$F$6,$A$1:$AL$1,0))),ROUND(MOD(INDEX($A190:$AL190,MATCH(Lists!$F$6,$A$1:$AL$1,0)),1)*1440,0),VALUE(LEFT(INDEX($A190:$AL190,MATCH(Lists!$F$6,$A$1:$AL$1,0)),2))*60+VALUE(MID(INDEX($A190:$AL190,MATCH(Lists!$F$6,$A$1:$AL$1,0)),4,2)))),"")),IFERROR(IF(TRIM(INDEX($A190:$AL190,MATCH(Lists!$F$6,$A$1:$AL$1,0))&amp;"")="","",IF(ISNUMBER(INDEX($A190:$AL190,MATCH(Lists!$F$6,$A$1:$AL$1,0))),ROUND(MOD(INDEX($A190:$AL190,MATCH(Lists!$F$6,$A$1:$AL$1,0)),1)*1440,0),VALUE(LEFT(INDEX($A190:$AL190,MATCH(Lists!$F$6,$A$1:$AL$1,0)),2))*60+VALUE(MID(INDEX($A190:$AL190,MATCH(Lists!$F$6,$A$1:$AL$1,0)),4,2)))),""),-1))</f>
        <v/>
      </c>
      <c r="AV190" s="21">
        <f>IF(IFERROR(TRIM(INDEX($A190:$AL190,MATCH(Lists!$F$2,$A$1:$AL$1,0))&amp;""),"")="",-1,IF(ISNUMBER(IFERROR(IF(TRIM(INDEX($A190:$AL190,MATCH(Lists!$F$7,$A$1:$AL$1,0))&amp;"")="","",IF(ISNUMBER(INDEX($A190:$AL190,MATCH(Lists!$F$7,$A$1:$AL$1,0))),ROUND(MOD(INDEX($A190:$AL190,MATCH(Lists!$F$7,$A$1:$AL$1,0)),1)*1440,0),VALUE(LEFT(INDEX($A190:$AL190,MATCH(Lists!$F$7,$A$1:$AL$1,0)),2))*60+VALUE(MID(INDEX($A190:$AL190,MATCH(Lists!$F$7,$A$1:$AL$1,0)),4,2)))),"")),IFERROR(IF(TRIM(INDEX($A190:$AL190,MATCH(Lists!$F$7,$A$1:$AL$1,0))&amp;"")="","",IF(ISNUMBER(INDEX($A190:$AL190,MATCH(Lists!$F$7,$A$1:$AL$1,0))),ROUND(MOD(INDEX($A190:$AL190,MATCH(Lists!$F$7,$A$1:$AL$1,0)),1)*1440,0),VALUE(LEFT(INDEX($A190:$AL190,MATCH(Lists!$F$7,$A$1:$AL$1,0)),2))*60+VALUE(MID(INDEX($A190:$AL190,MATCH(Lists!$F$7,$A$1:$AL$1,0)),4,2)))),""),-1))</f>
        <v/>
      </c>
      <c r="AW190" s="21">
        <f>IF(IFERROR(TRIM(INDEX($A190:$AL190,MATCH(Lists!$F$2,$A$1:$AL$1,0))&amp;""),"")="","",IF(IFERROR(TRIM(INDEX($A190:$AL190,MATCH(Lists!$F$8,$A$1:$AL$1,0))&amp;""),"")&lt;&gt;"",IFERROR(TRIM(INDEX($A190:$AL190,MATCH(Lists!$F$8,$A$1:$AL$1,0))&amp;""),""),IFERROR(TRIM(INDEX($A190:$AL190,MATCH(Lists!$F$9,$A$1:$AL$1,0))&amp;""),"")))</f>
        <v/>
      </c>
      <c r="AX190" s="21">
        <f>IFERROR(IF(TRIM(INDEX($A190:$AL190,MATCH(Lists!$F$10,$A$1:$AL$1,0))&amp;"")="","",VALUE(TRIM(INDEX($A190:$AL190,MATCH(Lists!$F$10,$A$1:$AL$1,0))&amp;""))),"")</f>
        <v/>
      </c>
      <c r="AY190" s="21">
        <f>IF(IFERROR(TRIM(INDEX($A190:$AL190,MATCH(Lists!$F$2,$A$1:$AL$1,0))&amp;""),"")="","",IF(AN190="","New",AN190))</f>
        <v/>
      </c>
      <c r="AZ190" s="21">
        <f>IF(IFERROR(TRIM(INDEX($A190:$AL190,MATCH(Lists!$F$2,$A$1:$AL$1,0))&amp;""),"")="","",IF(OR(IFERROR(TRIM(INDEX($A190:$AL190,MATCH(Lists!$F$13,$A$1:$AL$1,0))&amp;""),"")="Paid",IFERROR(TRIM(INDEX($A190:$AL190,MATCH(Lists!$F$13,$A$1:$AL$1,0))&amp;""),"")="Partially refunded"),"Paid",IF(AP190="Yes","Paid (by hand)",IFERROR(TRIM(INDEX($A190:$AL190,MATCH(Lists!$F$13,$A$1:$AL$1,0))&amp;""),""))))</f>
        <v/>
      </c>
      <c r="BA190" s="21">
        <f>IF(AND(IFERROR(TRIM(INDEX($A190:$AL190,MATCH(Lists!$F$2,$A$1:$AL$1,0))&amp;""),"")&lt;&gt;"",AT190&gt;0,AU190&gt;=0,AV190&gt;AU190,AY190&lt;&gt;"Declined"),1,0)</f>
        <v/>
      </c>
      <c r="BB190" s="21">
        <f>IF(BA190=1,COUNTIFS($AS$2:$AS$501,AS190,$AT$2:$AT$501,AT190,$AU$2:$AU$501,"&lt;"&amp;AV190,$AV$2:$AV$501,"&gt;"&amp;AU190,$BA$2:$BA$501,1)-1,"")</f>
        <v/>
      </c>
      <c r="BC190" s="21">
        <f>IF(N(BB190)&gt;0,"Clashes with "&amp;INDEX($AW$2:$AW$501,SUMPRODUCT(MAX(($AS$2:$AS$501=AS190)*($AT$2:$AT$501=AT190)*($AU$2:$AU$501&lt;AV190)*($AV$2:$AV$501&gt;AU190)*($BA$2:$BA$501=1)*(ROW($AS$2:$AS$501)&lt;&gt;ROW())*ROW($AS$2:$AS$501)))-1)&amp;" ("&amp;INDEX($AY$2:$AY$501,SUMPRODUCT(MAX(($AS$2:$AS$501=AS190)*($AT$2:$AT$501=AT190)*($AU$2:$AU$501&lt;AV190)*($AV$2:$AV$501&gt;AU190)*($BA$2:$BA$501=1)*(ROW($AS$2:$AS$501)&lt;&gt;ROW())*ROW($AS$2:$AS$501)))-1)&amp;")"&amp;IF(BB190&gt;1," and "&amp;(BB190-1)&amp;" more",""),"")</f>
        <v/>
      </c>
      <c r="BD190" s="21">
        <f>IF(AND(BA190=1,AY190="Confirmed"),AT190*10000000+AU190*1000+ROW(),"")</f>
        <v/>
      </c>
      <c r="BE190" s="21">
        <f>IF(IFERROR(TRIM(INDEX($A190:$AL190,MATCH(Lists!$F$2,$A$1:$AL$1,0))&amp;""),"")="","",IFERROR(TRIM(INDEX($A190:$AL190,MATCH(Lists!$F$11,$A$1:$AL$1,0))&amp;""),""))</f>
        <v/>
      </c>
      <c r="BF190" s="21">
        <f>IF(IFERROR(TRIM(INDEX($A190:$AL190,MATCH(Lists!$F$2,$A$1:$AL$1,0))&amp;""),"")="","",IFERROR(TRIM(INDEX($A190:$AL190,MATCH(Lists!$F$12,$A$1:$AL$1,0))&amp;""),""))</f>
        <v/>
      </c>
    </row>
    <row r="191">
      <c r="AM191" s="19" t="n"/>
      <c r="AN191" s="23" t="n"/>
      <c r="AO191" s="23" t="n"/>
      <c r="AP191" s="23" t="n"/>
      <c r="AQ191" s="23" t="n"/>
      <c r="AR191" s="19" t="n"/>
      <c r="AS191" s="21">
        <f>IF(IFERROR(TRIM(INDEX($A191:$AL191,MATCH(Lists!$F$2,$A$1:$AL$1,0))&amp;""),"")="","",IF(AND(IFERROR(TRIM(INDEX($A191:$AL191,MATCH(Lists!$F$3,$A$1:$AL$1,0))&amp;""),"")="Other",IFERROR(TRIM(INDEX($A191:$AL191,MATCH(Lists!$F$4,$A$1:$AL$1,0))&amp;""),"")&lt;&gt;""),IFERROR(TRIM(INDEX($A191:$AL191,MATCH(Lists!$F$4,$A$1:$AL$1,0))&amp;""),""),IF(IFERROR(TRIM(INDEX($A191:$AL191,MATCH(Lists!$F$3,$A$1:$AL$1,0))&amp;""),"")="","(no space)",IFERROR(TRIM(INDEX($A191:$AL191,MATCH(Lists!$F$3,$A$1:$AL$1,0))&amp;""),""))))</f>
        <v/>
      </c>
      <c r="AT191" s="22">
        <f>IF(IFERROR(TRIM(INDEX($A191:$AL191,MATCH(Lists!$F$2,$A$1:$AL$1,0))&amp;""),"")="",0,N(IFERROR(IF(TRIM(INDEX($A191:$AL191,MATCH(Lists!$F$5,$A$1:$AL$1,0))&amp;"")="","",IF(ISNUMBER(INDEX($A191:$AL191,MATCH(Lists!$F$5,$A$1:$AL$1,0))),INT(INDEX($A191:$AL191,MATCH(Lists!$F$5,$A$1:$AL$1,0))),DATE(VALUE(LEFT(INDEX($A191:$AL191,MATCH(Lists!$F$5,$A$1:$AL$1,0)),4)),VALUE(MID(INDEX($A191:$AL191,MATCH(Lists!$F$5,$A$1:$AL$1,0)),6,2)),VALUE(MID(INDEX($A191:$AL191,MATCH(Lists!$F$5,$A$1:$AL$1,0)),9,2))))),"")))</f>
        <v/>
      </c>
      <c r="AU191" s="21">
        <f>IF(IFERROR(TRIM(INDEX($A191:$AL191,MATCH(Lists!$F$2,$A$1:$AL$1,0))&amp;""),"")="",-1,IF(ISNUMBER(IFERROR(IF(TRIM(INDEX($A191:$AL191,MATCH(Lists!$F$6,$A$1:$AL$1,0))&amp;"")="","",IF(ISNUMBER(INDEX($A191:$AL191,MATCH(Lists!$F$6,$A$1:$AL$1,0))),ROUND(MOD(INDEX($A191:$AL191,MATCH(Lists!$F$6,$A$1:$AL$1,0)),1)*1440,0),VALUE(LEFT(INDEX($A191:$AL191,MATCH(Lists!$F$6,$A$1:$AL$1,0)),2))*60+VALUE(MID(INDEX($A191:$AL191,MATCH(Lists!$F$6,$A$1:$AL$1,0)),4,2)))),"")),IFERROR(IF(TRIM(INDEX($A191:$AL191,MATCH(Lists!$F$6,$A$1:$AL$1,0))&amp;"")="","",IF(ISNUMBER(INDEX($A191:$AL191,MATCH(Lists!$F$6,$A$1:$AL$1,0))),ROUND(MOD(INDEX($A191:$AL191,MATCH(Lists!$F$6,$A$1:$AL$1,0)),1)*1440,0),VALUE(LEFT(INDEX($A191:$AL191,MATCH(Lists!$F$6,$A$1:$AL$1,0)),2))*60+VALUE(MID(INDEX($A191:$AL191,MATCH(Lists!$F$6,$A$1:$AL$1,0)),4,2)))),""),-1))</f>
        <v/>
      </c>
      <c r="AV191" s="21">
        <f>IF(IFERROR(TRIM(INDEX($A191:$AL191,MATCH(Lists!$F$2,$A$1:$AL$1,0))&amp;""),"")="",-1,IF(ISNUMBER(IFERROR(IF(TRIM(INDEX($A191:$AL191,MATCH(Lists!$F$7,$A$1:$AL$1,0))&amp;"")="","",IF(ISNUMBER(INDEX($A191:$AL191,MATCH(Lists!$F$7,$A$1:$AL$1,0))),ROUND(MOD(INDEX($A191:$AL191,MATCH(Lists!$F$7,$A$1:$AL$1,0)),1)*1440,0),VALUE(LEFT(INDEX($A191:$AL191,MATCH(Lists!$F$7,$A$1:$AL$1,0)),2))*60+VALUE(MID(INDEX($A191:$AL191,MATCH(Lists!$F$7,$A$1:$AL$1,0)),4,2)))),"")),IFERROR(IF(TRIM(INDEX($A191:$AL191,MATCH(Lists!$F$7,$A$1:$AL$1,0))&amp;"")="","",IF(ISNUMBER(INDEX($A191:$AL191,MATCH(Lists!$F$7,$A$1:$AL$1,0))),ROUND(MOD(INDEX($A191:$AL191,MATCH(Lists!$F$7,$A$1:$AL$1,0)),1)*1440,0),VALUE(LEFT(INDEX($A191:$AL191,MATCH(Lists!$F$7,$A$1:$AL$1,0)),2))*60+VALUE(MID(INDEX($A191:$AL191,MATCH(Lists!$F$7,$A$1:$AL$1,0)),4,2)))),""),-1))</f>
        <v/>
      </c>
      <c r="AW191" s="21">
        <f>IF(IFERROR(TRIM(INDEX($A191:$AL191,MATCH(Lists!$F$2,$A$1:$AL$1,0))&amp;""),"")="","",IF(IFERROR(TRIM(INDEX($A191:$AL191,MATCH(Lists!$F$8,$A$1:$AL$1,0))&amp;""),"")&lt;&gt;"",IFERROR(TRIM(INDEX($A191:$AL191,MATCH(Lists!$F$8,$A$1:$AL$1,0))&amp;""),""),IFERROR(TRIM(INDEX($A191:$AL191,MATCH(Lists!$F$9,$A$1:$AL$1,0))&amp;""),"")))</f>
        <v/>
      </c>
      <c r="AX191" s="21">
        <f>IFERROR(IF(TRIM(INDEX($A191:$AL191,MATCH(Lists!$F$10,$A$1:$AL$1,0))&amp;"")="","",VALUE(TRIM(INDEX($A191:$AL191,MATCH(Lists!$F$10,$A$1:$AL$1,0))&amp;""))),"")</f>
        <v/>
      </c>
      <c r="AY191" s="21">
        <f>IF(IFERROR(TRIM(INDEX($A191:$AL191,MATCH(Lists!$F$2,$A$1:$AL$1,0))&amp;""),"")="","",IF(AN191="","New",AN191))</f>
        <v/>
      </c>
      <c r="AZ191" s="21">
        <f>IF(IFERROR(TRIM(INDEX($A191:$AL191,MATCH(Lists!$F$2,$A$1:$AL$1,0))&amp;""),"")="","",IF(OR(IFERROR(TRIM(INDEX($A191:$AL191,MATCH(Lists!$F$13,$A$1:$AL$1,0))&amp;""),"")="Paid",IFERROR(TRIM(INDEX($A191:$AL191,MATCH(Lists!$F$13,$A$1:$AL$1,0))&amp;""),"")="Partially refunded"),"Paid",IF(AP191="Yes","Paid (by hand)",IFERROR(TRIM(INDEX($A191:$AL191,MATCH(Lists!$F$13,$A$1:$AL$1,0))&amp;""),""))))</f>
        <v/>
      </c>
      <c r="BA191" s="21">
        <f>IF(AND(IFERROR(TRIM(INDEX($A191:$AL191,MATCH(Lists!$F$2,$A$1:$AL$1,0))&amp;""),"")&lt;&gt;"",AT191&gt;0,AU191&gt;=0,AV191&gt;AU191,AY191&lt;&gt;"Declined"),1,0)</f>
        <v/>
      </c>
      <c r="BB191" s="21">
        <f>IF(BA191=1,COUNTIFS($AS$2:$AS$501,AS191,$AT$2:$AT$501,AT191,$AU$2:$AU$501,"&lt;"&amp;AV191,$AV$2:$AV$501,"&gt;"&amp;AU191,$BA$2:$BA$501,1)-1,"")</f>
        <v/>
      </c>
      <c r="BC191" s="21">
        <f>IF(N(BB191)&gt;0,"Clashes with "&amp;INDEX($AW$2:$AW$501,SUMPRODUCT(MAX(($AS$2:$AS$501=AS191)*($AT$2:$AT$501=AT191)*($AU$2:$AU$501&lt;AV191)*($AV$2:$AV$501&gt;AU191)*($BA$2:$BA$501=1)*(ROW($AS$2:$AS$501)&lt;&gt;ROW())*ROW($AS$2:$AS$501)))-1)&amp;" ("&amp;INDEX($AY$2:$AY$501,SUMPRODUCT(MAX(($AS$2:$AS$501=AS191)*($AT$2:$AT$501=AT191)*($AU$2:$AU$501&lt;AV191)*($AV$2:$AV$501&gt;AU191)*($BA$2:$BA$501=1)*(ROW($AS$2:$AS$501)&lt;&gt;ROW())*ROW($AS$2:$AS$501)))-1)&amp;")"&amp;IF(BB191&gt;1," and "&amp;(BB191-1)&amp;" more",""),"")</f>
        <v/>
      </c>
      <c r="BD191" s="21">
        <f>IF(AND(BA191=1,AY191="Confirmed"),AT191*10000000+AU191*1000+ROW(),"")</f>
        <v/>
      </c>
      <c r="BE191" s="21">
        <f>IF(IFERROR(TRIM(INDEX($A191:$AL191,MATCH(Lists!$F$2,$A$1:$AL$1,0))&amp;""),"")="","",IFERROR(TRIM(INDEX($A191:$AL191,MATCH(Lists!$F$11,$A$1:$AL$1,0))&amp;""),""))</f>
        <v/>
      </c>
      <c r="BF191" s="21">
        <f>IF(IFERROR(TRIM(INDEX($A191:$AL191,MATCH(Lists!$F$2,$A$1:$AL$1,0))&amp;""),"")="","",IFERROR(TRIM(INDEX($A191:$AL191,MATCH(Lists!$F$12,$A$1:$AL$1,0))&amp;""),""))</f>
        <v/>
      </c>
    </row>
    <row r="192">
      <c r="AM192" s="19" t="n"/>
      <c r="AN192" s="23" t="n"/>
      <c r="AO192" s="23" t="n"/>
      <c r="AP192" s="23" t="n"/>
      <c r="AQ192" s="23" t="n"/>
      <c r="AR192" s="19" t="n"/>
      <c r="AS192" s="21">
        <f>IF(IFERROR(TRIM(INDEX($A192:$AL192,MATCH(Lists!$F$2,$A$1:$AL$1,0))&amp;""),"")="","",IF(AND(IFERROR(TRIM(INDEX($A192:$AL192,MATCH(Lists!$F$3,$A$1:$AL$1,0))&amp;""),"")="Other",IFERROR(TRIM(INDEX($A192:$AL192,MATCH(Lists!$F$4,$A$1:$AL$1,0))&amp;""),"")&lt;&gt;""),IFERROR(TRIM(INDEX($A192:$AL192,MATCH(Lists!$F$4,$A$1:$AL$1,0))&amp;""),""),IF(IFERROR(TRIM(INDEX($A192:$AL192,MATCH(Lists!$F$3,$A$1:$AL$1,0))&amp;""),"")="","(no space)",IFERROR(TRIM(INDEX($A192:$AL192,MATCH(Lists!$F$3,$A$1:$AL$1,0))&amp;""),""))))</f>
        <v/>
      </c>
      <c r="AT192" s="22">
        <f>IF(IFERROR(TRIM(INDEX($A192:$AL192,MATCH(Lists!$F$2,$A$1:$AL$1,0))&amp;""),"")="",0,N(IFERROR(IF(TRIM(INDEX($A192:$AL192,MATCH(Lists!$F$5,$A$1:$AL$1,0))&amp;"")="","",IF(ISNUMBER(INDEX($A192:$AL192,MATCH(Lists!$F$5,$A$1:$AL$1,0))),INT(INDEX($A192:$AL192,MATCH(Lists!$F$5,$A$1:$AL$1,0))),DATE(VALUE(LEFT(INDEX($A192:$AL192,MATCH(Lists!$F$5,$A$1:$AL$1,0)),4)),VALUE(MID(INDEX($A192:$AL192,MATCH(Lists!$F$5,$A$1:$AL$1,0)),6,2)),VALUE(MID(INDEX($A192:$AL192,MATCH(Lists!$F$5,$A$1:$AL$1,0)),9,2))))),"")))</f>
        <v/>
      </c>
      <c r="AU192" s="21">
        <f>IF(IFERROR(TRIM(INDEX($A192:$AL192,MATCH(Lists!$F$2,$A$1:$AL$1,0))&amp;""),"")="",-1,IF(ISNUMBER(IFERROR(IF(TRIM(INDEX($A192:$AL192,MATCH(Lists!$F$6,$A$1:$AL$1,0))&amp;"")="","",IF(ISNUMBER(INDEX($A192:$AL192,MATCH(Lists!$F$6,$A$1:$AL$1,0))),ROUND(MOD(INDEX($A192:$AL192,MATCH(Lists!$F$6,$A$1:$AL$1,0)),1)*1440,0),VALUE(LEFT(INDEX($A192:$AL192,MATCH(Lists!$F$6,$A$1:$AL$1,0)),2))*60+VALUE(MID(INDEX($A192:$AL192,MATCH(Lists!$F$6,$A$1:$AL$1,0)),4,2)))),"")),IFERROR(IF(TRIM(INDEX($A192:$AL192,MATCH(Lists!$F$6,$A$1:$AL$1,0))&amp;"")="","",IF(ISNUMBER(INDEX($A192:$AL192,MATCH(Lists!$F$6,$A$1:$AL$1,0))),ROUND(MOD(INDEX($A192:$AL192,MATCH(Lists!$F$6,$A$1:$AL$1,0)),1)*1440,0),VALUE(LEFT(INDEX($A192:$AL192,MATCH(Lists!$F$6,$A$1:$AL$1,0)),2))*60+VALUE(MID(INDEX($A192:$AL192,MATCH(Lists!$F$6,$A$1:$AL$1,0)),4,2)))),""),-1))</f>
        <v/>
      </c>
      <c r="AV192" s="21">
        <f>IF(IFERROR(TRIM(INDEX($A192:$AL192,MATCH(Lists!$F$2,$A$1:$AL$1,0))&amp;""),"")="",-1,IF(ISNUMBER(IFERROR(IF(TRIM(INDEX($A192:$AL192,MATCH(Lists!$F$7,$A$1:$AL$1,0))&amp;"")="","",IF(ISNUMBER(INDEX($A192:$AL192,MATCH(Lists!$F$7,$A$1:$AL$1,0))),ROUND(MOD(INDEX($A192:$AL192,MATCH(Lists!$F$7,$A$1:$AL$1,0)),1)*1440,0),VALUE(LEFT(INDEX($A192:$AL192,MATCH(Lists!$F$7,$A$1:$AL$1,0)),2))*60+VALUE(MID(INDEX($A192:$AL192,MATCH(Lists!$F$7,$A$1:$AL$1,0)),4,2)))),"")),IFERROR(IF(TRIM(INDEX($A192:$AL192,MATCH(Lists!$F$7,$A$1:$AL$1,0))&amp;"")="","",IF(ISNUMBER(INDEX($A192:$AL192,MATCH(Lists!$F$7,$A$1:$AL$1,0))),ROUND(MOD(INDEX($A192:$AL192,MATCH(Lists!$F$7,$A$1:$AL$1,0)),1)*1440,0),VALUE(LEFT(INDEX($A192:$AL192,MATCH(Lists!$F$7,$A$1:$AL$1,0)),2))*60+VALUE(MID(INDEX($A192:$AL192,MATCH(Lists!$F$7,$A$1:$AL$1,0)),4,2)))),""),-1))</f>
        <v/>
      </c>
      <c r="AW192" s="21">
        <f>IF(IFERROR(TRIM(INDEX($A192:$AL192,MATCH(Lists!$F$2,$A$1:$AL$1,0))&amp;""),"")="","",IF(IFERROR(TRIM(INDEX($A192:$AL192,MATCH(Lists!$F$8,$A$1:$AL$1,0))&amp;""),"")&lt;&gt;"",IFERROR(TRIM(INDEX($A192:$AL192,MATCH(Lists!$F$8,$A$1:$AL$1,0))&amp;""),""),IFERROR(TRIM(INDEX($A192:$AL192,MATCH(Lists!$F$9,$A$1:$AL$1,0))&amp;""),"")))</f>
        <v/>
      </c>
      <c r="AX192" s="21">
        <f>IFERROR(IF(TRIM(INDEX($A192:$AL192,MATCH(Lists!$F$10,$A$1:$AL$1,0))&amp;"")="","",VALUE(TRIM(INDEX($A192:$AL192,MATCH(Lists!$F$10,$A$1:$AL$1,0))&amp;""))),"")</f>
        <v/>
      </c>
      <c r="AY192" s="21">
        <f>IF(IFERROR(TRIM(INDEX($A192:$AL192,MATCH(Lists!$F$2,$A$1:$AL$1,0))&amp;""),"")="","",IF(AN192="","New",AN192))</f>
        <v/>
      </c>
      <c r="AZ192" s="21">
        <f>IF(IFERROR(TRIM(INDEX($A192:$AL192,MATCH(Lists!$F$2,$A$1:$AL$1,0))&amp;""),"")="","",IF(OR(IFERROR(TRIM(INDEX($A192:$AL192,MATCH(Lists!$F$13,$A$1:$AL$1,0))&amp;""),"")="Paid",IFERROR(TRIM(INDEX($A192:$AL192,MATCH(Lists!$F$13,$A$1:$AL$1,0))&amp;""),"")="Partially refunded"),"Paid",IF(AP192="Yes","Paid (by hand)",IFERROR(TRIM(INDEX($A192:$AL192,MATCH(Lists!$F$13,$A$1:$AL$1,0))&amp;""),""))))</f>
        <v/>
      </c>
      <c r="BA192" s="21">
        <f>IF(AND(IFERROR(TRIM(INDEX($A192:$AL192,MATCH(Lists!$F$2,$A$1:$AL$1,0))&amp;""),"")&lt;&gt;"",AT192&gt;0,AU192&gt;=0,AV192&gt;AU192,AY192&lt;&gt;"Declined"),1,0)</f>
        <v/>
      </c>
      <c r="BB192" s="21">
        <f>IF(BA192=1,COUNTIFS($AS$2:$AS$501,AS192,$AT$2:$AT$501,AT192,$AU$2:$AU$501,"&lt;"&amp;AV192,$AV$2:$AV$501,"&gt;"&amp;AU192,$BA$2:$BA$501,1)-1,"")</f>
        <v/>
      </c>
      <c r="BC192" s="21">
        <f>IF(N(BB192)&gt;0,"Clashes with "&amp;INDEX($AW$2:$AW$501,SUMPRODUCT(MAX(($AS$2:$AS$501=AS192)*($AT$2:$AT$501=AT192)*($AU$2:$AU$501&lt;AV192)*($AV$2:$AV$501&gt;AU192)*($BA$2:$BA$501=1)*(ROW($AS$2:$AS$501)&lt;&gt;ROW())*ROW($AS$2:$AS$501)))-1)&amp;" ("&amp;INDEX($AY$2:$AY$501,SUMPRODUCT(MAX(($AS$2:$AS$501=AS192)*($AT$2:$AT$501=AT192)*($AU$2:$AU$501&lt;AV192)*($AV$2:$AV$501&gt;AU192)*($BA$2:$BA$501=1)*(ROW($AS$2:$AS$501)&lt;&gt;ROW())*ROW($AS$2:$AS$501)))-1)&amp;")"&amp;IF(BB192&gt;1," and "&amp;(BB192-1)&amp;" more",""),"")</f>
        <v/>
      </c>
      <c r="BD192" s="21">
        <f>IF(AND(BA192=1,AY192="Confirmed"),AT192*10000000+AU192*1000+ROW(),"")</f>
        <v/>
      </c>
      <c r="BE192" s="21">
        <f>IF(IFERROR(TRIM(INDEX($A192:$AL192,MATCH(Lists!$F$2,$A$1:$AL$1,0))&amp;""),"")="","",IFERROR(TRIM(INDEX($A192:$AL192,MATCH(Lists!$F$11,$A$1:$AL$1,0))&amp;""),""))</f>
        <v/>
      </c>
      <c r="BF192" s="21">
        <f>IF(IFERROR(TRIM(INDEX($A192:$AL192,MATCH(Lists!$F$2,$A$1:$AL$1,0))&amp;""),"")="","",IFERROR(TRIM(INDEX($A192:$AL192,MATCH(Lists!$F$12,$A$1:$AL$1,0))&amp;""),""))</f>
        <v/>
      </c>
    </row>
    <row r="193">
      <c r="AM193" s="19" t="n"/>
      <c r="AN193" s="23" t="n"/>
      <c r="AO193" s="23" t="n"/>
      <c r="AP193" s="23" t="n"/>
      <c r="AQ193" s="23" t="n"/>
      <c r="AR193" s="19" t="n"/>
      <c r="AS193" s="21">
        <f>IF(IFERROR(TRIM(INDEX($A193:$AL193,MATCH(Lists!$F$2,$A$1:$AL$1,0))&amp;""),"")="","",IF(AND(IFERROR(TRIM(INDEX($A193:$AL193,MATCH(Lists!$F$3,$A$1:$AL$1,0))&amp;""),"")="Other",IFERROR(TRIM(INDEX($A193:$AL193,MATCH(Lists!$F$4,$A$1:$AL$1,0))&amp;""),"")&lt;&gt;""),IFERROR(TRIM(INDEX($A193:$AL193,MATCH(Lists!$F$4,$A$1:$AL$1,0))&amp;""),""),IF(IFERROR(TRIM(INDEX($A193:$AL193,MATCH(Lists!$F$3,$A$1:$AL$1,0))&amp;""),"")="","(no space)",IFERROR(TRIM(INDEX($A193:$AL193,MATCH(Lists!$F$3,$A$1:$AL$1,0))&amp;""),""))))</f>
        <v/>
      </c>
      <c r="AT193" s="22">
        <f>IF(IFERROR(TRIM(INDEX($A193:$AL193,MATCH(Lists!$F$2,$A$1:$AL$1,0))&amp;""),"")="",0,N(IFERROR(IF(TRIM(INDEX($A193:$AL193,MATCH(Lists!$F$5,$A$1:$AL$1,0))&amp;"")="","",IF(ISNUMBER(INDEX($A193:$AL193,MATCH(Lists!$F$5,$A$1:$AL$1,0))),INT(INDEX($A193:$AL193,MATCH(Lists!$F$5,$A$1:$AL$1,0))),DATE(VALUE(LEFT(INDEX($A193:$AL193,MATCH(Lists!$F$5,$A$1:$AL$1,0)),4)),VALUE(MID(INDEX($A193:$AL193,MATCH(Lists!$F$5,$A$1:$AL$1,0)),6,2)),VALUE(MID(INDEX($A193:$AL193,MATCH(Lists!$F$5,$A$1:$AL$1,0)),9,2))))),"")))</f>
        <v/>
      </c>
      <c r="AU193" s="21">
        <f>IF(IFERROR(TRIM(INDEX($A193:$AL193,MATCH(Lists!$F$2,$A$1:$AL$1,0))&amp;""),"")="",-1,IF(ISNUMBER(IFERROR(IF(TRIM(INDEX($A193:$AL193,MATCH(Lists!$F$6,$A$1:$AL$1,0))&amp;"")="","",IF(ISNUMBER(INDEX($A193:$AL193,MATCH(Lists!$F$6,$A$1:$AL$1,0))),ROUND(MOD(INDEX($A193:$AL193,MATCH(Lists!$F$6,$A$1:$AL$1,0)),1)*1440,0),VALUE(LEFT(INDEX($A193:$AL193,MATCH(Lists!$F$6,$A$1:$AL$1,0)),2))*60+VALUE(MID(INDEX($A193:$AL193,MATCH(Lists!$F$6,$A$1:$AL$1,0)),4,2)))),"")),IFERROR(IF(TRIM(INDEX($A193:$AL193,MATCH(Lists!$F$6,$A$1:$AL$1,0))&amp;"")="","",IF(ISNUMBER(INDEX($A193:$AL193,MATCH(Lists!$F$6,$A$1:$AL$1,0))),ROUND(MOD(INDEX($A193:$AL193,MATCH(Lists!$F$6,$A$1:$AL$1,0)),1)*1440,0),VALUE(LEFT(INDEX($A193:$AL193,MATCH(Lists!$F$6,$A$1:$AL$1,0)),2))*60+VALUE(MID(INDEX($A193:$AL193,MATCH(Lists!$F$6,$A$1:$AL$1,0)),4,2)))),""),-1))</f>
        <v/>
      </c>
      <c r="AV193" s="21">
        <f>IF(IFERROR(TRIM(INDEX($A193:$AL193,MATCH(Lists!$F$2,$A$1:$AL$1,0))&amp;""),"")="",-1,IF(ISNUMBER(IFERROR(IF(TRIM(INDEX($A193:$AL193,MATCH(Lists!$F$7,$A$1:$AL$1,0))&amp;"")="","",IF(ISNUMBER(INDEX($A193:$AL193,MATCH(Lists!$F$7,$A$1:$AL$1,0))),ROUND(MOD(INDEX($A193:$AL193,MATCH(Lists!$F$7,$A$1:$AL$1,0)),1)*1440,0),VALUE(LEFT(INDEX($A193:$AL193,MATCH(Lists!$F$7,$A$1:$AL$1,0)),2))*60+VALUE(MID(INDEX($A193:$AL193,MATCH(Lists!$F$7,$A$1:$AL$1,0)),4,2)))),"")),IFERROR(IF(TRIM(INDEX($A193:$AL193,MATCH(Lists!$F$7,$A$1:$AL$1,0))&amp;"")="","",IF(ISNUMBER(INDEX($A193:$AL193,MATCH(Lists!$F$7,$A$1:$AL$1,0))),ROUND(MOD(INDEX($A193:$AL193,MATCH(Lists!$F$7,$A$1:$AL$1,0)),1)*1440,0),VALUE(LEFT(INDEX($A193:$AL193,MATCH(Lists!$F$7,$A$1:$AL$1,0)),2))*60+VALUE(MID(INDEX($A193:$AL193,MATCH(Lists!$F$7,$A$1:$AL$1,0)),4,2)))),""),-1))</f>
        <v/>
      </c>
      <c r="AW193" s="21">
        <f>IF(IFERROR(TRIM(INDEX($A193:$AL193,MATCH(Lists!$F$2,$A$1:$AL$1,0))&amp;""),"")="","",IF(IFERROR(TRIM(INDEX($A193:$AL193,MATCH(Lists!$F$8,$A$1:$AL$1,0))&amp;""),"")&lt;&gt;"",IFERROR(TRIM(INDEX($A193:$AL193,MATCH(Lists!$F$8,$A$1:$AL$1,0))&amp;""),""),IFERROR(TRIM(INDEX($A193:$AL193,MATCH(Lists!$F$9,$A$1:$AL$1,0))&amp;""),"")))</f>
        <v/>
      </c>
      <c r="AX193" s="21">
        <f>IFERROR(IF(TRIM(INDEX($A193:$AL193,MATCH(Lists!$F$10,$A$1:$AL$1,0))&amp;"")="","",VALUE(TRIM(INDEX($A193:$AL193,MATCH(Lists!$F$10,$A$1:$AL$1,0))&amp;""))),"")</f>
        <v/>
      </c>
      <c r="AY193" s="21">
        <f>IF(IFERROR(TRIM(INDEX($A193:$AL193,MATCH(Lists!$F$2,$A$1:$AL$1,0))&amp;""),"")="","",IF(AN193="","New",AN193))</f>
        <v/>
      </c>
      <c r="AZ193" s="21">
        <f>IF(IFERROR(TRIM(INDEX($A193:$AL193,MATCH(Lists!$F$2,$A$1:$AL$1,0))&amp;""),"")="","",IF(OR(IFERROR(TRIM(INDEX($A193:$AL193,MATCH(Lists!$F$13,$A$1:$AL$1,0))&amp;""),"")="Paid",IFERROR(TRIM(INDEX($A193:$AL193,MATCH(Lists!$F$13,$A$1:$AL$1,0))&amp;""),"")="Partially refunded"),"Paid",IF(AP193="Yes","Paid (by hand)",IFERROR(TRIM(INDEX($A193:$AL193,MATCH(Lists!$F$13,$A$1:$AL$1,0))&amp;""),""))))</f>
        <v/>
      </c>
      <c r="BA193" s="21">
        <f>IF(AND(IFERROR(TRIM(INDEX($A193:$AL193,MATCH(Lists!$F$2,$A$1:$AL$1,0))&amp;""),"")&lt;&gt;"",AT193&gt;0,AU193&gt;=0,AV193&gt;AU193,AY193&lt;&gt;"Declined"),1,0)</f>
        <v/>
      </c>
      <c r="BB193" s="21">
        <f>IF(BA193=1,COUNTIFS($AS$2:$AS$501,AS193,$AT$2:$AT$501,AT193,$AU$2:$AU$501,"&lt;"&amp;AV193,$AV$2:$AV$501,"&gt;"&amp;AU193,$BA$2:$BA$501,1)-1,"")</f>
        <v/>
      </c>
      <c r="BC193" s="21">
        <f>IF(N(BB193)&gt;0,"Clashes with "&amp;INDEX($AW$2:$AW$501,SUMPRODUCT(MAX(($AS$2:$AS$501=AS193)*($AT$2:$AT$501=AT193)*($AU$2:$AU$501&lt;AV193)*($AV$2:$AV$501&gt;AU193)*($BA$2:$BA$501=1)*(ROW($AS$2:$AS$501)&lt;&gt;ROW())*ROW($AS$2:$AS$501)))-1)&amp;" ("&amp;INDEX($AY$2:$AY$501,SUMPRODUCT(MAX(($AS$2:$AS$501=AS193)*($AT$2:$AT$501=AT193)*($AU$2:$AU$501&lt;AV193)*($AV$2:$AV$501&gt;AU193)*($BA$2:$BA$501=1)*(ROW($AS$2:$AS$501)&lt;&gt;ROW())*ROW($AS$2:$AS$501)))-1)&amp;")"&amp;IF(BB193&gt;1," and "&amp;(BB193-1)&amp;" more",""),"")</f>
        <v/>
      </c>
      <c r="BD193" s="21">
        <f>IF(AND(BA193=1,AY193="Confirmed"),AT193*10000000+AU193*1000+ROW(),"")</f>
        <v/>
      </c>
      <c r="BE193" s="21">
        <f>IF(IFERROR(TRIM(INDEX($A193:$AL193,MATCH(Lists!$F$2,$A$1:$AL$1,0))&amp;""),"")="","",IFERROR(TRIM(INDEX($A193:$AL193,MATCH(Lists!$F$11,$A$1:$AL$1,0))&amp;""),""))</f>
        <v/>
      </c>
      <c r="BF193" s="21">
        <f>IF(IFERROR(TRIM(INDEX($A193:$AL193,MATCH(Lists!$F$2,$A$1:$AL$1,0))&amp;""),"")="","",IFERROR(TRIM(INDEX($A193:$AL193,MATCH(Lists!$F$12,$A$1:$AL$1,0))&amp;""),""))</f>
        <v/>
      </c>
    </row>
    <row r="194">
      <c r="AM194" s="19" t="n"/>
      <c r="AN194" s="23" t="n"/>
      <c r="AO194" s="23" t="n"/>
      <c r="AP194" s="23" t="n"/>
      <c r="AQ194" s="23" t="n"/>
      <c r="AR194" s="19" t="n"/>
      <c r="AS194" s="21">
        <f>IF(IFERROR(TRIM(INDEX($A194:$AL194,MATCH(Lists!$F$2,$A$1:$AL$1,0))&amp;""),"")="","",IF(AND(IFERROR(TRIM(INDEX($A194:$AL194,MATCH(Lists!$F$3,$A$1:$AL$1,0))&amp;""),"")="Other",IFERROR(TRIM(INDEX($A194:$AL194,MATCH(Lists!$F$4,$A$1:$AL$1,0))&amp;""),"")&lt;&gt;""),IFERROR(TRIM(INDEX($A194:$AL194,MATCH(Lists!$F$4,$A$1:$AL$1,0))&amp;""),""),IF(IFERROR(TRIM(INDEX($A194:$AL194,MATCH(Lists!$F$3,$A$1:$AL$1,0))&amp;""),"")="","(no space)",IFERROR(TRIM(INDEX($A194:$AL194,MATCH(Lists!$F$3,$A$1:$AL$1,0))&amp;""),""))))</f>
        <v/>
      </c>
      <c r="AT194" s="22">
        <f>IF(IFERROR(TRIM(INDEX($A194:$AL194,MATCH(Lists!$F$2,$A$1:$AL$1,0))&amp;""),"")="",0,N(IFERROR(IF(TRIM(INDEX($A194:$AL194,MATCH(Lists!$F$5,$A$1:$AL$1,0))&amp;"")="","",IF(ISNUMBER(INDEX($A194:$AL194,MATCH(Lists!$F$5,$A$1:$AL$1,0))),INT(INDEX($A194:$AL194,MATCH(Lists!$F$5,$A$1:$AL$1,0))),DATE(VALUE(LEFT(INDEX($A194:$AL194,MATCH(Lists!$F$5,$A$1:$AL$1,0)),4)),VALUE(MID(INDEX($A194:$AL194,MATCH(Lists!$F$5,$A$1:$AL$1,0)),6,2)),VALUE(MID(INDEX($A194:$AL194,MATCH(Lists!$F$5,$A$1:$AL$1,0)),9,2))))),"")))</f>
        <v/>
      </c>
      <c r="AU194" s="21">
        <f>IF(IFERROR(TRIM(INDEX($A194:$AL194,MATCH(Lists!$F$2,$A$1:$AL$1,0))&amp;""),"")="",-1,IF(ISNUMBER(IFERROR(IF(TRIM(INDEX($A194:$AL194,MATCH(Lists!$F$6,$A$1:$AL$1,0))&amp;"")="","",IF(ISNUMBER(INDEX($A194:$AL194,MATCH(Lists!$F$6,$A$1:$AL$1,0))),ROUND(MOD(INDEX($A194:$AL194,MATCH(Lists!$F$6,$A$1:$AL$1,0)),1)*1440,0),VALUE(LEFT(INDEX($A194:$AL194,MATCH(Lists!$F$6,$A$1:$AL$1,0)),2))*60+VALUE(MID(INDEX($A194:$AL194,MATCH(Lists!$F$6,$A$1:$AL$1,0)),4,2)))),"")),IFERROR(IF(TRIM(INDEX($A194:$AL194,MATCH(Lists!$F$6,$A$1:$AL$1,0))&amp;"")="","",IF(ISNUMBER(INDEX($A194:$AL194,MATCH(Lists!$F$6,$A$1:$AL$1,0))),ROUND(MOD(INDEX($A194:$AL194,MATCH(Lists!$F$6,$A$1:$AL$1,0)),1)*1440,0),VALUE(LEFT(INDEX($A194:$AL194,MATCH(Lists!$F$6,$A$1:$AL$1,0)),2))*60+VALUE(MID(INDEX($A194:$AL194,MATCH(Lists!$F$6,$A$1:$AL$1,0)),4,2)))),""),-1))</f>
        <v/>
      </c>
      <c r="AV194" s="21">
        <f>IF(IFERROR(TRIM(INDEX($A194:$AL194,MATCH(Lists!$F$2,$A$1:$AL$1,0))&amp;""),"")="",-1,IF(ISNUMBER(IFERROR(IF(TRIM(INDEX($A194:$AL194,MATCH(Lists!$F$7,$A$1:$AL$1,0))&amp;"")="","",IF(ISNUMBER(INDEX($A194:$AL194,MATCH(Lists!$F$7,$A$1:$AL$1,0))),ROUND(MOD(INDEX($A194:$AL194,MATCH(Lists!$F$7,$A$1:$AL$1,0)),1)*1440,0),VALUE(LEFT(INDEX($A194:$AL194,MATCH(Lists!$F$7,$A$1:$AL$1,0)),2))*60+VALUE(MID(INDEX($A194:$AL194,MATCH(Lists!$F$7,$A$1:$AL$1,0)),4,2)))),"")),IFERROR(IF(TRIM(INDEX($A194:$AL194,MATCH(Lists!$F$7,$A$1:$AL$1,0))&amp;"")="","",IF(ISNUMBER(INDEX($A194:$AL194,MATCH(Lists!$F$7,$A$1:$AL$1,0))),ROUND(MOD(INDEX($A194:$AL194,MATCH(Lists!$F$7,$A$1:$AL$1,0)),1)*1440,0),VALUE(LEFT(INDEX($A194:$AL194,MATCH(Lists!$F$7,$A$1:$AL$1,0)),2))*60+VALUE(MID(INDEX($A194:$AL194,MATCH(Lists!$F$7,$A$1:$AL$1,0)),4,2)))),""),-1))</f>
        <v/>
      </c>
      <c r="AW194" s="21">
        <f>IF(IFERROR(TRIM(INDEX($A194:$AL194,MATCH(Lists!$F$2,$A$1:$AL$1,0))&amp;""),"")="","",IF(IFERROR(TRIM(INDEX($A194:$AL194,MATCH(Lists!$F$8,$A$1:$AL$1,0))&amp;""),"")&lt;&gt;"",IFERROR(TRIM(INDEX($A194:$AL194,MATCH(Lists!$F$8,$A$1:$AL$1,0))&amp;""),""),IFERROR(TRIM(INDEX($A194:$AL194,MATCH(Lists!$F$9,$A$1:$AL$1,0))&amp;""),"")))</f>
        <v/>
      </c>
      <c r="AX194" s="21">
        <f>IFERROR(IF(TRIM(INDEX($A194:$AL194,MATCH(Lists!$F$10,$A$1:$AL$1,0))&amp;"")="","",VALUE(TRIM(INDEX($A194:$AL194,MATCH(Lists!$F$10,$A$1:$AL$1,0))&amp;""))),"")</f>
        <v/>
      </c>
      <c r="AY194" s="21">
        <f>IF(IFERROR(TRIM(INDEX($A194:$AL194,MATCH(Lists!$F$2,$A$1:$AL$1,0))&amp;""),"")="","",IF(AN194="","New",AN194))</f>
        <v/>
      </c>
      <c r="AZ194" s="21">
        <f>IF(IFERROR(TRIM(INDEX($A194:$AL194,MATCH(Lists!$F$2,$A$1:$AL$1,0))&amp;""),"")="","",IF(OR(IFERROR(TRIM(INDEX($A194:$AL194,MATCH(Lists!$F$13,$A$1:$AL$1,0))&amp;""),"")="Paid",IFERROR(TRIM(INDEX($A194:$AL194,MATCH(Lists!$F$13,$A$1:$AL$1,0))&amp;""),"")="Partially refunded"),"Paid",IF(AP194="Yes","Paid (by hand)",IFERROR(TRIM(INDEX($A194:$AL194,MATCH(Lists!$F$13,$A$1:$AL$1,0))&amp;""),""))))</f>
        <v/>
      </c>
      <c r="BA194" s="21">
        <f>IF(AND(IFERROR(TRIM(INDEX($A194:$AL194,MATCH(Lists!$F$2,$A$1:$AL$1,0))&amp;""),"")&lt;&gt;"",AT194&gt;0,AU194&gt;=0,AV194&gt;AU194,AY194&lt;&gt;"Declined"),1,0)</f>
        <v/>
      </c>
      <c r="BB194" s="21">
        <f>IF(BA194=1,COUNTIFS($AS$2:$AS$501,AS194,$AT$2:$AT$501,AT194,$AU$2:$AU$501,"&lt;"&amp;AV194,$AV$2:$AV$501,"&gt;"&amp;AU194,$BA$2:$BA$501,1)-1,"")</f>
        <v/>
      </c>
      <c r="BC194" s="21">
        <f>IF(N(BB194)&gt;0,"Clashes with "&amp;INDEX($AW$2:$AW$501,SUMPRODUCT(MAX(($AS$2:$AS$501=AS194)*($AT$2:$AT$501=AT194)*($AU$2:$AU$501&lt;AV194)*($AV$2:$AV$501&gt;AU194)*($BA$2:$BA$501=1)*(ROW($AS$2:$AS$501)&lt;&gt;ROW())*ROW($AS$2:$AS$501)))-1)&amp;" ("&amp;INDEX($AY$2:$AY$501,SUMPRODUCT(MAX(($AS$2:$AS$501=AS194)*($AT$2:$AT$501=AT194)*($AU$2:$AU$501&lt;AV194)*($AV$2:$AV$501&gt;AU194)*($BA$2:$BA$501=1)*(ROW($AS$2:$AS$501)&lt;&gt;ROW())*ROW($AS$2:$AS$501)))-1)&amp;")"&amp;IF(BB194&gt;1," and "&amp;(BB194-1)&amp;" more",""),"")</f>
        <v/>
      </c>
      <c r="BD194" s="21">
        <f>IF(AND(BA194=1,AY194="Confirmed"),AT194*10000000+AU194*1000+ROW(),"")</f>
        <v/>
      </c>
      <c r="BE194" s="21">
        <f>IF(IFERROR(TRIM(INDEX($A194:$AL194,MATCH(Lists!$F$2,$A$1:$AL$1,0))&amp;""),"")="","",IFERROR(TRIM(INDEX($A194:$AL194,MATCH(Lists!$F$11,$A$1:$AL$1,0))&amp;""),""))</f>
        <v/>
      </c>
      <c r="BF194" s="21">
        <f>IF(IFERROR(TRIM(INDEX($A194:$AL194,MATCH(Lists!$F$2,$A$1:$AL$1,0))&amp;""),"")="","",IFERROR(TRIM(INDEX($A194:$AL194,MATCH(Lists!$F$12,$A$1:$AL$1,0))&amp;""),""))</f>
        <v/>
      </c>
    </row>
    <row r="195">
      <c r="AM195" s="19" t="n"/>
      <c r="AN195" s="23" t="n"/>
      <c r="AO195" s="23" t="n"/>
      <c r="AP195" s="23" t="n"/>
      <c r="AQ195" s="23" t="n"/>
      <c r="AR195" s="19" t="n"/>
      <c r="AS195" s="21">
        <f>IF(IFERROR(TRIM(INDEX($A195:$AL195,MATCH(Lists!$F$2,$A$1:$AL$1,0))&amp;""),"")="","",IF(AND(IFERROR(TRIM(INDEX($A195:$AL195,MATCH(Lists!$F$3,$A$1:$AL$1,0))&amp;""),"")="Other",IFERROR(TRIM(INDEX($A195:$AL195,MATCH(Lists!$F$4,$A$1:$AL$1,0))&amp;""),"")&lt;&gt;""),IFERROR(TRIM(INDEX($A195:$AL195,MATCH(Lists!$F$4,$A$1:$AL$1,0))&amp;""),""),IF(IFERROR(TRIM(INDEX($A195:$AL195,MATCH(Lists!$F$3,$A$1:$AL$1,0))&amp;""),"")="","(no space)",IFERROR(TRIM(INDEX($A195:$AL195,MATCH(Lists!$F$3,$A$1:$AL$1,0))&amp;""),""))))</f>
        <v/>
      </c>
      <c r="AT195" s="22">
        <f>IF(IFERROR(TRIM(INDEX($A195:$AL195,MATCH(Lists!$F$2,$A$1:$AL$1,0))&amp;""),"")="",0,N(IFERROR(IF(TRIM(INDEX($A195:$AL195,MATCH(Lists!$F$5,$A$1:$AL$1,0))&amp;"")="","",IF(ISNUMBER(INDEX($A195:$AL195,MATCH(Lists!$F$5,$A$1:$AL$1,0))),INT(INDEX($A195:$AL195,MATCH(Lists!$F$5,$A$1:$AL$1,0))),DATE(VALUE(LEFT(INDEX($A195:$AL195,MATCH(Lists!$F$5,$A$1:$AL$1,0)),4)),VALUE(MID(INDEX($A195:$AL195,MATCH(Lists!$F$5,$A$1:$AL$1,0)),6,2)),VALUE(MID(INDEX($A195:$AL195,MATCH(Lists!$F$5,$A$1:$AL$1,0)),9,2))))),"")))</f>
        <v/>
      </c>
      <c r="AU195" s="21">
        <f>IF(IFERROR(TRIM(INDEX($A195:$AL195,MATCH(Lists!$F$2,$A$1:$AL$1,0))&amp;""),"")="",-1,IF(ISNUMBER(IFERROR(IF(TRIM(INDEX($A195:$AL195,MATCH(Lists!$F$6,$A$1:$AL$1,0))&amp;"")="","",IF(ISNUMBER(INDEX($A195:$AL195,MATCH(Lists!$F$6,$A$1:$AL$1,0))),ROUND(MOD(INDEX($A195:$AL195,MATCH(Lists!$F$6,$A$1:$AL$1,0)),1)*1440,0),VALUE(LEFT(INDEX($A195:$AL195,MATCH(Lists!$F$6,$A$1:$AL$1,0)),2))*60+VALUE(MID(INDEX($A195:$AL195,MATCH(Lists!$F$6,$A$1:$AL$1,0)),4,2)))),"")),IFERROR(IF(TRIM(INDEX($A195:$AL195,MATCH(Lists!$F$6,$A$1:$AL$1,0))&amp;"")="","",IF(ISNUMBER(INDEX($A195:$AL195,MATCH(Lists!$F$6,$A$1:$AL$1,0))),ROUND(MOD(INDEX($A195:$AL195,MATCH(Lists!$F$6,$A$1:$AL$1,0)),1)*1440,0),VALUE(LEFT(INDEX($A195:$AL195,MATCH(Lists!$F$6,$A$1:$AL$1,0)),2))*60+VALUE(MID(INDEX($A195:$AL195,MATCH(Lists!$F$6,$A$1:$AL$1,0)),4,2)))),""),-1))</f>
        <v/>
      </c>
      <c r="AV195" s="21">
        <f>IF(IFERROR(TRIM(INDEX($A195:$AL195,MATCH(Lists!$F$2,$A$1:$AL$1,0))&amp;""),"")="",-1,IF(ISNUMBER(IFERROR(IF(TRIM(INDEX($A195:$AL195,MATCH(Lists!$F$7,$A$1:$AL$1,0))&amp;"")="","",IF(ISNUMBER(INDEX($A195:$AL195,MATCH(Lists!$F$7,$A$1:$AL$1,0))),ROUND(MOD(INDEX($A195:$AL195,MATCH(Lists!$F$7,$A$1:$AL$1,0)),1)*1440,0),VALUE(LEFT(INDEX($A195:$AL195,MATCH(Lists!$F$7,$A$1:$AL$1,0)),2))*60+VALUE(MID(INDEX($A195:$AL195,MATCH(Lists!$F$7,$A$1:$AL$1,0)),4,2)))),"")),IFERROR(IF(TRIM(INDEX($A195:$AL195,MATCH(Lists!$F$7,$A$1:$AL$1,0))&amp;"")="","",IF(ISNUMBER(INDEX($A195:$AL195,MATCH(Lists!$F$7,$A$1:$AL$1,0))),ROUND(MOD(INDEX($A195:$AL195,MATCH(Lists!$F$7,$A$1:$AL$1,0)),1)*1440,0),VALUE(LEFT(INDEX($A195:$AL195,MATCH(Lists!$F$7,$A$1:$AL$1,0)),2))*60+VALUE(MID(INDEX($A195:$AL195,MATCH(Lists!$F$7,$A$1:$AL$1,0)),4,2)))),""),-1))</f>
        <v/>
      </c>
      <c r="AW195" s="21">
        <f>IF(IFERROR(TRIM(INDEX($A195:$AL195,MATCH(Lists!$F$2,$A$1:$AL$1,0))&amp;""),"")="","",IF(IFERROR(TRIM(INDEX($A195:$AL195,MATCH(Lists!$F$8,$A$1:$AL$1,0))&amp;""),"")&lt;&gt;"",IFERROR(TRIM(INDEX($A195:$AL195,MATCH(Lists!$F$8,$A$1:$AL$1,0))&amp;""),""),IFERROR(TRIM(INDEX($A195:$AL195,MATCH(Lists!$F$9,$A$1:$AL$1,0))&amp;""),"")))</f>
        <v/>
      </c>
      <c r="AX195" s="21">
        <f>IFERROR(IF(TRIM(INDEX($A195:$AL195,MATCH(Lists!$F$10,$A$1:$AL$1,0))&amp;"")="","",VALUE(TRIM(INDEX($A195:$AL195,MATCH(Lists!$F$10,$A$1:$AL$1,0))&amp;""))),"")</f>
        <v/>
      </c>
      <c r="AY195" s="21">
        <f>IF(IFERROR(TRIM(INDEX($A195:$AL195,MATCH(Lists!$F$2,$A$1:$AL$1,0))&amp;""),"")="","",IF(AN195="","New",AN195))</f>
        <v/>
      </c>
      <c r="AZ195" s="21">
        <f>IF(IFERROR(TRIM(INDEX($A195:$AL195,MATCH(Lists!$F$2,$A$1:$AL$1,0))&amp;""),"")="","",IF(OR(IFERROR(TRIM(INDEX($A195:$AL195,MATCH(Lists!$F$13,$A$1:$AL$1,0))&amp;""),"")="Paid",IFERROR(TRIM(INDEX($A195:$AL195,MATCH(Lists!$F$13,$A$1:$AL$1,0))&amp;""),"")="Partially refunded"),"Paid",IF(AP195="Yes","Paid (by hand)",IFERROR(TRIM(INDEX($A195:$AL195,MATCH(Lists!$F$13,$A$1:$AL$1,0))&amp;""),""))))</f>
        <v/>
      </c>
      <c r="BA195" s="21">
        <f>IF(AND(IFERROR(TRIM(INDEX($A195:$AL195,MATCH(Lists!$F$2,$A$1:$AL$1,0))&amp;""),"")&lt;&gt;"",AT195&gt;0,AU195&gt;=0,AV195&gt;AU195,AY195&lt;&gt;"Declined"),1,0)</f>
        <v/>
      </c>
      <c r="BB195" s="21">
        <f>IF(BA195=1,COUNTIFS($AS$2:$AS$501,AS195,$AT$2:$AT$501,AT195,$AU$2:$AU$501,"&lt;"&amp;AV195,$AV$2:$AV$501,"&gt;"&amp;AU195,$BA$2:$BA$501,1)-1,"")</f>
        <v/>
      </c>
      <c r="BC195" s="21">
        <f>IF(N(BB195)&gt;0,"Clashes with "&amp;INDEX($AW$2:$AW$501,SUMPRODUCT(MAX(($AS$2:$AS$501=AS195)*($AT$2:$AT$501=AT195)*($AU$2:$AU$501&lt;AV195)*($AV$2:$AV$501&gt;AU195)*($BA$2:$BA$501=1)*(ROW($AS$2:$AS$501)&lt;&gt;ROW())*ROW($AS$2:$AS$501)))-1)&amp;" ("&amp;INDEX($AY$2:$AY$501,SUMPRODUCT(MAX(($AS$2:$AS$501=AS195)*($AT$2:$AT$501=AT195)*($AU$2:$AU$501&lt;AV195)*($AV$2:$AV$501&gt;AU195)*($BA$2:$BA$501=1)*(ROW($AS$2:$AS$501)&lt;&gt;ROW())*ROW($AS$2:$AS$501)))-1)&amp;")"&amp;IF(BB195&gt;1," and "&amp;(BB195-1)&amp;" more",""),"")</f>
        <v/>
      </c>
      <c r="BD195" s="21">
        <f>IF(AND(BA195=1,AY195="Confirmed"),AT195*10000000+AU195*1000+ROW(),"")</f>
        <v/>
      </c>
      <c r="BE195" s="21">
        <f>IF(IFERROR(TRIM(INDEX($A195:$AL195,MATCH(Lists!$F$2,$A$1:$AL$1,0))&amp;""),"")="","",IFERROR(TRIM(INDEX($A195:$AL195,MATCH(Lists!$F$11,$A$1:$AL$1,0))&amp;""),""))</f>
        <v/>
      </c>
      <c r="BF195" s="21">
        <f>IF(IFERROR(TRIM(INDEX($A195:$AL195,MATCH(Lists!$F$2,$A$1:$AL$1,0))&amp;""),"")="","",IFERROR(TRIM(INDEX($A195:$AL195,MATCH(Lists!$F$12,$A$1:$AL$1,0))&amp;""),""))</f>
        <v/>
      </c>
    </row>
    <row r="196">
      <c r="AM196" s="19" t="n"/>
      <c r="AN196" s="23" t="n"/>
      <c r="AO196" s="23" t="n"/>
      <c r="AP196" s="23" t="n"/>
      <c r="AQ196" s="23" t="n"/>
      <c r="AR196" s="19" t="n"/>
      <c r="AS196" s="21">
        <f>IF(IFERROR(TRIM(INDEX($A196:$AL196,MATCH(Lists!$F$2,$A$1:$AL$1,0))&amp;""),"")="","",IF(AND(IFERROR(TRIM(INDEX($A196:$AL196,MATCH(Lists!$F$3,$A$1:$AL$1,0))&amp;""),"")="Other",IFERROR(TRIM(INDEX($A196:$AL196,MATCH(Lists!$F$4,$A$1:$AL$1,0))&amp;""),"")&lt;&gt;""),IFERROR(TRIM(INDEX($A196:$AL196,MATCH(Lists!$F$4,$A$1:$AL$1,0))&amp;""),""),IF(IFERROR(TRIM(INDEX($A196:$AL196,MATCH(Lists!$F$3,$A$1:$AL$1,0))&amp;""),"")="","(no space)",IFERROR(TRIM(INDEX($A196:$AL196,MATCH(Lists!$F$3,$A$1:$AL$1,0))&amp;""),""))))</f>
        <v/>
      </c>
      <c r="AT196" s="22">
        <f>IF(IFERROR(TRIM(INDEX($A196:$AL196,MATCH(Lists!$F$2,$A$1:$AL$1,0))&amp;""),"")="",0,N(IFERROR(IF(TRIM(INDEX($A196:$AL196,MATCH(Lists!$F$5,$A$1:$AL$1,0))&amp;"")="","",IF(ISNUMBER(INDEX($A196:$AL196,MATCH(Lists!$F$5,$A$1:$AL$1,0))),INT(INDEX($A196:$AL196,MATCH(Lists!$F$5,$A$1:$AL$1,0))),DATE(VALUE(LEFT(INDEX($A196:$AL196,MATCH(Lists!$F$5,$A$1:$AL$1,0)),4)),VALUE(MID(INDEX($A196:$AL196,MATCH(Lists!$F$5,$A$1:$AL$1,0)),6,2)),VALUE(MID(INDEX($A196:$AL196,MATCH(Lists!$F$5,$A$1:$AL$1,0)),9,2))))),"")))</f>
        <v/>
      </c>
      <c r="AU196" s="21">
        <f>IF(IFERROR(TRIM(INDEX($A196:$AL196,MATCH(Lists!$F$2,$A$1:$AL$1,0))&amp;""),"")="",-1,IF(ISNUMBER(IFERROR(IF(TRIM(INDEX($A196:$AL196,MATCH(Lists!$F$6,$A$1:$AL$1,0))&amp;"")="","",IF(ISNUMBER(INDEX($A196:$AL196,MATCH(Lists!$F$6,$A$1:$AL$1,0))),ROUND(MOD(INDEX($A196:$AL196,MATCH(Lists!$F$6,$A$1:$AL$1,0)),1)*1440,0),VALUE(LEFT(INDEX($A196:$AL196,MATCH(Lists!$F$6,$A$1:$AL$1,0)),2))*60+VALUE(MID(INDEX($A196:$AL196,MATCH(Lists!$F$6,$A$1:$AL$1,0)),4,2)))),"")),IFERROR(IF(TRIM(INDEX($A196:$AL196,MATCH(Lists!$F$6,$A$1:$AL$1,0))&amp;"")="","",IF(ISNUMBER(INDEX($A196:$AL196,MATCH(Lists!$F$6,$A$1:$AL$1,0))),ROUND(MOD(INDEX($A196:$AL196,MATCH(Lists!$F$6,$A$1:$AL$1,0)),1)*1440,0),VALUE(LEFT(INDEX($A196:$AL196,MATCH(Lists!$F$6,$A$1:$AL$1,0)),2))*60+VALUE(MID(INDEX($A196:$AL196,MATCH(Lists!$F$6,$A$1:$AL$1,0)),4,2)))),""),-1))</f>
        <v/>
      </c>
      <c r="AV196" s="21">
        <f>IF(IFERROR(TRIM(INDEX($A196:$AL196,MATCH(Lists!$F$2,$A$1:$AL$1,0))&amp;""),"")="",-1,IF(ISNUMBER(IFERROR(IF(TRIM(INDEX($A196:$AL196,MATCH(Lists!$F$7,$A$1:$AL$1,0))&amp;"")="","",IF(ISNUMBER(INDEX($A196:$AL196,MATCH(Lists!$F$7,$A$1:$AL$1,0))),ROUND(MOD(INDEX($A196:$AL196,MATCH(Lists!$F$7,$A$1:$AL$1,0)),1)*1440,0),VALUE(LEFT(INDEX($A196:$AL196,MATCH(Lists!$F$7,$A$1:$AL$1,0)),2))*60+VALUE(MID(INDEX($A196:$AL196,MATCH(Lists!$F$7,$A$1:$AL$1,0)),4,2)))),"")),IFERROR(IF(TRIM(INDEX($A196:$AL196,MATCH(Lists!$F$7,$A$1:$AL$1,0))&amp;"")="","",IF(ISNUMBER(INDEX($A196:$AL196,MATCH(Lists!$F$7,$A$1:$AL$1,0))),ROUND(MOD(INDEX($A196:$AL196,MATCH(Lists!$F$7,$A$1:$AL$1,0)),1)*1440,0),VALUE(LEFT(INDEX($A196:$AL196,MATCH(Lists!$F$7,$A$1:$AL$1,0)),2))*60+VALUE(MID(INDEX($A196:$AL196,MATCH(Lists!$F$7,$A$1:$AL$1,0)),4,2)))),""),-1))</f>
        <v/>
      </c>
      <c r="AW196" s="21">
        <f>IF(IFERROR(TRIM(INDEX($A196:$AL196,MATCH(Lists!$F$2,$A$1:$AL$1,0))&amp;""),"")="","",IF(IFERROR(TRIM(INDEX($A196:$AL196,MATCH(Lists!$F$8,$A$1:$AL$1,0))&amp;""),"")&lt;&gt;"",IFERROR(TRIM(INDEX($A196:$AL196,MATCH(Lists!$F$8,$A$1:$AL$1,0))&amp;""),""),IFERROR(TRIM(INDEX($A196:$AL196,MATCH(Lists!$F$9,$A$1:$AL$1,0))&amp;""),"")))</f>
        <v/>
      </c>
      <c r="AX196" s="21">
        <f>IFERROR(IF(TRIM(INDEX($A196:$AL196,MATCH(Lists!$F$10,$A$1:$AL$1,0))&amp;"")="","",VALUE(TRIM(INDEX($A196:$AL196,MATCH(Lists!$F$10,$A$1:$AL$1,0))&amp;""))),"")</f>
        <v/>
      </c>
      <c r="AY196" s="21">
        <f>IF(IFERROR(TRIM(INDEX($A196:$AL196,MATCH(Lists!$F$2,$A$1:$AL$1,0))&amp;""),"")="","",IF(AN196="","New",AN196))</f>
        <v/>
      </c>
      <c r="AZ196" s="21">
        <f>IF(IFERROR(TRIM(INDEX($A196:$AL196,MATCH(Lists!$F$2,$A$1:$AL$1,0))&amp;""),"")="","",IF(OR(IFERROR(TRIM(INDEX($A196:$AL196,MATCH(Lists!$F$13,$A$1:$AL$1,0))&amp;""),"")="Paid",IFERROR(TRIM(INDEX($A196:$AL196,MATCH(Lists!$F$13,$A$1:$AL$1,0))&amp;""),"")="Partially refunded"),"Paid",IF(AP196="Yes","Paid (by hand)",IFERROR(TRIM(INDEX($A196:$AL196,MATCH(Lists!$F$13,$A$1:$AL$1,0))&amp;""),""))))</f>
        <v/>
      </c>
      <c r="BA196" s="21">
        <f>IF(AND(IFERROR(TRIM(INDEX($A196:$AL196,MATCH(Lists!$F$2,$A$1:$AL$1,0))&amp;""),"")&lt;&gt;"",AT196&gt;0,AU196&gt;=0,AV196&gt;AU196,AY196&lt;&gt;"Declined"),1,0)</f>
        <v/>
      </c>
      <c r="BB196" s="21">
        <f>IF(BA196=1,COUNTIFS($AS$2:$AS$501,AS196,$AT$2:$AT$501,AT196,$AU$2:$AU$501,"&lt;"&amp;AV196,$AV$2:$AV$501,"&gt;"&amp;AU196,$BA$2:$BA$501,1)-1,"")</f>
        <v/>
      </c>
      <c r="BC196" s="21">
        <f>IF(N(BB196)&gt;0,"Clashes with "&amp;INDEX($AW$2:$AW$501,SUMPRODUCT(MAX(($AS$2:$AS$501=AS196)*($AT$2:$AT$501=AT196)*($AU$2:$AU$501&lt;AV196)*($AV$2:$AV$501&gt;AU196)*($BA$2:$BA$501=1)*(ROW($AS$2:$AS$501)&lt;&gt;ROW())*ROW($AS$2:$AS$501)))-1)&amp;" ("&amp;INDEX($AY$2:$AY$501,SUMPRODUCT(MAX(($AS$2:$AS$501=AS196)*($AT$2:$AT$501=AT196)*($AU$2:$AU$501&lt;AV196)*($AV$2:$AV$501&gt;AU196)*($BA$2:$BA$501=1)*(ROW($AS$2:$AS$501)&lt;&gt;ROW())*ROW($AS$2:$AS$501)))-1)&amp;")"&amp;IF(BB196&gt;1," and "&amp;(BB196-1)&amp;" more",""),"")</f>
        <v/>
      </c>
      <c r="BD196" s="21">
        <f>IF(AND(BA196=1,AY196="Confirmed"),AT196*10000000+AU196*1000+ROW(),"")</f>
        <v/>
      </c>
      <c r="BE196" s="21">
        <f>IF(IFERROR(TRIM(INDEX($A196:$AL196,MATCH(Lists!$F$2,$A$1:$AL$1,0))&amp;""),"")="","",IFERROR(TRIM(INDEX($A196:$AL196,MATCH(Lists!$F$11,$A$1:$AL$1,0))&amp;""),""))</f>
        <v/>
      </c>
      <c r="BF196" s="21">
        <f>IF(IFERROR(TRIM(INDEX($A196:$AL196,MATCH(Lists!$F$2,$A$1:$AL$1,0))&amp;""),"")="","",IFERROR(TRIM(INDEX($A196:$AL196,MATCH(Lists!$F$12,$A$1:$AL$1,0))&amp;""),""))</f>
        <v/>
      </c>
    </row>
    <row r="197">
      <c r="AM197" s="19" t="n"/>
      <c r="AN197" s="23" t="n"/>
      <c r="AO197" s="23" t="n"/>
      <c r="AP197" s="23" t="n"/>
      <c r="AQ197" s="23" t="n"/>
      <c r="AR197" s="19" t="n"/>
      <c r="AS197" s="21">
        <f>IF(IFERROR(TRIM(INDEX($A197:$AL197,MATCH(Lists!$F$2,$A$1:$AL$1,0))&amp;""),"")="","",IF(AND(IFERROR(TRIM(INDEX($A197:$AL197,MATCH(Lists!$F$3,$A$1:$AL$1,0))&amp;""),"")="Other",IFERROR(TRIM(INDEX($A197:$AL197,MATCH(Lists!$F$4,$A$1:$AL$1,0))&amp;""),"")&lt;&gt;""),IFERROR(TRIM(INDEX($A197:$AL197,MATCH(Lists!$F$4,$A$1:$AL$1,0))&amp;""),""),IF(IFERROR(TRIM(INDEX($A197:$AL197,MATCH(Lists!$F$3,$A$1:$AL$1,0))&amp;""),"")="","(no space)",IFERROR(TRIM(INDEX($A197:$AL197,MATCH(Lists!$F$3,$A$1:$AL$1,0))&amp;""),""))))</f>
        <v/>
      </c>
      <c r="AT197" s="22">
        <f>IF(IFERROR(TRIM(INDEX($A197:$AL197,MATCH(Lists!$F$2,$A$1:$AL$1,0))&amp;""),"")="",0,N(IFERROR(IF(TRIM(INDEX($A197:$AL197,MATCH(Lists!$F$5,$A$1:$AL$1,0))&amp;"")="","",IF(ISNUMBER(INDEX($A197:$AL197,MATCH(Lists!$F$5,$A$1:$AL$1,0))),INT(INDEX($A197:$AL197,MATCH(Lists!$F$5,$A$1:$AL$1,0))),DATE(VALUE(LEFT(INDEX($A197:$AL197,MATCH(Lists!$F$5,$A$1:$AL$1,0)),4)),VALUE(MID(INDEX($A197:$AL197,MATCH(Lists!$F$5,$A$1:$AL$1,0)),6,2)),VALUE(MID(INDEX($A197:$AL197,MATCH(Lists!$F$5,$A$1:$AL$1,0)),9,2))))),"")))</f>
        <v/>
      </c>
      <c r="AU197" s="21">
        <f>IF(IFERROR(TRIM(INDEX($A197:$AL197,MATCH(Lists!$F$2,$A$1:$AL$1,0))&amp;""),"")="",-1,IF(ISNUMBER(IFERROR(IF(TRIM(INDEX($A197:$AL197,MATCH(Lists!$F$6,$A$1:$AL$1,0))&amp;"")="","",IF(ISNUMBER(INDEX($A197:$AL197,MATCH(Lists!$F$6,$A$1:$AL$1,0))),ROUND(MOD(INDEX($A197:$AL197,MATCH(Lists!$F$6,$A$1:$AL$1,0)),1)*1440,0),VALUE(LEFT(INDEX($A197:$AL197,MATCH(Lists!$F$6,$A$1:$AL$1,0)),2))*60+VALUE(MID(INDEX($A197:$AL197,MATCH(Lists!$F$6,$A$1:$AL$1,0)),4,2)))),"")),IFERROR(IF(TRIM(INDEX($A197:$AL197,MATCH(Lists!$F$6,$A$1:$AL$1,0))&amp;"")="","",IF(ISNUMBER(INDEX($A197:$AL197,MATCH(Lists!$F$6,$A$1:$AL$1,0))),ROUND(MOD(INDEX($A197:$AL197,MATCH(Lists!$F$6,$A$1:$AL$1,0)),1)*1440,0),VALUE(LEFT(INDEX($A197:$AL197,MATCH(Lists!$F$6,$A$1:$AL$1,0)),2))*60+VALUE(MID(INDEX($A197:$AL197,MATCH(Lists!$F$6,$A$1:$AL$1,0)),4,2)))),""),-1))</f>
        <v/>
      </c>
      <c r="AV197" s="21">
        <f>IF(IFERROR(TRIM(INDEX($A197:$AL197,MATCH(Lists!$F$2,$A$1:$AL$1,0))&amp;""),"")="",-1,IF(ISNUMBER(IFERROR(IF(TRIM(INDEX($A197:$AL197,MATCH(Lists!$F$7,$A$1:$AL$1,0))&amp;"")="","",IF(ISNUMBER(INDEX($A197:$AL197,MATCH(Lists!$F$7,$A$1:$AL$1,0))),ROUND(MOD(INDEX($A197:$AL197,MATCH(Lists!$F$7,$A$1:$AL$1,0)),1)*1440,0),VALUE(LEFT(INDEX($A197:$AL197,MATCH(Lists!$F$7,$A$1:$AL$1,0)),2))*60+VALUE(MID(INDEX($A197:$AL197,MATCH(Lists!$F$7,$A$1:$AL$1,0)),4,2)))),"")),IFERROR(IF(TRIM(INDEX($A197:$AL197,MATCH(Lists!$F$7,$A$1:$AL$1,0))&amp;"")="","",IF(ISNUMBER(INDEX($A197:$AL197,MATCH(Lists!$F$7,$A$1:$AL$1,0))),ROUND(MOD(INDEX($A197:$AL197,MATCH(Lists!$F$7,$A$1:$AL$1,0)),1)*1440,0),VALUE(LEFT(INDEX($A197:$AL197,MATCH(Lists!$F$7,$A$1:$AL$1,0)),2))*60+VALUE(MID(INDEX($A197:$AL197,MATCH(Lists!$F$7,$A$1:$AL$1,0)),4,2)))),""),-1))</f>
        <v/>
      </c>
      <c r="AW197" s="21">
        <f>IF(IFERROR(TRIM(INDEX($A197:$AL197,MATCH(Lists!$F$2,$A$1:$AL$1,0))&amp;""),"")="","",IF(IFERROR(TRIM(INDEX($A197:$AL197,MATCH(Lists!$F$8,$A$1:$AL$1,0))&amp;""),"")&lt;&gt;"",IFERROR(TRIM(INDEX($A197:$AL197,MATCH(Lists!$F$8,$A$1:$AL$1,0))&amp;""),""),IFERROR(TRIM(INDEX($A197:$AL197,MATCH(Lists!$F$9,$A$1:$AL$1,0))&amp;""),"")))</f>
        <v/>
      </c>
      <c r="AX197" s="21">
        <f>IFERROR(IF(TRIM(INDEX($A197:$AL197,MATCH(Lists!$F$10,$A$1:$AL$1,0))&amp;"")="","",VALUE(TRIM(INDEX($A197:$AL197,MATCH(Lists!$F$10,$A$1:$AL$1,0))&amp;""))),"")</f>
        <v/>
      </c>
      <c r="AY197" s="21">
        <f>IF(IFERROR(TRIM(INDEX($A197:$AL197,MATCH(Lists!$F$2,$A$1:$AL$1,0))&amp;""),"")="","",IF(AN197="","New",AN197))</f>
        <v/>
      </c>
      <c r="AZ197" s="21">
        <f>IF(IFERROR(TRIM(INDEX($A197:$AL197,MATCH(Lists!$F$2,$A$1:$AL$1,0))&amp;""),"")="","",IF(OR(IFERROR(TRIM(INDEX($A197:$AL197,MATCH(Lists!$F$13,$A$1:$AL$1,0))&amp;""),"")="Paid",IFERROR(TRIM(INDEX($A197:$AL197,MATCH(Lists!$F$13,$A$1:$AL$1,0))&amp;""),"")="Partially refunded"),"Paid",IF(AP197="Yes","Paid (by hand)",IFERROR(TRIM(INDEX($A197:$AL197,MATCH(Lists!$F$13,$A$1:$AL$1,0))&amp;""),""))))</f>
        <v/>
      </c>
      <c r="BA197" s="21">
        <f>IF(AND(IFERROR(TRIM(INDEX($A197:$AL197,MATCH(Lists!$F$2,$A$1:$AL$1,0))&amp;""),"")&lt;&gt;"",AT197&gt;0,AU197&gt;=0,AV197&gt;AU197,AY197&lt;&gt;"Declined"),1,0)</f>
        <v/>
      </c>
      <c r="BB197" s="21">
        <f>IF(BA197=1,COUNTIFS($AS$2:$AS$501,AS197,$AT$2:$AT$501,AT197,$AU$2:$AU$501,"&lt;"&amp;AV197,$AV$2:$AV$501,"&gt;"&amp;AU197,$BA$2:$BA$501,1)-1,"")</f>
        <v/>
      </c>
      <c r="BC197" s="21">
        <f>IF(N(BB197)&gt;0,"Clashes with "&amp;INDEX($AW$2:$AW$501,SUMPRODUCT(MAX(($AS$2:$AS$501=AS197)*($AT$2:$AT$501=AT197)*($AU$2:$AU$501&lt;AV197)*($AV$2:$AV$501&gt;AU197)*($BA$2:$BA$501=1)*(ROW($AS$2:$AS$501)&lt;&gt;ROW())*ROW($AS$2:$AS$501)))-1)&amp;" ("&amp;INDEX($AY$2:$AY$501,SUMPRODUCT(MAX(($AS$2:$AS$501=AS197)*($AT$2:$AT$501=AT197)*($AU$2:$AU$501&lt;AV197)*($AV$2:$AV$501&gt;AU197)*($BA$2:$BA$501=1)*(ROW($AS$2:$AS$501)&lt;&gt;ROW())*ROW($AS$2:$AS$501)))-1)&amp;")"&amp;IF(BB197&gt;1," and "&amp;(BB197-1)&amp;" more",""),"")</f>
        <v/>
      </c>
      <c r="BD197" s="21">
        <f>IF(AND(BA197=1,AY197="Confirmed"),AT197*10000000+AU197*1000+ROW(),"")</f>
        <v/>
      </c>
      <c r="BE197" s="21">
        <f>IF(IFERROR(TRIM(INDEX($A197:$AL197,MATCH(Lists!$F$2,$A$1:$AL$1,0))&amp;""),"")="","",IFERROR(TRIM(INDEX($A197:$AL197,MATCH(Lists!$F$11,$A$1:$AL$1,0))&amp;""),""))</f>
        <v/>
      </c>
      <c r="BF197" s="21">
        <f>IF(IFERROR(TRIM(INDEX($A197:$AL197,MATCH(Lists!$F$2,$A$1:$AL$1,0))&amp;""),"")="","",IFERROR(TRIM(INDEX($A197:$AL197,MATCH(Lists!$F$12,$A$1:$AL$1,0))&amp;""),""))</f>
        <v/>
      </c>
    </row>
    <row r="198">
      <c r="AM198" s="19" t="n"/>
      <c r="AN198" s="23" t="n"/>
      <c r="AO198" s="23" t="n"/>
      <c r="AP198" s="23" t="n"/>
      <c r="AQ198" s="23" t="n"/>
      <c r="AR198" s="19" t="n"/>
      <c r="AS198" s="21">
        <f>IF(IFERROR(TRIM(INDEX($A198:$AL198,MATCH(Lists!$F$2,$A$1:$AL$1,0))&amp;""),"")="","",IF(AND(IFERROR(TRIM(INDEX($A198:$AL198,MATCH(Lists!$F$3,$A$1:$AL$1,0))&amp;""),"")="Other",IFERROR(TRIM(INDEX($A198:$AL198,MATCH(Lists!$F$4,$A$1:$AL$1,0))&amp;""),"")&lt;&gt;""),IFERROR(TRIM(INDEX($A198:$AL198,MATCH(Lists!$F$4,$A$1:$AL$1,0))&amp;""),""),IF(IFERROR(TRIM(INDEX($A198:$AL198,MATCH(Lists!$F$3,$A$1:$AL$1,0))&amp;""),"")="","(no space)",IFERROR(TRIM(INDEX($A198:$AL198,MATCH(Lists!$F$3,$A$1:$AL$1,0))&amp;""),""))))</f>
        <v/>
      </c>
      <c r="AT198" s="22">
        <f>IF(IFERROR(TRIM(INDEX($A198:$AL198,MATCH(Lists!$F$2,$A$1:$AL$1,0))&amp;""),"")="",0,N(IFERROR(IF(TRIM(INDEX($A198:$AL198,MATCH(Lists!$F$5,$A$1:$AL$1,0))&amp;"")="","",IF(ISNUMBER(INDEX($A198:$AL198,MATCH(Lists!$F$5,$A$1:$AL$1,0))),INT(INDEX($A198:$AL198,MATCH(Lists!$F$5,$A$1:$AL$1,0))),DATE(VALUE(LEFT(INDEX($A198:$AL198,MATCH(Lists!$F$5,$A$1:$AL$1,0)),4)),VALUE(MID(INDEX($A198:$AL198,MATCH(Lists!$F$5,$A$1:$AL$1,0)),6,2)),VALUE(MID(INDEX($A198:$AL198,MATCH(Lists!$F$5,$A$1:$AL$1,0)),9,2))))),"")))</f>
        <v/>
      </c>
      <c r="AU198" s="21">
        <f>IF(IFERROR(TRIM(INDEX($A198:$AL198,MATCH(Lists!$F$2,$A$1:$AL$1,0))&amp;""),"")="",-1,IF(ISNUMBER(IFERROR(IF(TRIM(INDEX($A198:$AL198,MATCH(Lists!$F$6,$A$1:$AL$1,0))&amp;"")="","",IF(ISNUMBER(INDEX($A198:$AL198,MATCH(Lists!$F$6,$A$1:$AL$1,0))),ROUND(MOD(INDEX($A198:$AL198,MATCH(Lists!$F$6,$A$1:$AL$1,0)),1)*1440,0),VALUE(LEFT(INDEX($A198:$AL198,MATCH(Lists!$F$6,$A$1:$AL$1,0)),2))*60+VALUE(MID(INDEX($A198:$AL198,MATCH(Lists!$F$6,$A$1:$AL$1,0)),4,2)))),"")),IFERROR(IF(TRIM(INDEX($A198:$AL198,MATCH(Lists!$F$6,$A$1:$AL$1,0))&amp;"")="","",IF(ISNUMBER(INDEX($A198:$AL198,MATCH(Lists!$F$6,$A$1:$AL$1,0))),ROUND(MOD(INDEX($A198:$AL198,MATCH(Lists!$F$6,$A$1:$AL$1,0)),1)*1440,0),VALUE(LEFT(INDEX($A198:$AL198,MATCH(Lists!$F$6,$A$1:$AL$1,0)),2))*60+VALUE(MID(INDEX($A198:$AL198,MATCH(Lists!$F$6,$A$1:$AL$1,0)),4,2)))),""),-1))</f>
        <v/>
      </c>
      <c r="AV198" s="21">
        <f>IF(IFERROR(TRIM(INDEX($A198:$AL198,MATCH(Lists!$F$2,$A$1:$AL$1,0))&amp;""),"")="",-1,IF(ISNUMBER(IFERROR(IF(TRIM(INDEX($A198:$AL198,MATCH(Lists!$F$7,$A$1:$AL$1,0))&amp;"")="","",IF(ISNUMBER(INDEX($A198:$AL198,MATCH(Lists!$F$7,$A$1:$AL$1,0))),ROUND(MOD(INDEX($A198:$AL198,MATCH(Lists!$F$7,$A$1:$AL$1,0)),1)*1440,0),VALUE(LEFT(INDEX($A198:$AL198,MATCH(Lists!$F$7,$A$1:$AL$1,0)),2))*60+VALUE(MID(INDEX($A198:$AL198,MATCH(Lists!$F$7,$A$1:$AL$1,0)),4,2)))),"")),IFERROR(IF(TRIM(INDEX($A198:$AL198,MATCH(Lists!$F$7,$A$1:$AL$1,0))&amp;"")="","",IF(ISNUMBER(INDEX($A198:$AL198,MATCH(Lists!$F$7,$A$1:$AL$1,0))),ROUND(MOD(INDEX($A198:$AL198,MATCH(Lists!$F$7,$A$1:$AL$1,0)),1)*1440,0),VALUE(LEFT(INDEX($A198:$AL198,MATCH(Lists!$F$7,$A$1:$AL$1,0)),2))*60+VALUE(MID(INDEX($A198:$AL198,MATCH(Lists!$F$7,$A$1:$AL$1,0)),4,2)))),""),-1))</f>
        <v/>
      </c>
      <c r="AW198" s="21">
        <f>IF(IFERROR(TRIM(INDEX($A198:$AL198,MATCH(Lists!$F$2,$A$1:$AL$1,0))&amp;""),"")="","",IF(IFERROR(TRIM(INDEX($A198:$AL198,MATCH(Lists!$F$8,$A$1:$AL$1,0))&amp;""),"")&lt;&gt;"",IFERROR(TRIM(INDEX($A198:$AL198,MATCH(Lists!$F$8,$A$1:$AL$1,0))&amp;""),""),IFERROR(TRIM(INDEX($A198:$AL198,MATCH(Lists!$F$9,$A$1:$AL$1,0))&amp;""),"")))</f>
        <v/>
      </c>
      <c r="AX198" s="21">
        <f>IFERROR(IF(TRIM(INDEX($A198:$AL198,MATCH(Lists!$F$10,$A$1:$AL$1,0))&amp;"")="","",VALUE(TRIM(INDEX($A198:$AL198,MATCH(Lists!$F$10,$A$1:$AL$1,0))&amp;""))),"")</f>
        <v/>
      </c>
      <c r="AY198" s="21">
        <f>IF(IFERROR(TRIM(INDEX($A198:$AL198,MATCH(Lists!$F$2,$A$1:$AL$1,0))&amp;""),"")="","",IF(AN198="","New",AN198))</f>
        <v/>
      </c>
      <c r="AZ198" s="21">
        <f>IF(IFERROR(TRIM(INDEX($A198:$AL198,MATCH(Lists!$F$2,$A$1:$AL$1,0))&amp;""),"")="","",IF(OR(IFERROR(TRIM(INDEX($A198:$AL198,MATCH(Lists!$F$13,$A$1:$AL$1,0))&amp;""),"")="Paid",IFERROR(TRIM(INDEX($A198:$AL198,MATCH(Lists!$F$13,$A$1:$AL$1,0))&amp;""),"")="Partially refunded"),"Paid",IF(AP198="Yes","Paid (by hand)",IFERROR(TRIM(INDEX($A198:$AL198,MATCH(Lists!$F$13,$A$1:$AL$1,0))&amp;""),""))))</f>
        <v/>
      </c>
      <c r="BA198" s="21">
        <f>IF(AND(IFERROR(TRIM(INDEX($A198:$AL198,MATCH(Lists!$F$2,$A$1:$AL$1,0))&amp;""),"")&lt;&gt;"",AT198&gt;0,AU198&gt;=0,AV198&gt;AU198,AY198&lt;&gt;"Declined"),1,0)</f>
        <v/>
      </c>
      <c r="BB198" s="21">
        <f>IF(BA198=1,COUNTIFS($AS$2:$AS$501,AS198,$AT$2:$AT$501,AT198,$AU$2:$AU$501,"&lt;"&amp;AV198,$AV$2:$AV$501,"&gt;"&amp;AU198,$BA$2:$BA$501,1)-1,"")</f>
        <v/>
      </c>
      <c r="BC198" s="21">
        <f>IF(N(BB198)&gt;0,"Clashes with "&amp;INDEX($AW$2:$AW$501,SUMPRODUCT(MAX(($AS$2:$AS$501=AS198)*($AT$2:$AT$501=AT198)*($AU$2:$AU$501&lt;AV198)*($AV$2:$AV$501&gt;AU198)*($BA$2:$BA$501=1)*(ROW($AS$2:$AS$501)&lt;&gt;ROW())*ROW($AS$2:$AS$501)))-1)&amp;" ("&amp;INDEX($AY$2:$AY$501,SUMPRODUCT(MAX(($AS$2:$AS$501=AS198)*($AT$2:$AT$501=AT198)*($AU$2:$AU$501&lt;AV198)*($AV$2:$AV$501&gt;AU198)*($BA$2:$BA$501=1)*(ROW($AS$2:$AS$501)&lt;&gt;ROW())*ROW($AS$2:$AS$501)))-1)&amp;")"&amp;IF(BB198&gt;1," and "&amp;(BB198-1)&amp;" more",""),"")</f>
        <v/>
      </c>
      <c r="BD198" s="21">
        <f>IF(AND(BA198=1,AY198="Confirmed"),AT198*10000000+AU198*1000+ROW(),"")</f>
        <v/>
      </c>
      <c r="BE198" s="21">
        <f>IF(IFERROR(TRIM(INDEX($A198:$AL198,MATCH(Lists!$F$2,$A$1:$AL$1,0))&amp;""),"")="","",IFERROR(TRIM(INDEX($A198:$AL198,MATCH(Lists!$F$11,$A$1:$AL$1,0))&amp;""),""))</f>
        <v/>
      </c>
      <c r="BF198" s="21">
        <f>IF(IFERROR(TRIM(INDEX($A198:$AL198,MATCH(Lists!$F$2,$A$1:$AL$1,0))&amp;""),"")="","",IFERROR(TRIM(INDEX($A198:$AL198,MATCH(Lists!$F$12,$A$1:$AL$1,0))&amp;""),""))</f>
        <v/>
      </c>
    </row>
    <row r="199">
      <c r="AM199" s="19" t="n"/>
      <c r="AN199" s="23" t="n"/>
      <c r="AO199" s="23" t="n"/>
      <c r="AP199" s="23" t="n"/>
      <c r="AQ199" s="23" t="n"/>
      <c r="AR199" s="19" t="n"/>
      <c r="AS199" s="21">
        <f>IF(IFERROR(TRIM(INDEX($A199:$AL199,MATCH(Lists!$F$2,$A$1:$AL$1,0))&amp;""),"")="","",IF(AND(IFERROR(TRIM(INDEX($A199:$AL199,MATCH(Lists!$F$3,$A$1:$AL$1,0))&amp;""),"")="Other",IFERROR(TRIM(INDEX($A199:$AL199,MATCH(Lists!$F$4,$A$1:$AL$1,0))&amp;""),"")&lt;&gt;""),IFERROR(TRIM(INDEX($A199:$AL199,MATCH(Lists!$F$4,$A$1:$AL$1,0))&amp;""),""),IF(IFERROR(TRIM(INDEX($A199:$AL199,MATCH(Lists!$F$3,$A$1:$AL$1,0))&amp;""),"")="","(no space)",IFERROR(TRIM(INDEX($A199:$AL199,MATCH(Lists!$F$3,$A$1:$AL$1,0))&amp;""),""))))</f>
        <v/>
      </c>
      <c r="AT199" s="22">
        <f>IF(IFERROR(TRIM(INDEX($A199:$AL199,MATCH(Lists!$F$2,$A$1:$AL$1,0))&amp;""),"")="",0,N(IFERROR(IF(TRIM(INDEX($A199:$AL199,MATCH(Lists!$F$5,$A$1:$AL$1,0))&amp;"")="","",IF(ISNUMBER(INDEX($A199:$AL199,MATCH(Lists!$F$5,$A$1:$AL$1,0))),INT(INDEX($A199:$AL199,MATCH(Lists!$F$5,$A$1:$AL$1,0))),DATE(VALUE(LEFT(INDEX($A199:$AL199,MATCH(Lists!$F$5,$A$1:$AL$1,0)),4)),VALUE(MID(INDEX($A199:$AL199,MATCH(Lists!$F$5,$A$1:$AL$1,0)),6,2)),VALUE(MID(INDEX($A199:$AL199,MATCH(Lists!$F$5,$A$1:$AL$1,0)),9,2))))),"")))</f>
        <v/>
      </c>
      <c r="AU199" s="21">
        <f>IF(IFERROR(TRIM(INDEX($A199:$AL199,MATCH(Lists!$F$2,$A$1:$AL$1,0))&amp;""),"")="",-1,IF(ISNUMBER(IFERROR(IF(TRIM(INDEX($A199:$AL199,MATCH(Lists!$F$6,$A$1:$AL$1,0))&amp;"")="","",IF(ISNUMBER(INDEX($A199:$AL199,MATCH(Lists!$F$6,$A$1:$AL$1,0))),ROUND(MOD(INDEX($A199:$AL199,MATCH(Lists!$F$6,$A$1:$AL$1,0)),1)*1440,0),VALUE(LEFT(INDEX($A199:$AL199,MATCH(Lists!$F$6,$A$1:$AL$1,0)),2))*60+VALUE(MID(INDEX($A199:$AL199,MATCH(Lists!$F$6,$A$1:$AL$1,0)),4,2)))),"")),IFERROR(IF(TRIM(INDEX($A199:$AL199,MATCH(Lists!$F$6,$A$1:$AL$1,0))&amp;"")="","",IF(ISNUMBER(INDEX($A199:$AL199,MATCH(Lists!$F$6,$A$1:$AL$1,0))),ROUND(MOD(INDEX($A199:$AL199,MATCH(Lists!$F$6,$A$1:$AL$1,0)),1)*1440,0),VALUE(LEFT(INDEX($A199:$AL199,MATCH(Lists!$F$6,$A$1:$AL$1,0)),2))*60+VALUE(MID(INDEX($A199:$AL199,MATCH(Lists!$F$6,$A$1:$AL$1,0)),4,2)))),""),-1))</f>
        <v/>
      </c>
      <c r="AV199" s="21">
        <f>IF(IFERROR(TRIM(INDEX($A199:$AL199,MATCH(Lists!$F$2,$A$1:$AL$1,0))&amp;""),"")="",-1,IF(ISNUMBER(IFERROR(IF(TRIM(INDEX($A199:$AL199,MATCH(Lists!$F$7,$A$1:$AL$1,0))&amp;"")="","",IF(ISNUMBER(INDEX($A199:$AL199,MATCH(Lists!$F$7,$A$1:$AL$1,0))),ROUND(MOD(INDEX($A199:$AL199,MATCH(Lists!$F$7,$A$1:$AL$1,0)),1)*1440,0),VALUE(LEFT(INDEX($A199:$AL199,MATCH(Lists!$F$7,$A$1:$AL$1,0)),2))*60+VALUE(MID(INDEX($A199:$AL199,MATCH(Lists!$F$7,$A$1:$AL$1,0)),4,2)))),"")),IFERROR(IF(TRIM(INDEX($A199:$AL199,MATCH(Lists!$F$7,$A$1:$AL$1,0))&amp;"")="","",IF(ISNUMBER(INDEX($A199:$AL199,MATCH(Lists!$F$7,$A$1:$AL$1,0))),ROUND(MOD(INDEX($A199:$AL199,MATCH(Lists!$F$7,$A$1:$AL$1,0)),1)*1440,0),VALUE(LEFT(INDEX($A199:$AL199,MATCH(Lists!$F$7,$A$1:$AL$1,0)),2))*60+VALUE(MID(INDEX($A199:$AL199,MATCH(Lists!$F$7,$A$1:$AL$1,0)),4,2)))),""),-1))</f>
        <v/>
      </c>
      <c r="AW199" s="21">
        <f>IF(IFERROR(TRIM(INDEX($A199:$AL199,MATCH(Lists!$F$2,$A$1:$AL$1,0))&amp;""),"")="","",IF(IFERROR(TRIM(INDEX($A199:$AL199,MATCH(Lists!$F$8,$A$1:$AL$1,0))&amp;""),"")&lt;&gt;"",IFERROR(TRIM(INDEX($A199:$AL199,MATCH(Lists!$F$8,$A$1:$AL$1,0))&amp;""),""),IFERROR(TRIM(INDEX($A199:$AL199,MATCH(Lists!$F$9,$A$1:$AL$1,0))&amp;""),"")))</f>
        <v/>
      </c>
      <c r="AX199" s="21">
        <f>IFERROR(IF(TRIM(INDEX($A199:$AL199,MATCH(Lists!$F$10,$A$1:$AL$1,0))&amp;"")="","",VALUE(TRIM(INDEX($A199:$AL199,MATCH(Lists!$F$10,$A$1:$AL$1,0))&amp;""))),"")</f>
        <v/>
      </c>
      <c r="AY199" s="21">
        <f>IF(IFERROR(TRIM(INDEX($A199:$AL199,MATCH(Lists!$F$2,$A$1:$AL$1,0))&amp;""),"")="","",IF(AN199="","New",AN199))</f>
        <v/>
      </c>
      <c r="AZ199" s="21">
        <f>IF(IFERROR(TRIM(INDEX($A199:$AL199,MATCH(Lists!$F$2,$A$1:$AL$1,0))&amp;""),"")="","",IF(OR(IFERROR(TRIM(INDEX($A199:$AL199,MATCH(Lists!$F$13,$A$1:$AL$1,0))&amp;""),"")="Paid",IFERROR(TRIM(INDEX($A199:$AL199,MATCH(Lists!$F$13,$A$1:$AL$1,0))&amp;""),"")="Partially refunded"),"Paid",IF(AP199="Yes","Paid (by hand)",IFERROR(TRIM(INDEX($A199:$AL199,MATCH(Lists!$F$13,$A$1:$AL$1,0))&amp;""),""))))</f>
        <v/>
      </c>
      <c r="BA199" s="21">
        <f>IF(AND(IFERROR(TRIM(INDEX($A199:$AL199,MATCH(Lists!$F$2,$A$1:$AL$1,0))&amp;""),"")&lt;&gt;"",AT199&gt;0,AU199&gt;=0,AV199&gt;AU199,AY199&lt;&gt;"Declined"),1,0)</f>
        <v/>
      </c>
      <c r="BB199" s="21">
        <f>IF(BA199=1,COUNTIFS($AS$2:$AS$501,AS199,$AT$2:$AT$501,AT199,$AU$2:$AU$501,"&lt;"&amp;AV199,$AV$2:$AV$501,"&gt;"&amp;AU199,$BA$2:$BA$501,1)-1,"")</f>
        <v/>
      </c>
      <c r="BC199" s="21">
        <f>IF(N(BB199)&gt;0,"Clashes with "&amp;INDEX($AW$2:$AW$501,SUMPRODUCT(MAX(($AS$2:$AS$501=AS199)*($AT$2:$AT$501=AT199)*($AU$2:$AU$501&lt;AV199)*($AV$2:$AV$501&gt;AU199)*($BA$2:$BA$501=1)*(ROW($AS$2:$AS$501)&lt;&gt;ROW())*ROW($AS$2:$AS$501)))-1)&amp;" ("&amp;INDEX($AY$2:$AY$501,SUMPRODUCT(MAX(($AS$2:$AS$501=AS199)*($AT$2:$AT$501=AT199)*($AU$2:$AU$501&lt;AV199)*($AV$2:$AV$501&gt;AU199)*($BA$2:$BA$501=1)*(ROW($AS$2:$AS$501)&lt;&gt;ROW())*ROW($AS$2:$AS$501)))-1)&amp;")"&amp;IF(BB199&gt;1," and "&amp;(BB199-1)&amp;" more",""),"")</f>
        <v/>
      </c>
      <c r="BD199" s="21">
        <f>IF(AND(BA199=1,AY199="Confirmed"),AT199*10000000+AU199*1000+ROW(),"")</f>
        <v/>
      </c>
      <c r="BE199" s="21">
        <f>IF(IFERROR(TRIM(INDEX($A199:$AL199,MATCH(Lists!$F$2,$A$1:$AL$1,0))&amp;""),"")="","",IFERROR(TRIM(INDEX($A199:$AL199,MATCH(Lists!$F$11,$A$1:$AL$1,0))&amp;""),""))</f>
        <v/>
      </c>
      <c r="BF199" s="21">
        <f>IF(IFERROR(TRIM(INDEX($A199:$AL199,MATCH(Lists!$F$2,$A$1:$AL$1,0))&amp;""),"")="","",IFERROR(TRIM(INDEX($A199:$AL199,MATCH(Lists!$F$12,$A$1:$AL$1,0))&amp;""),""))</f>
        <v/>
      </c>
    </row>
    <row r="200">
      <c r="AM200" s="19" t="n"/>
      <c r="AN200" s="23" t="n"/>
      <c r="AO200" s="23" t="n"/>
      <c r="AP200" s="23" t="n"/>
      <c r="AQ200" s="23" t="n"/>
      <c r="AR200" s="19" t="n"/>
      <c r="AS200" s="21">
        <f>IF(IFERROR(TRIM(INDEX($A200:$AL200,MATCH(Lists!$F$2,$A$1:$AL$1,0))&amp;""),"")="","",IF(AND(IFERROR(TRIM(INDEX($A200:$AL200,MATCH(Lists!$F$3,$A$1:$AL$1,0))&amp;""),"")="Other",IFERROR(TRIM(INDEX($A200:$AL200,MATCH(Lists!$F$4,$A$1:$AL$1,0))&amp;""),"")&lt;&gt;""),IFERROR(TRIM(INDEX($A200:$AL200,MATCH(Lists!$F$4,$A$1:$AL$1,0))&amp;""),""),IF(IFERROR(TRIM(INDEX($A200:$AL200,MATCH(Lists!$F$3,$A$1:$AL$1,0))&amp;""),"")="","(no space)",IFERROR(TRIM(INDEX($A200:$AL200,MATCH(Lists!$F$3,$A$1:$AL$1,0))&amp;""),""))))</f>
        <v/>
      </c>
      <c r="AT200" s="22">
        <f>IF(IFERROR(TRIM(INDEX($A200:$AL200,MATCH(Lists!$F$2,$A$1:$AL$1,0))&amp;""),"")="",0,N(IFERROR(IF(TRIM(INDEX($A200:$AL200,MATCH(Lists!$F$5,$A$1:$AL$1,0))&amp;"")="","",IF(ISNUMBER(INDEX($A200:$AL200,MATCH(Lists!$F$5,$A$1:$AL$1,0))),INT(INDEX($A200:$AL200,MATCH(Lists!$F$5,$A$1:$AL$1,0))),DATE(VALUE(LEFT(INDEX($A200:$AL200,MATCH(Lists!$F$5,$A$1:$AL$1,0)),4)),VALUE(MID(INDEX($A200:$AL200,MATCH(Lists!$F$5,$A$1:$AL$1,0)),6,2)),VALUE(MID(INDEX($A200:$AL200,MATCH(Lists!$F$5,$A$1:$AL$1,0)),9,2))))),"")))</f>
        <v/>
      </c>
      <c r="AU200" s="21">
        <f>IF(IFERROR(TRIM(INDEX($A200:$AL200,MATCH(Lists!$F$2,$A$1:$AL$1,0))&amp;""),"")="",-1,IF(ISNUMBER(IFERROR(IF(TRIM(INDEX($A200:$AL200,MATCH(Lists!$F$6,$A$1:$AL$1,0))&amp;"")="","",IF(ISNUMBER(INDEX($A200:$AL200,MATCH(Lists!$F$6,$A$1:$AL$1,0))),ROUND(MOD(INDEX($A200:$AL200,MATCH(Lists!$F$6,$A$1:$AL$1,0)),1)*1440,0),VALUE(LEFT(INDEX($A200:$AL200,MATCH(Lists!$F$6,$A$1:$AL$1,0)),2))*60+VALUE(MID(INDEX($A200:$AL200,MATCH(Lists!$F$6,$A$1:$AL$1,0)),4,2)))),"")),IFERROR(IF(TRIM(INDEX($A200:$AL200,MATCH(Lists!$F$6,$A$1:$AL$1,0))&amp;"")="","",IF(ISNUMBER(INDEX($A200:$AL200,MATCH(Lists!$F$6,$A$1:$AL$1,0))),ROUND(MOD(INDEX($A200:$AL200,MATCH(Lists!$F$6,$A$1:$AL$1,0)),1)*1440,0),VALUE(LEFT(INDEX($A200:$AL200,MATCH(Lists!$F$6,$A$1:$AL$1,0)),2))*60+VALUE(MID(INDEX($A200:$AL200,MATCH(Lists!$F$6,$A$1:$AL$1,0)),4,2)))),""),-1))</f>
        <v/>
      </c>
      <c r="AV200" s="21">
        <f>IF(IFERROR(TRIM(INDEX($A200:$AL200,MATCH(Lists!$F$2,$A$1:$AL$1,0))&amp;""),"")="",-1,IF(ISNUMBER(IFERROR(IF(TRIM(INDEX($A200:$AL200,MATCH(Lists!$F$7,$A$1:$AL$1,0))&amp;"")="","",IF(ISNUMBER(INDEX($A200:$AL200,MATCH(Lists!$F$7,$A$1:$AL$1,0))),ROUND(MOD(INDEX($A200:$AL200,MATCH(Lists!$F$7,$A$1:$AL$1,0)),1)*1440,0),VALUE(LEFT(INDEX($A200:$AL200,MATCH(Lists!$F$7,$A$1:$AL$1,0)),2))*60+VALUE(MID(INDEX($A200:$AL200,MATCH(Lists!$F$7,$A$1:$AL$1,0)),4,2)))),"")),IFERROR(IF(TRIM(INDEX($A200:$AL200,MATCH(Lists!$F$7,$A$1:$AL$1,0))&amp;"")="","",IF(ISNUMBER(INDEX($A200:$AL200,MATCH(Lists!$F$7,$A$1:$AL$1,0))),ROUND(MOD(INDEX($A200:$AL200,MATCH(Lists!$F$7,$A$1:$AL$1,0)),1)*1440,0),VALUE(LEFT(INDEX($A200:$AL200,MATCH(Lists!$F$7,$A$1:$AL$1,0)),2))*60+VALUE(MID(INDEX($A200:$AL200,MATCH(Lists!$F$7,$A$1:$AL$1,0)),4,2)))),""),-1))</f>
        <v/>
      </c>
      <c r="AW200" s="21">
        <f>IF(IFERROR(TRIM(INDEX($A200:$AL200,MATCH(Lists!$F$2,$A$1:$AL$1,0))&amp;""),"")="","",IF(IFERROR(TRIM(INDEX($A200:$AL200,MATCH(Lists!$F$8,$A$1:$AL$1,0))&amp;""),"")&lt;&gt;"",IFERROR(TRIM(INDEX($A200:$AL200,MATCH(Lists!$F$8,$A$1:$AL$1,0))&amp;""),""),IFERROR(TRIM(INDEX($A200:$AL200,MATCH(Lists!$F$9,$A$1:$AL$1,0))&amp;""),"")))</f>
        <v/>
      </c>
      <c r="AX200" s="21">
        <f>IFERROR(IF(TRIM(INDEX($A200:$AL200,MATCH(Lists!$F$10,$A$1:$AL$1,0))&amp;"")="","",VALUE(TRIM(INDEX($A200:$AL200,MATCH(Lists!$F$10,$A$1:$AL$1,0))&amp;""))),"")</f>
        <v/>
      </c>
      <c r="AY200" s="21">
        <f>IF(IFERROR(TRIM(INDEX($A200:$AL200,MATCH(Lists!$F$2,$A$1:$AL$1,0))&amp;""),"")="","",IF(AN200="","New",AN200))</f>
        <v/>
      </c>
      <c r="AZ200" s="21">
        <f>IF(IFERROR(TRIM(INDEX($A200:$AL200,MATCH(Lists!$F$2,$A$1:$AL$1,0))&amp;""),"")="","",IF(OR(IFERROR(TRIM(INDEX($A200:$AL200,MATCH(Lists!$F$13,$A$1:$AL$1,0))&amp;""),"")="Paid",IFERROR(TRIM(INDEX($A200:$AL200,MATCH(Lists!$F$13,$A$1:$AL$1,0))&amp;""),"")="Partially refunded"),"Paid",IF(AP200="Yes","Paid (by hand)",IFERROR(TRIM(INDEX($A200:$AL200,MATCH(Lists!$F$13,$A$1:$AL$1,0))&amp;""),""))))</f>
        <v/>
      </c>
      <c r="BA200" s="21">
        <f>IF(AND(IFERROR(TRIM(INDEX($A200:$AL200,MATCH(Lists!$F$2,$A$1:$AL$1,0))&amp;""),"")&lt;&gt;"",AT200&gt;0,AU200&gt;=0,AV200&gt;AU200,AY200&lt;&gt;"Declined"),1,0)</f>
        <v/>
      </c>
      <c r="BB200" s="21">
        <f>IF(BA200=1,COUNTIFS($AS$2:$AS$501,AS200,$AT$2:$AT$501,AT200,$AU$2:$AU$501,"&lt;"&amp;AV200,$AV$2:$AV$501,"&gt;"&amp;AU200,$BA$2:$BA$501,1)-1,"")</f>
        <v/>
      </c>
      <c r="BC200" s="21">
        <f>IF(N(BB200)&gt;0,"Clashes with "&amp;INDEX($AW$2:$AW$501,SUMPRODUCT(MAX(($AS$2:$AS$501=AS200)*($AT$2:$AT$501=AT200)*($AU$2:$AU$501&lt;AV200)*($AV$2:$AV$501&gt;AU200)*($BA$2:$BA$501=1)*(ROW($AS$2:$AS$501)&lt;&gt;ROW())*ROW($AS$2:$AS$501)))-1)&amp;" ("&amp;INDEX($AY$2:$AY$501,SUMPRODUCT(MAX(($AS$2:$AS$501=AS200)*($AT$2:$AT$501=AT200)*($AU$2:$AU$501&lt;AV200)*($AV$2:$AV$501&gt;AU200)*($BA$2:$BA$501=1)*(ROW($AS$2:$AS$501)&lt;&gt;ROW())*ROW($AS$2:$AS$501)))-1)&amp;")"&amp;IF(BB200&gt;1," and "&amp;(BB200-1)&amp;" more",""),"")</f>
        <v/>
      </c>
      <c r="BD200" s="21">
        <f>IF(AND(BA200=1,AY200="Confirmed"),AT200*10000000+AU200*1000+ROW(),"")</f>
        <v/>
      </c>
      <c r="BE200" s="21">
        <f>IF(IFERROR(TRIM(INDEX($A200:$AL200,MATCH(Lists!$F$2,$A$1:$AL$1,0))&amp;""),"")="","",IFERROR(TRIM(INDEX($A200:$AL200,MATCH(Lists!$F$11,$A$1:$AL$1,0))&amp;""),""))</f>
        <v/>
      </c>
      <c r="BF200" s="21">
        <f>IF(IFERROR(TRIM(INDEX($A200:$AL200,MATCH(Lists!$F$2,$A$1:$AL$1,0))&amp;""),"")="","",IFERROR(TRIM(INDEX($A200:$AL200,MATCH(Lists!$F$12,$A$1:$AL$1,0))&amp;""),""))</f>
        <v/>
      </c>
    </row>
    <row r="201">
      <c r="AM201" s="19" t="n"/>
      <c r="AN201" s="23" t="n"/>
      <c r="AO201" s="23" t="n"/>
      <c r="AP201" s="23" t="n"/>
      <c r="AQ201" s="23" t="n"/>
      <c r="AR201" s="19" t="n"/>
      <c r="AS201" s="21">
        <f>IF(IFERROR(TRIM(INDEX($A201:$AL201,MATCH(Lists!$F$2,$A$1:$AL$1,0))&amp;""),"")="","",IF(AND(IFERROR(TRIM(INDEX($A201:$AL201,MATCH(Lists!$F$3,$A$1:$AL$1,0))&amp;""),"")="Other",IFERROR(TRIM(INDEX($A201:$AL201,MATCH(Lists!$F$4,$A$1:$AL$1,0))&amp;""),"")&lt;&gt;""),IFERROR(TRIM(INDEX($A201:$AL201,MATCH(Lists!$F$4,$A$1:$AL$1,0))&amp;""),""),IF(IFERROR(TRIM(INDEX($A201:$AL201,MATCH(Lists!$F$3,$A$1:$AL$1,0))&amp;""),"")="","(no space)",IFERROR(TRIM(INDEX($A201:$AL201,MATCH(Lists!$F$3,$A$1:$AL$1,0))&amp;""),""))))</f>
        <v/>
      </c>
      <c r="AT201" s="22">
        <f>IF(IFERROR(TRIM(INDEX($A201:$AL201,MATCH(Lists!$F$2,$A$1:$AL$1,0))&amp;""),"")="",0,N(IFERROR(IF(TRIM(INDEX($A201:$AL201,MATCH(Lists!$F$5,$A$1:$AL$1,0))&amp;"")="","",IF(ISNUMBER(INDEX($A201:$AL201,MATCH(Lists!$F$5,$A$1:$AL$1,0))),INT(INDEX($A201:$AL201,MATCH(Lists!$F$5,$A$1:$AL$1,0))),DATE(VALUE(LEFT(INDEX($A201:$AL201,MATCH(Lists!$F$5,$A$1:$AL$1,0)),4)),VALUE(MID(INDEX($A201:$AL201,MATCH(Lists!$F$5,$A$1:$AL$1,0)),6,2)),VALUE(MID(INDEX($A201:$AL201,MATCH(Lists!$F$5,$A$1:$AL$1,0)),9,2))))),"")))</f>
        <v/>
      </c>
      <c r="AU201" s="21">
        <f>IF(IFERROR(TRIM(INDEX($A201:$AL201,MATCH(Lists!$F$2,$A$1:$AL$1,0))&amp;""),"")="",-1,IF(ISNUMBER(IFERROR(IF(TRIM(INDEX($A201:$AL201,MATCH(Lists!$F$6,$A$1:$AL$1,0))&amp;"")="","",IF(ISNUMBER(INDEX($A201:$AL201,MATCH(Lists!$F$6,$A$1:$AL$1,0))),ROUND(MOD(INDEX($A201:$AL201,MATCH(Lists!$F$6,$A$1:$AL$1,0)),1)*1440,0),VALUE(LEFT(INDEX($A201:$AL201,MATCH(Lists!$F$6,$A$1:$AL$1,0)),2))*60+VALUE(MID(INDEX($A201:$AL201,MATCH(Lists!$F$6,$A$1:$AL$1,0)),4,2)))),"")),IFERROR(IF(TRIM(INDEX($A201:$AL201,MATCH(Lists!$F$6,$A$1:$AL$1,0))&amp;"")="","",IF(ISNUMBER(INDEX($A201:$AL201,MATCH(Lists!$F$6,$A$1:$AL$1,0))),ROUND(MOD(INDEX($A201:$AL201,MATCH(Lists!$F$6,$A$1:$AL$1,0)),1)*1440,0),VALUE(LEFT(INDEX($A201:$AL201,MATCH(Lists!$F$6,$A$1:$AL$1,0)),2))*60+VALUE(MID(INDEX($A201:$AL201,MATCH(Lists!$F$6,$A$1:$AL$1,0)),4,2)))),""),-1))</f>
        <v/>
      </c>
      <c r="AV201" s="21">
        <f>IF(IFERROR(TRIM(INDEX($A201:$AL201,MATCH(Lists!$F$2,$A$1:$AL$1,0))&amp;""),"")="",-1,IF(ISNUMBER(IFERROR(IF(TRIM(INDEX($A201:$AL201,MATCH(Lists!$F$7,$A$1:$AL$1,0))&amp;"")="","",IF(ISNUMBER(INDEX($A201:$AL201,MATCH(Lists!$F$7,$A$1:$AL$1,0))),ROUND(MOD(INDEX($A201:$AL201,MATCH(Lists!$F$7,$A$1:$AL$1,0)),1)*1440,0),VALUE(LEFT(INDEX($A201:$AL201,MATCH(Lists!$F$7,$A$1:$AL$1,0)),2))*60+VALUE(MID(INDEX($A201:$AL201,MATCH(Lists!$F$7,$A$1:$AL$1,0)),4,2)))),"")),IFERROR(IF(TRIM(INDEX($A201:$AL201,MATCH(Lists!$F$7,$A$1:$AL$1,0))&amp;"")="","",IF(ISNUMBER(INDEX($A201:$AL201,MATCH(Lists!$F$7,$A$1:$AL$1,0))),ROUND(MOD(INDEX($A201:$AL201,MATCH(Lists!$F$7,$A$1:$AL$1,0)),1)*1440,0),VALUE(LEFT(INDEX($A201:$AL201,MATCH(Lists!$F$7,$A$1:$AL$1,0)),2))*60+VALUE(MID(INDEX($A201:$AL201,MATCH(Lists!$F$7,$A$1:$AL$1,0)),4,2)))),""),-1))</f>
        <v/>
      </c>
      <c r="AW201" s="21">
        <f>IF(IFERROR(TRIM(INDEX($A201:$AL201,MATCH(Lists!$F$2,$A$1:$AL$1,0))&amp;""),"")="","",IF(IFERROR(TRIM(INDEX($A201:$AL201,MATCH(Lists!$F$8,$A$1:$AL$1,0))&amp;""),"")&lt;&gt;"",IFERROR(TRIM(INDEX($A201:$AL201,MATCH(Lists!$F$8,$A$1:$AL$1,0))&amp;""),""),IFERROR(TRIM(INDEX($A201:$AL201,MATCH(Lists!$F$9,$A$1:$AL$1,0))&amp;""),"")))</f>
        <v/>
      </c>
      <c r="AX201" s="21">
        <f>IFERROR(IF(TRIM(INDEX($A201:$AL201,MATCH(Lists!$F$10,$A$1:$AL$1,0))&amp;"")="","",VALUE(TRIM(INDEX($A201:$AL201,MATCH(Lists!$F$10,$A$1:$AL$1,0))&amp;""))),"")</f>
        <v/>
      </c>
      <c r="AY201" s="21">
        <f>IF(IFERROR(TRIM(INDEX($A201:$AL201,MATCH(Lists!$F$2,$A$1:$AL$1,0))&amp;""),"")="","",IF(AN201="","New",AN201))</f>
        <v/>
      </c>
      <c r="AZ201" s="21">
        <f>IF(IFERROR(TRIM(INDEX($A201:$AL201,MATCH(Lists!$F$2,$A$1:$AL$1,0))&amp;""),"")="","",IF(OR(IFERROR(TRIM(INDEX($A201:$AL201,MATCH(Lists!$F$13,$A$1:$AL$1,0))&amp;""),"")="Paid",IFERROR(TRIM(INDEX($A201:$AL201,MATCH(Lists!$F$13,$A$1:$AL$1,0))&amp;""),"")="Partially refunded"),"Paid",IF(AP201="Yes","Paid (by hand)",IFERROR(TRIM(INDEX($A201:$AL201,MATCH(Lists!$F$13,$A$1:$AL$1,0))&amp;""),""))))</f>
        <v/>
      </c>
      <c r="BA201" s="21">
        <f>IF(AND(IFERROR(TRIM(INDEX($A201:$AL201,MATCH(Lists!$F$2,$A$1:$AL$1,0))&amp;""),"")&lt;&gt;"",AT201&gt;0,AU201&gt;=0,AV201&gt;AU201,AY201&lt;&gt;"Declined"),1,0)</f>
        <v/>
      </c>
      <c r="BB201" s="21">
        <f>IF(BA201=1,COUNTIFS($AS$2:$AS$501,AS201,$AT$2:$AT$501,AT201,$AU$2:$AU$501,"&lt;"&amp;AV201,$AV$2:$AV$501,"&gt;"&amp;AU201,$BA$2:$BA$501,1)-1,"")</f>
        <v/>
      </c>
      <c r="BC201" s="21">
        <f>IF(N(BB201)&gt;0,"Clashes with "&amp;INDEX($AW$2:$AW$501,SUMPRODUCT(MAX(($AS$2:$AS$501=AS201)*($AT$2:$AT$501=AT201)*($AU$2:$AU$501&lt;AV201)*($AV$2:$AV$501&gt;AU201)*($BA$2:$BA$501=1)*(ROW($AS$2:$AS$501)&lt;&gt;ROW())*ROW($AS$2:$AS$501)))-1)&amp;" ("&amp;INDEX($AY$2:$AY$501,SUMPRODUCT(MAX(($AS$2:$AS$501=AS201)*($AT$2:$AT$501=AT201)*($AU$2:$AU$501&lt;AV201)*($AV$2:$AV$501&gt;AU201)*($BA$2:$BA$501=1)*(ROW($AS$2:$AS$501)&lt;&gt;ROW())*ROW($AS$2:$AS$501)))-1)&amp;")"&amp;IF(BB201&gt;1," and "&amp;(BB201-1)&amp;" more",""),"")</f>
        <v/>
      </c>
      <c r="BD201" s="21">
        <f>IF(AND(BA201=1,AY201="Confirmed"),AT201*10000000+AU201*1000+ROW(),"")</f>
        <v/>
      </c>
      <c r="BE201" s="21">
        <f>IF(IFERROR(TRIM(INDEX($A201:$AL201,MATCH(Lists!$F$2,$A$1:$AL$1,0))&amp;""),"")="","",IFERROR(TRIM(INDEX($A201:$AL201,MATCH(Lists!$F$11,$A$1:$AL$1,0))&amp;""),""))</f>
        <v/>
      </c>
      <c r="BF201" s="21">
        <f>IF(IFERROR(TRIM(INDEX($A201:$AL201,MATCH(Lists!$F$2,$A$1:$AL$1,0))&amp;""),"")="","",IFERROR(TRIM(INDEX($A201:$AL201,MATCH(Lists!$F$12,$A$1:$AL$1,0))&amp;""),""))</f>
        <v/>
      </c>
    </row>
    <row r="202">
      <c r="AM202" s="19" t="n"/>
      <c r="AN202" s="23" t="n"/>
      <c r="AO202" s="23" t="n"/>
      <c r="AP202" s="23" t="n"/>
      <c r="AQ202" s="23" t="n"/>
      <c r="AR202" s="19" t="n"/>
      <c r="AS202" s="21">
        <f>IF(IFERROR(TRIM(INDEX($A202:$AL202,MATCH(Lists!$F$2,$A$1:$AL$1,0))&amp;""),"")="","",IF(AND(IFERROR(TRIM(INDEX($A202:$AL202,MATCH(Lists!$F$3,$A$1:$AL$1,0))&amp;""),"")="Other",IFERROR(TRIM(INDEX($A202:$AL202,MATCH(Lists!$F$4,$A$1:$AL$1,0))&amp;""),"")&lt;&gt;""),IFERROR(TRIM(INDEX($A202:$AL202,MATCH(Lists!$F$4,$A$1:$AL$1,0))&amp;""),""),IF(IFERROR(TRIM(INDEX($A202:$AL202,MATCH(Lists!$F$3,$A$1:$AL$1,0))&amp;""),"")="","(no space)",IFERROR(TRIM(INDEX($A202:$AL202,MATCH(Lists!$F$3,$A$1:$AL$1,0))&amp;""),""))))</f>
        <v/>
      </c>
      <c r="AT202" s="22">
        <f>IF(IFERROR(TRIM(INDEX($A202:$AL202,MATCH(Lists!$F$2,$A$1:$AL$1,0))&amp;""),"")="",0,N(IFERROR(IF(TRIM(INDEX($A202:$AL202,MATCH(Lists!$F$5,$A$1:$AL$1,0))&amp;"")="","",IF(ISNUMBER(INDEX($A202:$AL202,MATCH(Lists!$F$5,$A$1:$AL$1,0))),INT(INDEX($A202:$AL202,MATCH(Lists!$F$5,$A$1:$AL$1,0))),DATE(VALUE(LEFT(INDEX($A202:$AL202,MATCH(Lists!$F$5,$A$1:$AL$1,0)),4)),VALUE(MID(INDEX($A202:$AL202,MATCH(Lists!$F$5,$A$1:$AL$1,0)),6,2)),VALUE(MID(INDEX($A202:$AL202,MATCH(Lists!$F$5,$A$1:$AL$1,0)),9,2))))),"")))</f>
        <v/>
      </c>
      <c r="AU202" s="21">
        <f>IF(IFERROR(TRIM(INDEX($A202:$AL202,MATCH(Lists!$F$2,$A$1:$AL$1,0))&amp;""),"")="",-1,IF(ISNUMBER(IFERROR(IF(TRIM(INDEX($A202:$AL202,MATCH(Lists!$F$6,$A$1:$AL$1,0))&amp;"")="","",IF(ISNUMBER(INDEX($A202:$AL202,MATCH(Lists!$F$6,$A$1:$AL$1,0))),ROUND(MOD(INDEX($A202:$AL202,MATCH(Lists!$F$6,$A$1:$AL$1,0)),1)*1440,0),VALUE(LEFT(INDEX($A202:$AL202,MATCH(Lists!$F$6,$A$1:$AL$1,0)),2))*60+VALUE(MID(INDEX($A202:$AL202,MATCH(Lists!$F$6,$A$1:$AL$1,0)),4,2)))),"")),IFERROR(IF(TRIM(INDEX($A202:$AL202,MATCH(Lists!$F$6,$A$1:$AL$1,0))&amp;"")="","",IF(ISNUMBER(INDEX($A202:$AL202,MATCH(Lists!$F$6,$A$1:$AL$1,0))),ROUND(MOD(INDEX($A202:$AL202,MATCH(Lists!$F$6,$A$1:$AL$1,0)),1)*1440,0),VALUE(LEFT(INDEX($A202:$AL202,MATCH(Lists!$F$6,$A$1:$AL$1,0)),2))*60+VALUE(MID(INDEX($A202:$AL202,MATCH(Lists!$F$6,$A$1:$AL$1,0)),4,2)))),""),-1))</f>
        <v/>
      </c>
      <c r="AV202" s="21">
        <f>IF(IFERROR(TRIM(INDEX($A202:$AL202,MATCH(Lists!$F$2,$A$1:$AL$1,0))&amp;""),"")="",-1,IF(ISNUMBER(IFERROR(IF(TRIM(INDEX($A202:$AL202,MATCH(Lists!$F$7,$A$1:$AL$1,0))&amp;"")="","",IF(ISNUMBER(INDEX($A202:$AL202,MATCH(Lists!$F$7,$A$1:$AL$1,0))),ROUND(MOD(INDEX($A202:$AL202,MATCH(Lists!$F$7,$A$1:$AL$1,0)),1)*1440,0),VALUE(LEFT(INDEX($A202:$AL202,MATCH(Lists!$F$7,$A$1:$AL$1,0)),2))*60+VALUE(MID(INDEX($A202:$AL202,MATCH(Lists!$F$7,$A$1:$AL$1,0)),4,2)))),"")),IFERROR(IF(TRIM(INDEX($A202:$AL202,MATCH(Lists!$F$7,$A$1:$AL$1,0))&amp;"")="","",IF(ISNUMBER(INDEX($A202:$AL202,MATCH(Lists!$F$7,$A$1:$AL$1,0))),ROUND(MOD(INDEX($A202:$AL202,MATCH(Lists!$F$7,$A$1:$AL$1,0)),1)*1440,0),VALUE(LEFT(INDEX($A202:$AL202,MATCH(Lists!$F$7,$A$1:$AL$1,0)),2))*60+VALUE(MID(INDEX($A202:$AL202,MATCH(Lists!$F$7,$A$1:$AL$1,0)),4,2)))),""),-1))</f>
        <v/>
      </c>
      <c r="AW202" s="21">
        <f>IF(IFERROR(TRIM(INDEX($A202:$AL202,MATCH(Lists!$F$2,$A$1:$AL$1,0))&amp;""),"")="","",IF(IFERROR(TRIM(INDEX($A202:$AL202,MATCH(Lists!$F$8,$A$1:$AL$1,0))&amp;""),"")&lt;&gt;"",IFERROR(TRIM(INDEX($A202:$AL202,MATCH(Lists!$F$8,$A$1:$AL$1,0))&amp;""),""),IFERROR(TRIM(INDEX($A202:$AL202,MATCH(Lists!$F$9,$A$1:$AL$1,0))&amp;""),"")))</f>
        <v/>
      </c>
      <c r="AX202" s="21">
        <f>IFERROR(IF(TRIM(INDEX($A202:$AL202,MATCH(Lists!$F$10,$A$1:$AL$1,0))&amp;"")="","",VALUE(TRIM(INDEX($A202:$AL202,MATCH(Lists!$F$10,$A$1:$AL$1,0))&amp;""))),"")</f>
        <v/>
      </c>
      <c r="AY202" s="21">
        <f>IF(IFERROR(TRIM(INDEX($A202:$AL202,MATCH(Lists!$F$2,$A$1:$AL$1,0))&amp;""),"")="","",IF(AN202="","New",AN202))</f>
        <v/>
      </c>
      <c r="AZ202" s="21">
        <f>IF(IFERROR(TRIM(INDEX($A202:$AL202,MATCH(Lists!$F$2,$A$1:$AL$1,0))&amp;""),"")="","",IF(OR(IFERROR(TRIM(INDEX($A202:$AL202,MATCH(Lists!$F$13,$A$1:$AL$1,0))&amp;""),"")="Paid",IFERROR(TRIM(INDEX($A202:$AL202,MATCH(Lists!$F$13,$A$1:$AL$1,0))&amp;""),"")="Partially refunded"),"Paid",IF(AP202="Yes","Paid (by hand)",IFERROR(TRIM(INDEX($A202:$AL202,MATCH(Lists!$F$13,$A$1:$AL$1,0))&amp;""),""))))</f>
        <v/>
      </c>
      <c r="BA202" s="21">
        <f>IF(AND(IFERROR(TRIM(INDEX($A202:$AL202,MATCH(Lists!$F$2,$A$1:$AL$1,0))&amp;""),"")&lt;&gt;"",AT202&gt;0,AU202&gt;=0,AV202&gt;AU202,AY202&lt;&gt;"Declined"),1,0)</f>
        <v/>
      </c>
      <c r="BB202" s="21">
        <f>IF(BA202=1,COUNTIFS($AS$2:$AS$501,AS202,$AT$2:$AT$501,AT202,$AU$2:$AU$501,"&lt;"&amp;AV202,$AV$2:$AV$501,"&gt;"&amp;AU202,$BA$2:$BA$501,1)-1,"")</f>
        <v/>
      </c>
      <c r="BC202" s="21">
        <f>IF(N(BB202)&gt;0,"Clashes with "&amp;INDEX($AW$2:$AW$501,SUMPRODUCT(MAX(($AS$2:$AS$501=AS202)*($AT$2:$AT$501=AT202)*($AU$2:$AU$501&lt;AV202)*($AV$2:$AV$501&gt;AU202)*($BA$2:$BA$501=1)*(ROW($AS$2:$AS$501)&lt;&gt;ROW())*ROW($AS$2:$AS$501)))-1)&amp;" ("&amp;INDEX($AY$2:$AY$501,SUMPRODUCT(MAX(($AS$2:$AS$501=AS202)*($AT$2:$AT$501=AT202)*($AU$2:$AU$501&lt;AV202)*($AV$2:$AV$501&gt;AU202)*($BA$2:$BA$501=1)*(ROW($AS$2:$AS$501)&lt;&gt;ROW())*ROW($AS$2:$AS$501)))-1)&amp;")"&amp;IF(BB202&gt;1," and "&amp;(BB202-1)&amp;" more",""),"")</f>
        <v/>
      </c>
      <c r="BD202" s="21">
        <f>IF(AND(BA202=1,AY202="Confirmed"),AT202*10000000+AU202*1000+ROW(),"")</f>
        <v/>
      </c>
      <c r="BE202" s="21">
        <f>IF(IFERROR(TRIM(INDEX($A202:$AL202,MATCH(Lists!$F$2,$A$1:$AL$1,0))&amp;""),"")="","",IFERROR(TRIM(INDEX($A202:$AL202,MATCH(Lists!$F$11,$A$1:$AL$1,0))&amp;""),""))</f>
        <v/>
      </c>
      <c r="BF202" s="21">
        <f>IF(IFERROR(TRIM(INDEX($A202:$AL202,MATCH(Lists!$F$2,$A$1:$AL$1,0))&amp;""),"")="","",IFERROR(TRIM(INDEX($A202:$AL202,MATCH(Lists!$F$12,$A$1:$AL$1,0))&amp;""),""))</f>
        <v/>
      </c>
    </row>
    <row r="203">
      <c r="AM203" s="19" t="n"/>
      <c r="AN203" s="23" t="n"/>
      <c r="AO203" s="23" t="n"/>
      <c r="AP203" s="23" t="n"/>
      <c r="AQ203" s="23" t="n"/>
      <c r="AR203" s="19" t="n"/>
      <c r="AS203" s="21">
        <f>IF(IFERROR(TRIM(INDEX($A203:$AL203,MATCH(Lists!$F$2,$A$1:$AL$1,0))&amp;""),"")="","",IF(AND(IFERROR(TRIM(INDEX($A203:$AL203,MATCH(Lists!$F$3,$A$1:$AL$1,0))&amp;""),"")="Other",IFERROR(TRIM(INDEX($A203:$AL203,MATCH(Lists!$F$4,$A$1:$AL$1,0))&amp;""),"")&lt;&gt;""),IFERROR(TRIM(INDEX($A203:$AL203,MATCH(Lists!$F$4,$A$1:$AL$1,0))&amp;""),""),IF(IFERROR(TRIM(INDEX($A203:$AL203,MATCH(Lists!$F$3,$A$1:$AL$1,0))&amp;""),"")="","(no space)",IFERROR(TRIM(INDEX($A203:$AL203,MATCH(Lists!$F$3,$A$1:$AL$1,0))&amp;""),""))))</f>
        <v/>
      </c>
      <c r="AT203" s="22">
        <f>IF(IFERROR(TRIM(INDEX($A203:$AL203,MATCH(Lists!$F$2,$A$1:$AL$1,0))&amp;""),"")="",0,N(IFERROR(IF(TRIM(INDEX($A203:$AL203,MATCH(Lists!$F$5,$A$1:$AL$1,0))&amp;"")="","",IF(ISNUMBER(INDEX($A203:$AL203,MATCH(Lists!$F$5,$A$1:$AL$1,0))),INT(INDEX($A203:$AL203,MATCH(Lists!$F$5,$A$1:$AL$1,0))),DATE(VALUE(LEFT(INDEX($A203:$AL203,MATCH(Lists!$F$5,$A$1:$AL$1,0)),4)),VALUE(MID(INDEX($A203:$AL203,MATCH(Lists!$F$5,$A$1:$AL$1,0)),6,2)),VALUE(MID(INDEX($A203:$AL203,MATCH(Lists!$F$5,$A$1:$AL$1,0)),9,2))))),"")))</f>
        <v/>
      </c>
      <c r="AU203" s="21">
        <f>IF(IFERROR(TRIM(INDEX($A203:$AL203,MATCH(Lists!$F$2,$A$1:$AL$1,0))&amp;""),"")="",-1,IF(ISNUMBER(IFERROR(IF(TRIM(INDEX($A203:$AL203,MATCH(Lists!$F$6,$A$1:$AL$1,0))&amp;"")="","",IF(ISNUMBER(INDEX($A203:$AL203,MATCH(Lists!$F$6,$A$1:$AL$1,0))),ROUND(MOD(INDEX($A203:$AL203,MATCH(Lists!$F$6,$A$1:$AL$1,0)),1)*1440,0),VALUE(LEFT(INDEX($A203:$AL203,MATCH(Lists!$F$6,$A$1:$AL$1,0)),2))*60+VALUE(MID(INDEX($A203:$AL203,MATCH(Lists!$F$6,$A$1:$AL$1,0)),4,2)))),"")),IFERROR(IF(TRIM(INDEX($A203:$AL203,MATCH(Lists!$F$6,$A$1:$AL$1,0))&amp;"")="","",IF(ISNUMBER(INDEX($A203:$AL203,MATCH(Lists!$F$6,$A$1:$AL$1,0))),ROUND(MOD(INDEX($A203:$AL203,MATCH(Lists!$F$6,$A$1:$AL$1,0)),1)*1440,0),VALUE(LEFT(INDEX($A203:$AL203,MATCH(Lists!$F$6,$A$1:$AL$1,0)),2))*60+VALUE(MID(INDEX($A203:$AL203,MATCH(Lists!$F$6,$A$1:$AL$1,0)),4,2)))),""),-1))</f>
        <v/>
      </c>
      <c r="AV203" s="21">
        <f>IF(IFERROR(TRIM(INDEX($A203:$AL203,MATCH(Lists!$F$2,$A$1:$AL$1,0))&amp;""),"")="",-1,IF(ISNUMBER(IFERROR(IF(TRIM(INDEX($A203:$AL203,MATCH(Lists!$F$7,$A$1:$AL$1,0))&amp;"")="","",IF(ISNUMBER(INDEX($A203:$AL203,MATCH(Lists!$F$7,$A$1:$AL$1,0))),ROUND(MOD(INDEX($A203:$AL203,MATCH(Lists!$F$7,$A$1:$AL$1,0)),1)*1440,0),VALUE(LEFT(INDEX($A203:$AL203,MATCH(Lists!$F$7,$A$1:$AL$1,0)),2))*60+VALUE(MID(INDEX($A203:$AL203,MATCH(Lists!$F$7,$A$1:$AL$1,0)),4,2)))),"")),IFERROR(IF(TRIM(INDEX($A203:$AL203,MATCH(Lists!$F$7,$A$1:$AL$1,0))&amp;"")="","",IF(ISNUMBER(INDEX($A203:$AL203,MATCH(Lists!$F$7,$A$1:$AL$1,0))),ROUND(MOD(INDEX($A203:$AL203,MATCH(Lists!$F$7,$A$1:$AL$1,0)),1)*1440,0),VALUE(LEFT(INDEX($A203:$AL203,MATCH(Lists!$F$7,$A$1:$AL$1,0)),2))*60+VALUE(MID(INDEX($A203:$AL203,MATCH(Lists!$F$7,$A$1:$AL$1,0)),4,2)))),""),-1))</f>
        <v/>
      </c>
      <c r="AW203" s="21">
        <f>IF(IFERROR(TRIM(INDEX($A203:$AL203,MATCH(Lists!$F$2,$A$1:$AL$1,0))&amp;""),"")="","",IF(IFERROR(TRIM(INDEX($A203:$AL203,MATCH(Lists!$F$8,$A$1:$AL$1,0))&amp;""),"")&lt;&gt;"",IFERROR(TRIM(INDEX($A203:$AL203,MATCH(Lists!$F$8,$A$1:$AL$1,0))&amp;""),""),IFERROR(TRIM(INDEX($A203:$AL203,MATCH(Lists!$F$9,$A$1:$AL$1,0))&amp;""),"")))</f>
        <v/>
      </c>
      <c r="AX203" s="21">
        <f>IFERROR(IF(TRIM(INDEX($A203:$AL203,MATCH(Lists!$F$10,$A$1:$AL$1,0))&amp;"")="","",VALUE(TRIM(INDEX($A203:$AL203,MATCH(Lists!$F$10,$A$1:$AL$1,0))&amp;""))),"")</f>
        <v/>
      </c>
      <c r="AY203" s="21">
        <f>IF(IFERROR(TRIM(INDEX($A203:$AL203,MATCH(Lists!$F$2,$A$1:$AL$1,0))&amp;""),"")="","",IF(AN203="","New",AN203))</f>
        <v/>
      </c>
      <c r="AZ203" s="21">
        <f>IF(IFERROR(TRIM(INDEX($A203:$AL203,MATCH(Lists!$F$2,$A$1:$AL$1,0))&amp;""),"")="","",IF(OR(IFERROR(TRIM(INDEX($A203:$AL203,MATCH(Lists!$F$13,$A$1:$AL$1,0))&amp;""),"")="Paid",IFERROR(TRIM(INDEX($A203:$AL203,MATCH(Lists!$F$13,$A$1:$AL$1,0))&amp;""),"")="Partially refunded"),"Paid",IF(AP203="Yes","Paid (by hand)",IFERROR(TRIM(INDEX($A203:$AL203,MATCH(Lists!$F$13,$A$1:$AL$1,0))&amp;""),""))))</f>
        <v/>
      </c>
      <c r="BA203" s="21">
        <f>IF(AND(IFERROR(TRIM(INDEX($A203:$AL203,MATCH(Lists!$F$2,$A$1:$AL$1,0))&amp;""),"")&lt;&gt;"",AT203&gt;0,AU203&gt;=0,AV203&gt;AU203,AY203&lt;&gt;"Declined"),1,0)</f>
        <v/>
      </c>
      <c r="BB203" s="21">
        <f>IF(BA203=1,COUNTIFS($AS$2:$AS$501,AS203,$AT$2:$AT$501,AT203,$AU$2:$AU$501,"&lt;"&amp;AV203,$AV$2:$AV$501,"&gt;"&amp;AU203,$BA$2:$BA$501,1)-1,"")</f>
        <v/>
      </c>
      <c r="BC203" s="21">
        <f>IF(N(BB203)&gt;0,"Clashes with "&amp;INDEX($AW$2:$AW$501,SUMPRODUCT(MAX(($AS$2:$AS$501=AS203)*($AT$2:$AT$501=AT203)*($AU$2:$AU$501&lt;AV203)*($AV$2:$AV$501&gt;AU203)*($BA$2:$BA$501=1)*(ROW($AS$2:$AS$501)&lt;&gt;ROW())*ROW($AS$2:$AS$501)))-1)&amp;" ("&amp;INDEX($AY$2:$AY$501,SUMPRODUCT(MAX(($AS$2:$AS$501=AS203)*($AT$2:$AT$501=AT203)*($AU$2:$AU$501&lt;AV203)*($AV$2:$AV$501&gt;AU203)*($BA$2:$BA$501=1)*(ROW($AS$2:$AS$501)&lt;&gt;ROW())*ROW($AS$2:$AS$501)))-1)&amp;")"&amp;IF(BB203&gt;1," and "&amp;(BB203-1)&amp;" more",""),"")</f>
        <v/>
      </c>
      <c r="BD203" s="21">
        <f>IF(AND(BA203=1,AY203="Confirmed"),AT203*10000000+AU203*1000+ROW(),"")</f>
        <v/>
      </c>
      <c r="BE203" s="21">
        <f>IF(IFERROR(TRIM(INDEX($A203:$AL203,MATCH(Lists!$F$2,$A$1:$AL$1,0))&amp;""),"")="","",IFERROR(TRIM(INDEX($A203:$AL203,MATCH(Lists!$F$11,$A$1:$AL$1,0))&amp;""),""))</f>
        <v/>
      </c>
      <c r="BF203" s="21">
        <f>IF(IFERROR(TRIM(INDEX($A203:$AL203,MATCH(Lists!$F$2,$A$1:$AL$1,0))&amp;""),"")="","",IFERROR(TRIM(INDEX($A203:$AL203,MATCH(Lists!$F$12,$A$1:$AL$1,0))&amp;""),""))</f>
        <v/>
      </c>
    </row>
    <row r="204">
      <c r="AM204" s="19" t="n"/>
      <c r="AN204" s="23" t="n"/>
      <c r="AO204" s="23" t="n"/>
      <c r="AP204" s="23" t="n"/>
      <c r="AQ204" s="23" t="n"/>
      <c r="AR204" s="19" t="n"/>
      <c r="AS204" s="21">
        <f>IF(IFERROR(TRIM(INDEX($A204:$AL204,MATCH(Lists!$F$2,$A$1:$AL$1,0))&amp;""),"")="","",IF(AND(IFERROR(TRIM(INDEX($A204:$AL204,MATCH(Lists!$F$3,$A$1:$AL$1,0))&amp;""),"")="Other",IFERROR(TRIM(INDEX($A204:$AL204,MATCH(Lists!$F$4,$A$1:$AL$1,0))&amp;""),"")&lt;&gt;""),IFERROR(TRIM(INDEX($A204:$AL204,MATCH(Lists!$F$4,$A$1:$AL$1,0))&amp;""),""),IF(IFERROR(TRIM(INDEX($A204:$AL204,MATCH(Lists!$F$3,$A$1:$AL$1,0))&amp;""),"")="","(no space)",IFERROR(TRIM(INDEX($A204:$AL204,MATCH(Lists!$F$3,$A$1:$AL$1,0))&amp;""),""))))</f>
        <v/>
      </c>
      <c r="AT204" s="22">
        <f>IF(IFERROR(TRIM(INDEX($A204:$AL204,MATCH(Lists!$F$2,$A$1:$AL$1,0))&amp;""),"")="",0,N(IFERROR(IF(TRIM(INDEX($A204:$AL204,MATCH(Lists!$F$5,$A$1:$AL$1,0))&amp;"")="","",IF(ISNUMBER(INDEX($A204:$AL204,MATCH(Lists!$F$5,$A$1:$AL$1,0))),INT(INDEX($A204:$AL204,MATCH(Lists!$F$5,$A$1:$AL$1,0))),DATE(VALUE(LEFT(INDEX($A204:$AL204,MATCH(Lists!$F$5,$A$1:$AL$1,0)),4)),VALUE(MID(INDEX($A204:$AL204,MATCH(Lists!$F$5,$A$1:$AL$1,0)),6,2)),VALUE(MID(INDEX($A204:$AL204,MATCH(Lists!$F$5,$A$1:$AL$1,0)),9,2))))),"")))</f>
        <v/>
      </c>
      <c r="AU204" s="21">
        <f>IF(IFERROR(TRIM(INDEX($A204:$AL204,MATCH(Lists!$F$2,$A$1:$AL$1,0))&amp;""),"")="",-1,IF(ISNUMBER(IFERROR(IF(TRIM(INDEX($A204:$AL204,MATCH(Lists!$F$6,$A$1:$AL$1,0))&amp;"")="","",IF(ISNUMBER(INDEX($A204:$AL204,MATCH(Lists!$F$6,$A$1:$AL$1,0))),ROUND(MOD(INDEX($A204:$AL204,MATCH(Lists!$F$6,$A$1:$AL$1,0)),1)*1440,0),VALUE(LEFT(INDEX($A204:$AL204,MATCH(Lists!$F$6,$A$1:$AL$1,0)),2))*60+VALUE(MID(INDEX($A204:$AL204,MATCH(Lists!$F$6,$A$1:$AL$1,0)),4,2)))),"")),IFERROR(IF(TRIM(INDEX($A204:$AL204,MATCH(Lists!$F$6,$A$1:$AL$1,0))&amp;"")="","",IF(ISNUMBER(INDEX($A204:$AL204,MATCH(Lists!$F$6,$A$1:$AL$1,0))),ROUND(MOD(INDEX($A204:$AL204,MATCH(Lists!$F$6,$A$1:$AL$1,0)),1)*1440,0),VALUE(LEFT(INDEX($A204:$AL204,MATCH(Lists!$F$6,$A$1:$AL$1,0)),2))*60+VALUE(MID(INDEX($A204:$AL204,MATCH(Lists!$F$6,$A$1:$AL$1,0)),4,2)))),""),-1))</f>
        <v/>
      </c>
      <c r="AV204" s="21">
        <f>IF(IFERROR(TRIM(INDEX($A204:$AL204,MATCH(Lists!$F$2,$A$1:$AL$1,0))&amp;""),"")="",-1,IF(ISNUMBER(IFERROR(IF(TRIM(INDEX($A204:$AL204,MATCH(Lists!$F$7,$A$1:$AL$1,0))&amp;"")="","",IF(ISNUMBER(INDEX($A204:$AL204,MATCH(Lists!$F$7,$A$1:$AL$1,0))),ROUND(MOD(INDEX($A204:$AL204,MATCH(Lists!$F$7,$A$1:$AL$1,0)),1)*1440,0),VALUE(LEFT(INDEX($A204:$AL204,MATCH(Lists!$F$7,$A$1:$AL$1,0)),2))*60+VALUE(MID(INDEX($A204:$AL204,MATCH(Lists!$F$7,$A$1:$AL$1,0)),4,2)))),"")),IFERROR(IF(TRIM(INDEX($A204:$AL204,MATCH(Lists!$F$7,$A$1:$AL$1,0))&amp;"")="","",IF(ISNUMBER(INDEX($A204:$AL204,MATCH(Lists!$F$7,$A$1:$AL$1,0))),ROUND(MOD(INDEX($A204:$AL204,MATCH(Lists!$F$7,$A$1:$AL$1,0)),1)*1440,0),VALUE(LEFT(INDEX($A204:$AL204,MATCH(Lists!$F$7,$A$1:$AL$1,0)),2))*60+VALUE(MID(INDEX($A204:$AL204,MATCH(Lists!$F$7,$A$1:$AL$1,0)),4,2)))),""),-1))</f>
        <v/>
      </c>
      <c r="AW204" s="21">
        <f>IF(IFERROR(TRIM(INDEX($A204:$AL204,MATCH(Lists!$F$2,$A$1:$AL$1,0))&amp;""),"")="","",IF(IFERROR(TRIM(INDEX($A204:$AL204,MATCH(Lists!$F$8,$A$1:$AL$1,0))&amp;""),"")&lt;&gt;"",IFERROR(TRIM(INDEX($A204:$AL204,MATCH(Lists!$F$8,$A$1:$AL$1,0))&amp;""),""),IFERROR(TRIM(INDEX($A204:$AL204,MATCH(Lists!$F$9,$A$1:$AL$1,0))&amp;""),"")))</f>
        <v/>
      </c>
      <c r="AX204" s="21">
        <f>IFERROR(IF(TRIM(INDEX($A204:$AL204,MATCH(Lists!$F$10,$A$1:$AL$1,0))&amp;"")="","",VALUE(TRIM(INDEX($A204:$AL204,MATCH(Lists!$F$10,$A$1:$AL$1,0))&amp;""))),"")</f>
        <v/>
      </c>
      <c r="AY204" s="21">
        <f>IF(IFERROR(TRIM(INDEX($A204:$AL204,MATCH(Lists!$F$2,$A$1:$AL$1,0))&amp;""),"")="","",IF(AN204="","New",AN204))</f>
        <v/>
      </c>
      <c r="AZ204" s="21">
        <f>IF(IFERROR(TRIM(INDEX($A204:$AL204,MATCH(Lists!$F$2,$A$1:$AL$1,0))&amp;""),"")="","",IF(OR(IFERROR(TRIM(INDEX($A204:$AL204,MATCH(Lists!$F$13,$A$1:$AL$1,0))&amp;""),"")="Paid",IFERROR(TRIM(INDEX($A204:$AL204,MATCH(Lists!$F$13,$A$1:$AL$1,0))&amp;""),"")="Partially refunded"),"Paid",IF(AP204="Yes","Paid (by hand)",IFERROR(TRIM(INDEX($A204:$AL204,MATCH(Lists!$F$13,$A$1:$AL$1,0))&amp;""),""))))</f>
        <v/>
      </c>
      <c r="BA204" s="21">
        <f>IF(AND(IFERROR(TRIM(INDEX($A204:$AL204,MATCH(Lists!$F$2,$A$1:$AL$1,0))&amp;""),"")&lt;&gt;"",AT204&gt;0,AU204&gt;=0,AV204&gt;AU204,AY204&lt;&gt;"Declined"),1,0)</f>
        <v/>
      </c>
      <c r="BB204" s="21">
        <f>IF(BA204=1,COUNTIFS($AS$2:$AS$501,AS204,$AT$2:$AT$501,AT204,$AU$2:$AU$501,"&lt;"&amp;AV204,$AV$2:$AV$501,"&gt;"&amp;AU204,$BA$2:$BA$501,1)-1,"")</f>
        <v/>
      </c>
      <c r="BC204" s="21">
        <f>IF(N(BB204)&gt;0,"Clashes with "&amp;INDEX($AW$2:$AW$501,SUMPRODUCT(MAX(($AS$2:$AS$501=AS204)*($AT$2:$AT$501=AT204)*($AU$2:$AU$501&lt;AV204)*($AV$2:$AV$501&gt;AU204)*($BA$2:$BA$501=1)*(ROW($AS$2:$AS$501)&lt;&gt;ROW())*ROW($AS$2:$AS$501)))-1)&amp;" ("&amp;INDEX($AY$2:$AY$501,SUMPRODUCT(MAX(($AS$2:$AS$501=AS204)*($AT$2:$AT$501=AT204)*($AU$2:$AU$501&lt;AV204)*($AV$2:$AV$501&gt;AU204)*($BA$2:$BA$501=1)*(ROW($AS$2:$AS$501)&lt;&gt;ROW())*ROW($AS$2:$AS$501)))-1)&amp;")"&amp;IF(BB204&gt;1," and "&amp;(BB204-1)&amp;" more",""),"")</f>
        <v/>
      </c>
      <c r="BD204" s="21">
        <f>IF(AND(BA204=1,AY204="Confirmed"),AT204*10000000+AU204*1000+ROW(),"")</f>
        <v/>
      </c>
      <c r="BE204" s="21">
        <f>IF(IFERROR(TRIM(INDEX($A204:$AL204,MATCH(Lists!$F$2,$A$1:$AL$1,0))&amp;""),"")="","",IFERROR(TRIM(INDEX($A204:$AL204,MATCH(Lists!$F$11,$A$1:$AL$1,0))&amp;""),""))</f>
        <v/>
      </c>
      <c r="BF204" s="21">
        <f>IF(IFERROR(TRIM(INDEX($A204:$AL204,MATCH(Lists!$F$2,$A$1:$AL$1,0))&amp;""),"")="","",IFERROR(TRIM(INDEX($A204:$AL204,MATCH(Lists!$F$12,$A$1:$AL$1,0))&amp;""),""))</f>
        <v/>
      </c>
    </row>
    <row r="205">
      <c r="AM205" s="19" t="n"/>
      <c r="AN205" s="23" t="n"/>
      <c r="AO205" s="23" t="n"/>
      <c r="AP205" s="23" t="n"/>
      <c r="AQ205" s="23" t="n"/>
      <c r="AR205" s="19" t="n"/>
      <c r="AS205" s="21">
        <f>IF(IFERROR(TRIM(INDEX($A205:$AL205,MATCH(Lists!$F$2,$A$1:$AL$1,0))&amp;""),"")="","",IF(AND(IFERROR(TRIM(INDEX($A205:$AL205,MATCH(Lists!$F$3,$A$1:$AL$1,0))&amp;""),"")="Other",IFERROR(TRIM(INDEX($A205:$AL205,MATCH(Lists!$F$4,$A$1:$AL$1,0))&amp;""),"")&lt;&gt;""),IFERROR(TRIM(INDEX($A205:$AL205,MATCH(Lists!$F$4,$A$1:$AL$1,0))&amp;""),""),IF(IFERROR(TRIM(INDEX($A205:$AL205,MATCH(Lists!$F$3,$A$1:$AL$1,0))&amp;""),"")="","(no space)",IFERROR(TRIM(INDEX($A205:$AL205,MATCH(Lists!$F$3,$A$1:$AL$1,0))&amp;""),""))))</f>
        <v/>
      </c>
      <c r="AT205" s="22">
        <f>IF(IFERROR(TRIM(INDEX($A205:$AL205,MATCH(Lists!$F$2,$A$1:$AL$1,0))&amp;""),"")="",0,N(IFERROR(IF(TRIM(INDEX($A205:$AL205,MATCH(Lists!$F$5,$A$1:$AL$1,0))&amp;"")="","",IF(ISNUMBER(INDEX($A205:$AL205,MATCH(Lists!$F$5,$A$1:$AL$1,0))),INT(INDEX($A205:$AL205,MATCH(Lists!$F$5,$A$1:$AL$1,0))),DATE(VALUE(LEFT(INDEX($A205:$AL205,MATCH(Lists!$F$5,$A$1:$AL$1,0)),4)),VALUE(MID(INDEX($A205:$AL205,MATCH(Lists!$F$5,$A$1:$AL$1,0)),6,2)),VALUE(MID(INDEX($A205:$AL205,MATCH(Lists!$F$5,$A$1:$AL$1,0)),9,2))))),"")))</f>
        <v/>
      </c>
      <c r="AU205" s="21">
        <f>IF(IFERROR(TRIM(INDEX($A205:$AL205,MATCH(Lists!$F$2,$A$1:$AL$1,0))&amp;""),"")="",-1,IF(ISNUMBER(IFERROR(IF(TRIM(INDEX($A205:$AL205,MATCH(Lists!$F$6,$A$1:$AL$1,0))&amp;"")="","",IF(ISNUMBER(INDEX($A205:$AL205,MATCH(Lists!$F$6,$A$1:$AL$1,0))),ROUND(MOD(INDEX($A205:$AL205,MATCH(Lists!$F$6,$A$1:$AL$1,0)),1)*1440,0),VALUE(LEFT(INDEX($A205:$AL205,MATCH(Lists!$F$6,$A$1:$AL$1,0)),2))*60+VALUE(MID(INDEX($A205:$AL205,MATCH(Lists!$F$6,$A$1:$AL$1,0)),4,2)))),"")),IFERROR(IF(TRIM(INDEX($A205:$AL205,MATCH(Lists!$F$6,$A$1:$AL$1,0))&amp;"")="","",IF(ISNUMBER(INDEX($A205:$AL205,MATCH(Lists!$F$6,$A$1:$AL$1,0))),ROUND(MOD(INDEX($A205:$AL205,MATCH(Lists!$F$6,$A$1:$AL$1,0)),1)*1440,0),VALUE(LEFT(INDEX($A205:$AL205,MATCH(Lists!$F$6,$A$1:$AL$1,0)),2))*60+VALUE(MID(INDEX($A205:$AL205,MATCH(Lists!$F$6,$A$1:$AL$1,0)),4,2)))),""),-1))</f>
        <v/>
      </c>
      <c r="AV205" s="21">
        <f>IF(IFERROR(TRIM(INDEX($A205:$AL205,MATCH(Lists!$F$2,$A$1:$AL$1,0))&amp;""),"")="",-1,IF(ISNUMBER(IFERROR(IF(TRIM(INDEX($A205:$AL205,MATCH(Lists!$F$7,$A$1:$AL$1,0))&amp;"")="","",IF(ISNUMBER(INDEX($A205:$AL205,MATCH(Lists!$F$7,$A$1:$AL$1,0))),ROUND(MOD(INDEX($A205:$AL205,MATCH(Lists!$F$7,$A$1:$AL$1,0)),1)*1440,0),VALUE(LEFT(INDEX($A205:$AL205,MATCH(Lists!$F$7,$A$1:$AL$1,0)),2))*60+VALUE(MID(INDEX($A205:$AL205,MATCH(Lists!$F$7,$A$1:$AL$1,0)),4,2)))),"")),IFERROR(IF(TRIM(INDEX($A205:$AL205,MATCH(Lists!$F$7,$A$1:$AL$1,0))&amp;"")="","",IF(ISNUMBER(INDEX($A205:$AL205,MATCH(Lists!$F$7,$A$1:$AL$1,0))),ROUND(MOD(INDEX($A205:$AL205,MATCH(Lists!$F$7,$A$1:$AL$1,0)),1)*1440,0),VALUE(LEFT(INDEX($A205:$AL205,MATCH(Lists!$F$7,$A$1:$AL$1,0)),2))*60+VALUE(MID(INDEX($A205:$AL205,MATCH(Lists!$F$7,$A$1:$AL$1,0)),4,2)))),""),-1))</f>
        <v/>
      </c>
      <c r="AW205" s="21">
        <f>IF(IFERROR(TRIM(INDEX($A205:$AL205,MATCH(Lists!$F$2,$A$1:$AL$1,0))&amp;""),"")="","",IF(IFERROR(TRIM(INDEX($A205:$AL205,MATCH(Lists!$F$8,$A$1:$AL$1,0))&amp;""),"")&lt;&gt;"",IFERROR(TRIM(INDEX($A205:$AL205,MATCH(Lists!$F$8,$A$1:$AL$1,0))&amp;""),""),IFERROR(TRIM(INDEX($A205:$AL205,MATCH(Lists!$F$9,$A$1:$AL$1,0))&amp;""),"")))</f>
        <v/>
      </c>
      <c r="AX205" s="21">
        <f>IFERROR(IF(TRIM(INDEX($A205:$AL205,MATCH(Lists!$F$10,$A$1:$AL$1,0))&amp;"")="","",VALUE(TRIM(INDEX($A205:$AL205,MATCH(Lists!$F$10,$A$1:$AL$1,0))&amp;""))),"")</f>
        <v/>
      </c>
      <c r="AY205" s="21">
        <f>IF(IFERROR(TRIM(INDEX($A205:$AL205,MATCH(Lists!$F$2,$A$1:$AL$1,0))&amp;""),"")="","",IF(AN205="","New",AN205))</f>
        <v/>
      </c>
      <c r="AZ205" s="21">
        <f>IF(IFERROR(TRIM(INDEX($A205:$AL205,MATCH(Lists!$F$2,$A$1:$AL$1,0))&amp;""),"")="","",IF(OR(IFERROR(TRIM(INDEX($A205:$AL205,MATCH(Lists!$F$13,$A$1:$AL$1,0))&amp;""),"")="Paid",IFERROR(TRIM(INDEX($A205:$AL205,MATCH(Lists!$F$13,$A$1:$AL$1,0))&amp;""),"")="Partially refunded"),"Paid",IF(AP205="Yes","Paid (by hand)",IFERROR(TRIM(INDEX($A205:$AL205,MATCH(Lists!$F$13,$A$1:$AL$1,0))&amp;""),""))))</f>
        <v/>
      </c>
      <c r="BA205" s="21">
        <f>IF(AND(IFERROR(TRIM(INDEX($A205:$AL205,MATCH(Lists!$F$2,$A$1:$AL$1,0))&amp;""),"")&lt;&gt;"",AT205&gt;0,AU205&gt;=0,AV205&gt;AU205,AY205&lt;&gt;"Declined"),1,0)</f>
        <v/>
      </c>
      <c r="BB205" s="21">
        <f>IF(BA205=1,COUNTIFS($AS$2:$AS$501,AS205,$AT$2:$AT$501,AT205,$AU$2:$AU$501,"&lt;"&amp;AV205,$AV$2:$AV$501,"&gt;"&amp;AU205,$BA$2:$BA$501,1)-1,"")</f>
        <v/>
      </c>
      <c r="BC205" s="21">
        <f>IF(N(BB205)&gt;0,"Clashes with "&amp;INDEX($AW$2:$AW$501,SUMPRODUCT(MAX(($AS$2:$AS$501=AS205)*($AT$2:$AT$501=AT205)*($AU$2:$AU$501&lt;AV205)*($AV$2:$AV$501&gt;AU205)*($BA$2:$BA$501=1)*(ROW($AS$2:$AS$501)&lt;&gt;ROW())*ROW($AS$2:$AS$501)))-1)&amp;" ("&amp;INDEX($AY$2:$AY$501,SUMPRODUCT(MAX(($AS$2:$AS$501=AS205)*($AT$2:$AT$501=AT205)*($AU$2:$AU$501&lt;AV205)*($AV$2:$AV$501&gt;AU205)*($BA$2:$BA$501=1)*(ROW($AS$2:$AS$501)&lt;&gt;ROW())*ROW($AS$2:$AS$501)))-1)&amp;")"&amp;IF(BB205&gt;1," and "&amp;(BB205-1)&amp;" more",""),"")</f>
        <v/>
      </c>
      <c r="BD205" s="21">
        <f>IF(AND(BA205=1,AY205="Confirmed"),AT205*10000000+AU205*1000+ROW(),"")</f>
        <v/>
      </c>
      <c r="BE205" s="21">
        <f>IF(IFERROR(TRIM(INDEX($A205:$AL205,MATCH(Lists!$F$2,$A$1:$AL$1,0))&amp;""),"")="","",IFERROR(TRIM(INDEX($A205:$AL205,MATCH(Lists!$F$11,$A$1:$AL$1,0))&amp;""),""))</f>
        <v/>
      </c>
      <c r="BF205" s="21">
        <f>IF(IFERROR(TRIM(INDEX($A205:$AL205,MATCH(Lists!$F$2,$A$1:$AL$1,0))&amp;""),"")="","",IFERROR(TRIM(INDEX($A205:$AL205,MATCH(Lists!$F$12,$A$1:$AL$1,0))&amp;""),""))</f>
        <v/>
      </c>
    </row>
    <row r="206">
      <c r="AM206" s="19" t="n"/>
      <c r="AN206" s="23" t="n"/>
      <c r="AO206" s="23" t="n"/>
      <c r="AP206" s="23" t="n"/>
      <c r="AQ206" s="23" t="n"/>
      <c r="AR206" s="19" t="n"/>
      <c r="AS206" s="21">
        <f>IF(IFERROR(TRIM(INDEX($A206:$AL206,MATCH(Lists!$F$2,$A$1:$AL$1,0))&amp;""),"")="","",IF(AND(IFERROR(TRIM(INDEX($A206:$AL206,MATCH(Lists!$F$3,$A$1:$AL$1,0))&amp;""),"")="Other",IFERROR(TRIM(INDEX($A206:$AL206,MATCH(Lists!$F$4,$A$1:$AL$1,0))&amp;""),"")&lt;&gt;""),IFERROR(TRIM(INDEX($A206:$AL206,MATCH(Lists!$F$4,$A$1:$AL$1,0))&amp;""),""),IF(IFERROR(TRIM(INDEX($A206:$AL206,MATCH(Lists!$F$3,$A$1:$AL$1,0))&amp;""),"")="","(no space)",IFERROR(TRIM(INDEX($A206:$AL206,MATCH(Lists!$F$3,$A$1:$AL$1,0))&amp;""),""))))</f>
        <v/>
      </c>
      <c r="AT206" s="22">
        <f>IF(IFERROR(TRIM(INDEX($A206:$AL206,MATCH(Lists!$F$2,$A$1:$AL$1,0))&amp;""),"")="",0,N(IFERROR(IF(TRIM(INDEX($A206:$AL206,MATCH(Lists!$F$5,$A$1:$AL$1,0))&amp;"")="","",IF(ISNUMBER(INDEX($A206:$AL206,MATCH(Lists!$F$5,$A$1:$AL$1,0))),INT(INDEX($A206:$AL206,MATCH(Lists!$F$5,$A$1:$AL$1,0))),DATE(VALUE(LEFT(INDEX($A206:$AL206,MATCH(Lists!$F$5,$A$1:$AL$1,0)),4)),VALUE(MID(INDEX($A206:$AL206,MATCH(Lists!$F$5,$A$1:$AL$1,0)),6,2)),VALUE(MID(INDEX($A206:$AL206,MATCH(Lists!$F$5,$A$1:$AL$1,0)),9,2))))),"")))</f>
        <v/>
      </c>
      <c r="AU206" s="21">
        <f>IF(IFERROR(TRIM(INDEX($A206:$AL206,MATCH(Lists!$F$2,$A$1:$AL$1,0))&amp;""),"")="",-1,IF(ISNUMBER(IFERROR(IF(TRIM(INDEX($A206:$AL206,MATCH(Lists!$F$6,$A$1:$AL$1,0))&amp;"")="","",IF(ISNUMBER(INDEX($A206:$AL206,MATCH(Lists!$F$6,$A$1:$AL$1,0))),ROUND(MOD(INDEX($A206:$AL206,MATCH(Lists!$F$6,$A$1:$AL$1,0)),1)*1440,0),VALUE(LEFT(INDEX($A206:$AL206,MATCH(Lists!$F$6,$A$1:$AL$1,0)),2))*60+VALUE(MID(INDEX($A206:$AL206,MATCH(Lists!$F$6,$A$1:$AL$1,0)),4,2)))),"")),IFERROR(IF(TRIM(INDEX($A206:$AL206,MATCH(Lists!$F$6,$A$1:$AL$1,0))&amp;"")="","",IF(ISNUMBER(INDEX($A206:$AL206,MATCH(Lists!$F$6,$A$1:$AL$1,0))),ROUND(MOD(INDEX($A206:$AL206,MATCH(Lists!$F$6,$A$1:$AL$1,0)),1)*1440,0),VALUE(LEFT(INDEX($A206:$AL206,MATCH(Lists!$F$6,$A$1:$AL$1,0)),2))*60+VALUE(MID(INDEX($A206:$AL206,MATCH(Lists!$F$6,$A$1:$AL$1,0)),4,2)))),""),-1))</f>
        <v/>
      </c>
      <c r="AV206" s="21">
        <f>IF(IFERROR(TRIM(INDEX($A206:$AL206,MATCH(Lists!$F$2,$A$1:$AL$1,0))&amp;""),"")="",-1,IF(ISNUMBER(IFERROR(IF(TRIM(INDEX($A206:$AL206,MATCH(Lists!$F$7,$A$1:$AL$1,0))&amp;"")="","",IF(ISNUMBER(INDEX($A206:$AL206,MATCH(Lists!$F$7,$A$1:$AL$1,0))),ROUND(MOD(INDEX($A206:$AL206,MATCH(Lists!$F$7,$A$1:$AL$1,0)),1)*1440,0),VALUE(LEFT(INDEX($A206:$AL206,MATCH(Lists!$F$7,$A$1:$AL$1,0)),2))*60+VALUE(MID(INDEX($A206:$AL206,MATCH(Lists!$F$7,$A$1:$AL$1,0)),4,2)))),"")),IFERROR(IF(TRIM(INDEX($A206:$AL206,MATCH(Lists!$F$7,$A$1:$AL$1,0))&amp;"")="","",IF(ISNUMBER(INDEX($A206:$AL206,MATCH(Lists!$F$7,$A$1:$AL$1,0))),ROUND(MOD(INDEX($A206:$AL206,MATCH(Lists!$F$7,$A$1:$AL$1,0)),1)*1440,0),VALUE(LEFT(INDEX($A206:$AL206,MATCH(Lists!$F$7,$A$1:$AL$1,0)),2))*60+VALUE(MID(INDEX($A206:$AL206,MATCH(Lists!$F$7,$A$1:$AL$1,0)),4,2)))),""),-1))</f>
        <v/>
      </c>
      <c r="AW206" s="21">
        <f>IF(IFERROR(TRIM(INDEX($A206:$AL206,MATCH(Lists!$F$2,$A$1:$AL$1,0))&amp;""),"")="","",IF(IFERROR(TRIM(INDEX($A206:$AL206,MATCH(Lists!$F$8,$A$1:$AL$1,0))&amp;""),"")&lt;&gt;"",IFERROR(TRIM(INDEX($A206:$AL206,MATCH(Lists!$F$8,$A$1:$AL$1,0))&amp;""),""),IFERROR(TRIM(INDEX($A206:$AL206,MATCH(Lists!$F$9,$A$1:$AL$1,0))&amp;""),"")))</f>
        <v/>
      </c>
      <c r="AX206" s="21">
        <f>IFERROR(IF(TRIM(INDEX($A206:$AL206,MATCH(Lists!$F$10,$A$1:$AL$1,0))&amp;"")="","",VALUE(TRIM(INDEX($A206:$AL206,MATCH(Lists!$F$10,$A$1:$AL$1,0))&amp;""))),"")</f>
        <v/>
      </c>
      <c r="AY206" s="21">
        <f>IF(IFERROR(TRIM(INDEX($A206:$AL206,MATCH(Lists!$F$2,$A$1:$AL$1,0))&amp;""),"")="","",IF(AN206="","New",AN206))</f>
        <v/>
      </c>
      <c r="AZ206" s="21">
        <f>IF(IFERROR(TRIM(INDEX($A206:$AL206,MATCH(Lists!$F$2,$A$1:$AL$1,0))&amp;""),"")="","",IF(OR(IFERROR(TRIM(INDEX($A206:$AL206,MATCH(Lists!$F$13,$A$1:$AL$1,0))&amp;""),"")="Paid",IFERROR(TRIM(INDEX($A206:$AL206,MATCH(Lists!$F$13,$A$1:$AL$1,0))&amp;""),"")="Partially refunded"),"Paid",IF(AP206="Yes","Paid (by hand)",IFERROR(TRIM(INDEX($A206:$AL206,MATCH(Lists!$F$13,$A$1:$AL$1,0))&amp;""),""))))</f>
        <v/>
      </c>
      <c r="BA206" s="21">
        <f>IF(AND(IFERROR(TRIM(INDEX($A206:$AL206,MATCH(Lists!$F$2,$A$1:$AL$1,0))&amp;""),"")&lt;&gt;"",AT206&gt;0,AU206&gt;=0,AV206&gt;AU206,AY206&lt;&gt;"Declined"),1,0)</f>
        <v/>
      </c>
      <c r="BB206" s="21">
        <f>IF(BA206=1,COUNTIFS($AS$2:$AS$501,AS206,$AT$2:$AT$501,AT206,$AU$2:$AU$501,"&lt;"&amp;AV206,$AV$2:$AV$501,"&gt;"&amp;AU206,$BA$2:$BA$501,1)-1,"")</f>
        <v/>
      </c>
      <c r="BC206" s="21">
        <f>IF(N(BB206)&gt;0,"Clashes with "&amp;INDEX($AW$2:$AW$501,SUMPRODUCT(MAX(($AS$2:$AS$501=AS206)*($AT$2:$AT$501=AT206)*($AU$2:$AU$501&lt;AV206)*($AV$2:$AV$501&gt;AU206)*($BA$2:$BA$501=1)*(ROW($AS$2:$AS$501)&lt;&gt;ROW())*ROW($AS$2:$AS$501)))-1)&amp;" ("&amp;INDEX($AY$2:$AY$501,SUMPRODUCT(MAX(($AS$2:$AS$501=AS206)*($AT$2:$AT$501=AT206)*($AU$2:$AU$501&lt;AV206)*($AV$2:$AV$501&gt;AU206)*($BA$2:$BA$501=1)*(ROW($AS$2:$AS$501)&lt;&gt;ROW())*ROW($AS$2:$AS$501)))-1)&amp;")"&amp;IF(BB206&gt;1," and "&amp;(BB206-1)&amp;" more",""),"")</f>
        <v/>
      </c>
      <c r="BD206" s="21">
        <f>IF(AND(BA206=1,AY206="Confirmed"),AT206*10000000+AU206*1000+ROW(),"")</f>
        <v/>
      </c>
      <c r="BE206" s="21">
        <f>IF(IFERROR(TRIM(INDEX($A206:$AL206,MATCH(Lists!$F$2,$A$1:$AL$1,0))&amp;""),"")="","",IFERROR(TRIM(INDEX($A206:$AL206,MATCH(Lists!$F$11,$A$1:$AL$1,0))&amp;""),""))</f>
        <v/>
      </c>
      <c r="BF206" s="21">
        <f>IF(IFERROR(TRIM(INDEX($A206:$AL206,MATCH(Lists!$F$2,$A$1:$AL$1,0))&amp;""),"")="","",IFERROR(TRIM(INDEX($A206:$AL206,MATCH(Lists!$F$12,$A$1:$AL$1,0))&amp;""),""))</f>
        <v/>
      </c>
    </row>
    <row r="207">
      <c r="AM207" s="19" t="n"/>
      <c r="AN207" s="23" t="n"/>
      <c r="AO207" s="23" t="n"/>
      <c r="AP207" s="23" t="n"/>
      <c r="AQ207" s="23" t="n"/>
      <c r="AR207" s="19" t="n"/>
      <c r="AS207" s="21">
        <f>IF(IFERROR(TRIM(INDEX($A207:$AL207,MATCH(Lists!$F$2,$A$1:$AL$1,0))&amp;""),"")="","",IF(AND(IFERROR(TRIM(INDEX($A207:$AL207,MATCH(Lists!$F$3,$A$1:$AL$1,0))&amp;""),"")="Other",IFERROR(TRIM(INDEX($A207:$AL207,MATCH(Lists!$F$4,$A$1:$AL$1,0))&amp;""),"")&lt;&gt;""),IFERROR(TRIM(INDEX($A207:$AL207,MATCH(Lists!$F$4,$A$1:$AL$1,0))&amp;""),""),IF(IFERROR(TRIM(INDEX($A207:$AL207,MATCH(Lists!$F$3,$A$1:$AL$1,0))&amp;""),"")="","(no space)",IFERROR(TRIM(INDEX($A207:$AL207,MATCH(Lists!$F$3,$A$1:$AL$1,0))&amp;""),""))))</f>
        <v/>
      </c>
      <c r="AT207" s="22">
        <f>IF(IFERROR(TRIM(INDEX($A207:$AL207,MATCH(Lists!$F$2,$A$1:$AL$1,0))&amp;""),"")="",0,N(IFERROR(IF(TRIM(INDEX($A207:$AL207,MATCH(Lists!$F$5,$A$1:$AL$1,0))&amp;"")="","",IF(ISNUMBER(INDEX($A207:$AL207,MATCH(Lists!$F$5,$A$1:$AL$1,0))),INT(INDEX($A207:$AL207,MATCH(Lists!$F$5,$A$1:$AL$1,0))),DATE(VALUE(LEFT(INDEX($A207:$AL207,MATCH(Lists!$F$5,$A$1:$AL$1,0)),4)),VALUE(MID(INDEX($A207:$AL207,MATCH(Lists!$F$5,$A$1:$AL$1,0)),6,2)),VALUE(MID(INDEX($A207:$AL207,MATCH(Lists!$F$5,$A$1:$AL$1,0)),9,2))))),"")))</f>
        <v/>
      </c>
      <c r="AU207" s="21">
        <f>IF(IFERROR(TRIM(INDEX($A207:$AL207,MATCH(Lists!$F$2,$A$1:$AL$1,0))&amp;""),"")="",-1,IF(ISNUMBER(IFERROR(IF(TRIM(INDEX($A207:$AL207,MATCH(Lists!$F$6,$A$1:$AL$1,0))&amp;"")="","",IF(ISNUMBER(INDEX($A207:$AL207,MATCH(Lists!$F$6,$A$1:$AL$1,0))),ROUND(MOD(INDEX($A207:$AL207,MATCH(Lists!$F$6,$A$1:$AL$1,0)),1)*1440,0),VALUE(LEFT(INDEX($A207:$AL207,MATCH(Lists!$F$6,$A$1:$AL$1,0)),2))*60+VALUE(MID(INDEX($A207:$AL207,MATCH(Lists!$F$6,$A$1:$AL$1,0)),4,2)))),"")),IFERROR(IF(TRIM(INDEX($A207:$AL207,MATCH(Lists!$F$6,$A$1:$AL$1,0))&amp;"")="","",IF(ISNUMBER(INDEX($A207:$AL207,MATCH(Lists!$F$6,$A$1:$AL$1,0))),ROUND(MOD(INDEX($A207:$AL207,MATCH(Lists!$F$6,$A$1:$AL$1,0)),1)*1440,0),VALUE(LEFT(INDEX($A207:$AL207,MATCH(Lists!$F$6,$A$1:$AL$1,0)),2))*60+VALUE(MID(INDEX($A207:$AL207,MATCH(Lists!$F$6,$A$1:$AL$1,0)),4,2)))),""),-1))</f>
        <v/>
      </c>
      <c r="AV207" s="21">
        <f>IF(IFERROR(TRIM(INDEX($A207:$AL207,MATCH(Lists!$F$2,$A$1:$AL$1,0))&amp;""),"")="",-1,IF(ISNUMBER(IFERROR(IF(TRIM(INDEX($A207:$AL207,MATCH(Lists!$F$7,$A$1:$AL$1,0))&amp;"")="","",IF(ISNUMBER(INDEX($A207:$AL207,MATCH(Lists!$F$7,$A$1:$AL$1,0))),ROUND(MOD(INDEX($A207:$AL207,MATCH(Lists!$F$7,$A$1:$AL$1,0)),1)*1440,0),VALUE(LEFT(INDEX($A207:$AL207,MATCH(Lists!$F$7,$A$1:$AL$1,0)),2))*60+VALUE(MID(INDEX($A207:$AL207,MATCH(Lists!$F$7,$A$1:$AL$1,0)),4,2)))),"")),IFERROR(IF(TRIM(INDEX($A207:$AL207,MATCH(Lists!$F$7,$A$1:$AL$1,0))&amp;"")="","",IF(ISNUMBER(INDEX($A207:$AL207,MATCH(Lists!$F$7,$A$1:$AL$1,0))),ROUND(MOD(INDEX($A207:$AL207,MATCH(Lists!$F$7,$A$1:$AL$1,0)),1)*1440,0),VALUE(LEFT(INDEX($A207:$AL207,MATCH(Lists!$F$7,$A$1:$AL$1,0)),2))*60+VALUE(MID(INDEX($A207:$AL207,MATCH(Lists!$F$7,$A$1:$AL$1,0)),4,2)))),""),-1))</f>
        <v/>
      </c>
      <c r="AW207" s="21">
        <f>IF(IFERROR(TRIM(INDEX($A207:$AL207,MATCH(Lists!$F$2,$A$1:$AL$1,0))&amp;""),"")="","",IF(IFERROR(TRIM(INDEX($A207:$AL207,MATCH(Lists!$F$8,$A$1:$AL$1,0))&amp;""),"")&lt;&gt;"",IFERROR(TRIM(INDEX($A207:$AL207,MATCH(Lists!$F$8,$A$1:$AL$1,0))&amp;""),""),IFERROR(TRIM(INDEX($A207:$AL207,MATCH(Lists!$F$9,$A$1:$AL$1,0))&amp;""),"")))</f>
        <v/>
      </c>
      <c r="AX207" s="21">
        <f>IFERROR(IF(TRIM(INDEX($A207:$AL207,MATCH(Lists!$F$10,$A$1:$AL$1,0))&amp;"")="","",VALUE(TRIM(INDEX($A207:$AL207,MATCH(Lists!$F$10,$A$1:$AL$1,0))&amp;""))),"")</f>
        <v/>
      </c>
      <c r="AY207" s="21">
        <f>IF(IFERROR(TRIM(INDEX($A207:$AL207,MATCH(Lists!$F$2,$A$1:$AL$1,0))&amp;""),"")="","",IF(AN207="","New",AN207))</f>
        <v/>
      </c>
      <c r="AZ207" s="21">
        <f>IF(IFERROR(TRIM(INDEX($A207:$AL207,MATCH(Lists!$F$2,$A$1:$AL$1,0))&amp;""),"")="","",IF(OR(IFERROR(TRIM(INDEX($A207:$AL207,MATCH(Lists!$F$13,$A$1:$AL$1,0))&amp;""),"")="Paid",IFERROR(TRIM(INDEX($A207:$AL207,MATCH(Lists!$F$13,$A$1:$AL$1,0))&amp;""),"")="Partially refunded"),"Paid",IF(AP207="Yes","Paid (by hand)",IFERROR(TRIM(INDEX($A207:$AL207,MATCH(Lists!$F$13,$A$1:$AL$1,0))&amp;""),""))))</f>
        <v/>
      </c>
      <c r="BA207" s="21">
        <f>IF(AND(IFERROR(TRIM(INDEX($A207:$AL207,MATCH(Lists!$F$2,$A$1:$AL$1,0))&amp;""),"")&lt;&gt;"",AT207&gt;0,AU207&gt;=0,AV207&gt;AU207,AY207&lt;&gt;"Declined"),1,0)</f>
        <v/>
      </c>
      <c r="BB207" s="21">
        <f>IF(BA207=1,COUNTIFS($AS$2:$AS$501,AS207,$AT$2:$AT$501,AT207,$AU$2:$AU$501,"&lt;"&amp;AV207,$AV$2:$AV$501,"&gt;"&amp;AU207,$BA$2:$BA$501,1)-1,"")</f>
        <v/>
      </c>
      <c r="BC207" s="21">
        <f>IF(N(BB207)&gt;0,"Clashes with "&amp;INDEX($AW$2:$AW$501,SUMPRODUCT(MAX(($AS$2:$AS$501=AS207)*($AT$2:$AT$501=AT207)*($AU$2:$AU$501&lt;AV207)*($AV$2:$AV$501&gt;AU207)*($BA$2:$BA$501=1)*(ROW($AS$2:$AS$501)&lt;&gt;ROW())*ROW($AS$2:$AS$501)))-1)&amp;" ("&amp;INDEX($AY$2:$AY$501,SUMPRODUCT(MAX(($AS$2:$AS$501=AS207)*($AT$2:$AT$501=AT207)*($AU$2:$AU$501&lt;AV207)*($AV$2:$AV$501&gt;AU207)*($BA$2:$BA$501=1)*(ROW($AS$2:$AS$501)&lt;&gt;ROW())*ROW($AS$2:$AS$501)))-1)&amp;")"&amp;IF(BB207&gt;1," and "&amp;(BB207-1)&amp;" more",""),"")</f>
        <v/>
      </c>
      <c r="BD207" s="21">
        <f>IF(AND(BA207=1,AY207="Confirmed"),AT207*10000000+AU207*1000+ROW(),"")</f>
        <v/>
      </c>
      <c r="BE207" s="21">
        <f>IF(IFERROR(TRIM(INDEX($A207:$AL207,MATCH(Lists!$F$2,$A$1:$AL$1,0))&amp;""),"")="","",IFERROR(TRIM(INDEX($A207:$AL207,MATCH(Lists!$F$11,$A$1:$AL$1,0))&amp;""),""))</f>
        <v/>
      </c>
      <c r="BF207" s="21">
        <f>IF(IFERROR(TRIM(INDEX($A207:$AL207,MATCH(Lists!$F$2,$A$1:$AL$1,0))&amp;""),"")="","",IFERROR(TRIM(INDEX($A207:$AL207,MATCH(Lists!$F$12,$A$1:$AL$1,0))&amp;""),""))</f>
        <v/>
      </c>
    </row>
    <row r="208">
      <c r="AM208" s="19" t="n"/>
      <c r="AN208" s="23" t="n"/>
      <c r="AO208" s="23" t="n"/>
      <c r="AP208" s="23" t="n"/>
      <c r="AQ208" s="23" t="n"/>
      <c r="AR208" s="19" t="n"/>
      <c r="AS208" s="21">
        <f>IF(IFERROR(TRIM(INDEX($A208:$AL208,MATCH(Lists!$F$2,$A$1:$AL$1,0))&amp;""),"")="","",IF(AND(IFERROR(TRIM(INDEX($A208:$AL208,MATCH(Lists!$F$3,$A$1:$AL$1,0))&amp;""),"")="Other",IFERROR(TRIM(INDEX($A208:$AL208,MATCH(Lists!$F$4,$A$1:$AL$1,0))&amp;""),"")&lt;&gt;""),IFERROR(TRIM(INDEX($A208:$AL208,MATCH(Lists!$F$4,$A$1:$AL$1,0))&amp;""),""),IF(IFERROR(TRIM(INDEX($A208:$AL208,MATCH(Lists!$F$3,$A$1:$AL$1,0))&amp;""),"")="","(no space)",IFERROR(TRIM(INDEX($A208:$AL208,MATCH(Lists!$F$3,$A$1:$AL$1,0))&amp;""),""))))</f>
        <v/>
      </c>
      <c r="AT208" s="22">
        <f>IF(IFERROR(TRIM(INDEX($A208:$AL208,MATCH(Lists!$F$2,$A$1:$AL$1,0))&amp;""),"")="",0,N(IFERROR(IF(TRIM(INDEX($A208:$AL208,MATCH(Lists!$F$5,$A$1:$AL$1,0))&amp;"")="","",IF(ISNUMBER(INDEX($A208:$AL208,MATCH(Lists!$F$5,$A$1:$AL$1,0))),INT(INDEX($A208:$AL208,MATCH(Lists!$F$5,$A$1:$AL$1,0))),DATE(VALUE(LEFT(INDEX($A208:$AL208,MATCH(Lists!$F$5,$A$1:$AL$1,0)),4)),VALUE(MID(INDEX($A208:$AL208,MATCH(Lists!$F$5,$A$1:$AL$1,0)),6,2)),VALUE(MID(INDEX($A208:$AL208,MATCH(Lists!$F$5,$A$1:$AL$1,0)),9,2))))),"")))</f>
        <v/>
      </c>
      <c r="AU208" s="21">
        <f>IF(IFERROR(TRIM(INDEX($A208:$AL208,MATCH(Lists!$F$2,$A$1:$AL$1,0))&amp;""),"")="",-1,IF(ISNUMBER(IFERROR(IF(TRIM(INDEX($A208:$AL208,MATCH(Lists!$F$6,$A$1:$AL$1,0))&amp;"")="","",IF(ISNUMBER(INDEX($A208:$AL208,MATCH(Lists!$F$6,$A$1:$AL$1,0))),ROUND(MOD(INDEX($A208:$AL208,MATCH(Lists!$F$6,$A$1:$AL$1,0)),1)*1440,0),VALUE(LEFT(INDEX($A208:$AL208,MATCH(Lists!$F$6,$A$1:$AL$1,0)),2))*60+VALUE(MID(INDEX($A208:$AL208,MATCH(Lists!$F$6,$A$1:$AL$1,0)),4,2)))),"")),IFERROR(IF(TRIM(INDEX($A208:$AL208,MATCH(Lists!$F$6,$A$1:$AL$1,0))&amp;"")="","",IF(ISNUMBER(INDEX($A208:$AL208,MATCH(Lists!$F$6,$A$1:$AL$1,0))),ROUND(MOD(INDEX($A208:$AL208,MATCH(Lists!$F$6,$A$1:$AL$1,0)),1)*1440,0),VALUE(LEFT(INDEX($A208:$AL208,MATCH(Lists!$F$6,$A$1:$AL$1,0)),2))*60+VALUE(MID(INDEX($A208:$AL208,MATCH(Lists!$F$6,$A$1:$AL$1,0)),4,2)))),""),-1))</f>
        <v/>
      </c>
      <c r="AV208" s="21">
        <f>IF(IFERROR(TRIM(INDEX($A208:$AL208,MATCH(Lists!$F$2,$A$1:$AL$1,0))&amp;""),"")="",-1,IF(ISNUMBER(IFERROR(IF(TRIM(INDEX($A208:$AL208,MATCH(Lists!$F$7,$A$1:$AL$1,0))&amp;"")="","",IF(ISNUMBER(INDEX($A208:$AL208,MATCH(Lists!$F$7,$A$1:$AL$1,0))),ROUND(MOD(INDEX($A208:$AL208,MATCH(Lists!$F$7,$A$1:$AL$1,0)),1)*1440,0),VALUE(LEFT(INDEX($A208:$AL208,MATCH(Lists!$F$7,$A$1:$AL$1,0)),2))*60+VALUE(MID(INDEX($A208:$AL208,MATCH(Lists!$F$7,$A$1:$AL$1,0)),4,2)))),"")),IFERROR(IF(TRIM(INDEX($A208:$AL208,MATCH(Lists!$F$7,$A$1:$AL$1,0))&amp;"")="","",IF(ISNUMBER(INDEX($A208:$AL208,MATCH(Lists!$F$7,$A$1:$AL$1,0))),ROUND(MOD(INDEX($A208:$AL208,MATCH(Lists!$F$7,$A$1:$AL$1,0)),1)*1440,0),VALUE(LEFT(INDEX($A208:$AL208,MATCH(Lists!$F$7,$A$1:$AL$1,0)),2))*60+VALUE(MID(INDEX($A208:$AL208,MATCH(Lists!$F$7,$A$1:$AL$1,0)),4,2)))),""),-1))</f>
        <v/>
      </c>
      <c r="AW208" s="21">
        <f>IF(IFERROR(TRIM(INDEX($A208:$AL208,MATCH(Lists!$F$2,$A$1:$AL$1,0))&amp;""),"")="","",IF(IFERROR(TRIM(INDEX($A208:$AL208,MATCH(Lists!$F$8,$A$1:$AL$1,0))&amp;""),"")&lt;&gt;"",IFERROR(TRIM(INDEX($A208:$AL208,MATCH(Lists!$F$8,$A$1:$AL$1,0))&amp;""),""),IFERROR(TRIM(INDEX($A208:$AL208,MATCH(Lists!$F$9,$A$1:$AL$1,0))&amp;""),"")))</f>
        <v/>
      </c>
      <c r="AX208" s="21">
        <f>IFERROR(IF(TRIM(INDEX($A208:$AL208,MATCH(Lists!$F$10,$A$1:$AL$1,0))&amp;"")="","",VALUE(TRIM(INDEX($A208:$AL208,MATCH(Lists!$F$10,$A$1:$AL$1,0))&amp;""))),"")</f>
        <v/>
      </c>
      <c r="AY208" s="21">
        <f>IF(IFERROR(TRIM(INDEX($A208:$AL208,MATCH(Lists!$F$2,$A$1:$AL$1,0))&amp;""),"")="","",IF(AN208="","New",AN208))</f>
        <v/>
      </c>
      <c r="AZ208" s="21">
        <f>IF(IFERROR(TRIM(INDEX($A208:$AL208,MATCH(Lists!$F$2,$A$1:$AL$1,0))&amp;""),"")="","",IF(OR(IFERROR(TRIM(INDEX($A208:$AL208,MATCH(Lists!$F$13,$A$1:$AL$1,0))&amp;""),"")="Paid",IFERROR(TRIM(INDEX($A208:$AL208,MATCH(Lists!$F$13,$A$1:$AL$1,0))&amp;""),"")="Partially refunded"),"Paid",IF(AP208="Yes","Paid (by hand)",IFERROR(TRIM(INDEX($A208:$AL208,MATCH(Lists!$F$13,$A$1:$AL$1,0))&amp;""),""))))</f>
        <v/>
      </c>
      <c r="BA208" s="21">
        <f>IF(AND(IFERROR(TRIM(INDEX($A208:$AL208,MATCH(Lists!$F$2,$A$1:$AL$1,0))&amp;""),"")&lt;&gt;"",AT208&gt;0,AU208&gt;=0,AV208&gt;AU208,AY208&lt;&gt;"Declined"),1,0)</f>
        <v/>
      </c>
      <c r="BB208" s="21">
        <f>IF(BA208=1,COUNTIFS($AS$2:$AS$501,AS208,$AT$2:$AT$501,AT208,$AU$2:$AU$501,"&lt;"&amp;AV208,$AV$2:$AV$501,"&gt;"&amp;AU208,$BA$2:$BA$501,1)-1,"")</f>
        <v/>
      </c>
      <c r="BC208" s="21">
        <f>IF(N(BB208)&gt;0,"Clashes with "&amp;INDEX($AW$2:$AW$501,SUMPRODUCT(MAX(($AS$2:$AS$501=AS208)*($AT$2:$AT$501=AT208)*($AU$2:$AU$501&lt;AV208)*($AV$2:$AV$501&gt;AU208)*($BA$2:$BA$501=1)*(ROW($AS$2:$AS$501)&lt;&gt;ROW())*ROW($AS$2:$AS$501)))-1)&amp;" ("&amp;INDEX($AY$2:$AY$501,SUMPRODUCT(MAX(($AS$2:$AS$501=AS208)*($AT$2:$AT$501=AT208)*($AU$2:$AU$501&lt;AV208)*($AV$2:$AV$501&gt;AU208)*($BA$2:$BA$501=1)*(ROW($AS$2:$AS$501)&lt;&gt;ROW())*ROW($AS$2:$AS$501)))-1)&amp;")"&amp;IF(BB208&gt;1," and "&amp;(BB208-1)&amp;" more",""),"")</f>
        <v/>
      </c>
      <c r="BD208" s="21">
        <f>IF(AND(BA208=1,AY208="Confirmed"),AT208*10000000+AU208*1000+ROW(),"")</f>
        <v/>
      </c>
      <c r="BE208" s="21">
        <f>IF(IFERROR(TRIM(INDEX($A208:$AL208,MATCH(Lists!$F$2,$A$1:$AL$1,0))&amp;""),"")="","",IFERROR(TRIM(INDEX($A208:$AL208,MATCH(Lists!$F$11,$A$1:$AL$1,0))&amp;""),""))</f>
        <v/>
      </c>
      <c r="BF208" s="21">
        <f>IF(IFERROR(TRIM(INDEX($A208:$AL208,MATCH(Lists!$F$2,$A$1:$AL$1,0))&amp;""),"")="","",IFERROR(TRIM(INDEX($A208:$AL208,MATCH(Lists!$F$12,$A$1:$AL$1,0))&amp;""),""))</f>
        <v/>
      </c>
    </row>
    <row r="209">
      <c r="AM209" s="19" t="n"/>
      <c r="AN209" s="23" t="n"/>
      <c r="AO209" s="23" t="n"/>
      <c r="AP209" s="23" t="n"/>
      <c r="AQ209" s="23" t="n"/>
      <c r="AR209" s="19" t="n"/>
      <c r="AS209" s="21">
        <f>IF(IFERROR(TRIM(INDEX($A209:$AL209,MATCH(Lists!$F$2,$A$1:$AL$1,0))&amp;""),"")="","",IF(AND(IFERROR(TRIM(INDEX($A209:$AL209,MATCH(Lists!$F$3,$A$1:$AL$1,0))&amp;""),"")="Other",IFERROR(TRIM(INDEX($A209:$AL209,MATCH(Lists!$F$4,$A$1:$AL$1,0))&amp;""),"")&lt;&gt;""),IFERROR(TRIM(INDEX($A209:$AL209,MATCH(Lists!$F$4,$A$1:$AL$1,0))&amp;""),""),IF(IFERROR(TRIM(INDEX($A209:$AL209,MATCH(Lists!$F$3,$A$1:$AL$1,0))&amp;""),"")="","(no space)",IFERROR(TRIM(INDEX($A209:$AL209,MATCH(Lists!$F$3,$A$1:$AL$1,0))&amp;""),""))))</f>
        <v/>
      </c>
      <c r="AT209" s="22">
        <f>IF(IFERROR(TRIM(INDEX($A209:$AL209,MATCH(Lists!$F$2,$A$1:$AL$1,0))&amp;""),"")="",0,N(IFERROR(IF(TRIM(INDEX($A209:$AL209,MATCH(Lists!$F$5,$A$1:$AL$1,0))&amp;"")="","",IF(ISNUMBER(INDEX($A209:$AL209,MATCH(Lists!$F$5,$A$1:$AL$1,0))),INT(INDEX($A209:$AL209,MATCH(Lists!$F$5,$A$1:$AL$1,0))),DATE(VALUE(LEFT(INDEX($A209:$AL209,MATCH(Lists!$F$5,$A$1:$AL$1,0)),4)),VALUE(MID(INDEX($A209:$AL209,MATCH(Lists!$F$5,$A$1:$AL$1,0)),6,2)),VALUE(MID(INDEX($A209:$AL209,MATCH(Lists!$F$5,$A$1:$AL$1,0)),9,2))))),"")))</f>
        <v/>
      </c>
      <c r="AU209" s="21">
        <f>IF(IFERROR(TRIM(INDEX($A209:$AL209,MATCH(Lists!$F$2,$A$1:$AL$1,0))&amp;""),"")="",-1,IF(ISNUMBER(IFERROR(IF(TRIM(INDEX($A209:$AL209,MATCH(Lists!$F$6,$A$1:$AL$1,0))&amp;"")="","",IF(ISNUMBER(INDEX($A209:$AL209,MATCH(Lists!$F$6,$A$1:$AL$1,0))),ROUND(MOD(INDEX($A209:$AL209,MATCH(Lists!$F$6,$A$1:$AL$1,0)),1)*1440,0),VALUE(LEFT(INDEX($A209:$AL209,MATCH(Lists!$F$6,$A$1:$AL$1,0)),2))*60+VALUE(MID(INDEX($A209:$AL209,MATCH(Lists!$F$6,$A$1:$AL$1,0)),4,2)))),"")),IFERROR(IF(TRIM(INDEX($A209:$AL209,MATCH(Lists!$F$6,$A$1:$AL$1,0))&amp;"")="","",IF(ISNUMBER(INDEX($A209:$AL209,MATCH(Lists!$F$6,$A$1:$AL$1,0))),ROUND(MOD(INDEX($A209:$AL209,MATCH(Lists!$F$6,$A$1:$AL$1,0)),1)*1440,0),VALUE(LEFT(INDEX($A209:$AL209,MATCH(Lists!$F$6,$A$1:$AL$1,0)),2))*60+VALUE(MID(INDEX($A209:$AL209,MATCH(Lists!$F$6,$A$1:$AL$1,0)),4,2)))),""),-1))</f>
        <v/>
      </c>
      <c r="AV209" s="21">
        <f>IF(IFERROR(TRIM(INDEX($A209:$AL209,MATCH(Lists!$F$2,$A$1:$AL$1,0))&amp;""),"")="",-1,IF(ISNUMBER(IFERROR(IF(TRIM(INDEX($A209:$AL209,MATCH(Lists!$F$7,$A$1:$AL$1,0))&amp;"")="","",IF(ISNUMBER(INDEX($A209:$AL209,MATCH(Lists!$F$7,$A$1:$AL$1,0))),ROUND(MOD(INDEX($A209:$AL209,MATCH(Lists!$F$7,$A$1:$AL$1,0)),1)*1440,0),VALUE(LEFT(INDEX($A209:$AL209,MATCH(Lists!$F$7,$A$1:$AL$1,0)),2))*60+VALUE(MID(INDEX($A209:$AL209,MATCH(Lists!$F$7,$A$1:$AL$1,0)),4,2)))),"")),IFERROR(IF(TRIM(INDEX($A209:$AL209,MATCH(Lists!$F$7,$A$1:$AL$1,0))&amp;"")="","",IF(ISNUMBER(INDEX($A209:$AL209,MATCH(Lists!$F$7,$A$1:$AL$1,0))),ROUND(MOD(INDEX($A209:$AL209,MATCH(Lists!$F$7,$A$1:$AL$1,0)),1)*1440,0),VALUE(LEFT(INDEX($A209:$AL209,MATCH(Lists!$F$7,$A$1:$AL$1,0)),2))*60+VALUE(MID(INDEX($A209:$AL209,MATCH(Lists!$F$7,$A$1:$AL$1,0)),4,2)))),""),-1))</f>
        <v/>
      </c>
      <c r="AW209" s="21">
        <f>IF(IFERROR(TRIM(INDEX($A209:$AL209,MATCH(Lists!$F$2,$A$1:$AL$1,0))&amp;""),"")="","",IF(IFERROR(TRIM(INDEX($A209:$AL209,MATCH(Lists!$F$8,$A$1:$AL$1,0))&amp;""),"")&lt;&gt;"",IFERROR(TRIM(INDEX($A209:$AL209,MATCH(Lists!$F$8,$A$1:$AL$1,0))&amp;""),""),IFERROR(TRIM(INDEX($A209:$AL209,MATCH(Lists!$F$9,$A$1:$AL$1,0))&amp;""),"")))</f>
        <v/>
      </c>
      <c r="AX209" s="21">
        <f>IFERROR(IF(TRIM(INDEX($A209:$AL209,MATCH(Lists!$F$10,$A$1:$AL$1,0))&amp;"")="","",VALUE(TRIM(INDEX($A209:$AL209,MATCH(Lists!$F$10,$A$1:$AL$1,0))&amp;""))),"")</f>
        <v/>
      </c>
      <c r="AY209" s="21">
        <f>IF(IFERROR(TRIM(INDEX($A209:$AL209,MATCH(Lists!$F$2,$A$1:$AL$1,0))&amp;""),"")="","",IF(AN209="","New",AN209))</f>
        <v/>
      </c>
      <c r="AZ209" s="21">
        <f>IF(IFERROR(TRIM(INDEX($A209:$AL209,MATCH(Lists!$F$2,$A$1:$AL$1,0))&amp;""),"")="","",IF(OR(IFERROR(TRIM(INDEX($A209:$AL209,MATCH(Lists!$F$13,$A$1:$AL$1,0))&amp;""),"")="Paid",IFERROR(TRIM(INDEX($A209:$AL209,MATCH(Lists!$F$13,$A$1:$AL$1,0))&amp;""),"")="Partially refunded"),"Paid",IF(AP209="Yes","Paid (by hand)",IFERROR(TRIM(INDEX($A209:$AL209,MATCH(Lists!$F$13,$A$1:$AL$1,0))&amp;""),""))))</f>
        <v/>
      </c>
      <c r="BA209" s="21">
        <f>IF(AND(IFERROR(TRIM(INDEX($A209:$AL209,MATCH(Lists!$F$2,$A$1:$AL$1,0))&amp;""),"")&lt;&gt;"",AT209&gt;0,AU209&gt;=0,AV209&gt;AU209,AY209&lt;&gt;"Declined"),1,0)</f>
        <v/>
      </c>
      <c r="BB209" s="21">
        <f>IF(BA209=1,COUNTIFS($AS$2:$AS$501,AS209,$AT$2:$AT$501,AT209,$AU$2:$AU$501,"&lt;"&amp;AV209,$AV$2:$AV$501,"&gt;"&amp;AU209,$BA$2:$BA$501,1)-1,"")</f>
        <v/>
      </c>
      <c r="BC209" s="21">
        <f>IF(N(BB209)&gt;0,"Clashes with "&amp;INDEX($AW$2:$AW$501,SUMPRODUCT(MAX(($AS$2:$AS$501=AS209)*($AT$2:$AT$501=AT209)*($AU$2:$AU$501&lt;AV209)*($AV$2:$AV$501&gt;AU209)*($BA$2:$BA$501=1)*(ROW($AS$2:$AS$501)&lt;&gt;ROW())*ROW($AS$2:$AS$501)))-1)&amp;" ("&amp;INDEX($AY$2:$AY$501,SUMPRODUCT(MAX(($AS$2:$AS$501=AS209)*($AT$2:$AT$501=AT209)*($AU$2:$AU$501&lt;AV209)*($AV$2:$AV$501&gt;AU209)*($BA$2:$BA$501=1)*(ROW($AS$2:$AS$501)&lt;&gt;ROW())*ROW($AS$2:$AS$501)))-1)&amp;")"&amp;IF(BB209&gt;1," and "&amp;(BB209-1)&amp;" more",""),"")</f>
        <v/>
      </c>
      <c r="BD209" s="21">
        <f>IF(AND(BA209=1,AY209="Confirmed"),AT209*10000000+AU209*1000+ROW(),"")</f>
        <v/>
      </c>
      <c r="BE209" s="21">
        <f>IF(IFERROR(TRIM(INDEX($A209:$AL209,MATCH(Lists!$F$2,$A$1:$AL$1,0))&amp;""),"")="","",IFERROR(TRIM(INDEX($A209:$AL209,MATCH(Lists!$F$11,$A$1:$AL$1,0))&amp;""),""))</f>
        <v/>
      </c>
      <c r="BF209" s="21">
        <f>IF(IFERROR(TRIM(INDEX($A209:$AL209,MATCH(Lists!$F$2,$A$1:$AL$1,0))&amp;""),"")="","",IFERROR(TRIM(INDEX($A209:$AL209,MATCH(Lists!$F$12,$A$1:$AL$1,0))&amp;""),""))</f>
        <v/>
      </c>
    </row>
    <row r="210">
      <c r="AM210" s="19" t="n"/>
      <c r="AN210" s="23" t="n"/>
      <c r="AO210" s="23" t="n"/>
      <c r="AP210" s="23" t="n"/>
      <c r="AQ210" s="23" t="n"/>
      <c r="AR210" s="19" t="n"/>
      <c r="AS210" s="21">
        <f>IF(IFERROR(TRIM(INDEX($A210:$AL210,MATCH(Lists!$F$2,$A$1:$AL$1,0))&amp;""),"")="","",IF(AND(IFERROR(TRIM(INDEX($A210:$AL210,MATCH(Lists!$F$3,$A$1:$AL$1,0))&amp;""),"")="Other",IFERROR(TRIM(INDEX($A210:$AL210,MATCH(Lists!$F$4,$A$1:$AL$1,0))&amp;""),"")&lt;&gt;""),IFERROR(TRIM(INDEX($A210:$AL210,MATCH(Lists!$F$4,$A$1:$AL$1,0))&amp;""),""),IF(IFERROR(TRIM(INDEX($A210:$AL210,MATCH(Lists!$F$3,$A$1:$AL$1,0))&amp;""),"")="","(no space)",IFERROR(TRIM(INDEX($A210:$AL210,MATCH(Lists!$F$3,$A$1:$AL$1,0))&amp;""),""))))</f>
        <v/>
      </c>
      <c r="AT210" s="22">
        <f>IF(IFERROR(TRIM(INDEX($A210:$AL210,MATCH(Lists!$F$2,$A$1:$AL$1,0))&amp;""),"")="",0,N(IFERROR(IF(TRIM(INDEX($A210:$AL210,MATCH(Lists!$F$5,$A$1:$AL$1,0))&amp;"")="","",IF(ISNUMBER(INDEX($A210:$AL210,MATCH(Lists!$F$5,$A$1:$AL$1,0))),INT(INDEX($A210:$AL210,MATCH(Lists!$F$5,$A$1:$AL$1,0))),DATE(VALUE(LEFT(INDEX($A210:$AL210,MATCH(Lists!$F$5,$A$1:$AL$1,0)),4)),VALUE(MID(INDEX($A210:$AL210,MATCH(Lists!$F$5,$A$1:$AL$1,0)),6,2)),VALUE(MID(INDEX($A210:$AL210,MATCH(Lists!$F$5,$A$1:$AL$1,0)),9,2))))),"")))</f>
        <v/>
      </c>
      <c r="AU210" s="21">
        <f>IF(IFERROR(TRIM(INDEX($A210:$AL210,MATCH(Lists!$F$2,$A$1:$AL$1,0))&amp;""),"")="",-1,IF(ISNUMBER(IFERROR(IF(TRIM(INDEX($A210:$AL210,MATCH(Lists!$F$6,$A$1:$AL$1,0))&amp;"")="","",IF(ISNUMBER(INDEX($A210:$AL210,MATCH(Lists!$F$6,$A$1:$AL$1,0))),ROUND(MOD(INDEX($A210:$AL210,MATCH(Lists!$F$6,$A$1:$AL$1,0)),1)*1440,0),VALUE(LEFT(INDEX($A210:$AL210,MATCH(Lists!$F$6,$A$1:$AL$1,0)),2))*60+VALUE(MID(INDEX($A210:$AL210,MATCH(Lists!$F$6,$A$1:$AL$1,0)),4,2)))),"")),IFERROR(IF(TRIM(INDEX($A210:$AL210,MATCH(Lists!$F$6,$A$1:$AL$1,0))&amp;"")="","",IF(ISNUMBER(INDEX($A210:$AL210,MATCH(Lists!$F$6,$A$1:$AL$1,0))),ROUND(MOD(INDEX($A210:$AL210,MATCH(Lists!$F$6,$A$1:$AL$1,0)),1)*1440,0),VALUE(LEFT(INDEX($A210:$AL210,MATCH(Lists!$F$6,$A$1:$AL$1,0)),2))*60+VALUE(MID(INDEX($A210:$AL210,MATCH(Lists!$F$6,$A$1:$AL$1,0)),4,2)))),""),-1))</f>
        <v/>
      </c>
      <c r="AV210" s="21">
        <f>IF(IFERROR(TRIM(INDEX($A210:$AL210,MATCH(Lists!$F$2,$A$1:$AL$1,0))&amp;""),"")="",-1,IF(ISNUMBER(IFERROR(IF(TRIM(INDEX($A210:$AL210,MATCH(Lists!$F$7,$A$1:$AL$1,0))&amp;"")="","",IF(ISNUMBER(INDEX($A210:$AL210,MATCH(Lists!$F$7,$A$1:$AL$1,0))),ROUND(MOD(INDEX($A210:$AL210,MATCH(Lists!$F$7,$A$1:$AL$1,0)),1)*1440,0),VALUE(LEFT(INDEX($A210:$AL210,MATCH(Lists!$F$7,$A$1:$AL$1,0)),2))*60+VALUE(MID(INDEX($A210:$AL210,MATCH(Lists!$F$7,$A$1:$AL$1,0)),4,2)))),"")),IFERROR(IF(TRIM(INDEX($A210:$AL210,MATCH(Lists!$F$7,$A$1:$AL$1,0))&amp;"")="","",IF(ISNUMBER(INDEX($A210:$AL210,MATCH(Lists!$F$7,$A$1:$AL$1,0))),ROUND(MOD(INDEX($A210:$AL210,MATCH(Lists!$F$7,$A$1:$AL$1,0)),1)*1440,0),VALUE(LEFT(INDEX($A210:$AL210,MATCH(Lists!$F$7,$A$1:$AL$1,0)),2))*60+VALUE(MID(INDEX($A210:$AL210,MATCH(Lists!$F$7,$A$1:$AL$1,0)),4,2)))),""),-1))</f>
        <v/>
      </c>
      <c r="AW210" s="21">
        <f>IF(IFERROR(TRIM(INDEX($A210:$AL210,MATCH(Lists!$F$2,$A$1:$AL$1,0))&amp;""),"")="","",IF(IFERROR(TRIM(INDEX($A210:$AL210,MATCH(Lists!$F$8,$A$1:$AL$1,0))&amp;""),"")&lt;&gt;"",IFERROR(TRIM(INDEX($A210:$AL210,MATCH(Lists!$F$8,$A$1:$AL$1,0))&amp;""),""),IFERROR(TRIM(INDEX($A210:$AL210,MATCH(Lists!$F$9,$A$1:$AL$1,0))&amp;""),"")))</f>
        <v/>
      </c>
      <c r="AX210" s="21">
        <f>IFERROR(IF(TRIM(INDEX($A210:$AL210,MATCH(Lists!$F$10,$A$1:$AL$1,0))&amp;"")="","",VALUE(TRIM(INDEX($A210:$AL210,MATCH(Lists!$F$10,$A$1:$AL$1,0))&amp;""))),"")</f>
        <v/>
      </c>
      <c r="AY210" s="21">
        <f>IF(IFERROR(TRIM(INDEX($A210:$AL210,MATCH(Lists!$F$2,$A$1:$AL$1,0))&amp;""),"")="","",IF(AN210="","New",AN210))</f>
        <v/>
      </c>
      <c r="AZ210" s="21">
        <f>IF(IFERROR(TRIM(INDEX($A210:$AL210,MATCH(Lists!$F$2,$A$1:$AL$1,0))&amp;""),"")="","",IF(OR(IFERROR(TRIM(INDEX($A210:$AL210,MATCH(Lists!$F$13,$A$1:$AL$1,0))&amp;""),"")="Paid",IFERROR(TRIM(INDEX($A210:$AL210,MATCH(Lists!$F$13,$A$1:$AL$1,0))&amp;""),"")="Partially refunded"),"Paid",IF(AP210="Yes","Paid (by hand)",IFERROR(TRIM(INDEX($A210:$AL210,MATCH(Lists!$F$13,$A$1:$AL$1,0))&amp;""),""))))</f>
        <v/>
      </c>
      <c r="BA210" s="21">
        <f>IF(AND(IFERROR(TRIM(INDEX($A210:$AL210,MATCH(Lists!$F$2,$A$1:$AL$1,0))&amp;""),"")&lt;&gt;"",AT210&gt;0,AU210&gt;=0,AV210&gt;AU210,AY210&lt;&gt;"Declined"),1,0)</f>
        <v/>
      </c>
      <c r="BB210" s="21">
        <f>IF(BA210=1,COUNTIFS($AS$2:$AS$501,AS210,$AT$2:$AT$501,AT210,$AU$2:$AU$501,"&lt;"&amp;AV210,$AV$2:$AV$501,"&gt;"&amp;AU210,$BA$2:$BA$501,1)-1,"")</f>
        <v/>
      </c>
      <c r="BC210" s="21">
        <f>IF(N(BB210)&gt;0,"Clashes with "&amp;INDEX($AW$2:$AW$501,SUMPRODUCT(MAX(($AS$2:$AS$501=AS210)*($AT$2:$AT$501=AT210)*($AU$2:$AU$501&lt;AV210)*($AV$2:$AV$501&gt;AU210)*($BA$2:$BA$501=1)*(ROW($AS$2:$AS$501)&lt;&gt;ROW())*ROW($AS$2:$AS$501)))-1)&amp;" ("&amp;INDEX($AY$2:$AY$501,SUMPRODUCT(MAX(($AS$2:$AS$501=AS210)*($AT$2:$AT$501=AT210)*($AU$2:$AU$501&lt;AV210)*($AV$2:$AV$501&gt;AU210)*($BA$2:$BA$501=1)*(ROW($AS$2:$AS$501)&lt;&gt;ROW())*ROW($AS$2:$AS$501)))-1)&amp;")"&amp;IF(BB210&gt;1," and "&amp;(BB210-1)&amp;" more",""),"")</f>
        <v/>
      </c>
      <c r="BD210" s="21">
        <f>IF(AND(BA210=1,AY210="Confirmed"),AT210*10000000+AU210*1000+ROW(),"")</f>
        <v/>
      </c>
      <c r="BE210" s="21">
        <f>IF(IFERROR(TRIM(INDEX($A210:$AL210,MATCH(Lists!$F$2,$A$1:$AL$1,0))&amp;""),"")="","",IFERROR(TRIM(INDEX($A210:$AL210,MATCH(Lists!$F$11,$A$1:$AL$1,0))&amp;""),""))</f>
        <v/>
      </c>
      <c r="BF210" s="21">
        <f>IF(IFERROR(TRIM(INDEX($A210:$AL210,MATCH(Lists!$F$2,$A$1:$AL$1,0))&amp;""),"")="","",IFERROR(TRIM(INDEX($A210:$AL210,MATCH(Lists!$F$12,$A$1:$AL$1,0))&amp;""),""))</f>
        <v/>
      </c>
    </row>
    <row r="211">
      <c r="AM211" s="19" t="n"/>
      <c r="AN211" s="23" t="n"/>
      <c r="AO211" s="23" t="n"/>
      <c r="AP211" s="23" t="n"/>
      <c r="AQ211" s="23" t="n"/>
      <c r="AR211" s="19" t="n"/>
      <c r="AS211" s="21">
        <f>IF(IFERROR(TRIM(INDEX($A211:$AL211,MATCH(Lists!$F$2,$A$1:$AL$1,0))&amp;""),"")="","",IF(AND(IFERROR(TRIM(INDEX($A211:$AL211,MATCH(Lists!$F$3,$A$1:$AL$1,0))&amp;""),"")="Other",IFERROR(TRIM(INDEX($A211:$AL211,MATCH(Lists!$F$4,$A$1:$AL$1,0))&amp;""),"")&lt;&gt;""),IFERROR(TRIM(INDEX($A211:$AL211,MATCH(Lists!$F$4,$A$1:$AL$1,0))&amp;""),""),IF(IFERROR(TRIM(INDEX($A211:$AL211,MATCH(Lists!$F$3,$A$1:$AL$1,0))&amp;""),"")="","(no space)",IFERROR(TRIM(INDEX($A211:$AL211,MATCH(Lists!$F$3,$A$1:$AL$1,0))&amp;""),""))))</f>
        <v/>
      </c>
      <c r="AT211" s="22">
        <f>IF(IFERROR(TRIM(INDEX($A211:$AL211,MATCH(Lists!$F$2,$A$1:$AL$1,0))&amp;""),"")="",0,N(IFERROR(IF(TRIM(INDEX($A211:$AL211,MATCH(Lists!$F$5,$A$1:$AL$1,0))&amp;"")="","",IF(ISNUMBER(INDEX($A211:$AL211,MATCH(Lists!$F$5,$A$1:$AL$1,0))),INT(INDEX($A211:$AL211,MATCH(Lists!$F$5,$A$1:$AL$1,0))),DATE(VALUE(LEFT(INDEX($A211:$AL211,MATCH(Lists!$F$5,$A$1:$AL$1,0)),4)),VALUE(MID(INDEX($A211:$AL211,MATCH(Lists!$F$5,$A$1:$AL$1,0)),6,2)),VALUE(MID(INDEX($A211:$AL211,MATCH(Lists!$F$5,$A$1:$AL$1,0)),9,2))))),"")))</f>
        <v/>
      </c>
      <c r="AU211" s="21">
        <f>IF(IFERROR(TRIM(INDEX($A211:$AL211,MATCH(Lists!$F$2,$A$1:$AL$1,0))&amp;""),"")="",-1,IF(ISNUMBER(IFERROR(IF(TRIM(INDEX($A211:$AL211,MATCH(Lists!$F$6,$A$1:$AL$1,0))&amp;"")="","",IF(ISNUMBER(INDEX($A211:$AL211,MATCH(Lists!$F$6,$A$1:$AL$1,0))),ROUND(MOD(INDEX($A211:$AL211,MATCH(Lists!$F$6,$A$1:$AL$1,0)),1)*1440,0),VALUE(LEFT(INDEX($A211:$AL211,MATCH(Lists!$F$6,$A$1:$AL$1,0)),2))*60+VALUE(MID(INDEX($A211:$AL211,MATCH(Lists!$F$6,$A$1:$AL$1,0)),4,2)))),"")),IFERROR(IF(TRIM(INDEX($A211:$AL211,MATCH(Lists!$F$6,$A$1:$AL$1,0))&amp;"")="","",IF(ISNUMBER(INDEX($A211:$AL211,MATCH(Lists!$F$6,$A$1:$AL$1,0))),ROUND(MOD(INDEX($A211:$AL211,MATCH(Lists!$F$6,$A$1:$AL$1,0)),1)*1440,0),VALUE(LEFT(INDEX($A211:$AL211,MATCH(Lists!$F$6,$A$1:$AL$1,0)),2))*60+VALUE(MID(INDEX($A211:$AL211,MATCH(Lists!$F$6,$A$1:$AL$1,0)),4,2)))),""),-1))</f>
        <v/>
      </c>
      <c r="AV211" s="21">
        <f>IF(IFERROR(TRIM(INDEX($A211:$AL211,MATCH(Lists!$F$2,$A$1:$AL$1,0))&amp;""),"")="",-1,IF(ISNUMBER(IFERROR(IF(TRIM(INDEX($A211:$AL211,MATCH(Lists!$F$7,$A$1:$AL$1,0))&amp;"")="","",IF(ISNUMBER(INDEX($A211:$AL211,MATCH(Lists!$F$7,$A$1:$AL$1,0))),ROUND(MOD(INDEX($A211:$AL211,MATCH(Lists!$F$7,$A$1:$AL$1,0)),1)*1440,0),VALUE(LEFT(INDEX($A211:$AL211,MATCH(Lists!$F$7,$A$1:$AL$1,0)),2))*60+VALUE(MID(INDEX($A211:$AL211,MATCH(Lists!$F$7,$A$1:$AL$1,0)),4,2)))),"")),IFERROR(IF(TRIM(INDEX($A211:$AL211,MATCH(Lists!$F$7,$A$1:$AL$1,0))&amp;"")="","",IF(ISNUMBER(INDEX($A211:$AL211,MATCH(Lists!$F$7,$A$1:$AL$1,0))),ROUND(MOD(INDEX($A211:$AL211,MATCH(Lists!$F$7,$A$1:$AL$1,0)),1)*1440,0),VALUE(LEFT(INDEX($A211:$AL211,MATCH(Lists!$F$7,$A$1:$AL$1,0)),2))*60+VALUE(MID(INDEX($A211:$AL211,MATCH(Lists!$F$7,$A$1:$AL$1,0)),4,2)))),""),-1))</f>
        <v/>
      </c>
      <c r="AW211" s="21">
        <f>IF(IFERROR(TRIM(INDEX($A211:$AL211,MATCH(Lists!$F$2,$A$1:$AL$1,0))&amp;""),"")="","",IF(IFERROR(TRIM(INDEX($A211:$AL211,MATCH(Lists!$F$8,$A$1:$AL$1,0))&amp;""),"")&lt;&gt;"",IFERROR(TRIM(INDEX($A211:$AL211,MATCH(Lists!$F$8,$A$1:$AL$1,0))&amp;""),""),IFERROR(TRIM(INDEX($A211:$AL211,MATCH(Lists!$F$9,$A$1:$AL$1,0))&amp;""),"")))</f>
        <v/>
      </c>
      <c r="AX211" s="21">
        <f>IFERROR(IF(TRIM(INDEX($A211:$AL211,MATCH(Lists!$F$10,$A$1:$AL$1,0))&amp;"")="","",VALUE(TRIM(INDEX($A211:$AL211,MATCH(Lists!$F$10,$A$1:$AL$1,0))&amp;""))),"")</f>
        <v/>
      </c>
      <c r="AY211" s="21">
        <f>IF(IFERROR(TRIM(INDEX($A211:$AL211,MATCH(Lists!$F$2,$A$1:$AL$1,0))&amp;""),"")="","",IF(AN211="","New",AN211))</f>
        <v/>
      </c>
      <c r="AZ211" s="21">
        <f>IF(IFERROR(TRIM(INDEX($A211:$AL211,MATCH(Lists!$F$2,$A$1:$AL$1,0))&amp;""),"")="","",IF(OR(IFERROR(TRIM(INDEX($A211:$AL211,MATCH(Lists!$F$13,$A$1:$AL$1,0))&amp;""),"")="Paid",IFERROR(TRIM(INDEX($A211:$AL211,MATCH(Lists!$F$13,$A$1:$AL$1,0))&amp;""),"")="Partially refunded"),"Paid",IF(AP211="Yes","Paid (by hand)",IFERROR(TRIM(INDEX($A211:$AL211,MATCH(Lists!$F$13,$A$1:$AL$1,0))&amp;""),""))))</f>
        <v/>
      </c>
      <c r="BA211" s="21">
        <f>IF(AND(IFERROR(TRIM(INDEX($A211:$AL211,MATCH(Lists!$F$2,$A$1:$AL$1,0))&amp;""),"")&lt;&gt;"",AT211&gt;0,AU211&gt;=0,AV211&gt;AU211,AY211&lt;&gt;"Declined"),1,0)</f>
        <v/>
      </c>
      <c r="BB211" s="21">
        <f>IF(BA211=1,COUNTIFS($AS$2:$AS$501,AS211,$AT$2:$AT$501,AT211,$AU$2:$AU$501,"&lt;"&amp;AV211,$AV$2:$AV$501,"&gt;"&amp;AU211,$BA$2:$BA$501,1)-1,"")</f>
        <v/>
      </c>
      <c r="BC211" s="21">
        <f>IF(N(BB211)&gt;0,"Clashes with "&amp;INDEX($AW$2:$AW$501,SUMPRODUCT(MAX(($AS$2:$AS$501=AS211)*($AT$2:$AT$501=AT211)*($AU$2:$AU$501&lt;AV211)*($AV$2:$AV$501&gt;AU211)*($BA$2:$BA$501=1)*(ROW($AS$2:$AS$501)&lt;&gt;ROW())*ROW($AS$2:$AS$501)))-1)&amp;" ("&amp;INDEX($AY$2:$AY$501,SUMPRODUCT(MAX(($AS$2:$AS$501=AS211)*($AT$2:$AT$501=AT211)*($AU$2:$AU$501&lt;AV211)*($AV$2:$AV$501&gt;AU211)*($BA$2:$BA$501=1)*(ROW($AS$2:$AS$501)&lt;&gt;ROW())*ROW($AS$2:$AS$501)))-1)&amp;")"&amp;IF(BB211&gt;1," and "&amp;(BB211-1)&amp;" more",""),"")</f>
        <v/>
      </c>
      <c r="BD211" s="21">
        <f>IF(AND(BA211=1,AY211="Confirmed"),AT211*10000000+AU211*1000+ROW(),"")</f>
        <v/>
      </c>
      <c r="BE211" s="21">
        <f>IF(IFERROR(TRIM(INDEX($A211:$AL211,MATCH(Lists!$F$2,$A$1:$AL$1,0))&amp;""),"")="","",IFERROR(TRIM(INDEX($A211:$AL211,MATCH(Lists!$F$11,$A$1:$AL$1,0))&amp;""),""))</f>
        <v/>
      </c>
      <c r="BF211" s="21">
        <f>IF(IFERROR(TRIM(INDEX($A211:$AL211,MATCH(Lists!$F$2,$A$1:$AL$1,0))&amp;""),"")="","",IFERROR(TRIM(INDEX($A211:$AL211,MATCH(Lists!$F$12,$A$1:$AL$1,0))&amp;""),""))</f>
        <v/>
      </c>
    </row>
    <row r="212">
      <c r="AM212" s="19" t="n"/>
      <c r="AN212" s="23" t="n"/>
      <c r="AO212" s="23" t="n"/>
      <c r="AP212" s="23" t="n"/>
      <c r="AQ212" s="23" t="n"/>
      <c r="AR212" s="19" t="n"/>
      <c r="AS212" s="21">
        <f>IF(IFERROR(TRIM(INDEX($A212:$AL212,MATCH(Lists!$F$2,$A$1:$AL$1,0))&amp;""),"")="","",IF(AND(IFERROR(TRIM(INDEX($A212:$AL212,MATCH(Lists!$F$3,$A$1:$AL$1,0))&amp;""),"")="Other",IFERROR(TRIM(INDEX($A212:$AL212,MATCH(Lists!$F$4,$A$1:$AL$1,0))&amp;""),"")&lt;&gt;""),IFERROR(TRIM(INDEX($A212:$AL212,MATCH(Lists!$F$4,$A$1:$AL$1,0))&amp;""),""),IF(IFERROR(TRIM(INDEX($A212:$AL212,MATCH(Lists!$F$3,$A$1:$AL$1,0))&amp;""),"")="","(no space)",IFERROR(TRIM(INDEX($A212:$AL212,MATCH(Lists!$F$3,$A$1:$AL$1,0))&amp;""),""))))</f>
        <v/>
      </c>
      <c r="AT212" s="22">
        <f>IF(IFERROR(TRIM(INDEX($A212:$AL212,MATCH(Lists!$F$2,$A$1:$AL$1,0))&amp;""),"")="",0,N(IFERROR(IF(TRIM(INDEX($A212:$AL212,MATCH(Lists!$F$5,$A$1:$AL$1,0))&amp;"")="","",IF(ISNUMBER(INDEX($A212:$AL212,MATCH(Lists!$F$5,$A$1:$AL$1,0))),INT(INDEX($A212:$AL212,MATCH(Lists!$F$5,$A$1:$AL$1,0))),DATE(VALUE(LEFT(INDEX($A212:$AL212,MATCH(Lists!$F$5,$A$1:$AL$1,0)),4)),VALUE(MID(INDEX($A212:$AL212,MATCH(Lists!$F$5,$A$1:$AL$1,0)),6,2)),VALUE(MID(INDEX($A212:$AL212,MATCH(Lists!$F$5,$A$1:$AL$1,0)),9,2))))),"")))</f>
        <v/>
      </c>
      <c r="AU212" s="21">
        <f>IF(IFERROR(TRIM(INDEX($A212:$AL212,MATCH(Lists!$F$2,$A$1:$AL$1,0))&amp;""),"")="",-1,IF(ISNUMBER(IFERROR(IF(TRIM(INDEX($A212:$AL212,MATCH(Lists!$F$6,$A$1:$AL$1,0))&amp;"")="","",IF(ISNUMBER(INDEX($A212:$AL212,MATCH(Lists!$F$6,$A$1:$AL$1,0))),ROUND(MOD(INDEX($A212:$AL212,MATCH(Lists!$F$6,$A$1:$AL$1,0)),1)*1440,0),VALUE(LEFT(INDEX($A212:$AL212,MATCH(Lists!$F$6,$A$1:$AL$1,0)),2))*60+VALUE(MID(INDEX($A212:$AL212,MATCH(Lists!$F$6,$A$1:$AL$1,0)),4,2)))),"")),IFERROR(IF(TRIM(INDEX($A212:$AL212,MATCH(Lists!$F$6,$A$1:$AL$1,0))&amp;"")="","",IF(ISNUMBER(INDEX($A212:$AL212,MATCH(Lists!$F$6,$A$1:$AL$1,0))),ROUND(MOD(INDEX($A212:$AL212,MATCH(Lists!$F$6,$A$1:$AL$1,0)),1)*1440,0),VALUE(LEFT(INDEX($A212:$AL212,MATCH(Lists!$F$6,$A$1:$AL$1,0)),2))*60+VALUE(MID(INDEX($A212:$AL212,MATCH(Lists!$F$6,$A$1:$AL$1,0)),4,2)))),""),-1))</f>
        <v/>
      </c>
      <c r="AV212" s="21">
        <f>IF(IFERROR(TRIM(INDEX($A212:$AL212,MATCH(Lists!$F$2,$A$1:$AL$1,0))&amp;""),"")="",-1,IF(ISNUMBER(IFERROR(IF(TRIM(INDEX($A212:$AL212,MATCH(Lists!$F$7,$A$1:$AL$1,0))&amp;"")="","",IF(ISNUMBER(INDEX($A212:$AL212,MATCH(Lists!$F$7,$A$1:$AL$1,0))),ROUND(MOD(INDEX($A212:$AL212,MATCH(Lists!$F$7,$A$1:$AL$1,0)),1)*1440,0),VALUE(LEFT(INDEX($A212:$AL212,MATCH(Lists!$F$7,$A$1:$AL$1,0)),2))*60+VALUE(MID(INDEX($A212:$AL212,MATCH(Lists!$F$7,$A$1:$AL$1,0)),4,2)))),"")),IFERROR(IF(TRIM(INDEX($A212:$AL212,MATCH(Lists!$F$7,$A$1:$AL$1,0))&amp;"")="","",IF(ISNUMBER(INDEX($A212:$AL212,MATCH(Lists!$F$7,$A$1:$AL$1,0))),ROUND(MOD(INDEX($A212:$AL212,MATCH(Lists!$F$7,$A$1:$AL$1,0)),1)*1440,0),VALUE(LEFT(INDEX($A212:$AL212,MATCH(Lists!$F$7,$A$1:$AL$1,0)),2))*60+VALUE(MID(INDEX($A212:$AL212,MATCH(Lists!$F$7,$A$1:$AL$1,0)),4,2)))),""),-1))</f>
        <v/>
      </c>
      <c r="AW212" s="21">
        <f>IF(IFERROR(TRIM(INDEX($A212:$AL212,MATCH(Lists!$F$2,$A$1:$AL$1,0))&amp;""),"")="","",IF(IFERROR(TRIM(INDEX($A212:$AL212,MATCH(Lists!$F$8,$A$1:$AL$1,0))&amp;""),"")&lt;&gt;"",IFERROR(TRIM(INDEX($A212:$AL212,MATCH(Lists!$F$8,$A$1:$AL$1,0))&amp;""),""),IFERROR(TRIM(INDEX($A212:$AL212,MATCH(Lists!$F$9,$A$1:$AL$1,0))&amp;""),"")))</f>
        <v/>
      </c>
      <c r="AX212" s="21">
        <f>IFERROR(IF(TRIM(INDEX($A212:$AL212,MATCH(Lists!$F$10,$A$1:$AL$1,0))&amp;"")="","",VALUE(TRIM(INDEX($A212:$AL212,MATCH(Lists!$F$10,$A$1:$AL$1,0))&amp;""))),"")</f>
        <v/>
      </c>
      <c r="AY212" s="21">
        <f>IF(IFERROR(TRIM(INDEX($A212:$AL212,MATCH(Lists!$F$2,$A$1:$AL$1,0))&amp;""),"")="","",IF(AN212="","New",AN212))</f>
        <v/>
      </c>
      <c r="AZ212" s="21">
        <f>IF(IFERROR(TRIM(INDEX($A212:$AL212,MATCH(Lists!$F$2,$A$1:$AL$1,0))&amp;""),"")="","",IF(OR(IFERROR(TRIM(INDEX($A212:$AL212,MATCH(Lists!$F$13,$A$1:$AL$1,0))&amp;""),"")="Paid",IFERROR(TRIM(INDEX($A212:$AL212,MATCH(Lists!$F$13,$A$1:$AL$1,0))&amp;""),"")="Partially refunded"),"Paid",IF(AP212="Yes","Paid (by hand)",IFERROR(TRIM(INDEX($A212:$AL212,MATCH(Lists!$F$13,$A$1:$AL$1,0))&amp;""),""))))</f>
        <v/>
      </c>
      <c r="BA212" s="21">
        <f>IF(AND(IFERROR(TRIM(INDEX($A212:$AL212,MATCH(Lists!$F$2,$A$1:$AL$1,0))&amp;""),"")&lt;&gt;"",AT212&gt;0,AU212&gt;=0,AV212&gt;AU212,AY212&lt;&gt;"Declined"),1,0)</f>
        <v/>
      </c>
      <c r="BB212" s="21">
        <f>IF(BA212=1,COUNTIFS($AS$2:$AS$501,AS212,$AT$2:$AT$501,AT212,$AU$2:$AU$501,"&lt;"&amp;AV212,$AV$2:$AV$501,"&gt;"&amp;AU212,$BA$2:$BA$501,1)-1,"")</f>
        <v/>
      </c>
      <c r="BC212" s="21">
        <f>IF(N(BB212)&gt;0,"Clashes with "&amp;INDEX($AW$2:$AW$501,SUMPRODUCT(MAX(($AS$2:$AS$501=AS212)*($AT$2:$AT$501=AT212)*($AU$2:$AU$501&lt;AV212)*($AV$2:$AV$501&gt;AU212)*($BA$2:$BA$501=1)*(ROW($AS$2:$AS$501)&lt;&gt;ROW())*ROW($AS$2:$AS$501)))-1)&amp;" ("&amp;INDEX($AY$2:$AY$501,SUMPRODUCT(MAX(($AS$2:$AS$501=AS212)*($AT$2:$AT$501=AT212)*($AU$2:$AU$501&lt;AV212)*($AV$2:$AV$501&gt;AU212)*($BA$2:$BA$501=1)*(ROW($AS$2:$AS$501)&lt;&gt;ROW())*ROW($AS$2:$AS$501)))-1)&amp;")"&amp;IF(BB212&gt;1," and "&amp;(BB212-1)&amp;" more",""),"")</f>
        <v/>
      </c>
      <c r="BD212" s="21">
        <f>IF(AND(BA212=1,AY212="Confirmed"),AT212*10000000+AU212*1000+ROW(),"")</f>
        <v/>
      </c>
      <c r="BE212" s="21">
        <f>IF(IFERROR(TRIM(INDEX($A212:$AL212,MATCH(Lists!$F$2,$A$1:$AL$1,0))&amp;""),"")="","",IFERROR(TRIM(INDEX($A212:$AL212,MATCH(Lists!$F$11,$A$1:$AL$1,0))&amp;""),""))</f>
        <v/>
      </c>
      <c r="BF212" s="21">
        <f>IF(IFERROR(TRIM(INDEX($A212:$AL212,MATCH(Lists!$F$2,$A$1:$AL$1,0))&amp;""),"")="","",IFERROR(TRIM(INDEX($A212:$AL212,MATCH(Lists!$F$12,$A$1:$AL$1,0))&amp;""),""))</f>
        <v/>
      </c>
    </row>
    <row r="213">
      <c r="AM213" s="19" t="n"/>
      <c r="AN213" s="23" t="n"/>
      <c r="AO213" s="23" t="n"/>
      <c r="AP213" s="23" t="n"/>
      <c r="AQ213" s="23" t="n"/>
      <c r="AR213" s="19" t="n"/>
      <c r="AS213" s="21">
        <f>IF(IFERROR(TRIM(INDEX($A213:$AL213,MATCH(Lists!$F$2,$A$1:$AL$1,0))&amp;""),"")="","",IF(AND(IFERROR(TRIM(INDEX($A213:$AL213,MATCH(Lists!$F$3,$A$1:$AL$1,0))&amp;""),"")="Other",IFERROR(TRIM(INDEX($A213:$AL213,MATCH(Lists!$F$4,$A$1:$AL$1,0))&amp;""),"")&lt;&gt;""),IFERROR(TRIM(INDEX($A213:$AL213,MATCH(Lists!$F$4,$A$1:$AL$1,0))&amp;""),""),IF(IFERROR(TRIM(INDEX($A213:$AL213,MATCH(Lists!$F$3,$A$1:$AL$1,0))&amp;""),"")="","(no space)",IFERROR(TRIM(INDEX($A213:$AL213,MATCH(Lists!$F$3,$A$1:$AL$1,0))&amp;""),""))))</f>
        <v/>
      </c>
      <c r="AT213" s="22">
        <f>IF(IFERROR(TRIM(INDEX($A213:$AL213,MATCH(Lists!$F$2,$A$1:$AL$1,0))&amp;""),"")="",0,N(IFERROR(IF(TRIM(INDEX($A213:$AL213,MATCH(Lists!$F$5,$A$1:$AL$1,0))&amp;"")="","",IF(ISNUMBER(INDEX($A213:$AL213,MATCH(Lists!$F$5,$A$1:$AL$1,0))),INT(INDEX($A213:$AL213,MATCH(Lists!$F$5,$A$1:$AL$1,0))),DATE(VALUE(LEFT(INDEX($A213:$AL213,MATCH(Lists!$F$5,$A$1:$AL$1,0)),4)),VALUE(MID(INDEX($A213:$AL213,MATCH(Lists!$F$5,$A$1:$AL$1,0)),6,2)),VALUE(MID(INDEX($A213:$AL213,MATCH(Lists!$F$5,$A$1:$AL$1,0)),9,2))))),"")))</f>
        <v/>
      </c>
      <c r="AU213" s="21">
        <f>IF(IFERROR(TRIM(INDEX($A213:$AL213,MATCH(Lists!$F$2,$A$1:$AL$1,0))&amp;""),"")="",-1,IF(ISNUMBER(IFERROR(IF(TRIM(INDEX($A213:$AL213,MATCH(Lists!$F$6,$A$1:$AL$1,0))&amp;"")="","",IF(ISNUMBER(INDEX($A213:$AL213,MATCH(Lists!$F$6,$A$1:$AL$1,0))),ROUND(MOD(INDEX($A213:$AL213,MATCH(Lists!$F$6,$A$1:$AL$1,0)),1)*1440,0),VALUE(LEFT(INDEX($A213:$AL213,MATCH(Lists!$F$6,$A$1:$AL$1,0)),2))*60+VALUE(MID(INDEX($A213:$AL213,MATCH(Lists!$F$6,$A$1:$AL$1,0)),4,2)))),"")),IFERROR(IF(TRIM(INDEX($A213:$AL213,MATCH(Lists!$F$6,$A$1:$AL$1,0))&amp;"")="","",IF(ISNUMBER(INDEX($A213:$AL213,MATCH(Lists!$F$6,$A$1:$AL$1,0))),ROUND(MOD(INDEX($A213:$AL213,MATCH(Lists!$F$6,$A$1:$AL$1,0)),1)*1440,0),VALUE(LEFT(INDEX($A213:$AL213,MATCH(Lists!$F$6,$A$1:$AL$1,0)),2))*60+VALUE(MID(INDEX($A213:$AL213,MATCH(Lists!$F$6,$A$1:$AL$1,0)),4,2)))),""),-1))</f>
        <v/>
      </c>
      <c r="AV213" s="21">
        <f>IF(IFERROR(TRIM(INDEX($A213:$AL213,MATCH(Lists!$F$2,$A$1:$AL$1,0))&amp;""),"")="",-1,IF(ISNUMBER(IFERROR(IF(TRIM(INDEX($A213:$AL213,MATCH(Lists!$F$7,$A$1:$AL$1,0))&amp;"")="","",IF(ISNUMBER(INDEX($A213:$AL213,MATCH(Lists!$F$7,$A$1:$AL$1,0))),ROUND(MOD(INDEX($A213:$AL213,MATCH(Lists!$F$7,$A$1:$AL$1,0)),1)*1440,0),VALUE(LEFT(INDEX($A213:$AL213,MATCH(Lists!$F$7,$A$1:$AL$1,0)),2))*60+VALUE(MID(INDEX($A213:$AL213,MATCH(Lists!$F$7,$A$1:$AL$1,0)),4,2)))),"")),IFERROR(IF(TRIM(INDEX($A213:$AL213,MATCH(Lists!$F$7,$A$1:$AL$1,0))&amp;"")="","",IF(ISNUMBER(INDEX($A213:$AL213,MATCH(Lists!$F$7,$A$1:$AL$1,0))),ROUND(MOD(INDEX($A213:$AL213,MATCH(Lists!$F$7,$A$1:$AL$1,0)),1)*1440,0),VALUE(LEFT(INDEX($A213:$AL213,MATCH(Lists!$F$7,$A$1:$AL$1,0)),2))*60+VALUE(MID(INDEX($A213:$AL213,MATCH(Lists!$F$7,$A$1:$AL$1,0)),4,2)))),""),-1))</f>
        <v/>
      </c>
      <c r="AW213" s="21">
        <f>IF(IFERROR(TRIM(INDEX($A213:$AL213,MATCH(Lists!$F$2,$A$1:$AL$1,0))&amp;""),"")="","",IF(IFERROR(TRIM(INDEX($A213:$AL213,MATCH(Lists!$F$8,$A$1:$AL$1,0))&amp;""),"")&lt;&gt;"",IFERROR(TRIM(INDEX($A213:$AL213,MATCH(Lists!$F$8,$A$1:$AL$1,0))&amp;""),""),IFERROR(TRIM(INDEX($A213:$AL213,MATCH(Lists!$F$9,$A$1:$AL$1,0))&amp;""),"")))</f>
        <v/>
      </c>
      <c r="AX213" s="21">
        <f>IFERROR(IF(TRIM(INDEX($A213:$AL213,MATCH(Lists!$F$10,$A$1:$AL$1,0))&amp;"")="","",VALUE(TRIM(INDEX($A213:$AL213,MATCH(Lists!$F$10,$A$1:$AL$1,0))&amp;""))),"")</f>
        <v/>
      </c>
      <c r="AY213" s="21">
        <f>IF(IFERROR(TRIM(INDEX($A213:$AL213,MATCH(Lists!$F$2,$A$1:$AL$1,0))&amp;""),"")="","",IF(AN213="","New",AN213))</f>
        <v/>
      </c>
      <c r="AZ213" s="21">
        <f>IF(IFERROR(TRIM(INDEX($A213:$AL213,MATCH(Lists!$F$2,$A$1:$AL$1,0))&amp;""),"")="","",IF(OR(IFERROR(TRIM(INDEX($A213:$AL213,MATCH(Lists!$F$13,$A$1:$AL$1,0))&amp;""),"")="Paid",IFERROR(TRIM(INDEX($A213:$AL213,MATCH(Lists!$F$13,$A$1:$AL$1,0))&amp;""),"")="Partially refunded"),"Paid",IF(AP213="Yes","Paid (by hand)",IFERROR(TRIM(INDEX($A213:$AL213,MATCH(Lists!$F$13,$A$1:$AL$1,0))&amp;""),""))))</f>
        <v/>
      </c>
      <c r="BA213" s="21">
        <f>IF(AND(IFERROR(TRIM(INDEX($A213:$AL213,MATCH(Lists!$F$2,$A$1:$AL$1,0))&amp;""),"")&lt;&gt;"",AT213&gt;0,AU213&gt;=0,AV213&gt;AU213,AY213&lt;&gt;"Declined"),1,0)</f>
        <v/>
      </c>
      <c r="BB213" s="21">
        <f>IF(BA213=1,COUNTIFS($AS$2:$AS$501,AS213,$AT$2:$AT$501,AT213,$AU$2:$AU$501,"&lt;"&amp;AV213,$AV$2:$AV$501,"&gt;"&amp;AU213,$BA$2:$BA$501,1)-1,"")</f>
        <v/>
      </c>
      <c r="BC213" s="21">
        <f>IF(N(BB213)&gt;0,"Clashes with "&amp;INDEX($AW$2:$AW$501,SUMPRODUCT(MAX(($AS$2:$AS$501=AS213)*($AT$2:$AT$501=AT213)*($AU$2:$AU$501&lt;AV213)*($AV$2:$AV$501&gt;AU213)*($BA$2:$BA$501=1)*(ROW($AS$2:$AS$501)&lt;&gt;ROW())*ROW($AS$2:$AS$501)))-1)&amp;" ("&amp;INDEX($AY$2:$AY$501,SUMPRODUCT(MAX(($AS$2:$AS$501=AS213)*($AT$2:$AT$501=AT213)*($AU$2:$AU$501&lt;AV213)*($AV$2:$AV$501&gt;AU213)*($BA$2:$BA$501=1)*(ROW($AS$2:$AS$501)&lt;&gt;ROW())*ROW($AS$2:$AS$501)))-1)&amp;")"&amp;IF(BB213&gt;1," and "&amp;(BB213-1)&amp;" more",""),"")</f>
        <v/>
      </c>
      <c r="BD213" s="21">
        <f>IF(AND(BA213=1,AY213="Confirmed"),AT213*10000000+AU213*1000+ROW(),"")</f>
        <v/>
      </c>
      <c r="BE213" s="21">
        <f>IF(IFERROR(TRIM(INDEX($A213:$AL213,MATCH(Lists!$F$2,$A$1:$AL$1,0))&amp;""),"")="","",IFERROR(TRIM(INDEX($A213:$AL213,MATCH(Lists!$F$11,$A$1:$AL$1,0))&amp;""),""))</f>
        <v/>
      </c>
      <c r="BF213" s="21">
        <f>IF(IFERROR(TRIM(INDEX($A213:$AL213,MATCH(Lists!$F$2,$A$1:$AL$1,0))&amp;""),"")="","",IFERROR(TRIM(INDEX($A213:$AL213,MATCH(Lists!$F$12,$A$1:$AL$1,0))&amp;""),""))</f>
        <v/>
      </c>
    </row>
    <row r="214">
      <c r="AM214" s="19" t="n"/>
      <c r="AN214" s="23" t="n"/>
      <c r="AO214" s="23" t="n"/>
      <c r="AP214" s="23" t="n"/>
      <c r="AQ214" s="23" t="n"/>
      <c r="AR214" s="19" t="n"/>
      <c r="AS214" s="21">
        <f>IF(IFERROR(TRIM(INDEX($A214:$AL214,MATCH(Lists!$F$2,$A$1:$AL$1,0))&amp;""),"")="","",IF(AND(IFERROR(TRIM(INDEX($A214:$AL214,MATCH(Lists!$F$3,$A$1:$AL$1,0))&amp;""),"")="Other",IFERROR(TRIM(INDEX($A214:$AL214,MATCH(Lists!$F$4,$A$1:$AL$1,0))&amp;""),"")&lt;&gt;""),IFERROR(TRIM(INDEX($A214:$AL214,MATCH(Lists!$F$4,$A$1:$AL$1,0))&amp;""),""),IF(IFERROR(TRIM(INDEX($A214:$AL214,MATCH(Lists!$F$3,$A$1:$AL$1,0))&amp;""),"")="","(no space)",IFERROR(TRIM(INDEX($A214:$AL214,MATCH(Lists!$F$3,$A$1:$AL$1,0))&amp;""),""))))</f>
        <v/>
      </c>
      <c r="AT214" s="22">
        <f>IF(IFERROR(TRIM(INDEX($A214:$AL214,MATCH(Lists!$F$2,$A$1:$AL$1,0))&amp;""),"")="",0,N(IFERROR(IF(TRIM(INDEX($A214:$AL214,MATCH(Lists!$F$5,$A$1:$AL$1,0))&amp;"")="","",IF(ISNUMBER(INDEX($A214:$AL214,MATCH(Lists!$F$5,$A$1:$AL$1,0))),INT(INDEX($A214:$AL214,MATCH(Lists!$F$5,$A$1:$AL$1,0))),DATE(VALUE(LEFT(INDEX($A214:$AL214,MATCH(Lists!$F$5,$A$1:$AL$1,0)),4)),VALUE(MID(INDEX($A214:$AL214,MATCH(Lists!$F$5,$A$1:$AL$1,0)),6,2)),VALUE(MID(INDEX($A214:$AL214,MATCH(Lists!$F$5,$A$1:$AL$1,0)),9,2))))),"")))</f>
        <v/>
      </c>
      <c r="AU214" s="21">
        <f>IF(IFERROR(TRIM(INDEX($A214:$AL214,MATCH(Lists!$F$2,$A$1:$AL$1,0))&amp;""),"")="",-1,IF(ISNUMBER(IFERROR(IF(TRIM(INDEX($A214:$AL214,MATCH(Lists!$F$6,$A$1:$AL$1,0))&amp;"")="","",IF(ISNUMBER(INDEX($A214:$AL214,MATCH(Lists!$F$6,$A$1:$AL$1,0))),ROUND(MOD(INDEX($A214:$AL214,MATCH(Lists!$F$6,$A$1:$AL$1,0)),1)*1440,0),VALUE(LEFT(INDEX($A214:$AL214,MATCH(Lists!$F$6,$A$1:$AL$1,0)),2))*60+VALUE(MID(INDEX($A214:$AL214,MATCH(Lists!$F$6,$A$1:$AL$1,0)),4,2)))),"")),IFERROR(IF(TRIM(INDEX($A214:$AL214,MATCH(Lists!$F$6,$A$1:$AL$1,0))&amp;"")="","",IF(ISNUMBER(INDEX($A214:$AL214,MATCH(Lists!$F$6,$A$1:$AL$1,0))),ROUND(MOD(INDEX($A214:$AL214,MATCH(Lists!$F$6,$A$1:$AL$1,0)),1)*1440,0),VALUE(LEFT(INDEX($A214:$AL214,MATCH(Lists!$F$6,$A$1:$AL$1,0)),2))*60+VALUE(MID(INDEX($A214:$AL214,MATCH(Lists!$F$6,$A$1:$AL$1,0)),4,2)))),""),-1))</f>
        <v/>
      </c>
      <c r="AV214" s="21">
        <f>IF(IFERROR(TRIM(INDEX($A214:$AL214,MATCH(Lists!$F$2,$A$1:$AL$1,0))&amp;""),"")="",-1,IF(ISNUMBER(IFERROR(IF(TRIM(INDEX($A214:$AL214,MATCH(Lists!$F$7,$A$1:$AL$1,0))&amp;"")="","",IF(ISNUMBER(INDEX($A214:$AL214,MATCH(Lists!$F$7,$A$1:$AL$1,0))),ROUND(MOD(INDEX($A214:$AL214,MATCH(Lists!$F$7,$A$1:$AL$1,0)),1)*1440,0),VALUE(LEFT(INDEX($A214:$AL214,MATCH(Lists!$F$7,$A$1:$AL$1,0)),2))*60+VALUE(MID(INDEX($A214:$AL214,MATCH(Lists!$F$7,$A$1:$AL$1,0)),4,2)))),"")),IFERROR(IF(TRIM(INDEX($A214:$AL214,MATCH(Lists!$F$7,$A$1:$AL$1,0))&amp;"")="","",IF(ISNUMBER(INDEX($A214:$AL214,MATCH(Lists!$F$7,$A$1:$AL$1,0))),ROUND(MOD(INDEX($A214:$AL214,MATCH(Lists!$F$7,$A$1:$AL$1,0)),1)*1440,0),VALUE(LEFT(INDEX($A214:$AL214,MATCH(Lists!$F$7,$A$1:$AL$1,0)),2))*60+VALUE(MID(INDEX($A214:$AL214,MATCH(Lists!$F$7,$A$1:$AL$1,0)),4,2)))),""),-1))</f>
        <v/>
      </c>
      <c r="AW214" s="21">
        <f>IF(IFERROR(TRIM(INDEX($A214:$AL214,MATCH(Lists!$F$2,$A$1:$AL$1,0))&amp;""),"")="","",IF(IFERROR(TRIM(INDEX($A214:$AL214,MATCH(Lists!$F$8,$A$1:$AL$1,0))&amp;""),"")&lt;&gt;"",IFERROR(TRIM(INDEX($A214:$AL214,MATCH(Lists!$F$8,$A$1:$AL$1,0))&amp;""),""),IFERROR(TRIM(INDEX($A214:$AL214,MATCH(Lists!$F$9,$A$1:$AL$1,0))&amp;""),"")))</f>
        <v/>
      </c>
      <c r="AX214" s="21">
        <f>IFERROR(IF(TRIM(INDEX($A214:$AL214,MATCH(Lists!$F$10,$A$1:$AL$1,0))&amp;"")="","",VALUE(TRIM(INDEX($A214:$AL214,MATCH(Lists!$F$10,$A$1:$AL$1,0))&amp;""))),"")</f>
        <v/>
      </c>
      <c r="AY214" s="21">
        <f>IF(IFERROR(TRIM(INDEX($A214:$AL214,MATCH(Lists!$F$2,$A$1:$AL$1,0))&amp;""),"")="","",IF(AN214="","New",AN214))</f>
        <v/>
      </c>
      <c r="AZ214" s="21">
        <f>IF(IFERROR(TRIM(INDEX($A214:$AL214,MATCH(Lists!$F$2,$A$1:$AL$1,0))&amp;""),"")="","",IF(OR(IFERROR(TRIM(INDEX($A214:$AL214,MATCH(Lists!$F$13,$A$1:$AL$1,0))&amp;""),"")="Paid",IFERROR(TRIM(INDEX($A214:$AL214,MATCH(Lists!$F$13,$A$1:$AL$1,0))&amp;""),"")="Partially refunded"),"Paid",IF(AP214="Yes","Paid (by hand)",IFERROR(TRIM(INDEX($A214:$AL214,MATCH(Lists!$F$13,$A$1:$AL$1,0))&amp;""),""))))</f>
        <v/>
      </c>
      <c r="BA214" s="21">
        <f>IF(AND(IFERROR(TRIM(INDEX($A214:$AL214,MATCH(Lists!$F$2,$A$1:$AL$1,0))&amp;""),"")&lt;&gt;"",AT214&gt;0,AU214&gt;=0,AV214&gt;AU214,AY214&lt;&gt;"Declined"),1,0)</f>
        <v/>
      </c>
      <c r="BB214" s="21">
        <f>IF(BA214=1,COUNTIFS($AS$2:$AS$501,AS214,$AT$2:$AT$501,AT214,$AU$2:$AU$501,"&lt;"&amp;AV214,$AV$2:$AV$501,"&gt;"&amp;AU214,$BA$2:$BA$501,1)-1,"")</f>
        <v/>
      </c>
      <c r="BC214" s="21">
        <f>IF(N(BB214)&gt;0,"Clashes with "&amp;INDEX($AW$2:$AW$501,SUMPRODUCT(MAX(($AS$2:$AS$501=AS214)*($AT$2:$AT$501=AT214)*($AU$2:$AU$501&lt;AV214)*($AV$2:$AV$501&gt;AU214)*($BA$2:$BA$501=1)*(ROW($AS$2:$AS$501)&lt;&gt;ROW())*ROW($AS$2:$AS$501)))-1)&amp;" ("&amp;INDEX($AY$2:$AY$501,SUMPRODUCT(MAX(($AS$2:$AS$501=AS214)*($AT$2:$AT$501=AT214)*($AU$2:$AU$501&lt;AV214)*($AV$2:$AV$501&gt;AU214)*($BA$2:$BA$501=1)*(ROW($AS$2:$AS$501)&lt;&gt;ROW())*ROW($AS$2:$AS$501)))-1)&amp;")"&amp;IF(BB214&gt;1," and "&amp;(BB214-1)&amp;" more",""),"")</f>
        <v/>
      </c>
      <c r="BD214" s="21">
        <f>IF(AND(BA214=1,AY214="Confirmed"),AT214*10000000+AU214*1000+ROW(),"")</f>
        <v/>
      </c>
      <c r="BE214" s="21">
        <f>IF(IFERROR(TRIM(INDEX($A214:$AL214,MATCH(Lists!$F$2,$A$1:$AL$1,0))&amp;""),"")="","",IFERROR(TRIM(INDEX($A214:$AL214,MATCH(Lists!$F$11,$A$1:$AL$1,0))&amp;""),""))</f>
        <v/>
      </c>
      <c r="BF214" s="21">
        <f>IF(IFERROR(TRIM(INDEX($A214:$AL214,MATCH(Lists!$F$2,$A$1:$AL$1,0))&amp;""),"")="","",IFERROR(TRIM(INDEX($A214:$AL214,MATCH(Lists!$F$12,$A$1:$AL$1,0))&amp;""),""))</f>
        <v/>
      </c>
    </row>
    <row r="215">
      <c r="AM215" s="19" t="n"/>
      <c r="AN215" s="23" t="n"/>
      <c r="AO215" s="23" t="n"/>
      <c r="AP215" s="23" t="n"/>
      <c r="AQ215" s="23" t="n"/>
      <c r="AR215" s="19" t="n"/>
      <c r="AS215" s="21">
        <f>IF(IFERROR(TRIM(INDEX($A215:$AL215,MATCH(Lists!$F$2,$A$1:$AL$1,0))&amp;""),"")="","",IF(AND(IFERROR(TRIM(INDEX($A215:$AL215,MATCH(Lists!$F$3,$A$1:$AL$1,0))&amp;""),"")="Other",IFERROR(TRIM(INDEX($A215:$AL215,MATCH(Lists!$F$4,$A$1:$AL$1,0))&amp;""),"")&lt;&gt;""),IFERROR(TRIM(INDEX($A215:$AL215,MATCH(Lists!$F$4,$A$1:$AL$1,0))&amp;""),""),IF(IFERROR(TRIM(INDEX($A215:$AL215,MATCH(Lists!$F$3,$A$1:$AL$1,0))&amp;""),"")="","(no space)",IFERROR(TRIM(INDEX($A215:$AL215,MATCH(Lists!$F$3,$A$1:$AL$1,0))&amp;""),""))))</f>
        <v/>
      </c>
      <c r="AT215" s="22">
        <f>IF(IFERROR(TRIM(INDEX($A215:$AL215,MATCH(Lists!$F$2,$A$1:$AL$1,0))&amp;""),"")="",0,N(IFERROR(IF(TRIM(INDEX($A215:$AL215,MATCH(Lists!$F$5,$A$1:$AL$1,0))&amp;"")="","",IF(ISNUMBER(INDEX($A215:$AL215,MATCH(Lists!$F$5,$A$1:$AL$1,0))),INT(INDEX($A215:$AL215,MATCH(Lists!$F$5,$A$1:$AL$1,0))),DATE(VALUE(LEFT(INDEX($A215:$AL215,MATCH(Lists!$F$5,$A$1:$AL$1,0)),4)),VALUE(MID(INDEX($A215:$AL215,MATCH(Lists!$F$5,$A$1:$AL$1,0)),6,2)),VALUE(MID(INDEX($A215:$AL215,MATCH(Lists!$F$5,$A$1:$AL$1,0)),9,2))))),"")))</f>
        <v/>
      </c>
      <c r="AU215" s="21">
        <f>IF(IFERROR(TRIM(INDEX($A215:$AL215,MATCH(Lists!$F$2,$A$1:$AL$1,0))&amp;""),"")="",-1,IF(ISNUMBER(IFERROR(IF(TRIM(INDEX($A215:$AL215,MATCH(Lists!$F$6,$A$1:$AL$1,0))&amp;"")="","",IF(ISNUMBER(INDEX($A215:$AL215,MATCH(Lists!$F$6,$A$1:$AL$1,0))),ROUND(MOD(INDEX($A215:$AL215,MATCH(Lists!$F$6,$A$1:$AL$1,0)),1)*1440,0),VALUE(LEFT(INDEX($A215:$AL215,MATCH(Lists!$F$6,$A$1:$AL$1,0)),2))*60+VALUE(MID(INDEX($A215:$AL215,MATCH(Lists!$F$6,$A$1:$AL$1,0)),4,2)))),"")),IFERROR(IF(TRIM(INDEX($A215:$AL215,MATCH(Lists!$F$6,$A$1:$AL$1,0))&amp;"")="","",IF(ISNUMBER(INDEX($A215:$AL215,MATCH(Lists!$F$6,$A$1:$AL$1,0))),ROUND(MOD(INDEX($A215:$AL215,MATCH(Lists!$F$6,$A$1:$AL$1,0)),1)*1440,0),VALUE(LEFT(INDEX($A215:$AL215,MATCH(Lists!$F$6,$A$1:$AL$1,0)),2))*60+VALUE(MID(INDEX($A215:$AL215,MATCH(Lists!$F$6,$A$1:$AL$1,0)),4,2)))),""),-1))</f>
        <v/>
      </c>
      <c r="AV215" s="21">
        <f>IF(IFERROR(TRIM(INDEX($A215:$AL215,MATCH(Lists!$F$2,$A$1:$AL$1,0))&amp;""),"")="",-1,IF(ISNUMBER(IFERROR(IF(TRIM(INDEX($A215:$AL215,MATCH(Lists!$F$7,$A$1:$AL$1,0))&amp;"")="","",IF(ISNUMBER(INDEX($A215:$AL215,MATCH(Lists!$F$7,$A$1:$AL$1,0))),ROUND(MOD(INDEX($A215:$AL215,MATCH(Lists!$F$7,$A$1:$AL$1,0)),1)*1440,0),VALUE(LEFT(INDEX($A215:$AL215,MATCH(Lists!$F$7,$A$1:$AL$1,0)),2))*60+VALUE(MID(INDEX($A215:$AL215,MATCH(Lists!$F$7,$A$1:$AL$1,0)),4,2)))),"")),IFERROR(IF(TRIM(INDEX($A215:$AL215,MATCH(Lists!$F$7,$A$1:$AL$1,0))&amp;"")="","",IF(ISNUMBER(INDEX($A215:$AL215,MATCH(Lists!$F$7,$A$1:$AL$1,0))),ROUND(MOD(INDEX($A215:$AL215,MATCH(Lists!$F$7,$A$1:$AL$1,0)),1)*1440,0),VALUE(LEFT(INDEX($A215:$AL215,MATCH(Lists!$F$7,$A$1:$AL$1,0)),2))*60+VALUE(MID(INDEX($A215:$AL215,MATCH(Lists!$F$7,$A$1:$AL$1,0)),4,2)))),""),-1))</f>
        <v/>
      </c>
      <c r="AW215" s="21">
        <f>IF(IFERROR(TRIM(INDEX($A215:$AL215,MATCH(Lists!$F$2,$A$1:$AL$1,0))&amp;""),"")="","",IF(IFERROR(TRIM(INDEX($A215:$AL215,MATCH(Lists!$F$8,$A$1:$AL$1,0))&amp;""),"")&lt;&gt;"",IFERROR(TRIM(INDEX($A215:$AL215,MATCH(Lists!$F$8,$A$1:$AL$1,0))&amp;""),""),IFERROR(TRIM(INDEX($A215:$AL215,MATCH(Lists!$F$9,$A$1:$AL$1,0))&amp;""),"")))</f>
        <v/>
      </c>
      <c r="AX215" s="21">
        <f>IFERROR(IF(TRIM(INDEX($A215:$AL215,MATCH(Lists!$F$10,$A$1:$AL$1,0))&amp;"")="","",VALUE(TRIM(INDEX($A215:$AL215,MATCH(Lists!$F$10,$A$1:$AL$1,0))&amp;""))),"")</f>
        <v/>
      </c>
      <c r="AY215" s="21">
        <f>IF(IFERROR(TRIM(INDEX($A215:$AL215,MATCH(Lists!$F$2,$A$1:$AL$1,0))&amp;""),"")="","",IF(AN215="","New",AN215))</f>
        <v/>
      </c>
      <c r="AZ215" s="21">
        <f>IF(IFERROR(TRIM(INDEX($A215:$AL215,MATCH(Lists!$F$2,$A$1:$AL$1,0))&amp;""),"")="","",IF(OR(IFERROR(TRIM(INDEX($A215:$AL215,MATCH(Lists!$F$13,$A$1:$AL$1,0))&amp;""),"")="Paid",IFERROR(TRIM(INDEX($A215:$AL215,MATCH(Lists!$F$13,$A$1:$AL$1,0))&amp;""),"")="Partially refunded"),"Paid",IF(AP215="Yes","Paid (by hand)",IFERROR(TRIM(INDEX($A215:$AL215,MATCH(Lists!$F$13,$A$1:$AL$1,0))&amp;""),""))))</f>
        <v/>
      </c>
      <c r="BA215" s="21">
        <f>IF(AND(IFERROR(TRIM(INDEX($A215:$AL215,MATCH(Lists!$F$2,$A$1:$AL$1,0))&amp;""),"")&lt;&gt;"",AT215&gt;0,AU215&gt;=0,AV215&gt;AU215,AY215&lt;&gt;"Declined"),1,0)</f>
        <v/>
      </c>
      <c r="BB215" s="21">
        <f>IF(BA215=1,COUNTIFS($AS$2:$AS$501,AS215,$AT$2:$AT$501,AT215,$AU$2:$AU$501,"&lt;"&amp;AV215,$AV$2:$AV$501,"&gt;"&amp;AU215,$BA$2:$BA$501,1)-1,"")</f>
        <v/>
      </c>
      <c r="BC215" s="21">
        <f>IF(N(BB215)&gt;0,"Clashes with "&amp;INDEX($AW$2:$AW$501,SUMPRODUCT(MAX(($AS$2:$AS$501=AS215)*($AT$2:$AT$501=AT215)*($AU$2:$AU$501&lt;AV215)*($AV$2:$AV$501&gt;AU215)*($BA$2:$BA$501=1)*(ROW($AS$2:$AS$501)&lt;&gt;ROW())*ROW($AS$2:$AS$501)))-1)&amp;" ("&amp;INDEX($AY$2:$AY$501,SUMPRODUCT(MAX(($AS$2:$AS$501=AS215)*($AT$2:$AT$501=AT215)*($AU$2:$AU$501&lt;AV215)*($AV$2:$AV$501&gt;AU215)*($BA$2:$BA$501=1)*(ROW($AS$2:$AS$501)&lt;&gt;ROW())*ROW($AS$2:$AS$501)))-1)&amp;")"&amp;IF(BB215&gt;1," and "&amp;(BB215-1)&amp;" more",""),"")</f>
        <v/>
      </c>
      <c r="BD215" s="21">
        <f>IF(AND(BA215=1,AY215="Confirmed"),AT215*10000000+AU215*1000+ROW(),"")</f>
        <v/>
      </c>
      <c r="BE215" s="21">
        <f>IF(IFERROR(TRIM(INDEX($A215:$AL215,MATCH(Lists!$F$2,$A$1:$AL$1,0))&amp;""),"")="","",IFERROR(TRIM(INDEX($A215:$AL215,MATCH(Lists!$F$11,$A$1:$AL$1,0))&amp;""),""))</f>
        <v/>
      </c>
      <c r="BF215" s="21">
        <f>IF(IFERROR(TRIM(INDEX($A215:$AL215,MATCH(Lists!$F$2,$A$1:$AL$1,0))&amp;""),"")="","",IFERROR(TRIM(INDEX($A215:$AL215,MATCH(Lists!$F$12,$A$1:$AL$1,0))&amp;""),""))</f>
        <v/>
      </c>
    </row>
    <row r="216">
      <c r="AM216" s="19" t="n"/>
      <c r="AN216" s="23" t="n"/>
      <c r="AO216" s="23" t="n"/>
      <c r="AP216" s="23" t="n"/>
      <c r="AQ216" s="23" t="n"/>
      <c r="AR216" s="19" t="n"/>
      <c r="AS216" s="21">
        <f>IF(IFERROR(TRIM(INDEX($A216:$AL216,MATCH(Lists!$F$2,$A$1:$AL$1,0))&amp;""),"")="","",IF(AND(IFERROR(TRIM(INDEX($A216:$AL216,MATCH(Lists!$F$3,$A$1:$AL$1,0))&amp;""),"")="Other",IFERROR(TRIM(INDEX($A216:$AL216,MATCH(Lists!$F$4,$A$1:$AL$1,0))&amp;""),"")&lt;&gt;""),IFERROR(TRIM(INDEX($A216:$AL216,MATCH(Lists!$F$4,$A$1:$AL$1,0))&amp;""),""),IF(IFERROR(TRIM(INDEX($A216:$AL216,MATCH(Lists!$F$3,$A$1:$AL$1,0))&amp;""),"")="","(no space)",IFERROR(TRIM(INDEX($A216:$AL216,MATCH(Lists!$F$3,$A$1:$AL$1,0))&amp;""),""))))</f>
        <v/>
      </c>
      <c r="AT216" s="22">
        <f>IF(IFERROR(TRIM(INDEX($A216:$AL216,MATCH(Lists!$F$2,$A$1:$AL$1,0))&amp;""),"")="",0,N(IFERROR(IF(TRIM(INDEX($A216:$AL216,MATCH(Lists!$F$5,$A$1:$AL$1,0))&amp;"")="","",IF(ISNUMBER(INDEX($A216:$AL216,MATCH(Lists!$F$5,$A$1:$AL$1,0))),INT(INDEX($A216:$AL216,MATCH(Lists!$F$5,$A$1:$AL$1,0))),DATE(VALUE(LEFT(INDEX($A216:$AL216,MATCH(Lists!$F$5,$A$1:$AL$1,0)),4)),VALUE(MID(INDEX($A216:$AL216,MATCH(Lists!$F$5,$A$1:$AL$1,0)),6,2)),VALUE(MID(INDEX($A216:$AL216,MATCH(Lists!$F$5,$A$1:$AL$1,0)),9,2))))),"")))</f>
        <v/>
      </c>
      <c r="AU216" s="21">
        <f>IF(IFERROR(TRIM(INDEX($A216:$AL216,MATCH(Lists!$F$2,$A$1:$AL$1,0))&amp;""),"")="",-1,IF(ISNUMBER(IFERROR(IF(TRIM(INDEX($A216:$AL216,MATCH(Lists!$F$6,$A$1:$AL$1,0))&amp;"")="","",IF(ISNUMBER(INDEX($A216:$AL216,MATCH(Lists!$F$6,$A$1:$AL$1,0))),ROUND(MOD(INDEX($A216:$AL216,MATCH(Lists!$F$6,$A$1:$AL$1,0)),1)*1440,0),VALUE(LEFT(INDEX($A216:$AL216,MATCH(Lists!$F$6,$A$1:$AL$1,0)),2))*60+VALUE(MID(INDEX($A216:$AL216,MATCH(Lists!$F$6,$A$1:$AL$1,0)),4,2)))),"")),IFERROR(IF(TRIM(INDEX($A216:$AL216,MATCH(Lists!$F$6,$A$1:$AL$1,0))&amp;"")="","",IF(ISNUMBER(INDEX($A216:$AL216,MATCH(Lists!$F$6,$A$1:$AL$1,0))),ROUND(MOD(INDEX($A216:$AL216,MATCH(Lists!$F$6,$A$1:$AL$1,0)),1)*1440,0),VALUE(LEFT(INDEX($A216:$AL216,MATCH(Lists!$F$6,$A$1:$AL$1,0)),2))*60+VALUE(MID(INDEX($A216:$AL216,MATCH(Lists!$F$6,$A$1:$AL$1,0)),4,2)))),""),-1))</f>
        <v/>
      </c>
      <c r="AV216" s="21">
        <f>IF(IFERROR(TRIM(INDEX($A216:$AL216,MATCH(Lists!$F$2,$A$1:$AL$1,0))&amp;""),"")="",-1,IF(ISNUMBER(IFERROR(IF(TRIM(INDEX($A216:$AL216,MATCH(Lists!$F$7,$A$1:$AL$1,0))&amp;"")="","",IF(ISNUMBER(INDEX($A216:$AL216,MATCH(Lists!$F$7,$A$1:$AL$1,0))),ROUND(MOD(INDEX($A216:$AL216,MATCH(Lists!$F$7,$A$1:$AL$1,0)),1)*1440,0),VALUE(LEFT(INDEX($A216:$AL216,MATCH(Lists!$F$7,$A$1:$AL$1,0)),2))*60+VALUE(MID(INDEX($A216:$AL216,MATCH(Lists!$F$7,$A$1:$AL$1,0)),4,2)))),"")),IFERROR(IF(TRIM(INDEX($A216:$AL216,MATCH(Lists!$F$7,$A$1:$AL$1,0))&amp;"")="","",IF(ISNUMBER(INDEX($A216:$AL216,MATCH(Lists!$F$7,$A$1:$AL$1,0))),ROUND(MOD(INDEX($A216:$AL216,MATCH(Lists!$F$7,$A$1:$AL$1,0)),1)*1440,0),VALUE(LEFT(INDEX($A216:$AL216,MATCH(Lists!$F$7,$A$1:$AL$1,0)),2))*60+VALUE(MID(INDEX($A216:$AL216,MATCH(Lists!$F$7,$A$1:$AL$1,0)),4,2)))),""),-1))</f>
        <v/>
      </c>
      <c r="AW216" s="21">
        <f>IF(IFERROR(TRIM(INDEX($A216:$AL216,MATCH(Lists!$F$2,$A$1:$AL$1,0))&amp;""),"")="","",IF(IFERROR(TRIM(INDEX($A216:$AL216,MATCH(Lists!$F$8,$A$1:$AL$1,0))&amp;""),"")&lt;&gt;"",IFERROR(TRIM(INDEX($A216:$AL216,MATCH(Lists!$F$8,$A$1:$AL$1,0))&amp;""),""),IFERROR(TRIM(INDEX($A216:$AL216,MATCH(Lists!$F$9,$A$1:$AL$1,0))&amp;""),"")))</f>
        <v/>
      </c>
      <c r="AX216" s="21">
        <f>IFERROR(IF(TRIM(INDEX($A216:$AL216,MATCH(Lists!$F$10,$A$1:$AL$1,0))&amp;"")="","",VALUE(TRIM(INDEX($A216:$AL216,MATCH(Lists!$F$10,$A$1:$AL$1,0))&amp;""))),"")</f>
        <v/>
      </c>
      <c r="AY216" s="21">
        <f>IF(IFERROR(TRIM(INDEX($A216:$AL216,MATCH(Lists!$F$2,$A$1:$AL$1,0))&amp;""),"")="","",IF(AN216="","New",AN216))</f>
        <v/>
      </c>
      <c r="AZ216" s="21">
        <f>IF(IFERROR(TRIM(INDEX($A216:$AL216,MATCH(Lists!$F$2,$A$1:$AL$1,0))&amp;""),"")="","",IF(OR(IFERROR(TRIM(INDEX($A216:$AL216,MATCH(Lists!$F$13,$A$1:$AL$1,0))&amp;""),"")="Paid",IFERROR(TRIM(INDEX($A216:$AL216,MATCH(Lists!$F$13,$A$1:$AL$1,0))&amp;""),"")="Partially refunded"),"Paid",IF(AP216="Yes","Paid (by hand)",IFERROR(TRIM(INDEX($A216:$AL216,MATCH(Lists!$F$13,$A$1:$AL$1,0))&amp;""),""))))</f>
        <v/>
      </c>
      <c r="BA216" s="21">
        <f>IF(AND(IFERROR(TRIM(INDEX($A216:$AL216,MATCH(Lists!$F$2,$A$1:$AL$1,0))&amp;""),"")&lt;&gt;"",AT216&gt;0,AU216&gt;=0,AV216&gt;AU216,AY216&lt;&gt;"Declined"),1,0)</f>
        <v/>
      </c>
      <c r="BB216" s="21">
        <f>IF(BA216=1,COUNTIFS($AS$2:$AS$501,AS216,$AT$2:$AT$501,AT216,$AU$2:$AU$501,"&lt;"&amp;AV216,$AV$2:$AV$501,"&gt;"&amp;AU216,$BA$2:$BA$501,1)-1,"")</f>
        <v/>
      </c>
      <c r="BC216" s="21">
        <f>IF(N(BB216)&gt;0,"Clashes with "&amp;INDEX($AW$2:$AW$501,SUMPRODUCT(MAX(($AS$2:$AS$501=AS216)*($AT$2:$AT$501=AT216)*($AU$2:$AU$501&lt;AV216)*($AV$2:$AV$501&gt;AU216)*($BA$2:$BA$501=1)*(ROW($AS$2:$AS$501)&lt;&gt;ROW())*ROW($AS$2:$AS$501)))-1)&amp;" ("&amp;INDEX($AY$2:$AY$501,SUMPRODUCT(MAX(($AS$2:$AS$501=AS216)*($AT$2:$AT$501=AT216)*($AU$2:$AU$501&lt;AV216)*($AV$2:$AV$501&gt;AU216)*($BA$2:$BA$501=1)*(ROW($AS$2:$AS$501)&lt;&gt;ROW())*ROW($AS$2:$AS$501)))-1)&amp;")"&amp;IF(BB216&gt;1," and "&amp;(BB216-1)&amp;" more",""),"")</f>
        <v/>
      </c>
      <c r="BD216" s="21">
        <f>IF(AND(BA216=1,AY216="Confirmed"),AT216*10000000+AU216*1000+ROW(),"")</f>
        <v/>
      </c>
      <c r="BE216" s="21">
        <f>IF(IFERROR(TRIM(INDEX($A216:$AL216,MATCH(Lists!$F$2,$A$1:$AL$1,0))&amp;""),"")="","",IFERROR(TRIM(INDEX($A216:$AL216,MATCH(Lists!$F$11,$A$1:$AL$1,0))&amp;""),""))</f>
        <v/>
      </c>
      <c r="BF216" s="21">
        <f>IF(IFERROR(TRIM(INDEX($A216:$AL216,MATCH(Lists!$F$2,$A$1:$AL$1,0))&amp;""),"")="","",IFERROR(TRIM(INDEX($A216:$AL216,MATCH(Lists!$F$12,$A$1:$AL$1,0))&amp;""),""))</f>
        <v/>
      </c>
    </row>
    <row r="217">
      <c r="AM217" s="19" t="n"/>
      <c r="AN217" s="23" t="n"/>
      <c r="AO217" s="23" t="n"/>
      <c r="AP217" s="23" t="n"/>
      <c r="AQ217" s="23" t="n"/>
      <c r="AR217" s="19" t="n"/>
      <c r="AS217" s="21">
        <f>IF(IFERROR(TRIM(INDEX($A217:$AL217,MATCH(Lists!$F$2,$A$1:$AL$1,0))&amp;""),"")="","",IF(AND(IFERROR(TRIM(INDEX($A217:$AL217,MATCH(Lists!$F$3,$A$1:$AL$1,0))&amp;""),"")="Other",IFERROR(TRIM(INDEX($A217:$AL217,MATCH(Lists!$F$4,$A$1:$AL$1,0))&amp;""),"")&lt;&gt;""),IFERROR(TRIM(INDEX($A217:$AL217,MATCH(Lists!$F$4,$A$1:$AL$1,0))&amp;""),""),IF(IFERROR(TRIM(INDEX($A217:$AL217,MATCH(Lists!$F$3,$A$1:$AL$1,0))&amp;""),"")="","(no space)",IFERROR(TRIM(INDEX($A217:$AL217,MATCH(Lists!$F$3,$A$1:$AL$1,0))&amp;""),""))))</f>
        <v/>
      </c>
      <c r="AT217" s="22">
        <f>IF(IFERROR(TRIM(INDEX($A217:$AL217,MATCH(Lists!$F$2,$A$1:$AL$1,0))&amp;""),"")="",0,N(IFERROR(IF(TRIM(INDEX($A217:$AL217,MATCH(Lists!$F$5,$A$1:$AL$1,0))&amp;"")="","",IF(ISNUMBER(INDEX($A217:$AL217,MATCH(Lists!$F$5,$A$1:$AL$1,0))),INT(INDEX($A217:$AL217,MATCH(Lists!$F$5,$A$1:$AL$1,0))),DATE(VALUE(LEFT(INDEX($A217:$AL217,MATCH(Lists!$F$5,$A$1:$AL$1,0)),4)),VALUE(MID(INDEX($A217:$AL217,MATCH(Lists!$F$5,$A$1:$AL$1,0)),6,2)),VALUE(MID(INDEX($A217:$AL217,MATCH(Lists!$F$5,$A$1:$AL$1,0)),9,2))))),"")))</f>
        <v/>
      </c>
      <c r="AU217" s="21">
        <f>IF(IFERROR(TRIM(INDEX($A217:$AL217,MATCH(Lists!$F$2,$A$1:$AL$1,0))&amp;""),"")="",-1,IF(ISNUMBER(IFERROR(IF(TRIM(INDEX($A217:$AL217,MATCH(Lists!$F$6,$A$1:$AL$1,0))&amp;"")="","",IF(ISNUMBER(INDEX($A217:$AL217,MATCH(Lists!$F$6,$A$1:$AL$1,0))),ROUND(MOD(INDEX($A217:$AL217,MATCH(Lists!$F$6,$A$1:$AL$1,0)),1)*1440,0),VALUE(LEFT(INDEX($A217:$AL217,MATCH(Lists!$F$6,$A$1:$AL$1,0)),2))*60+VALUE(MID(INDEX($A217:$AL217,MATCH(Lists!$F$6,$A$1:$AL$1,0)),4,2)))),"")),IFERROR(IF(TRIM(INDEX($A217:$AL217,MATCH(Lists!$F$6,$A$1:$AL$1,0))&amp;"")="","",IF(ISNUMBER(INDEX($A217:$AL217,MATCH(Lists!$F$6,$A$1:$AL$1,0))),ROUND(MOD(INDEX($A217:$AL217,MATCH(Lists!$F$6,$A$1:$AL$1,0)),1)*1440,0),VALUE(LEFT(INDEX($A217:$AL217,MATCH(Lists!$F$6,$A$1:$AL$1,0)),2))*60+VALUE(MID(INDEX($A217:$AL217,MATCH(Lists!$F$6,$A$1:$AL$1,0)),4,2)))),""),-1))</f>
        <v/>
      </c>
      <c r="AV217" s="21">
        <f>IF(IFERROR(TRIM(INDEX($A217:$AL217,MATCH(Lists!$F$2,$A$1:$AL$1,0))&amp;""),"")="",-1,IF(ISNUMBER(IFERROR(IF(TRIM(INDEX($A217:$AL217,MATCH(Lists!$F$7,$A$1:$AL$1,0))&amp;"")="","",IF(ISNUMBER(INDEX($A217:$AL217,MATCH(Lists!$F$7,$A$1:$AL$1,0))),ROUND(MOD(INDEX($A217:$AL217,MATCH(Lists!$F$7,$A$1:$AL$1,0)),1)*1440,0),VALUE(LEFT(INDEX($A217:$AL217,MATCH(Lists!$F$7,$A$1:$AL$1,0)),2))*60+VALUE(MID(INDEX($A217:$AL217,MATCH(Lists!$F$7,$A$1:$AL$1,0)),4,2)))),"")),IFERROR(IF(TRIM(INDEX($A217:$AL217,MATCH(Lists!$F$7,$A$1:$AL$1,0))&amp;"")="","",IF(ISNUMBER(INDEX($A217:$AL217,MATCH(Lists!$F$7,$A$1:$AL$1,0))),ROUND(MOD(INDEX($A217:$AL217,MATCH(Lists!$F$7,$A$1:$AL$1,0)),1)*1440,0),VALUE(LEFT(INDEX($A217:$AL217,MATCH(Lists!$F$7,$A$1:$AL$1,0)),2))*60+VALUE(MID(INDEX($A217:$AL217,MATCH(Lists!$F$7,$A$1:$AL$1,0)),4,2)))),""),-1))</f>
        <v/>
      </c>
      <c r="AW217" s="21">
        <f>IF(IFERROR(TRIM(INDEX($A217:$AL217,MATCH(Lists!$F$2,$A$1:$AL$1,0))&amp;""),"")="","",IF(IFERROR(TRIM(INDEX($A217:$AL217,MATCH(Lists!$F$8,$A$1:$AL$1,0))&amp;""),"")&lt;&gt;"",IFERROR(TRIM(INDEX($A217:$AL217,MATCH(Lists!$F$8,$A$1:$AL$1,0))&amp;""),""),IFERROR(TRIM(INDEX($A217:$AL217,MATCH(Lists!$F$9,$A$1:$AL$1,0))&amp;""),"")))</f>
        <v/>
      </c>
      <c r="AX217" s="21">
        <f>IFERROR(IF(TRIM(INDEX($A217:$AL217,MATCH(Lists!$F$10,$A$1:$AL$1,0))&amp;"")="","",VALUE(TRIM(INDEX($A217:$AL217,MATCH(Lists!$F$10,$A$1:$AL$1,0))&amp;""))),"")</f>
        <v/>
      </c>
      <c r="AY217" s="21">
        <f>IF(IFERROR(TRIM(INDEX($A217:$AL217,MATCH(Lists!$F$2,$A$1:$AL$1,0))&amp;""),"")="","",IF(AN217="","New",AN217))</f>
        <v/>
      </c>
      <c r="AZ217" s="21">
        <f>IF(IFERROR(TRIM(INDEX($A217:$AL217,MATCH(Lists!$F$2,$A$1:$AL$1,0))&amp;""),"")="","",IF(OR(IFERROR(TRIM(INDEX($A217:$AL217,MATCH(Lists!$F$13,$A$1:$AL$1,0))&amp;""),"")="Paid",IFERROR(TRIM(INDEX($A217:$AL217,MATCH(Lists!$F$13,$A$1:$AL$1,0))&amp;""),"")="Partially refunded"),"Paid",IF(AP217="Yes","Paid (by hand)",IFERROR(TRIM(INDEX($A217:$AL217,MATCH(Lists!$F$13,$A$1:$AL$1,0))&amp;""),""))))</f>
        <v/>
      </c>
      <c r="BA217" s="21">
        <f>IF(AND(IFERROR(TRIM(INDEX($A217:$AL217,MATCH(Lists!$F$2,$A$1:$AL$1,0))&amp;""),"")&lt;&gt;"",AT217&gt;0,AU217&gt;=0,AV217&gt;AU217,AY217&lt;&gt;"Declined"),1,0)</f>
        <v/>
      </c>
      <c r="BB217" s="21">
        <f>IF(BA217=1,COUNTIFS($AS$2:$AS$501,AS217,$AT$2:$AT$501,AT217,$AU$2:$AU$501,"&lt;"&amp;AV217,$AV$2:$AV$501,"&gt;"&amp;AU217,$BA$2:$BA$501,1)-1,"")</f>
        <v/>
      </c>
      <c r="BC217" s="21">
        <f>IF(N(BB217)&gt;0,"Clashes with "&amp;INDEX($AW$2:$AW$501,SUMPRODUCT(MAX(($AS$2:$AS$501=AS217)*($AT$2:$AT$501=AT217)*($AU$2:$AU$501&lt;AV217)*($AV$2:$AV$501&gt;AU217)*($BA$2:$BA$501=1)*(ROW($AS$2:$AS$501)&lt;&gt;ROW())*ROW($AS$2:$AS$501)))-1)&amp;" ("&amp;INDEX($AY$2:$AY$501,SUMPRODUCT(MAX(($AS$2:$AS$501=AS217)*($AT$2:$AT$501=AT217)*($AU$2:$AU$501&lt;AV217)*($AV$2:$AV$501&gt;AU217)*($BA$2:$BA$501=1)*(ROW($AS$2:$AS$501)&lt;&gt;ROW())*ROW($AS$2:$AS$501)))-1)&amp;")"&amp;IF(BB217&gt;1," and "&amp;(BB217-1)&amp;" more",""),"")</f>
        <v/>
      </c>
      <c r="BD217" s="21">
        <f>IF(AND(BA217=1,AY217="Confirmed"),AT217*10000000+AU217*1000+ROW(),"")</f>
        <v/>
      </c>
      <c r="BE217" s="21">
        <f>IF(IFERROR(TRIM(INDEX($A217:$AL217,MATCH(Lists!$F$2,$A$1:$AL$1,0))&amp;""),"")="","",IFERROR(TRIM(INDEX($A217:$AL217,MATCH(Lists!$F$11,$A$1:$AL$1,0))&amp;""),""))</f>
        <v/>
      </c>
      <c r="BF217" s="21">
        <f>IF(IFERROR(TRIM(INDEX($A217:$AL217,MATCH(Lists!$F$2,$A$1:$AL$1,0))&amp;""),"")="","",IFERROR(TRIM(INDEX($A217:$AL217,MATCH(Lists!$F$12,$A$1:$AL$1,0))&amp;""),""))</f>
        <v/>
      </c>
    </row>
    <row r="218">
      <c r="AM218" s="19" t="n"/>
      <c r="AN218" s="23" t="n"/>
      <c r="AO218" s="23" t="n"/>
      <c r="AP218" s="23" t="n"/>
      <c r="AQ218" s="23" t="n"/>
      <c r="AR218" s="19" t="n"/>
      <c r="AS218" s="21">
        <f>IF(IFERROR(TRIM(INDEX($A218:$AL218,MATCH(Lists!$F$2,$A$1:$AL$1,0))&amp;""),"")="","",IF(AND(IFERROR(TRIM(INDEX($A218:$AL218,MATCH(Lists!$F$3,$A$1:$AL$1,0))&amp;""),"")="Other",IFERROR(TRIM(INDEX($A218:$AL218,MATCH(Lists!$F$4,$A$1:$AL$1,0))&amp;""),"")&lt;&gt;""),IFERROR(TRIM(INDEX($A218:$AL218,MATCH(Lists!$F$4,$A$1:$AL$1,0))&amp;""),""),IF(IFERROR(TRIM(INDEX($A218:$AL218,MATCH(Lists!$F$3,$A$1:$AL$1,0))&amp;""),"")="","(no space)",IFERROR(TRIM(INDEX($A218:$AL218,MATCH(Lists!$F$3,$A$1:$AL$1,0))&amp;""),""))))</f>
        <v/>
      </c>
      <c r="AT218" s="22">
        <f>IF(IFERROR(TRIM(INDEX($A218:$AL218,MATCH(Lists!$F$2,$A$1:$AL$1,0))&amp;""),"")="",0,N(IFERROR(IF(TRIM(INDEX($A218:$AL218,MATCH(Lists!$F$5,$A$1:$AL$1,0))&amp;"")="","",IF(ISNUMBER(INDEX($A218:$AL218,MATCH(Lists!$F$5,$A$1:$AL$1,0))),INT(INDEX($A218:$AL218,MATCH(Lists!$F$5,$A$1:$AL$1,0))),DATE(VALUE(LEFT(INDEX($A218:$AL218,MATCH(Lists!$F$5,$A$1:$AL$1,0)),4)),VALUE(MID(INDEX($A218:$AL218,MATCH(Lists!$F$5,$A$1:$AL$1,0)),6,2)),VALUE(MID(INDEX($A218:$AL218,MATCH(Lists!$F$5,$A$1:$AL$1,0)),9,2))))),"")))</f>
        <v/>
      </c>
      <c r="AU218" s="21">
        <f>IF(IFERROR(TRIM(INDEX($A218:$AL218,MATCH(Lists!$F$2,$A$1:$AL$1,0))&amp;""),"")="",-1,IF(ISNUMBER(IFERROR(IF(TRIM(INDEX($A218:$AL218,MATCH(Lists!$F$6,$A$1:$AL$1,0))&amp;"")="","",IF(ISNUMBER(INDEX($A218:$AL218,MATCH(Lists!$F$6,$A$1:$AL$1,0))),ROUND(MOD(INDEX($A218:$AL218,MATCH(Lists!$F$6,$A$1:$AL$1,0)),1)*1440,0),VALUE(LEFT(INDEX($A218:$AL218,MATCH(Lists!$F$6,$A$1:$AL$1,0)),2))*60+VALUE(MID(INDEX($A218:$AL218,MATCH(Lists!$F$6,$A$1:$AL$1,0)),4,2)))),"")),IFERROR(IF(TRIM(INDEX($A218:$AL218,MATCH(Lists!$F$6,$A$1:$AL$1,0))&amp;"")="","",IF(ISNUMBER(INDEX($A218:$AL218,MATCH(Lists!$F$6,$A$1:$AL$1,0))),ROUND(MOD(INDEX($A218:$AL218,MATCH(Lists!$F$6,$A$1:$AL$1,0)),1)*1440,0),VALUE(LEFT(INDEX($A218:$AL218,MATCH(Lists!$F$6,$A$1:$AL$1,0)),2))*60+VALUE(MID(INDEX($A218:$AL218,MATCH(Lists!$F$6,$A$1:$AL$1,0)),4,2)))),""),-1))</f>
        <v/>
      </c>
      <c r="AV218" s="21">
        <f>IF(IFERROR(TRIM(INDEX($A218:$AL218,MATCH(Lists!$F$2,$A$1:$AL$1,0))&amp;""),"")="",-1,IF(ISNUMBER(IFERROR(IF(TRIM(INDEX($A218:$AL218,MATCH(Lists!$F$7,$A$1:$AL$1,0))&amp;"")="","",IF(ISNUMBER(INDEX($A218:$AL218,MATCH(Lists!$F$7,$A$1:$AL$1,0))),ROUND(MOD(INDEX($A218:$AL218,MATCH(Lists!$F$7,$A$1:$AL$1,0)),1)*1440,0),VALUE(LEFT(INDEX($A218:$AL218,MATCH(Lists!$F$7,$A$1:$AL$1,0)),2))*60+VALUE(MID(INDEX($A218:$AL218,MATCH(Lists!$F$7,$A$1:$AL$1,0)),4,2)))),"")),IFERROR(IF(TRIM(INDEX($A218:$AL218,MATCH(Lists!$F$7,$A$1:$AL$1,0))&amp;"")="","",IF(ISNUMBER(INDEX($A218:$AL218,MATCH(Lists!$F$7,$A$1:$AL$1,0))),ROUND(MOD(INDEX($A218:$AL218,MATCH(Lists!$F$7,$A$1:$AL$1,0)),1)*1440,0),VALUE(LEFT(INDEX($A218:$AL218,MATCH(Lists!$F$7,$A$1:$AL$1,0)),2))*60+VALUE(MID(INDEX($A218:$AL218,MATCH(Lists!$F$7,$A$1:$AL$1,0)),4,2)))),""),-1))</f>
        <v/>
      </c>
      <c r="AW218" s="21">
        <f>IF(IFERROR(TRIM(INDEX($A218:$AL218,MATCH(Lists!$F$2,$A$1:$AL$1,0))&amp;""),"")="","",IF(IFERROR(TRIM(INDEX($A218:$AL218,MATCH(Lists!$F$8,$A$1:$AL$1,0))&amp;""),"")&lt;&gt;"",IFERROR(TRIM(INDEX($A218:$AL218,MATCH(Lists!$F$8,$A$1:$AL$1,0))&amp;""),""),IFERROR(TRIM(INDEX($A218:$AL218,MATCH(Lists!$F$9,$A$1:$AL$1,0))&amp;""),"")))</f>
        <v/>
      </c>
      <c r="AX218" s="21">
        <f>IFERROR(IF(TRIM(INDEX($A218:$AL218,MATCH(Lists!$F$10,$A$1:$AL$1,0))&amp;"")="","",VALUE(TRIM(INDEX($A218:$AL218,MATCH(Lists!$F$10,$A$1:$AL$1,0))&amp;""))),"")</f>
        <v/>
      </c>
      <c r="AY218" s="21">
        <f>IF(IFERROR(TRIM(INDEX($A218:$AL218,MATCH(Lists!$F$2,$A$1:$AL$1,0))&amp;""),"")="","",IF(AN218="","New",AN218))</f>
        <v/>
      </c>
      <c r="AZ218" s="21">
        <f>IF(IFERROR(TRIM(INDEX($A218:$AL218,MATCH(Lists!$F$2,$A$1:$AL$1,0))&amp;""),"")="","",IF(OR(IFERROR(TRIM(INDEX($A218:$AL218,MATCH(Lists!$F$13,$A$1:$AL$1,0))&amp;""),"")="Paid",IFERROR(TRIM(INDEX($A218:$AL218,MATCH(Lists!$F$13,$A$1:$AL$1,0))&amp;""),"")="Partially refunded"),"Paid",IF(AP218="Yes","Paid (by hand)",IFERROR(TRIM(INDEX($A218:$AL218,MATCH(Lists!$F$13,$A$1:$AL$1,0))&amp;""),""))))</f>
        <v/>
      </c>
      <c r="BA218" s="21">
        <f>IF(AND(IFERROR(TRIM(INDEX($A218:$AL218,MATCH(Lists!$F$2,$A$1:$AL$1,0))&amp;""),"")&lt;&gt;"",AT218&gt;0,AU218&gt;=0,AV218&gt;AU218,AY218&lt;&gt;"Declined"),1,0)</f>
        <v/>
      </c>
      <c r="BB218" s="21">
        <f>IF(BA218=1,COUNTIFS($AS$2:$AS$501,AS218,$AT$2:$AT$501,AT218,$AU$2:$AU$501,"&lt;"&amp;AV218,$AV$2:$AV$501,"&gt;"&amp;AU218,$BA$2:$BA$501,1)-1,"")</f>
        <v/>
      </c>
      <c r="BC218" s="21">
        <f>IF(N(BB218)&gt;0,"Clashes with "&amp;INDEX($AW$2:$AW$501,SUMPRODUCT(MAX(($AS$2:$AS$501=AS218)*($AT$2:$AT$501=AT218)*($AU$2:$AU$501&lt;AV218)*($AV$2:$AV$501&gt;AU218)*($BA$2:$BA$501=1)*(ROW($AS$2:$AS$501)&lt;&gt;ROW())*ROW($AS$2:$AS$501)))-1)&amp;" ("&amp;INDEX($AY$2:$AY$501,SUMPRODUCT(MAX(($AS$2:$AS$501=AS218)*($AT$2:$AT$501=AT218)*($AU$2:$AU$501&lt;AV218)*($AV$2:$AV$501&gt;AU218)*($BA$2:$BA$501=1)*(ROW($AS$2:$AS$501)&lt;&gt;ROW())*ROW($AS$2:$AS$501)))-1)&amp;")"&amp;IF(BB218&gt;1," and "&amp;(BB218-1)&amp;" more",""),"")</f>
        <v/>
      </c>
      <c r="BD218" s="21">
        <f>IF(AND(BA218=1,AY218="Confirmed"),AT218*10000000+AU218*1000+ROW(),"")</f>
        <v/>
      </c>
      <c r="BE218" s="21">
        <f>IF(IFERROR(TRIM(INDEX($A218:$AL218,MATCH(Lists!$F$2,$A$1:$AL$1,0))&amp;""),"")="","",IFERROR(TRIM(INDEX($A218:$AL218,MATCH(Lists!$F$11,$A$1:$AL$1,0))&amp;""),""))</f>
        <v/>
      </c>
      <c r="BF218" s="21">
        <f>IF(IFERROR(TRIM(INDEX($A218:$AL218,MATCH(Lists!$F$2,$A$1:$AL$1,0))&amp;""),"")="","",IFERROR(TRIM(INDEX($A218:$AL218,MATCH(Lists!$F$12,$A$1:$AL$1,0))&amp;""),""))</f>
        <v/>
      </c>
    </row>
    <row r="219">
      <c r="AM219" s="19" t="n"/>
      <c r="AN219" s="23" t="n"/>
      <c r="AO219" s="23" t="n"/>
      <c r="AP219" s="23" t="n"/>
      <c r="AQ219" s="23" t="n"/>
      <c r="AR219" s="19" t="n"/>
      <c r="AS219" s="21">
        <f>IF(IFERROR(TRIM(INDEX($A219:$AL219,MATCH(Lists!$F$2,$A$1:$AL$1,0))&amp;""),"")="","",IF(AND(IFERROR(TRIM(INDEX($A219:$AL219,MATCH(Lists!$F$3,$A$1:$AL$1,0))&amp;""),"")="Other",IFERROR(TRIM(INDEX($A219:$AL219,MATCH(Lists!$F$4,$A$1:$AL$1,0))&amp;""),"")&lt;&gt;""),IFERROR(TRIM(INDEX($A219:$AL219,MATCH(Lists!$F$4,$A$1:$AL$1,0))&amp;""),""),IF(IFERROR(TRIM(INDEX($A219:$AL219,MATCH(Lists!$F$3,$A$1:$AL$1,0))&amp;""),"")="","(no space)",IFERROR(TRIM(INDEX($A219:$AL219,MATCH(Lists!$F$3,$A$1:$AL$1,0))&amp;""),""))))</f>
        <v/>
      </c>
      <c r="AT219" s="22">
        <f>IF(IFERROR(TRIM(INDEX($A219:$AL219,MATCH(Lists!$F$2,$A$1:$AL$1,0))&amp;""),"")="",0,N(IFERROR(IF(TRIM(INDEX($A219:$AL219,MATCH(Lists!$F$5,$A$1:$AL$1,0))&amp;"")="","",IF(ISNUMBER(INDEX($A219:$AL219,MATCH(Lists!$F$5,$A$1:$AL$1,0))),INT(INDEX($A219:$AL219,MATCH(Lists!$F$5,$A$1:$AL$1,0))),DATE(VALUE(LEFT(INDEX($A219:$AL219,MATCH(Lists!$F$5,$A$1:$AL$1,0)),4)),VALUE(MID(INDEX($A219:$AL219,MATCH(Lists!$F$5,$A$1:$AL$1,0)),6,2)),VALUE(MID(INDEX($A219:$AL219,MATCH(Lists!$F$5,$A$1:$AL$1,0)),9,2))))),"")))</f>
        <v/>
      </c>
      <c r="AU219" s="21">
        <f>IF(IFERROR(TRIM(INDEX($A219:$AL219,MATCH(Lists!$F$2,$A$1:$AL$1,0))&amp;""),"")="",-1,IF(ISNUMBER(IFERROR(IF(TRIM(INDEX($A219:$AL219,MATCH(Lists!$F$6,$A$1:$AL$1,0))&amp;"")="","",IF(ISNUMBER(INDEX($A219:$AL219,MATCH(Lists!$F$6,$A$1:$AL$1,0))),ROUND(MOD(INDEX($A219:$AL219,MATCH(Lists!$F$6,$A$1:$AL$1,0)),1)*1440,0),VALUE(LEFT(INDEX($A219:$AL219,MATCH(Lists!$F$6,$A$1:$AL$1,0)),2))*60+VALUE(MID(INDEX($A219:$AL219,MATCH(Lists!$F$6,$A$1:$AL$1,0)),4,2)))),"")),IFERROR(IF(TRIM(INDEX($A219:$AL219,MATCH(Lists!$F$6,$A$1:$AL$1,0))&amp;"")="","",IF(ISNUMBER(INDEX($A219:$AL219,MATCH(Lists!$F$6,$A$1:$AL$1,0))),ROUND(MOD(INDEX($A219:$AL219,MATCH(Lists!$F$6,$A$1:$AL$1,0)),1)*1440,0),VALUE(LEFT(INDEX($A219:$AL219,MATCH(Lists!$F$6,$A$1:$AL$1,0)),2))*60+VALUE(MID(INDEX($A219:$AL219,MATCH(Lists!$F$6,$A$1:$AL$1,0)),4,2)))),""),-1))</f>
        <v/>
      </c>
      <c r="AV219" s="21">
        <f>IF(IFERROR(TRIM(INDEX($A219:$AL219,MATCH(Lists!$F$2,$A$1:$AL$1,0))&amp;""),"")="",-1,IF(ISNUMBER(IFERROR(IF(TRIM(INDEX($A219:$AL219,MATCH(Lists!$F$7,$A$1:$AL$1,0))&amp;"")="","",IF(ISNUMBER(INDEX($A219:$AL219,MATCH(Lists!$F$7,$A$1:$AL$1,0))),ROUND(MOD(INDEX($A219:$AL219,MATCH(Lists!$F$7,$A$1:$AL$1,0)),1)*1440,0),VALUE(LEFT(INDEX($A219:$AL219,MATCH(Lists!$F$7,$A$1:$AL$1,0)),2))*60+VALUE(MID(INDEX($A219:$AL219,MATCH(Lists!$F$7,$A$1:$AL$1,0)),4,2)))),"")),IFERROR(IF(TRIM(INDEX($A219:$AL219,MATCH(Lists!$F$7,$A$1:$AL$1,0))&amp;"")="","",IF(ISNUMBER(INDEX($A219:$AL219,MATCH(Lists!$F$7,$A$1:$AL$1,0))),ROUND(MOD(INDEX($A219:$AL219,MATCH(Lists!$F$7,$A$1:$AL$1,0)),1)*1440,0),VALUE(LEFT(INDEX($A219:$AL219,MATCH(Lists!$F$7,$A$1:$AL$1,0)),2))*60+VALUE(MID(INDEX($A219:$AL219,MATCH(Lists!$F$7,$A$1:$AL$1,0)),4,2)))),""),-1))</f>
        <v/>
      </c>
      <c r="AW219" s="21">
        <f>IF(IFERROR(TRIM(INDEX($A219:$AL219,MATCH(Lists!$F$2,$A$1:$AL$1,0))&amp;""),"")="","",IF(IFERROR(TRIM(INDEX($A219:$AL219,MATCH(Lists!$F$8,$A$1:$AL$1,0))&amp;""),"")&lt;&gt;"",IFERROR(TRIM(INDEX($A219:$AL219,MATCH(Lists!$F$8,$A$1:$AL$1,0))&amp;""),""),IFERROR(TRIM(INDEX($A219:$AL219,MATCH(Lists!$F$9,$A$1:$AL$1,0))&amp;""),"")))</f>
        <v/>
      </c>
      <c r="AX219" s="21">
        <f>IFERROR(IF(TRIM(INDEX($A219:$AL219,MATCH(Lists!$F$10,$A$1:$AL$1,0))&amp;"")="","",VALUE(TRIM(INDEX($A219:$AL219,MATCH(Lists!$F$10,$A$1:$AL$1,0))&amp;""))),"")</f>
        <v/>
      </c>
      <c r="AY219" s="21">
        <f>IF(IFERROR(TRIM(INDEX($A219:$AL219,MATCH(Lists!$F$2,$A$1:$AL$1,0))&amp;""),"")="","",IF(AN219="","New",AN219))</f>
        <v/>
      </c>
      <c r="AZ219" s="21">
        <f>IF(IFERROR(TRIM(INDEX($A219:$AL219,MATCH(Lists!$F$2,$A$1:$AL$1,0))&amp;""),"")="","",IF(OR(IFERROR(TRIM(INDEX($A219:$AL219,MATCH(Lists!$F$13,$A$1:$AL$1,0))&amp;""),"")="Paid",IFERROR(TRIM(INDEX($A219:$AL219,MATCH(Lists!$F$13,$A$1:$AL$1,0))&amp;""),"")="Partially refunded"),"Paid",IF(AP219="Yes","Paid (by hand)",IFERROR(TRIM(INDEX($A219:$AL219,MATCH(Lists!$F$13,$A$1:$AL$1,0))&amp;""),""))))</f>
        <v/>
      </c>
      <c r="BA219" s="21">
        <f>IF(AND(IFERROR(TRIM(INDEX($A219:$AL219,MATCH(Lists!$F$2,$A$1:$AL$1,0))&amp;""),"")&lt;&gt;"",AT219&gt;0,AU219&gt;=0,AV219&gt;AU219,AY219&lt;&gt;"Declined"),1,0)</f>
        <v/>
      </c>
      <c r="BB219" s="21">
        <f>IF(BA219=1,COUNTIFS($AS$2:$AS$501,AS219,$AT$2:$AT$501,AT219,$AU$2:$AU$501,"&lt;"&amp;AV219,$AV$2:$AV$501,"&gt;"&amp;AU219,$BA$2:$BA$501,1)-1,"")</f>
        <v/>
      </c>
      <c r="BC219" s="21">
        <f>IF(N(BB219)&gt;0,"Clashes with "&amp;INDEX($AW$2:$AW$501,SUMPRODUCT(MAX(($AS$2:$AS$501=AS219)*($AT$2:$AT$501=AT219)*($AU$2:$AU$501&lt;AV219)*($AV$2:$AV$501&gt;AU219)*($BA$2:$BA$501=1)*(ROW($AS$2:$AS$501)&lt;&gt;ROW())*ROW($AS$2:$AS$501)))-1)&amp;" ("&amp;INDEX($AY$2:$AY$501,SUMPRODUCT(MAX(($AS$2:$AS$501=AS219)*($AT$2:$AT$501=AT219)*($AU$2:$AU$501&lt;AV219)*($AV$2:$AV$501&gt;AU219)*($BA$2:$BA$501=1)*(ROW($AS$2:$AS$501)&lt;&gt;ROW())*ROW($AS$2:$AS$501)))-1)&amp;")"&amp;IF(BB219&gt;1," and "&amp;(BB219-1)&amp;" more",""),"")</f>
        <v/>
      </c>
      <c r="BD219" s="21">
        <f>IF(AND(BA219=1,AY219="Confirmed"),AT219*10000000+AU219*1000+ROW(),"")</f>
        <v/>
      </c>
      <c r="BE219" s="21">
        <f>IF(IFERROR(TRIM(INDEX($A219:$AL219,MATCH(Lists!$F$2,$A$1:$AL$1,0))&amp;""),"")="","",IFERROR(TRIM(INDEX($A219:$AL219,MATCH(Lists!$F$11,$A$1:$AL$1,0))&amp;""),""))</f>
        <v/>
      </c>
      <c r="BF219" s="21">
        <f>IF(IFERROR(TRIM(INDEX($A219:$AL219,MATCH(Lists!$F$2,$A$1:$AL$1,0))&amp;""),"")="","",IFERROR(TRIM(INDEX($A219:$AL219,MATCH(Lists!$F$12,$A$1:$AL$1,0))&amp;""),""))</f>
        <v/>
      </c>
    </row>
    <row r="220">
      <c r="AM220" s="19" t="n"/>
      <c r="AN220" s="23" t="n"/>
      <c r="AO220" s="23" t="n"/>
      <c r="AP220" s="23" t="n"/>
      <c r="AQ220" s="23" t="n"/>
      <c r="AR220" s="19" t="n"/>
      <c r="AS220" s="21">
        <f>IF(IFERROR(TRIM(INDEX($A220:$AL220,MATCH(Lists!$F$2,$A$1:$AL$1,0))&amp;""),"")="","",IF(AND(IFERROR(TRIM(INDEX($A220:$AL220,MATCH(Lists!$F$3,$A$1:$AL$1,0))&amp;""),"")="Other",IFERROR(TRIM(INDEX($A220:$AL220,MATCH(Lists!$F$4,$A$1:$AL$1,0))&amp;""),"")&lt;&gt;""),IFERROR(TRIM(INDEX($A220:$AL220,MATCH(Lists!$F$4,$A$1:$AL$1,0))&amp;""),""),IF(IFERROR(TRIM(INDEX($A220:$AL220,MATCH(Lists!$F$3,$A$1:$AL$1,0))&amp;""),"")="","(no space)",IFERROR(TRIM(INDEX($A220:$AL220,MATCH(Lists!$F$3,$A$1:$AL$1,0))&amp;""),""))))</f>
        <v/>
      </c>
      <c r="AT220" s="22">
        <f>IF(IFERROR(TRIM(INDEX($A220:$AL220,MATCH(Lists!$F$2,$A$1:$AL$1,0))&amp;""),"")="",0,N(IFERROR(IF(TRIM(INDEX($A220:$AL220,MATCH(Lists!$F$5,$A$1:$AL$1,0))&amp;"")="","",IF(ISNUMBER(INDEX($A220:$AL220,MATCH(Lists!$F$5,$A$1:$AL$1,0))),INT(INDEX($A220:$AL220,MATCH(Lists!$F$5,$A$1:$AL$1,0))),DATE(VALUE(LEFT(INDEX($A220:$AL220,MATCH(Lists!$F$5,$A$1:$AL$1,0)),4)),VALUE(MID(INDEX($A220:$AL220,MATCH(Lists!$F$5,$A$1:$AL$1,0)),6,2)),VALUE(MID(INDEX($A220:$AL220,MATCH(Lists!$F$5,$A$1:$AL$1,0)),9,2))))),"")))</f>
        <v/>
      </c>
      <c r="AU220" s="21">
        <f>IF(IFERROR(TRIM(INDEX($A220:$AL220,MATCH(Lists!$F$2,$A$1:$AL$1,0))&amp;""),"")="",-1,IF(ISNUMBER(IFERROR(IF(TRIM(INDEX($A220:$AL220,MATCH(Lists!$F$6,$A$1:$AL$1,0))&amp;"")="","",IF(ISNUMBER(INDEX($A220:$AL220,MATCH(Lists!$F$6,$A$1:$AL$1,0))),ROUND(MOD(INDEX($A220:$AL220,MATCH(Lists!$F$6,$A$1:$AL$1,0)),1)*1440,0),VALUE(LEFT(INDEX($A220:$AL220,MATCH(Lists!$F$6,$A$1:$AL$1,0)),2))*60+VALUE(MID(INDEX($A220:$AL220,MATCH(Lists!$F$6,$A$1:$AL$1,0)),4,2)))),"")),IFERROR(IF(TRIM(INDEX($A220:$AL220,MATCH(Lists!$F$6,$A$1:$AL$1,0))&amp;"")="","",IF(ISNUMBER(INDEX($A220:$AL220,MATCH(Lists!$F$6,$A$1:$AL$1,0))),ROUND(MOD(INDEX($A220:$AL220,MATCH(Lists!$F$6,$A$1:$AL$1,0)),1)*1440,0),VALUE(LEFT(INDEX($A220:$AL220,MATCH(Lists!$F$6,$A$1:$AL$1,0)),2))*60+VALUE(MID(INDEX($A220:$AL220,MATCH(Lists!$F$6,$A$1:$AL$1,0)),4,2)))),""),-1))</f>
        <v/>
      </c>
      <c r="AV220" s="21">
        <f>IF(IFERROR(TRIM(INDEX($A220:$AL220,MATCH(Lists!$F$2,$A$1:$AL$1,0))&amp;""),"")="",-1,IF(ISNUMBER(IFERROR(IF(TRIM(INDEX($A220:$AL220,MATCH(Lists!$F$7,$A$1:$AL$1,0))&amp;"")="","",IF(ISNUMBER(INDEX($A220:$AL220,MATCH(Lists!$F$7,$A$1:$AL$1,0))),ROUND(MOD(INDEX($A220:$AL220,MATCH(Lists!$F$7,$A$1:$AL$1,0)),1)*1440,0),VALUE(LEFT(INDEX($A220:$AL220,MATCH(Lists!$F$7,$A$1:$AL$1,0)),2))*60+VALUE(MID(INDEX($A220:$AL220,MATCH(Lists!$F$7,$A$1:$AL$1,0)),4,2)))),"")),IFERROR(IF(TRIM(INDEX($A220:$AL220,MATCH(Lists!$F$7,$A$1:$AL$1,0))&amp;"")="","",IF(ISNUMBER(INDEX($A220:$AL220,MATCH(Lists!$F$7,$A$1:$AL$1,0))),ROUND(MOD(INDEX($A220:$AL220,MATCH(Lists!$F$7,$A$1:$AL$1,0)),1)*1440,0),VALUE(LEFT(INDEX($A220:$AL220,MATCH(Lists!$F$7,$A$1:$AL$1,0)),2))*60+VALUE(MID(INDEX($A220:$AL220,MATCH(Lists!$F$7,$A$1:$AL$1,0)),4,2)))),""),-1))</f>
        <v/>
      </c>
      <c r="AW220" s="21">
        <f>IF(IFERROR(TRIM(INDEX($A220:$AL220,MATCH(Lists!$F$2,$A$1:$AL$1,0))&amp;""),"")="","",IF(IFERROR(TRIM(INDEX($A220:$AL220,MATCH(Lists!$F$8,$A$1:$AL$1,0))&amp;""),"")&lt;&gt;"",IFERROR(TRIM(INDEX($A220:$AL220,MATCH(Lists!$F$8,$A$1:$AL$1,0))&amp;""),""),IFERROR(TRIM(INDEX($A220:$AL220,MATCH(Lists!$F$9,$A$1:$AL$1,0))&amp;""),"")))</f>
        <v/>
      </c>
      <c r="AX220" s="21">
        <f>IFERROR(IF(TRIM(INDEX($A220:$AL220,MATCH(Lists!$F$10,$A$1:$AL$1,0))&amp;"")="","",VALUE(TRIM(INDEX($A220:$AL220,MATCH(Lists!$F$10,$A$1:$AL$1,0))&amp;""))),"")</f>
        <v/>
      </c>
      <c r="AY220" s="21">
        <f>IF(IFERROR(TRIM(INDEX($A220:$AL220,MATCH(Lists!$F$2,$A$1:$AL$1,0))&amp;""),"")="","",IF(AN220="","New",AN220))</f>
        <v/>
      </c>
      <c r="AZ220" s="21">
        <f>IF(IFERROR(TRIM(INDEX($A220:$AL220,MATCH(Lists!$F$2,$A$1:$AL$1,0))&amp;""),"")="","",IF(OR(IFERROR(TRIM(INDEX($A220:$AL220,MATCH(Lists!$F$13,$A$1:$AL$1,0))&amp;""),"")="Paid",IFERROR(TRIM(INDEX($A220:$AL220,MATCH(Lists!$F$13,$A$1:$AL$1,0))&amp;""),"")="Partially refunded"),"Paid",IF(AP220="Yes","Paid (by hand)",IFERROR(TRIM(INDEX($A220:$AL220,MATCH(Lists!$F$13,$A$1:$AL$1,0))&amp;""),""))))</f>
        <v/>
      </c>
      <c r="BA220" s="21">
        <f>IF(AND(IFERROR(TRIM(INDEX($A220:$AL220,MATCH(Lists!$F$2,$A$1:$AL$1,0))&amp;""),"")&lt;&gt;"",AT220&gt;0,AU220&gt;=0,AV220&gt;AU220,AY220&lt;&gt;"Declined"),1,0)</f>
        <v/>
      </c>
      <c r="BB220" s="21">
        <f>IF(BA220=1,COUNTIFS($AS$2:$AS$501,AS220,$AT$2:$AT$501,AT220,$AU$2:$AU$501,"&lt;"&amp;AV220,$AV$2:$AV$501,"&gt;"&amp;AU220,$BA$2:$BA$501,1)-1,"")</f>
        <v/>
      </c>
      <c r="BC220" s="21">
        <f>IF(N(BB220)&gt;0,"Clashes with "&amp;INDEX($AW$2:$AW$501,SUMPRODUCT(MAX(($AS$2:$AS$501=AS220)*($AT$2:$AT$501=AT220)*($AU$2:$AU$501&lt;AV220)*($AV$2:$AV$501&gt;AU220)*($BA$2:$BA$501=1)*(ROW($AS$2:$AS$501)&lt;&gt;ROW())*ROW($AS$2:$AS$501)))-1)&amp;" ("&amp;INDEX($AY$2:$AY$501,SUMPRODUCT(MAX(($AS$2:$AS$501=AS220)*($AT$2:$AT$501=AT220)*($AU$2:$AU$501&lt;AV220)*($AV$2:$AV$501&gt;AU220)*($BA$2:$BA$501=1)*(ROW($AS$2:$AS$501)&lt;&gt;ROW())*ROW($AS$2:$AS$501)))-1)&amp;")"&amp;IF(BB220&gt;1," and "&amp;(BB220-1)&amp;" more",""),"")</f>
        <v/>
      </c>
      <c r="BD220" s="21">
        <f>IF(AND(BA220=1,AY220="Confirmed"),AT220*10000000+AU220*1000+ROW(),"")</f>
        <v/>
      </c>
      <c r="BE220" s="21">
        <f>IF(IFERROR(TRIM(INDEX($A220:$AL220,MATCH(Lists!$F$2,$A$1:$AL$1,0))&amp;""),"")="","",IFERROR(TRIM(INDEX($A220:$AL220,MATCH(Lists!$F$11,$A$1:$AL$1,0))&amp;""),""))</f>
        <v/>
      </c>
      <c r="BF220" s="21">
        <f>IF(IFERROR(TRIM(INDEX($A220:$AL220,MATCH(Lists!$F$2,$A$1:$AL$1,0))&amp;""),"")="","",IFERROR(TRIM(INDEX($A220:$AL220,MATCH(Lists!$F$12,$A$1:$AL$1,0))&amp;""),""))</f>
        <v/>
      </c>
    </row>
    <row r="221">
      <c r="AM221" s="19" t="n"/>
      <c r="AN221" s="23" t="n"/>
      <c r="AO221" s="23" t="n"/>
      <c r="AP221" s="23" t="n"/>
      <c r="AQ221" s="23" t="n"/>
      <c r="AR221" s="19" t="n"/>
      <c r="AS221" s="21">
        <f>IF(IFERROR(TRIM(INDEX($A221:$AL221,MATCH(Lists!$F$2,$A$1:$AL$1,0))&amp;""),"")="","",IF(AND(IFERROR(TRIM(INDEX($A221:$AL221,MATCH(Lists!$F$3,$A$1:$AL$1,0))&amp;""),"")="Other",IFERROR(TRIM(INDEX($A221:$AL221,MATCH(Lists!$F$4,$A$1:$AL$1,0))&amp;""),"")&lt;&gt;""),IFERROR(TRIM(INDEX($A221:$AL221,MATCH(Lists!$F$4,$A$1:$AL$1,0))&amp;""),""),IF(IFERROR(TRIM(INDEX($A221:$AL221,MATCH(Lists!$F$3,$A$1:$AL$1,0))&amp;""),"")="","(no space)",IFERROR(TRIM(INDEX($A221:$AL221,MATCH(Lists!$F$3,$A$1:$AL$1,0))&amp;""),""))))</f>
        <v/>
      </c>
      <c r="AT221" s="22">
        <f>IF(IFERROR(TRIM(INDEX($A221:$AL221,MATCH(Lists!$F$2,$A$1:$AL$1,0))&amp;""),"")="",0,N(IFERROR(IF(TRIM(INDEX($A221:$AL221,MATCH(Lists!$F$5,$A$1:$AL$1,0))&amp;"")="","",IF(ISNUMBER(INDEX($A221:$AL221,MATCH(Lists!$F$5,$A$1:$AL$1,0))),INT(INDEX($A221:$AL221,MATCH(Lists!$F$5,$A$1:$AL$1,0))),DATE(VALUE(LEFT(INDEX($A221:$AL221,MATCH(Lists!$F$5,$A$1:$AL$1,0)),4)),VALUE(MID(INDEX($A221:$AL221,MATCH(Lists!$F$5,$A$1:$AL$1,0)),6,2)),VALUE(MID(INDEX($A221:$AL221,MATCH(Lists!$F$5,$A$1:$AL$1,0)),9,2))))),"")))</f>
        <v/>
      </c>
      <c r="AU221" s="21">
        <f>IF(IFERROR(TRIM(INDEX($A221:$AL221,MATCH(Lists!$F$2,$A$1:$AL$1,0))&amp;""),"")="",-1,IF(ISNUMBER(IFERROR(IF(TRIM(INDEX($A221:$AL221,MATCH(Lists!$F$6,$A$1:$AL$1,0))&amp;"")="","",IF(ISNUMBER(INDEX($A221:$AL221,MATCH(Lists!$F$6,$A$1:$AL$1,0))),ROUND(MOD(INDEX($A221:$AL221,MATCH(Lists!$F$6,$A$1:$AL$1,0)),1)*1440,0),VALUE(LEFT(INDEX($A221:$AL221,MATCH(Lists!$F$6,$A$1:$AL$1,0)),2))*60+VALUE(MID(INDEX($A221:$AL221,MATCH(Lists!$F$6,$A$1:$AL$1,0)),4,2)))),"")),IFERROR(IF(TRIM(INDEX($A221:$AL221,MATCH(Lists!$F$6,$A$1:$AL$1,0))&amp;"")="","",IF(ISNUMBER(INDEX($A221:$AL221,MATCH(Lists!$F$6,$A$1:$AL$1,0))),ROUND(MOD(INDEX($A221:$AL221,MATCH(Lists!$F$6,$A$1:$AL$1,0)),1)*1440,0),VALUE(LEFT(INDEX($A221:$AL221,MATCH(Lists!$F$6,$A$1:$AL$1,0)),2))*60+VALUE(MID(INDEX($A221:$AL221,MATCH(Lists!$F$6,$A$1:$AL$1,0)),4,2)))),""),-1))</f>
        <v/>
      </c>
      <c r="AV221" s="21">
        <f>IF(IFERROR(TRIM(INDEX($A221:$AL221,MATCH(Lists!$F$2,$A$1:$AL$1,0))&amp;""),"")="",-1,IF(ISNUMBER(IFERROR(IF(TRIM(INDEX($A221:$AL221,MATCH(Lists!$F$7,$A$1:$AL$1,0))&amp;"")="","",IF(ISNUMBER(INDEX($A221:$AL221,MATCH(Lists!$F$7,$A$1:$AL$1,0))),ROUND(MOD(INDEX($A221:$AL221,MATCH(Lists!$F$7,$A$1:$AL$1,0)),1)*1440,0),VALUE(LEFT(INDEX($A221:$AL221,MATCH(Lists!$F$7,$A$1:$AL$1,0)),2))*60+VALUE(MID(INDEX($A221:$AL221,MATCH(Lists!$F$7,$A$1:$AL$1,0)),4,2)))),"")),IFERROR(IF(TRIM(INDEX($A221:$AL221,MATCH(Lists!$F$7,$A$1:$AL$1,0))&amp;"")="","",IF(ISNUMBER(INDEX($A221:$AL221,MATCH(Lists!$F$7,$A$1:$AL$1,0))),ROUND(MOD(INDEX($A221:$AL221,MATCH(Lists!$F$7,$A$1:$AL$1,0)),1)*1440,0),VALUE(LEFT(INDEX($A221:$AL221,MATCH(Lists!$F$7,$A$1:$AL$1,0)),2))*60+VALUE(MID(INDEX($A221:$AL221,MATCH(Lists!$F$7,$A$1:$AL$1,0)),4,2)))),""),-1))</f>
        <v/>
      </c>
      <c r="AW221" s="21">
        <f>IF(IFERROR(TRIM(INDEX($A221:$AL221,MATCH(Lists!$F$2,$A$1:$AL$1,0))&amp;""),"")="","",IF(IFERROR(TRIM(INDEX($A221:$AL221,MATCH(Lists!$F$8,$A$1:$AL$1,0))&amp;""),"")&lt;&gt;"",IFERROR(TRIM(INDEX($A221:$AL221,MATCH(Lists!$F$8,$A$1:$AL$1,0))&amp;""),""),IFERROR(TRIM(INDEX($A221:$AL221,MATCH(Lists!$F$9,$A$1:$AL$1,0))&amp;""),"")))</f>
        <v/>
      </c>
      <c r="AX221" s="21">
        <f>IFERROR(IF(TRIM(INDEX($A221:$AL221,MATCH(Lists!$F$10,$A$1:$AL$1,0))&amp;"")="","",VALUE(TRIM(INDEX($A221:$AL221,MATCH(Lists!$F$10,$A$1:$AL$1,0))&amp;""))),"")</f>
        <v/>
      </c>
      <c r="AY221" s="21">
        <f>IF(IFERROR(TRIM(INDEX($A221:$AL221,MATCH(Lists!$F$2,$A$1:$AL$1,0))&amp;""),"")="","",IF(AN221="","New",AN221))</f>
        <v/>
      </c>
      <c r="AZ221" s="21">
        <f>IF(IFERROR(TRIM(INDEX($A221:$AL221,MATCH(Lists!$F$2,$A$1:$AL$1,0))&amp;""),"")="","",IF(OR(IFERROR(TRIM(INDEX($A221:$AL221,MATCH(Lists!$F$13,$A$1:$AL$1,0))&amp;""),"")="Paid",IFERROR(TRIM(INDEX($A221:$AL221,MATCH(Lists!$F$13,$A$1:$AL$1,0))&amp;""),"")="Partially refunded"),"Paid",IF(AP221="Yes","Paid (by hand)",IFERROR(TRIM(INDEX($A221:$AL221,MATCH(Lists!$F$13,$A$1:$AL$1,0))&amp;""),""))))</f>
        <v/>
      </c>
      <c r="BA221" s="21">
        <f>IF(AND(IFERROR(TRIM(INDEX($A221:$AL221,MATCH(Lists!$F$2,$A$1:$AL$1,0))&amp;""),"")&lt;&gt;"",AT221&gt;0,AU221&gt;=0,AV221&gt;AU221,AY221&lt;&gt;"Declined"),1,0)</f>
        <v/>
      </c>
      <c r="BB221" s="21">
        <f>IF(BA221=1,COUNTIFS($AS$2:$AS$501,AS221,$AT$2:$AT$501,AT221,$AU$2:$AU$501,"&lt;"&amp;AV221,$AV$2:$AV$501,"&gt;"&amp;AU221,$BA$2:$BA$501,1)-1,"")</f>
        <v/>
      </c>
      <c r="BC221" s="21">
        <f>IF(N(BB221)&gt;0,"Clashes with "&amp;INDEX($AW$2:$AW$501,SUMPRODUCT(MAX(($AS$2:$AS$501=AS221)*($AT$2:$AT$501=AT221)*($AU$2:$AU$501&lt;AV221)*($AV$2:$AV$501&gt;AU221)*($BA$2:$BA$501=1)*(ROW($AS$2:$AS$501)&lt;&gt;ROW())*ROW($AS$2:$AS$501)))-1)&amp;" ("&amp;INDEX($AY$2:$AY$501,SUMPRODUCT(MAX(($AS$2:$AS$501=AS221)*($AT$2:$AT$501=AT221)*($AU$2:$AU$501&lt;AV221)*($AV$2:$AV$501&gt;AU221)*($BA$2:$BA$501=1)*(ROW($AS$2:$AS$501)&lt;&gt;ROW())*ROW($AS$2:$AS$501)))-1)&amp;")"&amp;IF(BB221&gt;1," and "&amp;(BB221-1)&amp;" more",""),"")</f>
        <v/>
      </c>
      <c r="BD221" s="21">
        <f>IF(AND(BA221=1,AY221="Confirmed"),AT221*10000000+AU221*1000+ROW(),"")</f>
        <v/>
      </c>
      <c r="BE221" s="21">
        <f>IF(IFERROR(TRIM(INDEX($A221:$AL221,MATCH(Lists!$F$2,$A$1:$AL$1,0))&amp;""),"")="","",IFERROR(TRIM(INDEX($A221:$AL221,MATCH(Lists!$F$11,$A$1:$AL$1,0))&amp;""),""))</f>
        <v/>
      </c>
      <c r="BF221" s="21">
        <f>IF(IFERROR(TRIM(INDEX($A221:$AL221,MATCH(Lists!$F$2,$A$1:$AL$1,0))&amp;""),"")="","",IFERROR(TRIM(INDEX($A221:$AL221,MATCH(Lists!$F$12,$A$1:$AL$1,0))&amp;""),""))</f>
        <v/>
      </c>
    </row>
    <row r="222">
      <c r="AM222" s="19" t="n"/>
      <c r="AN222" s="23" t="n"/>
      <c r="AO222" s="23" t="n"/>
      <c r="AP222" s="23" t="n"/>
      <c r="AQ222" s="23" t="n"/>
      <c r="AR222" s="19" t="n"/>
      <c r="AS222" s="21">
        <f>IF(IFERROR(TRIM(INDEX($A222:$AL222,MATCH(Lists!$F$2,$A$1:$AL$1,0))&amp;""),"")="","",IF(AND(IFERROR(TRIM(INDEX($A222:$AL222,MATCH(Lists!$F$3,$A$1:$AL$1,0))&amp;""),"")="Other",IFERROR(TRIM(INDEX($A222:$AL222,MATCH(Lists!$F$4,$A$1:$AL$1,0))&amp;""),"")&lt;&gt;""),IFERROR(TRIM(INDEX($A222:$AL222,MATCH(Lists!$F$4,$A$1:$AL$1,0))&amp;""),""),IF(IFERROR(TRIM(INDEX($A222:$AL222,MATCH(Lists!$F$3,$A$1:$AL$1,0))&amp;""),"")="","(no space)",IFERROR(TRIM(INDEX($A222:$AL222,MATCH(Lists!$F$3,$A$1:$AL$1,0))&amp;""),""))))</f>
        <v/>
      </c>
      <c r="AT222" s="22">
        <f>IF(IFERROR(TRIM(INDEX($A222:$AL222,MATCH(Lists!$F$2,$A$1:$AL$1,0))&amp;""),"")="",0,N(IFERROR(IF(TRIM(INDEX($A222:$AL222,MATCH(Lists!$F$5,$A$1:$AL$1,0))&amp;"")="","",IF(ISNUMBER(INDEX($A222:$AL222,MATCH(Lists!$F$5,$A$1:$AL$1,0))),INT(INDEX($A222:$AL222,MATCH(Lists!$F$5,$A$1:$AL$1,0))),DATE(VALUE(LEFT(INDEX($A222:$AL222,MATCH(Lists!$F$5,$A$1:$AL$1,0)),4)),VALUE(MID(INDEX($A222:$AL222,MATCH(Lists!$F$5,$A$1:$AL$1,0)),6,2)),VALUE(MID(INDEX($A222:$AL222,MATCH(Lists!$F$5,$A$1:$AL$1,0)),9,2))))),"")))</f>
        <v/>
      </c>
      <c r="AU222" s="21">
        <f>IF(IFERROR(TRIM(INDEX($A222:$AL222,MATCH(Lists!$F$2,$A$1:$AL$1,0))&amp;""),"")="",-1,IF(ISNUMBER(IFERROR(IF(TRIM(INDEX($A222:$AL222,MATCH(Lists!$F$6,$A$1:$AL$1,0))&amp;"")="","",IF(ISNUMBER(INDEX($A222:$AL222,MATCH(Lists!$F$6,$A$1:$AL$1,0))),ROUND(MOD(INDEX($A222:$AL222,MATCH(Lists!$F$6,$A$1:$AL$1,0)),1)*1440,0),VALUE(LEFT(INDEX($A222:$AL222,MATCH(Lists!$F$6,$A$1:$AL$1,0)),2))*60+VALUE(MID(INDEX($A222:$AL222,MATCH(Lists!$F$6,$A$1:$AL$1,0)),4,2)))),"")),IFERROR(IF(TRIM(INDEX($A222:$AL222,MATCH(Lists!$F$6,$A$1:$AL$1,0))&amp;"")="","",IF(ISNUMBER(INDEX($A222:$AL222,MATCH(Lists!$F$6,$A$1:$AL$1,0))),ROUND(MOD(INDEX($A222:$AL222,MATCH(Lists!$F$6,$A$1:$AL$1,0)),1)*1440,0),VALUE(LEFT(INDEX($A222:$AL222,MATCH(Lists!$F$6,$A$1:$AL$1,0)),2))*60+VALUE(MID(INDEX($A222:$AL222,MATCH(Lists!$F$6,$A$1:$AL$1,0)),4,2)))),""),-1))</f>
        <v/>
      </c>
      <c r="AV222" s="21">
        <f>IF(IFERROR(TRIM(INDEX($A222:$AL222,MATCH(Lists!$F$2,$A$1:$AL$1,0))&amp;""),"")="",-1,IF(ISNUMBER(IFERROR(IF(TRIM(INDEX($A222:$AL222,MATCH(Lists!$F$7,$A$1:$AL$1,0))&amp;"")="","",IF(ISNUMBER(INDEX($A222:$AL222,MATCH(Lists!$F$7,$A$1:$AL$1,0))),ROUND(MOD(INDEX($A222:$AL222,MATCH(Lists!$F$7,$A$1:$AL$1,0)),1)*1440,0),VALUE(LEFT(INDEX($A222:$AL222,MATCH(Lists!$F$7,$A$1:$AL$1,0)),2))*60+VALUE(MID(INDEX($A222:$AL222,MATCH(Lists!$F$7,$A$1:$AL$1,0)),4,2)))),"")),IFERROR(IF(TRIM(INDEX($A222:$AL222,MATCH(Lists!$F$7,$A$1:$AL$1,0))&amp;"")="","",IF(ISNUMBER(INDEX($A222:$AL222,MATCH(Lists!$F$7,$A$1:$AL$1,0))),ROUND(MOD(INDEX($A222:$AL222,MATCH(Lists!$F$7,$A$1:$AL$1,0)),1)*1440,0),VALUE(LEFT(INDEX($A222:$AL222,MATCH(Lists!$F$7,$A$1:$AL$1,0)),2))*60+VALUE(MID(INDEX($A222:$AL222,MATCH(Lists!$F$7,$A$1:$AL$1,0)),4,2)))),""),-1))</f>
        <v/>
      </c>
      <c r="AW222" s="21">
        <f>IF(IFERROR(TRIM(INDEX($A222:$AL222,MATCH(Lists!$F$2,$A$1:$AL$1,0))&amp;""),"")="","",IF(IFERROR(TRIM(INDEX($A222:$AL222,MATCH(Lists!$F$8,$A$1:$AL$1,0))&amp;""),"")&lt;&gt;"",IFERROR(TRIM(INDEX($A222:$AL222,MATCH(Lists!$F$8,$A$1:$AL$1,0))&amp;""),""),IFERROR(TRIM(INDEX($A222:$AL222,MATCH(Lists!$F$9,$A$1:$AL$1,0))&amp;""),"")))</f>
        <v/>
      </c>
      <c r="AX222" s="21">
        <f>IFERROR(IF(TRIM(INDEX($A222:$AL222,MATCH(Lists!$F$10,$A$1:$AL$1,0))&amp;"")="","",VALUE(TRIM(INDEX($A222:$AL222,MATCH(Lists!$F$10,$A$1:$AL$1,0))&amp;""))),"")</f>
        <v/>
      </c>
      <c r="AY222" s="21">
        <f>IF(IFERROR(TRIM(INDEX($A222:$AL222,MATCH(Lists!$F$2,$A$1:$AL$1,0))&amp;""),"")="","",IF(AN222="","New",AN222))</f>
        <v/>
      </c>
      <c r="AZ222" s="21">
        <f>IF(IFERROR(TRIM(INDEX($A222:$AL222,MATCH(Lists!$F$2,$A$1:$AL$1,0))&amp;""),"")="","",IF(OR(IFERROR(TRIM(INDEX($A222:$AL222,MATCH(Lists!$F$13,$A$1:$AL$1,0))&amp;""),"")="Paid",IFERROR(TRIM(INDEX($A222:$AL222,MATCH(Lists!$F$13,$A$1:$AL$1,0))&amp;""),"")="Partially refunded"),"Paid",IF(AP222="Yes","Paid (by hand)",IFERROR(TRIM(INDEX($A222:$AL222,MATCH(Lists!$F$13,$A$1:$AL$1,0))&amp;""),""))))</f>
        <v/>
      </c>
      <c r="BA222" s="21">
        <f>IF(AND(IFERROR(TRIM(INDEX($A222:$AL222,MATCH(Lists!$F$2,$A$1:$AL$1,0))&amp;""),"")&lt;&gt;"",AT222&gt;0,AU222&gt;=0,AV222&gt;AU222,AY222&lt;&gt;"Declined"),1,0)</f>
        <v/>
      </c>
      <c r="BB222" s="21">
        <f>IF(BA222=1,COUNTIFS($AS$2:$AS$501,AS222,$AT$2:$AT$501,AT222,$AU$2:$AU$501,"&lt;"&amp;AV222,$AV$2:$AV$501,"&gt;"&amp;AU222,$BA$2:$BA$501,1)-1,"")</f>
        <v/>
      </c>
      <c r="BC222" s="21">
        <f>IF(N(BB222)&gt;0,"Clashes with "&amp;INDEX($AW$2:$AW$501,SUMPRODUCT(MAX(($AS$2:$AS$501=AS222)*($AT$2:$AT$501=AT222)*($AU$2:$AU$501&lt;AV222)*($AV$2:$AV$501&gt;AU222)*($BA$2:$BA$501=1)*(ROW($AS$2:$AS$501)&lt;&gt;ROW())*ROW($AS$2:$AS$501)))-1)&amp;" ("&amp;INDEX($AY$2:$AY$501,SUMPRODUCT(MAX(($AS$2:$AS$501=AS222)*($AT$2:$AT$501=AT222)*($AU$2:$AU$501&lt;AV222)*($AV$2:$AV$501&gt;AU222)*($BA$2:$BA$501=1)*(ROW($AS$2:$AS$501)&lt;&gt;ROW())*ROW($AS$2:$AS$501)))-1)&amp;")"&amp;IF(BB222&gt;1," and "&amp;(BB222-1)&amp;" more",""),"")</f>
        <v/>
      </c>
      <c r="BD222" s="21">
        <f>IF(AND(BA222=1,AY222="Confirmed"),AT222*10000000+AU222*1000+ROW(),"")</f>
        <v/>
      </c>
      <c r="BE222" s="21">
        <f>IF(IFERROR(TRIM(INDEX($A222:$AL222,MATCH(Lists!$F$2,$A$1:$AL$1,0))&amp;""),"")="","",IFERROR(TRIM(INDEX($A222:$AL222,MATCH(Lists!$F$11,$A$1:$AL$1,0))&amp;""),""))</f>
        <v/>
      </c>
      <c r="BF222" s="21">
        <f>IF(IFERROR(TRIM(INDEX($A222:$AL222,MATCH(Lists!$F$2,$A$1:$AL$1,0))&amp;""),"")="","",IFERROR(TRIM(INDEX($A222:$AL222,MATCH(Lists!$F$12,$A$1:$AL$1,0))&amp;""),""))</f>
        <v/>
      </c>
    </row>
    <row r="223">
      <c r="AM223" s="19" t="n"/>
      <c r="AN223" s="23" t="n"/>
      <c r="AO223" s="23" t="n"/>
      <c r="AP223" s="23" t="n"/>
      <c r="AQ223" s="23" t="n"/>
      <c r="AR223" s="19" t="n"/>
      <c r="AS223" s="21">
        <f>IF(IFERROR(TRIM(INDEX($A223:$AL223,MATCH(Lists!$F$2,$A$1:$AL$1,0))&amp;""),"")="","",IF(AND(IFERROR(TRIM(INDEX($A223:$AL223,MATCH(Lists!$F$3,$A$1:$AL$1,0))&amp;""),"")="Other",IFERROR(TRIM(INDEX($A223:$AL223,MATCH(Lists!$F$4,$A$1:$AL$1,0))&amp;""),"")&lt;&gt;""),IFERROR(TRIM(INDEX($A223:$AL223,MATCH(Lists!$F$4,$A$1:$AL$1,0))&amp;""),""),IF(IFERROR(TRIM(INDEX($A223:$AL223,MATCH(Lists!$F$3,$A$1:$AL$1,0))&amp;""),"")="","(no space)",IFERROR(TRIM(INDEX($A223:$AL223,MATCH(Lists!$F$3,$A$1:$AL$1,0))&amp;""),""))))</f>
        <v/>
      </c>
      <c r="AT223" s="22">
        <f>IF(IFERROR(TRIM(INDEX($A223:$AL223,MATCH(Lists!$F$2,$A$1:$AL$1,0))&amp;""),"")="",0,N(IFERROR(IF(TRIM(INDEX($A223:$AL223,MATCH(Lists!$F$5,$A$1:$AL$1,0))&amp;"")="","",IF(ISNUMBER(INDEX($A223:$AL223,MATCH(Lists!$F$5,$A$1:$AL$1,0))),INT(INDEX($A223:$AL223,MATCH(Lists!$F$5,$A$1:$AL$1,0))),DATE(VALUE(LEFT(INDEX($A223:$AL223,MATCH(Lists!$F$5,$A$1:$AL$1,0)),4)),VALUE(MID(INDEX($A223:$AL223,MATCH(Lists!$F$5,$A$1:$AL$1,0)),6,2)),VALUE(MID(INDEX($A223:$AL223,MATCH(Lists!$F$5,$A$1:$AL$1,0)),9,2))))),"")))</f>
        <v/>
      </c>
      <c r="AU223" s="21">
        <f>IF(IFERROR(TRIM(INDEX($A223:$AL223,MATCH(Lists!$F$2,$A$1:$AL$1,0))&amp;""),"")="",-1,IF(ISNUMBER(IFERROR(IF(TRIM(INDEX($A223:$AL223,MATCH(Lists!$F$6,$A$1:$AL$1,0))&amp;"")="","",IF(ISNUMBER(INDEX($A223:$AL223,MATCH(Lists!$F$6,$A$1:$AL$1,0))),ROUND(MOD(INDEX($A223:$AL223,MATCH(Lists!$F$6,$A$1:$AL$1,0)),1)*1440,0),VALUE(LEFT(INDEX($A223:$AL223,MATCH(Lists!$F$6,$A$1:$AL$1,0)),2))*60+VALUE(MID(INDEX($A223:$AL223,MATCH(Lists!$F$6,$A$1:$AL$1,0)),4,2)))),"")),IFERROR(IF(TRIM(INDEX($A223:$AL223,MATCH(Lists!$F$6,$A$1:$AL$1,0))&amp;"")="","",IF(ISNUMBER(INDEX($A223:$AL223,MATCH(Lists!$F$6,$A$1:$AL$1,0))),ROUND(MOD(INDEX($A223:$AL223,MATCH(Lists!$F$6,$A$1:$AL$1,0)),1)*1440,0),VALUE(LEFT(INDEX($A223:$AL223,MATCH(Lists!$F$6,$A$1:$AL$1,0)),2))*60+VALUE(MID(INDEX($A223:$AL223,MATCH(Lists!$F$6,$A$1:$AL$1,0)),4,2)))),""),-1))</f>
        <v/>
      </c>
      <c r="AV223" s="21">
        <f>IF(IFERROR(TRIM(INDEX($A223:$AL223,MATCH(Lists!$F$2,$A$1:$AL$1,0))&amp;""),"")="",-1,IF(ISNUMBER(IFERROR(IF(TRIM(INDEX($A223:$AL223,MATCH(Lists!$F$7,$A$1:$AL$1,0))&amp;"")="","",IF(ISNUMBER(INDEX($A223:$AL223,MATCH(Lists!$F$7,$A$1:$AL$1,0))),ROUND(MOD(INDEX($A223:$AL223,MATCH(Lists!$F$7,$A$1:$AL$1,0)),1)*1440,0),VALUE(LEFT(INDEX($A223:$AL223,MATCH(Lists!$F$7,$A$1:$AL$1,0)),2))*60+VALUE(MID(INDEX($A223:$AL223,MATCH(Lists!$F$7,$A$1:$AL$1,0)),4,2)))),"")),IFERROR(IF(TRIM(INDEX($A223:$AL223,MATCH(Lists!$F$7,$A$1:$AL$1,0))&amp;"")="","",IF(ISNUMBER(INDEX($A223:$AL223,MATCH(Lists!$F$7,$A$1:$AL$1,0))),ROUND(MOD(INDEX($A223:$AL223,MATCH(Lists!$F$7,$A$1:$AL$1,0)),1)*1440,0),VALUE(LEFT(INDEX($A223:$AL223,MATCH(Lists!$F$7,$A$1:$AL$1,0)),2))*60+VALUE(MID(INDEX($A223:$AL223,MATCH(Lists!$F$7,$A$1:$AL$1,0)),4,2)))),""),-1))</f>
        <v/>
      </c>
      <c r="AW223" s="21">
        <f>IF(IFERROR(TRIM(INDEX($A223:$AL223,MATCH(Lists!$F$2,$A$1:$AL$1,0))&amp;""),"")="","",IF(IFERROR(TRIM(INDEX($A223:$AL223,MATCH(Lists!$F$8,$A$1:$AL$1,0))&amp;""),"")&lt;&gt;"",IFERROR(TRIM(INDEX($A223:$AL223,MATCH(Lists!$F$8,$A$1:$AL$1,0))&amp;""),""),IFERROR(TRIM(INDEX($A223:$AL223,MATCH(Lists!$F$9,$A$1:$AL$1,0))&amp;""),"")))</f>
        <v/>
      </c>
      <c r="AX223" s="21">
        <f>IFERROR(IF(TRIM(INDEX($A223:$AL223,MATCH(Lists!$F$10,$A$1:$AL$1,0))&amp;"")="","",VALUE(TRIM(INDEX($A223:$AL223,MATCH(Lists!$F$10,$A$1:$AL$1,0))&amp;""))),"")</f>
        <v/>
      </c>
      <c r="AY223" s="21">
        <f>IF(IFERROR(TRIM(INDEX($A223:$AL223,MATCH(Lists!$F$2,$A$1:$AL$1,0))&amp;""),"")="","",IF(AN223="","New",AN223))</f>
        <v/>
      </c>
      <c r="AZ223" s="21">
        <f>IF(IFERROR(TRIM(INDEX($A223:$AL223,MATCH(Lists!$F$2,$A$1:$AL$1,0))&amp;""),"")="","",IF(OR(IFERROR(TRIM(INDEX($A223:$AL223,MATCH(Lists!$F$13,$A$1:$AL$1,0))&amp;""),"")="Paid",IFERROR(TRIM(INDEX($A223:$AL223,MATCH(Lists!$F$13,$A$1:$AL$1,0))&amp;""),"")="Partially refunded"),"Paid",IF(AP223="Yes","Paid (by hand)",IFERROR(TRIM(INDEX($A223:$AL223,MATCH(Lists!$F$13,$A$1:$AL$1,0))&amp;""),""))))</f>
        <v/>
      </c>
      <c r="BA223" s="21">
        <f>IF(AND(IFERROR(TRIM(INDEX($A223:$AL223,MATCH(Lists!$F$2,$A$1:$AL$1,0))&amp;""),"")&lt;&gt;"",AT223&gt;0,AU223&gt;=0,AV223&gt;AU223,AY223&lt;&gt;"Declined"),1,0)</f>
        <v/>
      </c>
      <c r="BB223" s="21">
        <f>IF(BA223=1,COUNTIFS($AS$2:$AS$501,AS223,$AT$2:$AT$501,AT223,$AU$2:$AU$501,"&lt;"&amp;AV223,$AV$2:$AV$501,"&gt;"&amp;AU223,$BA$2:$BA$501,1)-1,"")</f>
        <v/>
      </c>
      <c r="BC223" s="21">
        <f>IF(N(BB223)&gt;0,"Clashes with "&amp;INDEX($AW$2:$AW$501,SUMPRODUCT(MAX(($AS$2:$AS$501=AS223)*($AT$2:$AT$501=AT223)*($AU$2:$AU$501&lt;AV223)*($AV$2:$AV$501&gt;AU223)*($BA$2:$BA$501=1)*(ROW($AS$2:$AS$501)&lt;&gt;ROW())*ROW($AS$2:$AS$501)))-1)&amp;" ("&amp;INDEX($AY$2:$AY$501,SUMPRODUCT(MAX(($AS$2:$AS$501=AS223)*($AT$2:$AT$501=AT223)*($AU$2:$AU$501&lt;AV223)*($AV$2:$AV$501&gt;AU223)*($BA$2:$BA$501=1)*(ROW($AS$2:$AS$501)&lt;&gt;ROW())*ROW($AS$2:$AS$501)))-1)&amp;")"&amp;IF(BB223&gt;1," and "&amp;(BB223-1)&amp;" more",""),"")</f>
        <v/>
      </c>
      <c r="BD223" s="21">
        <f>IF(AND(BA223=1,AY223="Confirmed"),AT223*10000000+AU223*1000+ROW(),"")</f>
        <v/>
      </c>
      <c r="BE223" s="21">
        <f>IF(IFERROR(TRIM(INDEX($A223:$AL223,MATCH(Lists!$F$2,$A$1:$AL$1,0))&amp;""),"")="","",IFERROR(TRIM(INDEX($A223:$AL223,MATCH(Lists!$F$11,$A$1:$AL$1,0))&amp;""),""))</f>
        <v/>
      </c>
      <c r="BF223" s="21">
        <f>IF(IFERROR(TRIM(INDEX($A223:$AL223,MATCH(Lists!$F$2,$A$1:$AL$1,0))&amp;""),"")="","",IFERROR(TRIM(INDEX($A223:$AL223,MATCH(Lists!$F$12,$A$1:$AL$1,0))&amp;""),""))</f>
        <v/>
      </c>
    </row>
    <row r="224">
      <c r="AM224" s="19" t="n"/>
      <c r="AN224" s="23" t="n"/>
      <c r="AO224" s="23" t="n"/>
      <c r="AP224" s="23" t="n"/>
      <c r="AQ224" s="23" t="n"/>
      <c r="AR224" s="19" t="n"/>
      <c r="AS224" s="21">
        <f>IF(IFERROR(TRIM(INDEX($A224:$AL224,MATCH(Lists!$F$2,$A$1:$AL$1,0))&amp;""),"")="","",IF(AND(IFERROR(TRIM(INDEX($A224:$AL224,MATCH(Lists!$F$3,$A$1:$AL$1,0))&amp;""),"")="Other",IFERROR(TRIM(INDEX($A224:$AL224,MATCH(Lists!$F$4,$A$1:$AL$1,0))&amp;""),"")&lt;&gt;""),IFERROR(TRIM(INDEX($A224:$AL224,MATCH(Lists!$F$4,$A$1:$AL$1,0))&amp;""),""),IF(IFERROR(TRIM(INDEX($A224:$AL224,MATCH(Lists!$F$3,$A$1:$AL$1,0))&amp;""),"")="","(no space)",IFERROR(TRIM(INDEX($A224:$AL224,MATCH(Lists!$F$3,$A$1:$AL$1,0))&amp;""),""))))</f>
        <v/>
      </c>
      <c r="AT224" s="22">
        <f>IF(IFERROR(TRIM(INDEX($A224:$AL224,MATCH(Lists!$F$2,$A$1:$AL$1,0))&amp;""),"")="",0,N(IFERROR(IF(TRIM(INDEX($A224:$AL224,MATCH(Lists!$F$5,$A$1:$AL$1,0))&amp;"")="","",IF(ISNUMBER(INDEX($A224:$AL224,MATCH(Lists!$F$5,$A$1:$AL$1,0))),INT(INDEX($A224:$AL224,MATCH(Lists!$F$5,$A$1:$AL$1,0))),DATE(VALUE(LEFT(INDEX($A224:$AL224,MATCH(Lists!$F$5,$A$1:$AL$1,0)),4)),VALUE(MID(INDEX($A224:$AL224,MATCH(Lists!$F$5,$A$1:$AL$1,0)),6,2)),VALUE(MID(INDEX($A224:$AL224,MATCH(Lists!$F$5,$A$1:$AL$1,0)),9,2))))),"")))</f>
        <v/>
      </c>
      <c r="AU224" s="21">
        <f>IF(IFERROR(TRIM(INDEX($A224:$AL224,MATCH(Lists!$F$2,$A$1:$AL$1,0))&amp;""),"")="",-1,IF(ISNUMBER(IFERROR(IF(TRIM(INDEX($A224:$AL224,MATCH(Lists!$F$6,$A$1:$AL$1,0))&amp;"")="","",IF(ISNUMBER(INDEX($A224:$AL224,MATCH(Lists!$F$6,$A$1:$AL$1,0))),ROUND(MOD(INDEX($A224:$AL224,MATCH(Lists!$F$6,$A$1:$AL$1,0)),1)*1440,0),VALUE(LEFT(INDEX($A224:$AL224,MATCH(Lists!$F$6,$A$1:$AL$1,0)),2))*60+VALUE(MID(INDEX($A224:$AL224,MATCH(Lists!$F$6,$A$1:$AL$1,0)),4,2)))),"")),IFERROR(IF(TRIM(INDEX($A224:$AL224,MATCH(Lists!$F$6,$A$1:$AL$1,0))&amp;"")="","",IF(ISNUMBER(INDEX($A224:$AL224,MATCH(Lists!$F$6,$A$1:$AL$1,0))),ROUND(MOD(INDEX($A224:$AL224,MATCH(Lists!$F$6,$A$1:$AL$1,0)),1)*1440,0),VALUE(LEFT(INDEX($A224:$AL224,MATCH(Lists!$F$6,$A$1:$AL$1,0)),2))*60+VALUE(MID(INDEX($A224:$AL224,MATCH(Lists!$F$6,$A$1:$AL$1,0)),4,2)))),""),-1))</f>
        <v/>
      </c>
      <c r="AV224" s="21">
        <f>IF(IFERROR(TRIM(INDEX($A224:$AL224,MATCH(Lists!$F$2,$A$1:$AL$1,0))&amp;""),"")="",-1,IF(ISNUMBER(IFERROR(IF(TRIM(INDEX($A224:$AL224,MATCH(Lists!$F$7,$A$1:$AL$1,0))&amp;"")="","",IF(ISNUMBER(INDEX($A224:$AL224,MATCH(Lists!$F$7,$A$1:$AL$1,0))),ROUND(MOD(INDEX($A224:$AL224,MATCH(Lists!$F$7,$A$1:$AL$1,0)),1)*1440,0),VALUE(LEFT(INDEX($A224:$AL224,MATCH(Lists!$F$7,$A$1:$AL$1,0)),2))*60+VALUE(MID(INDEX($A224:$AL224,MATCH(Lists!$F$7,$A$1:$AL$1,0)),4,2)))),"")),IFERROR(IF(TRIM(INDEX($A224:$AL224,MATCH(Lists!$F$7,$A$1:$AL$1,0))&amp;"")="","",IF(ISNUMBER(INDEX($A224:$AL224,MATCH(Lists!$F$7,$A$1:$AL$1,0))),ROUND(MOD(INDEX($A224:$AL224,MATCH(Lists!$F$7,$A$1:$AL$1,0)),1)*1440,0),VALUE(LEFT(INDEX($A224:$AL224,MATCH(Lists!$F$7,$A$1:$AL$1,0)),2))*60+VALUE(MID(INDEX($A224:$AL224,MATCH(Lists!$F$7,$A$1:$AL$1,0)),4,2)))),""),-1))</f>
        <v/>
      </c>
      <c r="AW224" s="21">
        <f>IF(IFERROR(TRIM(INDEX($A224:$AL224,MATCH(Lists!$F$2,$A$1:$AL$1,0))&amp;""),"")="","",IF(IFERROR(TRIM(INDEX($A224:$AL224,MATCH(Lists!$F$8,$A$1:$AL$1,0))&amp;""),"")&lt;&gt;"",IFERROR(TRIM(INDEX($A224:$AL224,MATCH(Lists!$F$8,$A$1:$AL$1,0))&amp;""),""),IFERROR(TRIM(INDEX($A224:$AL224,MATCH(Lists!$F$9,$A$1:$AL$1,0))&amp;""),"")))</f>
        <v/>
      </c>
      <c r="AX224" s="21">
        <f>IFERROR(IF(TRIM(INDEX($A224:$AL224,MATCH(Lists!$F$10,$A$1:$AL$1,0))&amp;"")="","",VALUE(TRIM(INDEX($A224:$AL224,MATCH(Lists!$F$10,$A$1:$AL$1,0))&amp;""))),"")</f>
        <v/>
      </c>
      <c r="AY224" s="21">
        <f>IF(IFERROR(TRIM(INDEX($A224:$AL224,MATCH(Lists!$F$2,$A$1:$AL$1,0))&amp;""),"")="","",IF(AN224="","New",AN224))</f>
        <v/>
      </c>
      <c r="AZ224" s="21">
        <f>IF(IFERROR(TRIM(INDEX($A224:$AL224,MATCH(Lists!$F$2,$A$1:$AL$1,0))&amp;""),"")="","",IF(OR(IFERROR(TRIM(INDEX($A224:$AL224,MATCH(Lists!$F$13,$A$1:$AL$1,0))&amp;""),"")="Paid",IFERROR(TRIM(INDEX($A224:$AL224,MATCH(Lists!$F$13,$A$1:$AL$1,0))&amp;""),"")="Partially refunded"),"Paid",IF(AP224="Yes","Paid (by hand)",IFERROR(TRIM(INDEX($A224:$AL224,MATCH(Lists!$F$13,$A$1:$AL$1,0))&amp;""),""))))</f>
        <v/>
      </c>
      <c r="BA224" s="21">
        <f>IF(AND(IFERROR(TRIM(INDEX($A224:$AL224,MATCH(Lists!$F$2,$A$1:$AL$1,0))&amp;""),"")&lt;&gt;"",AT224&gt;0,AU224&gt;=0,AV224&gt;AU224,AY224&lt;&gt;"Declined"),1,0)</f>
        <v/>
      </c>
      <c r="BB224" s="21">
        <f>IF(BA224=1,COUNTIFS($AS$2:$AS$501,AS224,$AT$2:$AT$501,AT224,$AU$2:$AU$501,"&lt;"&amp;AV224,$AV$2:$AV$501,"&gt;"&amp;AU224,$BA$2:$BA$501,1)-1,"")</f>
        <v/>
      </c>
      <c r="BC224" s="21">
        <f>IF(N(BB224)&gt;0,"Clashes with "&amp;INDEX($AW$2:$AW$501,SUMPRODUCT(MAX(($AS$2:$AS$501=AS224)*($AT$2:$AT$501=AT224)*($AU$2:$AU$501&lt;AV224)*($AV$2:$AV$501&gt;AU224)*($BA$2:$BA$501=1)*(ROW($AS$2:$AS$501)&lt;&gt;ROW())*ROW($AS$2:$AS$501)))-1)&amp;" ("&amp;INDEX($AY$2:$AY$501,SUMPRODUCT(MAX(($AS$2:$AS$501=AS224)*($AT$2:$AT$501=AT224)*($AU$2:$AU$501&lt;AV224)*($AV$2:$AV$501&gt;AU224)*($BA$2:$BA$501=1)*(ROW($AS$2:$AS$501)&lt;&gt;ROW())*ROW($AS$2:$AS$501)))-1)&amp;")"&amp;IF(BB224&gt;1," and "&amp;(BB224-1)&amp;" more",""),"")</f>
        <v/>
      </c>
      <c r="BD224" s="21">
        <f>IF(AND(BA224=1,AY224="Confirmed"),AT224*10000000+AU224*1000+ROW(),"")</f>
        <v/>
      </c>
      <c r="BE224" s="21">
        <f>IF(IFERROR(TRIM(INDEX($A224:$AL224,MATCH(Lists!$F$2,$A$1:$AL$1,0))&amp;""),"")="","",IFERROR(TRIM(INDEX($A224:$AL224,MATCH(Lists!$F$11,$A$1:$AL$1,0))&amp;""),""))</f>
        <v/>
      </c>
      <c r="BF224" s="21">
        <f>IF(IFERROR(TRIM(INDEX($A224:$AL224,MATCH(Lists!$F$2,$A$1:$AL$1,0))&amp;""),"")="","",IFERROR(TRIM(INDEX($A224:$AL224,MATCH(Lists!$F$12,$A$1:$AL$1,0))&amp;""),""))</f>
        <v/>
      </c>
    </row>
    <row r="225">
      <c r="AM225" s="19" t="n"/>
      <c r="AN225" s="23" t="n"/>
      <c r="AO225" s="23" t="n"/>
      <c r="AP225" s="23" t="n"/>
      <c r="AQ225" s="23" t="n"/>
      <c r="AR225" s="19" t="n"/>
      <c r="AS225" s="21">
        <f>IF(IFERROR(TRIM(INDEX($A225:$AL225,MATCH(Lists!$F$2,$A$1:$AL$1,0))&amp;""),"")="","",IF(AND(IFERROR(TRIM(INDEX($A225:$AL225,MATCH(Lists!$F$3,$A$1:$AL$1,0))&amp;""),"")="Other",IFERROR(TRIM(INDEX($A225:$AL225,MATCH(Lists!$F$4,$A$1:$AL$1,0))&amp;""),"")&lt;&gt;""),IFERROR(TRIM(INDEX($A225:$AL225,MATCH(Lists!$F$4,$A$1:$AL$1,0))&amp;""),""),IF(IFERROR(TRIM(INDEX($A225:$AL225,MATCH(Lists!$F$3,$A$1:$AL$1,0))&amp;""),"")="","(no space)",IFERROR(TRIM(INDEX($A225:$AL225,MATCH(Lists!$F$3,$A$1:$AL$1,0))&amp;""),""))))</f>
        <v/>
      </c>
      <c r="AT225" s="22">
        <f>IF(IFERROR(TRIM(INDEX($A225:$AL225,MATCH(Lists!$F$2,$A$1:$AL$1,0))&amp;""),"")="",0,N(IFERROR(IF(TRIM(INDEX($A225:$AL225,MATCH(Lists!$F$5,$A$1:$AL$1,0))&amp;"")="","",IF(ISNUMBER(INDEX($A225:$AL225,MATCH(Lists!$F$5,$A$1:$AL$1,0))),INT(INDEX($A225:$AL225,MATCH(Lists!$F$5,$A$1:$AL$1,0))),DATE(VALUE(LEFT(INDEX($A225:$AL225,MATCH(Lists!$F$5,$A$1:$AL$1,0)),4)),VALUE(MID(INDEX($A225:$AL225,MATCH(Lists!$F$5,$A$1:$AL$1,0)),6,2)),VALUE(MID(INDEX($A225:$AL225,MATCH(Lists!$F$5,$A$1:$AL$1,0)),9,2))))),"")))</f>
        <v/>
      </c>
      <c r="AU225" s="21">
        <f>IF(IFERROR(TRIM(INDEX($A225:$AL225,MATCH(Lists!$F$2,$A$1:$AL$1,0))&amp;""),"")="",-1,IF(ISNUMBER(IFERROR(IF(TRIM(INDEX($A225:$AL225,MATCH(Lists!$F$6,$A$1:$AL$1,0))&amp;"")="","",IF(ISNUMBER(INDEX($A225:$AL225,MATCH(Lists!$F$6,$A$1:$AL$1,0))),ROUND(MOD(INDEX($A225:$AL225,MATCH(Lists!$F$6,$A$1:$AL$1,0)),1)*1440,0),VALUE(LEFT(INDEX($A225:$AL225,MATCH(Lists!$F$6,$A$1:$AL$1,0)),2))*60+VALUE(MID(INDEX($A225:$AL225,MATCH(Lists!$F$6,$A$1:$AL$1,0)),4,2)))),"")),IFERROR(IF(TRIM(INDEX($A225:$AL225,MATCH(Lists!$F$6,$A$1:$AL$1,0))&amp;"")="","",IF(ISNUMBER(INDEX($A225:$AL225,MATCH(Lists!$F$6,$A$1:$AL$1,0))),ROUND(MOD(INDEX($A225:$AL225,MATCH(Lists!$F$6,$A$1:$AL$1,0)),1)*1440,0),VALUE(LEFT(INDEX($A225:$AL225,MATCH(Lists!$F$6,$A$1:$AL$1,0)),2))*60+VALUE(MID(INDEX($A225:$AL225,MATCH(Lists!$F$6,$A$1:$AL$1,0)),4,2)))),""),-1))</f>
        <v/>
      </c>
      <c r="AV225" s="21">
        <f>IF(IFERROR(TRIM(INDEX($A225:$AL225,MATCH(Lists!$F$2,$A$1:$AL$1,0))&amp;""),"")="",-1,IF(ISNUMBER(IFERROR(IF(TRIM(INDEX($A225:$AL225,MATCH(Lists!$F$7,$A$1:$AL$1,0))&amp;"")="","",IF(ISNUMBER(INDEX($A225:$AL225,MATCH(Lists!$F$7,$A$1:$AL$1,0))),ROUND(MOD(INDEX($A225:$AL225,MATCH(Lists!$F$7,$A$1:$AL$1,0)),1)*1440,0),VALUE(LEFT(INDEX($A225:$AL225,MATCH(Lists!$F$7,$A$1:$AL$1,0)),2))*60+VALUE(MID(INDEX($A225:$AL225,MATCH(Lists!$F$7,$A$1:$AL$1,0)),4,2)))),"")),IFERROR(IF(TRIM(INDEX($A225:$AL225,MATCH(Lists!$F$7,$A$1:$AL$1,0))&amp;"")="","",IF(ISNUMBER(INDEX($A225:$AL225,MATCH(Lists!$F$7,$A$1:$AL$1,0))),ROUND(MOD(INDEX($A225:$AL225,MATCH(Lists!$F$7,$A$1:$AL$1,0)),1)*1440,0),VALUE(LEFT(INDEX($A225:$AL225,MATCH(Lists!$F$7,$A$1:$AL$1,0)),2))*60+VALUE(MID(INDEX($A225:$AL225,MATCH(Lists!$F$7,$A$1:$AL$1,0)),4,2)))),""),-1))</f>
        <v/>
      </c>
      <c r="AW225" s="21">
        <f>IF(IFERROR(TRIM(INDEX($A225:$AL225,MATCH(Lists!$F$2,$A$1:$AL$1,0))&amp;""),"")="","",IF(IFERROR(TRIM(INDEX($A225:$AL225,MATCH(Lists!$F$8,$A$1:$AL$1,0))&amp;""),"")&lt;&gt;"",IFERROR(TRIM(INDEX($A225:$AL225,MATCH(Lists!$F$8,$A$1:$AL$1,0))&amp;""),""),IFERROR(TRIM(INDEX($A225:$AL225,MATCH(Lists!$F$9,$A$1:$AL$1,0))&amp;""),"")))</f>
        <v/>
      </c>
      <c r="AX225" s="21">
        <f>IFERROR(IF(TRIM(INDEX($A225:$AL225,MATCH(Lists!$F$10,$A$1:$AL$1,0))&amp;"")="","",VALUE(TRIM(INDEX($A225:$AL225,MATCH(Lists!$F$10,$A$1:$AL$1,0))&amp;""))),"")</f>
        <v/>
      </c>
      <c r="AY225" s="21">
        <f>IF(IFERROR(TRIM(INDEX($A225:$AL225,MATCH(Lists!$F$2,$A$1:$AL$1,0))&amp;""),"")="","",IF(AN225="","New",AN225))</f>
        <v/>
      </c>
      <c r="AZ225" s="21">
        <f>IF(IFERROR(TRIM(INDEX($A225:$AL225,MATCH(Lists!$F$2,$A$1:$AL$1,0))&amp;""),"")="","",IF(OR(IFERROR(TRIM(INDEX($A225:$AL225,MATCH(Lists!$F$13,$A$1:$AL$1,0))&amp;""),"")="Paid",IFERROR(TRIM(INDEX($A225:$AL225,MATCH(Lists!$F$13,$A$1:$AL$1,0))&amp;""),"")="Partially refunded"),"Paid",IF(AP225="Yes","Paid (by hand)",IFERROR(TRIM(INDEX($A225:$AL225,MATCH(Lists!$F$13,$A$1:$AL$1,0))&amp;""),""))))</f>
        <v/>
      </c>
      <c r="BA225" s="21">
        <f>IF(AND(IFERROR(TRIM(INDEX($A225:$AL225,MATCH(Lists!$F$2,$A$1:$AL$1,0))&amp;""),"")&lt;&gt;"",AT225&gt;0,AU225&gt;=0,AV225&gt;AU225,AY225&lt;&gt;"Declined"),1,0)</f>
        <v/>
      </c>
      <c r="BB225" s="21">
        <f>IF(BA225=1,COUNTIFS($AS$2:$AS$501,AS225,$AT$2:$AT$501,AT225,$AU$2:$AU$501,"&lt;"&amp;AV225,$AV$2:$AV$501,"&gt;"&amp;AU225,$BA$2:$BA$501,1)-1,"")</f>
        <v/>
      </c>
      <c r="BC225" s="21">
        <f>IF(N(BB225)&gt;0,"Clashes with "&amp;INDEX($AW$2:$AW$501,SUMPRODUCT(MAX(($AS$2:$AS$501=AS225)*($AT$2:$AT$501=AT225)*($AU$2:$AU$501&lt;AV225)*($AV$2:$AV$501&gt;AU225)*($BA$2:$BA$501=1)*(ROW($AS$2:$AS$501)&lt;&gt;ROW())*ROW($AS$2:$AS$501)))-1)&amp;" ("&amp;INDEX($AY$2:$AY$501,SUMPRODUCT(MAX(($AS$2:$AS$501=AS225)*($AT$2:$AT$501=AT225)*($AU$2:$AU$501&lt;AV225)*($AV$2:$AV$501&gt;AU225)*($BA$2:$BA$501=1)*(ROW($AS$2:$AS$501)&lt;&gt;ROW())*ROW($AS$2:$AS$501)))-1)&amp;")"&amp;IF(BB225&gt;1," and "&amp;(BB225-1)&amp;" more",""),"")</f>
        <v/>
      </c>
      <c r="BD225" s="21">
        <f>IF(AND(BA225=1,AY225="Confirmed"),AT225*10000000+AU225*1000+ROW(),"")</f>
        <v/>
      </c>
      <c r="BE225" s="21">
        <f>IF(IFERROR(TRIM(INDEX($A225:$AL225,MATCH(Lists!$F$2,$A$1:$AL$1,0))&amp;""),"")="","",IFERROR(TRIM(INDEX($A225:$AL225,MATCH(Lists!$F$11,$A$1:$AL$1,0))&amp;""),""))</f>
        <v/>
      </c>
      <c r="BF225" s="21">
        <f>IF(IFERROR(TRIM(INDEX($A225:$AL225,MATCH(Lists!$F$2,$A$1:$AL$1,0))&amp;""),"")="","",IFERROR(TRIM(INDEX($A225:$AL225,MATCH(Lists!$F$12,$A$1:$AL$1,0))&amp;""),""))</f>
        <v/>
      </c>
    </row>
    <row r="226">
      <c r="AM226" s="19" t="n"/>
      <c r="AN226" s="23" t="n"/>
      <c r="AO226" s="23" t="n"/>
      <c r="AP226" s="23" t="n"/>
      <c r="AQ226" s="23" t="n"/>
      <c r="AR226" s="19" t="n"/>
      <c r="AS226" s="21">
        <f>IF(IFERROR(TRIM(INDEX($A226:$AL226,MATCH(Lists!$F$2,$A$1:$AL$1,0))&amp;""),"")="","",IF(AND(IFERROR(TRIM(INDEX($A226:$AL226,MATCH(Lists!$F$3,$A$1:$AL$1,0))&amp;""),"")="Other",IFERROR(TRIM(INDEX($A226:$AL226,MATCH(Lists!$F$4,$A$1:$AL$1,0))&amp;""),"")&lt;&gt;""),IFERROR(TRIM(INDEX($A226:$AL226,MATCH(Lists!$F$4,$A$1:$AL$1,0))&amp;""),""),IF(IFERROR(TRIM(INDEX($A226:$AL226,MATCH(Lists!$F$3,$A$1:$AL$1,0))&amp;""),"")="","(no space)",IFERROR(TRIM(INDEX($A226:$AL226,MATCH(Lists!$F$3,$A$1:$AL$1,0))&amp;""),""))))</f>
        <v/>
      </c>
      <c r="AT226" s="22">
        <f>IF(IFERROR(TRIM(INDEX($A226:$AL226,MATCH(Lists!$F$2,$A$1:$AL$1,0))&amp;""),"")="",0,N(IFERROR(IF(TRIM(INDEX($A226:$AL226,MATCH(Lists!$F$5,$A$1:$AL$1,0))&amp;"")="","",IF(ISNUMBER(INDEX($A226:$AL226,MATCH(Lists!$F$5,$A$1:$AL$1,0))),INT(INDEX($A226:$AL226,MATCH(Lists!$F$5,$A$1:$AL$1,0))),DATE(VALUE(LEFT(INDEX($A226:$AL226,MATCH(Lists!$F$5,$A$1:$AL$1,0)),4)),VALUE(MID(INDEX($A226:$AL226,MATCH(Lists!$F$5,$A$1:$AL$1,0)),6,2)),VALUE(MID(INDEX($A226:$AL226,MATCH(Lists!$F$5,$A$1:$AL$1,0)),9,2))))),"")))</f>
        <v/>
      </c>
      <c r="AU226" s="21">
        <f>IF(IFERROR(TRIM(INDEX($A226:$AL226,MATCH(Lists!$F$2,$A$1:$AL$1,0))&amp;""),"")="",-1,IF(ISNUMBER(IFERROR(IF(TRIM(INDEX($A226:$AL226,MATCH(Lists!$F$6,$A$1:$AL$1,0))&amp;"")="","",IF(ISNUMBER(INDEX($A226:$AL226,MATCH(Lists!$F$6,$A$1:$AL$1,0))),ROUND(MOD(INDEX($A226:$AL226,MATCH(Lists!$F$6,$A$1:$AL$1,0)),1)*1440,0),VALUE(LEFT(INDEX($A226:$AL226,MATCH(Lists!$F$6,$A$1:$AL$1,0)),2))*60+VALUE(MID(INDEX($A226:$AL226,MATCH(Lists!$F$6,$A$1:$AL$1,0)),4,2)))),"")),IFERROR(IF(TRIM(INDEX($A226:$AL226,MATCH(Lists!$F$6,$A$1:$AL$1,0))&amp;"")="","",IF(ISNUMBER(INDEX($A226:$AL226,MATCH(Lists!$F$6,$A$1:$AL$1,0))),ROUND(MOD(INDEX($A226:$AL226,MATCH(Lists!$F$6,$A$1:$AL$1,0)),1)*1440,0),VALUE(LEFT(INDEX($A226:$AL226,MATCH(Lists!$F$6,$A$1:$AL$1,0)),2))*60+VALUE(MID(INDEX($A226:$AL226,MATCH(Lists!$F$6,$A$1:$AL$1,0)),4,2)))),""),-1))</f>
        <v/>
      </c>
      <c r="AV226" s="21">
        <f>IF(IFERROR(TRIM(INDEX($A226:$AL226,MATCH(Lists!$F$2,$A$1:$AL$1,0))&amp;""),"")="",-1,IF(ISNUMBER(IFERROR(IF(TRIM(INDEX($A226:$AL226,MATCH(Lists!$F$7,$A$1:$AL$1,0))&amp;"")="","",IF(ISNUMBER(INDEX($A226:$AL226,MATCH(Lists!$F$7,$A$1:$AL$1,0))),ROUND(MOD(INDEX($A226:$AL226,MATCH(Lists!$F$7,$A$1:$AL$1,0)),1)*1440,0),VALUE(LEFT(INDEX($A226:$AL226,MATCH(Lists!$F$7,$A$1:$AL$1,0)),2))*60+VALUE(MID(INDEX($A226:$AL226,MATCH(Lists!$F$7,$A$1:$AL$1,0)),4,2)))),"")),IFERROR(IF(TRIM(INDEX($A226:$AL226,MATCH(Lists!$F$7,$A$1:$AL$1,0))&amp;"")="","",IF(ISNUMBER(INDEX($A226:$AL226,MATCH(Lists!$F$7,$A$1:$AL$1,0))),ROUND(MOD(INDEX($A226:$AL226,MATCH(Lists!$F$7,$A$1:$AL$1,0)),1)*1440,0),VALUE(LEFT(INDEX($A226:$AL226,MATCH(Lists!$F$7,$A$1:$AL$1,0)),2))*60+VALUE(MID(INDEX($A226:$AL226,MATCH(Lists!$F$7,$A$1:$AL$1,0)),4,2)))),""),-1))</f>
        <v/>
      </c>
      <c r="AW226" s="21">
        <f>IF(IFERROR(TRIM(INDEX($A226:$AL226,MATCH(Lists!$F$2,$A$1:$AL$1,0))&amp;""),"")="","",IF(IFERROR(TRIM(INDEX($A226:$AL226,MATCH(Lists!$F$8,$A$1:$AL$1,0))&amp;""),"")&lt;&gt;"",IFERROR(TRIM(INDEX($A226:$AL226,MATCH(Lists!$F$8,$A$1:$AL$1,0))&amp;""),""),IFERROR(TRIM(INDEX($A226:$AL226,MATCH(Lists!$F$9,$A$1:$AL$1,0))&amp;""),"")))</f>
        <v/>
      </c>
      <c r="AX226" s="21">
        <f>IFERROR(IF(TRIM(INDEX($A226:$AL226,MATCH(Lists!$F$10,$A$1:$AL$1,0))&amp;"")="","",VALUE(TRIM(INDEX($A226:$AL226,MATCH(Lists!$F$10,$A$1:$AL$1,0))&amp;""))),"")</f>
        <v/>
      </c>
      <c r="AY226" s="21">
        <f>IF(IFERROR(TRIM(INDEX($A226:$AL226,MATCH(Lists!$F$2,$A$1:$AL$1,0))&amp;""),"")="","",IF(AN226="","New",AN226))</f>
        <v/>
      </c>
      <c r="AZ226" s="21">
        <f>IF(IFERROR(TRIM(INDEX($A226:$AL226,MATCH(Lists!$F$2,$A$1:$AL$1,0))&amp;""),"")="","",IF(OR(IFERROR(TRIM(INDEX($A226:$AL226,MATCH(Lists!$F$13,$A$1:$AL$1,0))&amp;""),"")="Paid",IFERROR(TRIM(INDEX($A226:$AL226,MATCH(Lists!$F$13,$A$1:$AL$1,0))&amp;""),"")="Partially refunded"),"Paid",IF(AP226="Yes","Paid (by hand)",IFERROR(TRIM(INDEX($A226:$AL226,MATCH(Lists!$F$13,$A$1:$AL$1,0))&amp;""),""))))</f>
        <v/>
      </c>
      <c r="BA226" s="21">
        <f>IF(AND(IFERROR(TRIM(INDEX($A226:$AL226,MATCH(Lists!$F$2,$A$1:$AL$1,0))&amp;""),"")&lt;&gt;"",AT226&gt;0,AU226&gt;=0,AV226&gt;AU226,AY226&lt;&gt;"Declined"),1,0)</f>
        <v/>
      </c>
      <c r="BB226" s="21">
        <f>IF(BA226=1,COUNTIFS($AS$2:$AS$501,AS226,$AT$2:$AT$501,AT226,$AU$2:$AU$501,"&lt;"&amp;AV226,$AV$2:$AV$501,"&gt;"&amp;AU226,$BA$2:$BA$501,1)-1,"")</f>
        <v/>
      </c>
      <c r="BC226" s="21">
        <f>IF(N(BB226)&gt;0,"Clashes with "&amp;INDEX($AW$2:$AW$501,SUMPRODUCT(MAX(($AS$2:$AS$501=AS226)*($AT$2:$AT$501=AT226)*($AU$2:$AU$501&lt;AV226)*($AV$2:$AV$501&gt;AU226)*($BA$2:$BA$501=1)*(ROW($AS$2:$AS$501)&lt;&gt;ROW())*ROW($AS$2:$AS$501)))-1)&amp;" ("&amp;INDEX($AY$2:$AY$501,SUMPRODUCT(MAX(($AS$2:$AS$501=AS226)*($AT$2:$AT$501=AT226)*($AU$2:$AU$501&lt;AV226)*($AV$2:$AV$501&gt;AU226)*($BA$2:$BA$501=1)*(ROW($AS$2:$AS$501)&lt;&gt;ROW())*ROW($AS$2:$AS$501)))-1)&amp;")"&amp;IF(BB226&gt;1," and "&amp;(BB226-1)&amp;" more",""),"")</f>
        <v/>
      </c>
      <c r="BD226" s="21">
        <f>IF(AND(BA226=1,AY226="Confirmed"),AT226*10000000+AU226*1000+ROW(),"")</f>
        <v/>
      </c>
      <c r="BE226" s="21">
        <f>IF(IFERROR(TRIM(INDEX($A226:$AL226,MATCH(Lists!$F$2,$A$1:$AL$1,0))&amp;""),"")="","",IFERROR(TRIM(INDEX($A226:$AL226,MATCH(Lists!$F$11,$A$1:$AL$1,0))&amp;""),""))</f>
        <v/>
      </c>
      <c r="BF226" s="21">
        <f>IF(IFERROR(TRIM(INDEX($A226:$AL226,MATCH(Lists!$F$2,$A$1:$AL$1,0))&amp;""),"")="","",IFERROR(TRIM(INDEX($A226:$AL226,MATCH(Lists!$F$12,$A$1:$AL$1,0))&amp;""),""))</f>
        <v/>
      </c>
    </row>
    <row r="227">
      <c r="AM227" s="19" t="n"/>
      <c r="AN227" s="23" t="n"/>
      <c r="AO227" s="23" t="n"/>
      <c r="AP227" s="23" t="n"/>
      <c r="AQ227" s="23" t="n"/>
      <c r="AR227" s="19" t="n"/>
      <c r="AS227" s="21">
        <f>IF(IFERROR(TRIM(INDEX($A227:$AL227,MATCH(Lists!$F$2,$A$1:$AL$1,0))&amp;""),"")="","",IF(AND(IFERROR(TRIM(INDEX($A227:$AL227,MATCH(Lists!$F$3,$A$1:$AL$1,0))&amp;""),"")="Other",IFERROR(TRIM(INDEX($A227:$AL227,MATCH(Lists!$F$4,$A$1:$AL$1,0))&amp;""),"")&lt;&gt;""),IFERROR(TRIM(INDEX($A227:$AL227,MATCH(Lists!$F$4,$A$1:$AL$1,0))&amp;""),""),IF(IFERROR(TRIM(INDEX($A227:$AL227,MATCH(Lists!$F$3,$A$1:$AL$1,0))&amp;""),"")="","(no space)",IFERROR(TRIM(INDEX($A227:$AL227,MATCH(Lists!$F$3,$A$1:$AL$1,0))&amp;""),""))))</f>
        <v/>
      </c>
      <c r="AT227" s="22">
        <f>IF(IFERROR(TRIM(INDEX($A227:$AL227,MATCH(Lists!$F$2,$A$1:$AL$1,0))&amp;""),"")="",0,N(IFERROR(IF(TRIM(INDEX($A227:$AL227,MATCH(Lists!$F$5,$A$1:$AL$1,0))&amp;"")="","",IF(ISNUMBER(INDEX($A227:$AL227,MATCH(Lists!$F$5,$A$1:$AL$1,0))),INT(INDEX($A227:$AL227,MATCH(Lists!$F$5,$A$1:$AL$1,0))),DATE(VALUE(LEFT(INDEX($A227:$AL227,MATCH(Lists!$F$5,$A$1:$AL$1,0)),4)),VALUE(MID(INDEX($A227:$AL227,MATCH(Lists!$F$5,$A$1:$AL$1,0)),6,2)),VALUE(MID(INDEX($A227:$AL227,MATCH(Lists!$F$5,$A$1:$AL$1,0)),9,2))))),"")))</f>
        <v/>
      </c>
      <c r="AU227" s="21">
        <f>IF(IFERROR(TRIM(INDEX($A227:$AL227,MATCH(Lists!$F$2,$A$1:$AL$1,0))&amp;""),"")="",-1,IF(ISNUMBER(IFERROR(IF(TRIM(INDEX($A227:$AL227,MATCH(Lists!$F$6,$A$1:$AL$1,0))&amp;"")="","",IF(ISNUMBER(INDEX($A227:$AL227,MATCH(Lists!$F$6,$A$1:$AL$1,0))),ROUND(MOD(INDEX($A227:$AL227,MATCH(Lists!$F$6,$A$1:$AL$1,0)),1)*1440,0),VALUE(LEFT(INDEX($A227:$AL227,MATCH(Lists!$F$6,$A$1:$AL$1,0)),2))*60+VALUE(MID(INDEX($A227:$AL227,MATCH(Lists!$F$6,$A$1:$AL$1,0)),4,2)))),"")),IFERROR(IF(TRIM(INDEX($A227:$AL227,MATCH(Lists!$F$6,$A$1:$AL$1,0))&amp;"")="","",IF(ISNUMBER(INDEX($A227:$AL227,MATCH(Lists!$F$6,$A$1:$AL$1,0))),ROUND(MOD(INDEX($A227:$AL227,MATCH(Lists!$F$6,$A$1:$AL$1,0)),1)*1440,0),VALUE(LEFT(INDEX($A227:$AL227,MATCH(Lists!$F$6,$A$1:$AL$1,0)),2))*60+VALUE(MID(INDEX($A227:$AL227,MATCH(Lists!$F$6,$A$1:$AL$1,0)),4,2)))),""),-1))</f>
        <v/>
      </c>
      <c r="AV227" s="21">
        <f>IF(IFERROR(TRIM(INDEX($A227:$AL227,MATCH(Lists!$F$2,$A$1:$AL$1,0))&amp;""),"")="",-1,IF(ISNUMBER(IFERROR(IF(TRIM(INDEX($A227:$AL227,MATCH(Lists!$F$7,$A$1:$AL$1,0))&amp;"")="","",IF(ISNUMBER(INDEX($A227:$AL227,MATCH(Lists!$F$7,$A$1:$AL$1,0))),ROUND(MOD(INDEX($A227:$AL227,MATCH(Lists!$F$7,$A$1:$AL$1,0)),1)*1440,0),VALUE(LEFT(INDEX($A227:$AL227,MATCH(Lists!$F$7,$A$1:$AL$1,0)),2))*60+VALUE(MID(INDEX($A227:$AL227,MATCH(Lists!$F$7,$A$1:$AL$1,0)),4,2)))),"")),IFERROR(IF(TRIM(INDEX($A227:$AL227,MATCH(Lists!$F$7,$A$1:$AL$1,0))&amp;"")="","",IF(ISNUMBER(INDEX($A227:$AL227,MATCH(Lists!$F$7,$A$1:$AL$1,0))),ROUND(MOD(INDEX($A227:$AL227,MATCH(Lists!$F$7,$A$1:$AL$1,0)),1)*1440,0),VALUE(LEFT(INDEX($A227:$AL227,MATCH(Lists!$F$7,$A$1:$AL$1,0)),2))*60+VALUE(MID(INDEX($A227:$AL227,MATCH(Lists!$F$7,$A$1:$AL$1,0)),4,2)))),""),-1))</f>
        <v/>
      </c>
      <c r="AW227" s="21">
        <f>IF(IFERROR(TRIM(INDEX($A227:$AL227,MATCH(Lists!$F$2,$A$1:$AL$1,0))&amp;""),"")="","",IF(IFERROR(TRIM(INDEX($A227:$AL227,MATCH(Lists!$F$8,$A$1:$AL$1,0))&amp;""),"")&lt;&gt;"",IFERROR(TRIM(INDEX($A227:$AL227,MATCH(Lists!$F$8,$A$1:$AL$1,0))&amp;""),""),IFERROR(TRIM(INDEX($A227:$AL227,MATCH(Lists!$F$9,$A$1:$AL$1,0))&amp;""),"")))</f>
        <v/>
      </c>
      <c r="AX227" s="21">
        <f>IFERROR(IF(TRIM(INDEX($A227:$AL227,MATCH(Lists!$F$10,$A$1:$AL$1,0))&amp;"")="","",VALUE(TRIM(INDEX($A227:$AL227,MATCH(Lists!$F$10,$A$1:$AL$1,0))&amp;""))),"")</f>
        <v/>
      </c>
      <c r="AY227" s="21">
        <f>IF(IFERROR(TRIM(INDEX($A227:$AL227,MATCH(Lists!$F$2,$A$1:$AL$1,0))&amp;""),"")="","",IF(AN227="","New",AN227))</f>
        <v/>
      </c>
      <c r="AZ227" s="21">
        <f>IF(IFERROR(TRIM(INDEX($A227:$AL227,MATCH(Lists!$F$2,$A$1:$AL$1,0))&amp;""),"")="","",IF(OR(IFERROR(TRIM(INDEX($A227:$AL227,MATCH(Lists!$F$13,$A$1:$AL$1,0))&amp;""),"")="Paid",IFERROR(TRIM(INDEX($A227:$AL227,MATCH(Lists!$F$13,$A$1:$AL$1,0))&amp;""),"")="Partially refunded"),"Paid",IF(AP227="Yes","Paid (by hand)",IFERROR(TRIM(INDEX($A227:$AL227,MATCH(Lists!$F$13,$A$1:$AL$1,0))&amp;""),""))))</f>
        <v/>
      </c>
      <c r="BA227" s="21">
        <f>IF(AND(IFERROR(TRIM(INDEX($A227:$AL227,MATCH(Lists!$F$2,$A$1:$AL$1,0))&amp;""),"")&lt;&gt;"",AT227&gt;0,AU227&gt;=0,AV227&gt;AU227,AY227&lt;&gt;"Declined"),1,0)</f>
        <v/>
      </c>
      <c r="BB227" s="21">
        <f>IF(BA227=1,COUNTIFS($AS$2:$AS$501,AS227,$AT$2:$AT$501,AT227,$AU$2:$AU$501,"&lt;"&amp;AV227,$AV$2:$AV$501,"&gt;"&amp;AU227,$BA$2:$BA$501,1)-1,"")</f>
        <v/>
      </c>
      <c r="BC227" s="21">
        <f>IF(N(BB227)&gt;0,"Clashes with "&amp;INDEX($AW$2:$AW$501,SUMPRODUCT(MAX(($AS$2:$AS$501=AS227)*($AT$2:$AT$501=AT227)*($AU$2:$AU$501&lt;AV227)*($AV$2:$AV$501&gt;AU227)*($BA$2:$BA$501=1)*(ROW($AS$2:$AS$501)&lt;&gt;ROW())*ROW($AS$2:$AS$501)))-1)&amp;" ("&amp;INDEX($AY$2:$AY$501,SUMPRODUCT(MAX(($AS$2:$AS$501=AS227)*($AT$2:$AT$501=AT227)*($AU$2:$AU$501&lt;AV227)*($AV$2:$AV$501&gt;AU227)*($BA$2:$BA$501=1)*(ROW($AS$2:$AS$501)&lt;&gt;ROW())*ROW($AS$2:$AS$501)))-1)&amp;")"&amp;IF(BB227&gt;1," and "&amp;(BB227-1)&amp;" more",""),"")</f>
        <v/>
      </c>
      <c r="BD227" s="21">
        <f>IF(AND(BA227=1,AY227="Confirmed"),AT227*10000000+AU227*1000+ROW(),"")</f>
        <v/>
      </c>
      <c r="BE227" s="21">
        <f>IF(IFERROR(TRIM(INDEX($A227:$AL227,MATCH(Lists!$F$2,$A$1:$AL$1,0))&amp;""),"")="","",IFERROR(TRIM(INDEX($A227:$AL227,MATCH(Lists!$F$11,$A$1:$AL$1,0))&amp;""),""))</f>
        <v/>
      </c>
      <c r="BF227" s="21">
        <f>IF(IFERROR(TRIM(INDEX($A227:$AL227,MATCH(Lists!$F$2,$A$1:$AL$1,0))&amp;""),"")="","",IFERROR(TRIM(INDEX($A227:$AL227,MATCH(Lists!$F$12,$A$1:$AL$1,0))&amp;""),""))</f>
        <v/>
      </c>
    </row>
    <row r="228">
      <c r="AM228" s="19" t="n"/>
      <c r="AN228" s="23" t="n"/>
      <c r="AO228" s="23" t="n"/>
      <c r="AP228" s="23" t="n"/>
      <c r="AQ228" s="23" t="n"/>
      <c r="AR228" s="19" t="n"/>
      <c r="AS228" s="21">
        <f>IF(IFERROR(TRIM(INDEX($A228:$AL228,MATCH(Lists!$F$2,$A$1:$AL$1,0))&amp;""),"")="","",IF(AND(IFERROR(TRIM(INDEX($A228:$AL228,MATCH(Lists!$F$3,$A$1:$AL$1,0))&amp;""),"")="Other",IFERROR(TRIM(INDEX($A228:$AL228,MATCH(Lists!$F$4,$A$1:$AL$1,0))&amp;""),"")&lt;&gt;""),IFERROR(TRIM(INDEX($A228:$AL228,MATCH(Lists!$F$4,$A$1:$AL$1,0))&amp;""),""),IF(IFERROR(TRIM(INDEX($A228:$AL228,MATCH(Lists!$F$3,$A$1:$AL$1,0))&amp;""),"")="","(no space)",IFERROR(TRIM(INDEX($A228:$AL228,MATCH(Lists!$F$3,$A$1:$AL$1,0))&amp;""),""))))</f>
        <v/>
      </c>
      <c r="AT228" s="22">
        <f>IF(IFERROR(TRIM(INDEX($A228:$AL228,MATCH(Lists!$F$2,$A$1:$AL$1,0))&amp;""),"")="",0,N(IFERROR(IF(TRIM(INDEX($A228:$AL228,MATCH(Lists!$F$5,$A$1:$AL$1,0))&amp;"")="","",IF(ISNUMBER(INDEX($A228:$AL228,MATCH(Lists!$F$5,$A$1:$AL$1,0))),INT(INDEX($A228:$AL228,MATCH(Lists!$F$5,$A$1:$AL$1,0))),DATE(VALUE(LEFT(INDEX($A228:$AL228,MATCH(Lists!$F$5,$A$1:$AL$1,0)),4)),VALUE(MID(INDEX($A228:$AL228,MATCH(Lists!$F$5,$A$1:$AL$1,0)),6,2)),VALUE(MID(INDEX($A228:$AL228,MATCH(Lists!$F$5,$A$1:$AL$1,0)),9,2))))),"")))</f>
        <v/>
      </c>
      <c r="AU228" s="21">
        <f>IF(IFERROR(TRIM(INDEX($A228:$AL228,MATCH(Lists!$F$2,$A$1:$AL$1,0))&amp;""),"")="",-1,IF(ISNUMBER(IFERROR(IF(TRIM(INDEX($A228:$AL228,MATCH(Lists!$F$6,$A$1:$AL$1,0))&amp;"")="","",IF(ISNUMBER(INDEX($A228:$AL228,MATCH(Lists!$F$6,$A$1:$AL$1,0))),ROUND(MOD(INDEX($A228:$AL228,MATCH(Lists!$F$6,$A$1:$AL$1,0)),1)*1440,0),VALUE(LEFT(INDEX($A228:$AL228,MATCH(Lists!$F$6,$A$1:$AL$1,0)),2))*60+VALUE(MID(INDEX($A228:$AL228,MATCH(Lists!$F$6,$A$1:$AL$1,0)),4,2)))),"")),IFERROR(IF(TRIM(INDEX($A228:$AL228,MATCH(Lists!$F$6,$A$1:$AL$1,0))&amp;"")="","",IF(ISNUMBER(INDEX($A228:$AL228,MATCH(Lists!$F$6,$A$1:$AL$1,0))),ROUND(MOD(INDEX($A228:$AL228,MATCH(Lists!$F$6,$A$1:$AL$1,0)),1)*1440,0),VALUE(LEFT(INDEX($A228:$AL228,MATCH(Lists!$F$6,$A$1:$AL$1,0)),2))*60+VALUE(MID(INDEX($A228:$AL228,MATCH(Lists!$F$6,$A$1:$AL$1,0)),4,2)))),""),-1))</f>
        <v/>
      </c>
      <c r="AV228" s="21">
        <f>IF(IFERROR(TRIM(INDEX($A228:$AL228,MATCH(Lists!$F$2,$A$1:$AL$1,0))&amp;""),"")="",-1,IF(ISNUMBER(IFERROR(IF(TRIM(INDEX($A228:$AL228,MATCH(Lists!$F$7,$A$1:$AL$1,0))&amp;"")="","",IF(ISNUMBER(INDEX($A228:$AL228,MATCH(Lists!$F$7,$A$1:$AL$1,0))),ROUND(MOD(INDEX($A228:$AL228,MATCH(Lists!$F$7,$A$1:$AL$1,0)),1)*1440,0),VALUE(LEFT(INDEX($A228:$AL228,MATCH(Lists!$F$7,$A$1:$AL$1,0)),2))*60+VALUE(MID(INDEX($A228:$AL228,MATCH(Lists!$F$7,$A$1:$AL$1,0)),4,2)))),"")),IFERROR(IF(TRIM(INDEX($A228:$AL228,MATCH(Lists!$F$7,$A$1:$AL$1,0))&amp;"")="","",IF(ISNUMBER(INDEX($A228:$AL228,MATCH(Lists!$F$7,$A$1:$AL$1,0))),ROUND(MOD(INDEX($A228:$AL228,MATCH(Lists!$F$7,$A$1:$AL$1,0)),1)*1440,0),VALUE(LEFT(INDEX($A228:$AL228,MATCH(Lists!$F$7,$A$1:$AL$1,0)),2))*60+VALUE(MID(INDEX($A228:$AL228,MATCH(Lists!$F$7,$A$1:$AL$1,0)),4,2)))),""),-1))</f>
        <v/>
      </c>
      <c r="AW228" s="21">
        <f>IF(IFERROR(TRIM(INDEX($A228:$AL228,MATCH(Lists!$F$2,$A$1:$AL$1,0))&amp;""),"")="","",IF(IFERROR(TRIM(INDEX($A228:$AL228,MATCH(Lists!$F$8,$A$1:$AL$1,0))&amp;""),"")&lt;&gt;"",IFERROR(TRIM(INDEX($A228:$AL228,MATCH(Lists!$F$8,$A$1:$AL$1,0))&amp;""),""),IFERROR(TRIM(INDEX($A228:$AL228,MATCH(Lists!$F$9,$A$1:$AL$1,0))&amp;""),"")))</f>
        <v/>
      </c>
      <c r="AX228" s="21">
        <f>IFERROR(IF(TRIM(INDEX($A228:$AL228,MATCH(Lists!$F$10,$A$1:$AL$1,0))&amp;"")="","",VALUE(TRIM(INDEX($A228:$AL228,MATCH(Lists!$F$10,$A$1:$AL$1,0))&amp;""))),"")</f>
        <v/>
      </c>
      <c r="AY228" s="21">
        <f>IF(IFERROR(TRIM(INDEX($A228:$AL228,MATCH(Lists!$F$2,$A$1:$AL$1,0))&amp;""),"")="","",IF(AN228="","New",AN228))</f>
        <v/>
      </c>
      <c r="AZ228" s="21">
        <f>IF(IFERROR(TRIM(INDEX($A228:$AL228,MATCH(Lists!$F$2,$A$1:$AL$1,0))&amp;""),"")="","",IF(OR(IFERROR(TRIM(INDEX($A228:$AL228,MATCH(Lists!$F$13,$A$1:$AL$1,0))&amp;""),"")="Paid",IFERROR(TRIM(INDEX($A228:$AL228,MATCH(Lists!$F$13,$A$1:$AL$1,0))&amp;""),"")="Partially refunded"),"Paid",IF(AP228="Yes","Paid (by hand)",IFERROR(TRIM(INDEX($A228:$AL228,MATCH(Lists!$F$13,$A$1:$AL$1,0))&amp;""),""))))</f>
        <v/>
      </c>
      <c r="BA228" s="21">
        <f>IF(AND(IFERROR(TRIM(INDEX($A228:$AL228,MATCH(Lists!$F$2,$A$1:$AL$1,0))&amp;""),"")&lt;&gt;"",AT228&gt;0,AU228&gt;=0,AV228&gt;AU228,AY228&lt;&gt;"Declined"),1,0)</f>
        <v/>
      </c>
      <c r="BB228" s="21">
        <f>IF(BA228=1,COUNTIFS($AS$2:$AS$501,AS228,$AT$2:$AT$501,AT228,$AU$2:$AU$501,"&lt;"&amp;AV228,$AV$2:$AV$501,"&gt;"&amp;AU228,$BA$2:$BA$501,1)-1,"")</f>
        <v/>
      </c>
      <c r="BC228" s="21">
        <f>IF(N(BB228)&gt;0,"Clashes with "&amp;INDEX($AW$2:$AW$501,SUMPRODUCT(MAX(($AS$2:$AS$501=AS228)*($AT$2:$AT$501=AT228)*($AU$2:$AU$501&lt;AV228)*($AV$2:$AV$501&gt;AU228)*($BA$2:$BA$501=1)*(ROW($AS$2:$AS$501)&lt;&gt;ROW())*ROW($AS$2:$AS$501)))-1)&amp;" ("&amp;INDEX($AY$2:$AY$501,SUMPRODUCT(MAX(($AS$2:$AS$501=AS228)*($AT$2:$AT$501=AT228)*($AU$2:$AU$501&lt;AV228)*($AV$2:$AV$501&gt;AU228)*($BA$2:$BA$501=1)*(ROW($AS$2:$AS$501)&lt;&gt;ROW())*ROW($AS$2:$AS$501)))-1)&amp;")"&amp;IF(BB228&gt;1," and "&amp;(BB228-1)&amp;" more",""),"")</f>
        <v/>
      </c>
      <c r="BD228" s="21">
        <f>IF(AND(BA228=1,AY228="Confirmed"),AT228*10000000+AU228*1000+ROW(),"")</f>
        <v/>
      </c>
      <c r="BE228" s="21">
        <f>IF(IFERROR(TRIM(INDEX($A228:$AL228,MATCH(Lists!$F$2,$A$1:$AL$1,0))&amp;""),"")="","",IFERROR(TRIM(INDEX($A228:$AL228,MATCH(Lists!$F$11,$A$1:$AL$1,0))&amp;""),""))</f>
        <v/>
      </c>
      <c r="BF228" s="21">
        <f>IF(IFERROR(TRIM(INDEX($A228:$AL228,MATCH(Lists!$F$2,$A$1:$AL$1,0))&amp;""),"")="","",IFERROR(TRIM(INDEX($A228:$AL228,MATCH(Lists!$F$12,$A$1:$AL$1,0))&amp;""),""))</f>
        <v/>
      </c>
    </row>
    <row r="229">
      <c r="AM229" s="19" t="n"/>
      <c r="AN229" s="23" t="n"/>
      <c r="AO229" s="23" t="n"/>
      <c r="AP229" s="23" t="n"/>
      <c r="AQ229" s="23" t="n"/>
      <c r="AR229" s="19" t="n"/>
      <c r="AS229" s="21">
        <f>IF(IFERROR(TRIM(INDEX($A229:$AL229,MATCH(Lists!$F$2,$A$1:$AL$1,0))&amp;""),"")="","",IF(AND(IFERROR(TRIM(INDEX($A229:$AL229,MATCH(Lists!$F$3,$A$1:$AL$1,0))&amp;""),"")="Other",IFERROR(TRIM(INDEX($A229:$AL229,MATCH(Lists!$F$4,$A$1:$AL$1,0))&amp;""),"")&lt;&gt;""),IFERROR(TRIM(INDEX($A229:$AL229,MATCH(Lists!$F$4,$A$1:$AL$1,0))&amp;""),""),IF(IFERROR(TRIM(INDEX($A229:$AL229,MATCH(Lists!$F$3,$A$1:$AL$1,0))&amp;""),"")="","(no space)",IFERROR(TRIM(INDEX($A229:$AL229,MATCH(Lists!$F$3,$A$1:$AL$1,0))&amp;""),""))))</f>
        <v/>
      </c>
      <c r="AT229" s="22">
        <f>IF(IFERROR(TRIM(INDEX($A229:$AL229,MATCH(Lists!$F$2,$A$1:$AL$1,0))&amp;""),"")="",0,N(IFERROR(IF(TRIM(INDEX($A229:$AL229,MATCH(Lists!$F$5,$A$1:$AL$1,0))&amp;"")="","",IF(ISNUMBER(INDEX($A229:$AL229,MATCH(Lists!$F$5,$A$1:$AL$1,0))),INT(INDEX($A229:$AL229,MATCH(Lists!$F$5,$A$1:$AL$1,0))),DATE(VALUE(LEFT(INDEX($A229:$AL229,MATCH(Lists!$F$5,$A$1:$AL$1,0)),4)),VALUE(MID(INDEX($A229:$AL229,MATCH(Lists!$F$5,$A$1:$AL$1,0)),6,2)),VALUE(MID(INDEX($A229:$AL229,MATCH(Lists!$F$5,$A$1:$AL$1,0)),9,2))))),"")))</f>
        <v/>
      </c>
      <c r="AU229" s="21">
        <f>IF(IFERROR(TRIM(INDEX($A229:$AL229,MATCH(Lists!$F$2,$A$1:$AL$1,0))&amp;""),"")="",-1,IF(ISNUMBER(IFERROR(IF(TRIM(INDEX($A229:$AL229,MATCH(Lists!$F$6,$A$1:$AL$1,0))&amp;"")="","",IF(ISNUMBER(INDEX($A229:$AL229,MATCH(Lists!$F$6,$A$1:$AL$1,0))),ROUND(MOD(INDEX($A229:$AL229,MATCH(Lists!$F$6,$A$1:$AL$1,0)),1)*1440,0),VALUE(LEFT(INDEX($A229:$AL229,MATCH(Lists!$F$6,$A$1:$AL$1,0)),2))*60+VALUE(MID(INDEX($A229:$AL229,MATCH(Lists!$F$6,$A$1:$AL$1,0)),4,2)))),"")),IFERROR(IF(TRIM(INDEX($A229:$AL229,MATCH(Lists!$F$6,$A$1:$AL$1,0))&amp;"")="","",IF(ISNUMBER(INDEX($A229:$AL229,MATCH(Lists!$F$6,$A$1:$AL$1,0))),ROUND(MOD(INDEX($A229:$AL229,MATCH(Lists!$F$6,$A$1:$AL$1,0)),1)*1440,0),VALUE(LEFT(INDEX($A229:$AL229,MATCH(Lists!$F$6,$A$1:$AL$1,0)),2))*60+VALUE(MID(INDEX($A229:$AL229,MATCH(Lists!$F$6,$A$1:$AL$1,0)),4,2)))),""),-1))</f>
        <v/>
      </c>
      <c r="AV229" s="21">
        <f>IF(IFERROR(TRIM(INDEX($A229:$AL229,MATCH(Lists!$F$2,$A$1:$AL$1,0))&amp;""),"")="",-1,IF(ISNUMBER(IFERROR(IF(TRIM(INDEX($A229:$AL229,MATCH(Lists!$F$7,$A$1:$AL$1,0))&amp;"")="","",IF(ISNUMBER(INDEX($A229:$AL229,MATCH(Lists!$F$7,$A$1:$AL$1,0))),ROUND(MOD(INDEX($A229:$AL229,MATCH(Lists!$F$7,$A$1:$AL$1,0)),1)*1440,0),VALUE(LEFT(INDEX($A229:$AL229,MATCH(Lists!$F$7,$A$1:$AL$1,0)),2))*60+VALUE(MID(INDEX($A229:$AL229,MATCH(Lists!$F$7,$A$1:$AL$1,0)),4,2)))),"")),IFERROR(IF(TRIM(INDEX($A229:$AL229,MATCH(Lists!$F$7,$A$1:$AL$1,0))&amp;"")="","",IF(ISNUMBER(INDEX($A229:$AL229,MATCH(Lists!$F$7,$A$1:$AL$1,0))),ROUND(MOD(INDEX($A229:$AL229,MATCH(Lists!$F$7,$A$1:$AL$1,0)),1)*1440,0),VALUE(LEFT(INDEX($A229:$AL229,MATCH(Lists!$F$7,$A$1:$AL$1,0)),2))*60+VALUE(MID(INDEX($A229:$AL229,MATCH(Lists!$F$7,$A$1:$AL$1,0)),4,2)))),""),-1))</f>
        <v/>
      </c>
      <c r="AW229" s="21">
        <f>IF(IFERROR(TRIM(INDEX($A229:$AL229,MATCH(Lists!$F$2,$A$1:$AL$1,0))&amp;""),"")="","",IF(IFERROR(TRIM(INDEX($A229:$AL229,MATCH(Lists!$F$8,$A$1:$AL$1,0))&amp;""),"")&lt;&gt;"",IFERROR(TRIM(INDEX($A229:$AL229,MATCH(Lists!$F$8,$A$1:$AL$1,0))&amp;""),""),IFERROR(TRIM(INDEX($A229:$AL229,MATCH(Lists!$F$9,$A$1:$AL$1,0))&amp;""),"")))</f>
        <v/>
      </c>
      <c r="AX229" s="21">
        <f>IFERROR(IF(TRIM(INDEX($A229:$AL229,MATCH(Lists!$F$10,$A$1:$AL$1,0))&amp;"")="","",VALUE(TRIM(INDEX($A229:$AL229,MATCH(Lists!$F$10,$A$1:$AL$1,0))&amp;""))),"")</f>
        <v/>
      </c>
      <c r="AY229" s="21">
        <f>IF(IFERROR(TRIM(INDEX($A229:$AL229,MATCH(Lists!$F$2,$A$1:$AL$1,0))&amp;""),"")="","",IF(AN229="","New",AN229))</f>
        <v/>
      </c>
      <c r="AZ229" s="21">
        <f>IF(IFERROR(TRIM(INDEX($A229:$AL229,MATCH(Lists!$F$2,$A$1:$AL$1,0))&amp;""),"")="","",IF(OR(IFERROR(TRIM(INDEX($A229:$AL229,MATCH(Lists!$F$13,$A$1:$AL$1,0))&amp;""),"")="Paid",IFERROR(TRIM(INDEX($A229:$AL229,MATCH(Lists!$F$13,$A$1:$AL$1,0))&amp;""),"")="Partially refunded"),"Paid",IF(AP229="Yes","Paid (by hand)",IFERROR(TRIM(INDEX($A229:$AL229,MATCH(Lists!$F$13,$A$1:$AL$1,0))&amp;""),""))))</f>
        <v/>
      </c>
      <c r="BA229" s="21">
        <f>IF(AND(IFERROR(TRIM(INDEX($A229:$AL229,MATCH(Lists!$F$2,$A$1:$AL$1,0))&amp;""),"")&lt;&gt;"",AT229&gt;0,AU229&gt;=0,AV229&gt;AU229,AY229&lt;&gt;"Declined"),1,0)</f>
        <v/>
      </c>
      <c r="BB229" s="21">
        <f>IF(BA229=1,COUNTIFS($AS$2:$AS$501,AS229,$AT$2:$AT$501,AT229,$AU$2:$AU$501,"&lt;"&amp;AV229,$AV$2:$AV$501,"&gt;"&amp;AU229,$BA$2:$BA$501,1)-1,"")</f>
        <v/>
      </c>
      <c r="BC229" s="21">
        <f>IF(N(BB229)&gt;0,"Clashes with "&amp;INDEX($AW$2:$AW$501,SUMPRODUCT(MAX(($AS$2:$AS$501=AS229)*($AT$2:$AT$501=AT229)*($AU$2:$AU$501&lt;AV229)*($AV$2:$AV$501&gt;AU229)*($BA$2:$BA$501=1)*(ROW($AS$2:$AS$501)&lt;&gt;ROW())*ROW($AS$2:$AS$501)))-1)&amp;" ("&amp;INDEX($AY$2:$AY$501,SUMPRODUCT(MAX(($AS$2:$AS$501=AS229)*($AT$2:$AT$501=AT229)*($AU$2:$AU$501&lt;AV229)*($AV$2:$AV$501&gt;AU229)*($BA$2:$BA$501=1)*(ROW($AS$2:$AS$501)&lt;&gt;ROW())*ROW($AS$2:$AS$501)))-1)&amp;")"&amp;IF(BB229&gt;1," and "&amp;(BB229-1)&amp;" more",""),"")</f>
        <v/>
      </c>
      <c r="BD229" s="21">
        <f>IF(AND(BA229=1,AY229="Confirmed"),AT229*10000000+AU229*1000+ROW(),"")</f>
        <v/>
      </c>
      <c r="BE229" s="21">
        <f>IF(IFERROR(TRIM(INDEX($A229:$AL229,MATCH(Lists!$F$2,$A$1:$AL$1,0))&amp;""),"")="","",IFERROR(TRIM(INDEX($A229:$AL229,MATCH(Lists!$F$11,$A$1:$AL$1,0))&amp;""),""))</f>
        <v/>
      </c>
      <c r="BF229" s="21">
        <f>IF(IFERROR(TRIM(INDEX($A229:$AL229,MATCH(Lists!$F$2,$A$1:$AL$1,0))&amp;""),"")="","",IFERROR(TRIM(INDEX($A229:$AL229,MATCH(Lists!$F$12,$A$1:$AL$1,0))&amp;""),""))</f>
        <v/>
      </c>
    </row>
    <row r="230">
      <c r="AM230" s="19" t="n"/>
      <c r="AN230" s="23" t="n"/>
      <c r="AO230" s="23" t="n"/>
      <c r="AP230" s="23" t="n"/>
      <c r="AQ230" s="23" t="n"/>
      <c r="AR230" s="19" t="n"/>
      <c r="AS230" s="21">
        <f>IF(IFERROR(TRIM(INDEX($A230:$AL230,MATCH(Lists!$F$2,$A$1:$AL$1,0))&amp;""),"")="","",IF(AND(IFERROR(TRIM(INDEX($A230:$AL230,MATCH(Lists!$F$3,$A$1:$AL$1,0))&amp;""),"")="Other",IFERROR(TRIM(INDEX($A230:$AL230,MATCH(Lists!$F$4,$A$1:$AL$1,0))&amp;""),"")&lt;&gt;""),IFERROR(TRIM(INDEX($A230:$AL230,MATCH(Lists!$F$4,$A$1:$AL$1,0))&amp;""),""),IF(IFERROR(TRIM(INDEX($A230:$AL230,MATCH(Lists!$F$3,$A$1:$AL$1,0))&amp;""),"")="","(no space)",IFERROR(TRIM(INDEX($A230:$AL230,MATCH(Lists!$F$3,$A$1:$AL$1,0))&amp;""),""))))</f>
        <v/>
      </c>
      <c r="AT230" s="22">
        <f>IF(IFERROR(TRIM(INDEX($A230:$AL230,MATCH(Lists!$F$2,$A$1:$AL$1,0))&amp;""),"")="",0,N(IFERROR(IF(TRIM(INDEX($A230:$AL230,MATCH(Lists!$F$5,$A$1:$AL$1,0))&amp;"")="","",IF(ISNUMBER(INDEX($A230:$AL230,MATCH(Lists!$F$5,$A$1:$AL$1,0))),INT(INDEX($A230:$AL230,MATCH(Lists!$F$5,$A$1:$AL$1,0))),DATE(VALUE(LEFT(INDEX($A230:$AL230,MATCH(Lists!$F$5,$A$1:$AL$1,0)),4)),VALUE(MID(INDEX($A230:$AL230,MATCH(Lists!$F$5,$A$1:$AL$1,0)),6,2)),VALUE(MID(INDEX($A230:$AL230,MATCH(Lists!$F$5,$A$1:$AL$1,0)),9,2))))),"")))</f>
        <v/>
      </c>
      <c r="AU230" s="21">
        <f>IF(IFERROR(TRIM(INDEX($A230:$AL230,MATCH(Lists!$F$2,$A$1:$AL$1,0))&amp;""),"")="",-1,IF(ISNUMBER(IFERROR(IF(TRIM(INDEX($A230:$AL230,MATCH(Lists!$F$6,$A$1:$AL$1,0))&amp;"")="","",IF(ISNUMBER(INDEX($A230:$AL230,MATCH(Lists!$F$6,$A$1:$AL$1,0))),ROUND(MOD(INDEX($A230:$AL230,MATCH(Lists!$F$6,$A$1:$AL$1,0)),1)*1440,0),VALUE(LEFT(INDEX($A230:$AL230,MATCH(Lists!$F$6,$A$1:$AL$1,0)),2))*60+VALUE(MID(INDEX($A230:$AL230,MATCH(Lists!$F$6,$A$1:$AL$1,0)),4,2)))),"")),IFERROR(IF(TRIM(INDEX($A230:$AL230,MATCH(Lists!$F$6,$A$1:$AL$1,0))&amp;"")="","",IF(ISNUMBER(INDEX($A230:$AL230,MATCH(Lists!$F$6,$A$1:$AL$1,0))),ROUND(MOD(INDEX($A230:$AL230,MATCH(Lists!$F$6,$A$1:$AL$1,0)),1)*1440,0),VALUE(LEFT(INDEX($A230:$AL230,MATCH(Lists!$F$6,$A$1:$AL$1,0)),2))*60+VALUE(MID(INDEX($A230:$AL230,MATCH(Lists!$F$6,$A$1:$AL$1,0)),4,2)))),""),-1))</f>
        <v/>
      </c>
      <c r="AV230" s="21">
        <f>IF(IFERROR(TRIM(INDEX($A230:$AL230,MATCH(Lists!$F$2,$A$1:$AL$1,0))&amp;""),"")="",-1,IF(ISNUMBER(IFERROR(IF(TRIM(INDEX($A230:$AL230,MATCH(Lists!$F$7,$A$1:$AL$1,0))&amp;"")="","",IF(ISNUMBER(INDEX($A230:$AL230,MATCH(Lists!$F$7,$A$1:$AL$1,0))),ROUND(MOD(INDEX($A230:$AL230,MATCH(Lists!$F$7,$A$1:$AL$1,0)),1)*1440,0),VALUE(LEFT(INDEX($A230:$AL230,MATCH(Lists!$F$7,$A$1:$AL$1,0)),2))*60+VALUE(MID(INDEX($A230:$AL230,MATCH(Lists!$F$7,$A$1:$AL$1,0)),4,2)))),"")),IFERROR(IF(TRIM(INDEX($A230:$AL230,MATCH(Lists!$F$7,$A$1:$AL$1,0))&amp;"")="","",IF(ISNUMBER(INDEX($A230:$AL230,MATCH(Lists!$F$7,$A$1:$AL$1,0))),ROUND(MOD(INDEX($A230:$AL230,MATCH(Lists!$F$7,$A$1:$AL$1,0)),1)*1440,0),VALUE(LEFT(INDEX($A230:$AL230,MATCH(Lists!$F$7,$A$1:$AL$1,0)),2))*60+VALUE(MID(INDEX($A230:$AL230,MATCH(Lists!$F$7,$A$1:$AL$1,0)),4,2)))),""),-1))</f>
        <v/>
      </c>
      <c r="AW230" s="21">
        <f>IF(IFERROR(TRIM(INDEX($A230:$AL230,MATCH(Lists!$F$2,$A$1:$AL$1,0))&amp;""),"")="","",IF(IFERROR(TRIM(INDEX($A230:$AL230,MATCH(Lists!$F$8,$A$1:$AL$1,0))&amp;""),"")&lt;&gt;"",IFERROR(TRIM(INDEX($A230:$AL230,MATCH(Lists!$F$8,$A$1:$AL$1,0))&amp;""),""),IFERROR(TRIM(INDEX($A230:$AL230,MATCH(Lists!$F$9,$A$1:$AL$1,0))&amp;""),"")))</f>
        <v/>
      </c>
      <c r="AX230" s="21">
        <f>IFERROR(IF(TRIM(INDEX($A230:$AL230,MATCH(Lists!$F$10,$A$1:$AL$1,0))&amp;"")="","",VALUE(TRIM(INDEX($A230:$AL230,MATCH(Lists!$F$10,$A$1:$AL$1,0))&amp;""))),"")</f>
        <v/>
      </c>
      <c r="AY230" s="21">
        <f>IF(IFERROR(TRIM(INDEX($A230:$AL230,MATCH(Lists!$F$2,$A$1:$AL$1,0))&amp;""),"")="","",IF(AN230="","New",AN230))</f>
        <v/>
      </c>
      <c r="AZ230" s="21">
        <f>IF(IFERROR(TRIM(INDEX($A230:$AL230,MATCH(Lists!$F$2,$A$1:$AL$1,0))&amp;""),"")="","",IF(OR(IFERROR(TRIM(INDEX($A230:$AL230,MATCH(Lists!$F$13,$A$1:$AL$1,0))&amp;""),"")="Paid",IFERROR(TRIM(INDEX($A230:$AL230,MATCH(Lists!$F$13,$A$1:$AL$1,0))&amp;""),"")="Partially refunded"),"Paid",IF(AP230="Yes","Paid (by hand)",IFERROR(TRIM(INDEX($A230:$AL230,MATCH(Lists!$F$13,$A$1:$AL$1,0))&amp;""),""))))</f>
        <v/>
      </c>
      <c r="BA230" s="21">
        <f>IF(AND(IFERROR(TRIM(INDEX($A230:$AL230,MATCH(Lists!$F$2,$A$1:$AL$1,0))&amp;""),"")&lt;&gt;"",AT230&gt;0,AU230&gt;=0,AV230&gt;AU230,AY230&lt;&gt;"Declined"),1,0)</f>
        <v/>
      </c>
      <c r="BB230" s="21">
        <f>IF(BA230=1,COUNTIFS($AS$2:$AS$501,AS230,$AT$2:$AT$501,AT230,$AU$2:$AU$501,"&lt;"&amp;AV230,$AV$2:$AV$501,"&gt;"&amp;AU230,$BA$2:$BA$501,1)-1,"")</f>
        <v/>
      </c>
      <c r="BC230" s="21">
        <f>IF(N(BB230)&gt;0,"Clashes with "&amp;INDEX($AW$2:$AW$501,SUMPRODUCT(MAX(($AS$2:$AS$501=AS230)*($AT$2:$AT$501=AT230)*($AU$2:$AU$501&lt;AV230)*($AV$2:$AV$501&gt;AU230)*($BA$2:$BA$501=1)*(ROW($AS$2:$AS$501)&lt;&gt;ROW())*ROW($AS$2:$AS$501)))-1)&amp;" ("&amp;INDEX($AY$2:$AY$501,SUMPRODUCT(MAX(($AS$2:$AS$501=AS230)*($AT$2:$AT$501=AT230)*($AU$2:$AU$501&lt;AV230)*($AV$2:$AV$501&gt;AU230)*($BA$2:$BA$501=1)*(ROW($AS$2:$AS$501)&lt;&gt;ROW())*ROW($AS$2:$AS$501)))-1)&amp;")"&amp;IF(BB230&gt;1," and "&amp;(BB230-1)&amp;" more",""),"")</f>
        <v/>
      </c>
      <c r="BD230" s="21">
        <f>IF(AND(BA230=1,AY230="Confirmed"),AT230*10000000+AU230*1000+ROW(),"")</f>
        <v/>
      </c>
      <c r="BE230" s="21">
        <f>IF(IFERROR(TRIM(INDEX($A230:$AL230,MATCH(Lists!$F$2,$A$1:$AL$1,0))&amp;""),"")="","",IFERROR(TRIM(INDEX($A230:$AL230,MATCH(Lists!$F$11,$A$1:$AL$1,0))&amp;""),""))</f>
        <v/>
      </c>
      <c r="BF230" s="21">
        <f>IF(IFERROR(TRIM(INDEX($A230:$AL230,MATCH(Lists!$F$2,$A$1:$AL$1,0))&amp;""),"")="","",IFERROR(TRIM(INDEX($A230:$AL230,MATCH(Lists!$F$12,$A$1:$AL$1,0))&amp;""),""))</f>
        <v/>
      </c>
    </row>
    <row r="231">
      <c r="AM231" s="19" t="n"/>
      <c r="AN231" s="23" t="n"/>
      <c r="AO231" s="23" t="n"/>
      <c r="AP231" s="23" t="n"/>
      <c r="AQ231" s="23" t="n"/>
      <c r="AR231" s="19" t="n"/>
      <c r="AS231" s="21">
        <f>IF(IFERROR(TRIM(INDEX($A231:$AL231,MATCH(Lists!$F$2,$A$1:$AL$1,0))&amp;""),"")="","",IF(AND(IFERROR(TRIM(INDEX($A231:$AL231,MATCH(Lists!$F$3,$A$1:$AL$1,0))&amp;""),"")="Other",IFERROR(TRIM(INDEX($A231:$AL231,MATCH(Lists!$F$4,$A$1:$AL$1,0))&amp;""),"")&lt;&gt;""),IFERROR(TRIM(INDEX($A231:$AL231,MATCH(Lists!$F$4,$A$1:$AL$1,0))&amp;""),""),IF(IFERROR(TRIM(INDEX($A231:$AL231,MATCH(Lists!$F$3,$A$1:$AL$1,0))&amp;""),"")="","(no space)",IFERROR(TRIM(INDEX($A231:$AL231,MATCH(Lists!$F$3,$A$1:$AL$1,0))&amp;""),""))))</f>
        <v/>
      </c>
      <c r="AT231" s="22">
        <f>IF(IFERROR(TRIM(INDEX($A231:$AL231,MATCH(Lists!$F$2,$A$1:$AL$1,0))&amp;""),"")="",0,N(IFERROR(IF(TRIM(INDEX($A231:$AL231,MATCH(Lists!$F$5,$A$1:$AL$1,0))&amp;"")="","",IF(ISNUMBER(INDEX($A231:$AL231,MATCH(Lists!$F$5,$A$1:$AL$1,0))),INT(INDEX($A231:$AL231,MATCH(Lists!$F$5,$A$1:$AL$1,0))),DATE(VALUE(LEFT(INDEX($A231:$AL231,MATCH(Lists!$F$5,$A$1:$AL$1,0)),4)),VALUE(MID(INDEX($A231:$AL231,MATCH(Lists!$F$5,$A$1:$AL$1,0)),6,2)),VALUE(MID(INDEX($A231:$AL231,MATCH(Lists!$F$5,$A$1:$AL$1,0)),9,2))))),"")))</f>
        <v/>
      </c>
      <c r="AU231" s="21">
        <f>IF(IFERROR(TRIM(INDEX($A231:$AL231,MATCH(Lists!$F$2,$A$1:$AL$1,0))&amp;""),"")="",-1,IF(ISNUMBER(IFERROR(IF(TRIM(INDEX($A231:$AL231,MATCH(Lists!$F$6,$A$1:$AL$1,0))&amp;"")="","",IF(ISNUMBER(INDEX($A231:$AL231,MATCH(Lists!$F$6,$A$1:$AL$1,0))),ROUND(MOD(INDEX($A231:$AL231,MATCH(Lists!$F$6,$A$1:$AL$1,0)),1)*1440,0),VALUE(LEFT(INDEX($A231:$AL231,MATCH(Lists!$F$6,$A$1:$AL$1,0)),2))*60+VALUE(MID(INDEX($A231:$AL231,MATCH(Lists!$F$6,$A$1:$AL$1,0)),4,2)))),"")),IFERROR(IF(TRIM(INDEX($A231:$AL231,MATCH(Lists!$F$6,$A$1:$AL$1,0))&amp;"")="","",IF(ISNUMBER(INDEX($A231:$AL231,MATCH(Lists!$F$6,$A$1:$AL$1,0))),ROUND(MOD(INDEX($A231:$AL231,MATCH(Lists!$F$6,$A$1:$AL$1,0)),1)*1440,0),VALUE(LEFT(INDEX($A231:$AL231,MATCH(Lists!$F$6,$A$1:$AL$1,0)),2))*60+VALUE(MID(INDEX($A231:$AL231,MATCH(Lists!$F$6,$A$1:$AL$1,0)),4,2)))),""),-1))</f>
        <v/>
      </c>
      <c r="AV231" s="21">
        <f>IF(IFERROR(TRIM(INDEX($A231:$AL231,MATCH(Lists!$F$2,$A$1:$AL$1,0))&amp;""),"")="",-1,IF(ISNUMBER(IFERROR(IF(TRIM(INDEX($A231:$AL231,MATCH(Lists!$F$7,$A$1:$AL$1,0))&amp;"")="","",IF(ISNUMBER(INDEX($A231:$AL231,MATCH(Lists!$F$7,$A$1:$AL$1,0))),ROUND(MOD(INDEX($A231:$AL231,MATCH(Lists!$F$7,$A$1:$AL$1,0)),1)*1440,0),VALUE(LEFT(INDEX($A231:$AL231,MATCH(Lists!$F$7,$A$1:$AL$1,0)),2))*60+VALUE(MID(INDEX($A231:$AL231,MATCH(Lists!$F$7,$A$1:$AL$1,0)),4,2)))),"")),IFERROR(IF(TRIM(INDEX($A231:$AL231,MATCH(Lists!$F$7,$A$1:$AL$1,0))&amp;"")="","",IF(ISNUMBER(INDEX($A231:$AL231,MATCH(Lists!$F$7,$A$1:$AL$1,0))),ROUND(MOD(INDEX($A231:$AL231,MATCH(Lists!$F$7,$A$1:$AL$1,0)),1)*1440,0),VALUE(LEFT(INDEX($A231:$AL231,MATCH(Lists!$F$7,$A$1:$AL$1,0)),2))*60+VALUE(MID(INDEX($A231:$AL231,MATCH(Lists!$F$7,$A$1:$AL$1,0)),4,2)))),""),-1))</f>
        <v/>
      </c>
      <c r="AW231" s="21">
        <f>IF(IFERROR(TRIM(INDEX($A231:$AL231,MATCH(Lists!$F$2,$A$1:$AL$1,0))&amp;""),"")="","",IF(IFERROR(TRIM(INDEX($A231:$AL231,MATCH(Lists!$F$8,$A$1:$AL$1,0))&amp;""),"")&lt;&gt;"",IFERROR(TRIM(INDEX($A231:$AL231,MATCH(Lists!$F$8,$A$1:$AL$1,0))&amp;""),""),IFERROR(TRIM(INDEX($A231:$AL231,MATCH(Lists!$F$9,$A$1:$AL$1,0))&amp;""),"")))</f>
        <v/>
      </c>
      <c r="AX231" s="21">
        <f>IFERROR(IF(TRIM(INDEX($A231:$AL231,MATCH(Lists!$F$10,$A$1:$AL$1,0))&amp;"")="","",VALUE(TRIM(INDEX($A231:$AL231,MATCH(Lists!$F$10,$A$1:$AL$1,0))&amp;""))),"")</f>
        <v/>
      </c>
      <c r="AY231" s="21">
        <f>IF(IFERROR(TRIM(INDEX($A231:$AL231,MATCH(Lists!$F$2,$A$1:$AL$1,0))&amp;""),"")="","",IF(AN231="","New",AN231))</f>
        <v/>
      </c>
      <c r="AZ231" s="21">
        <f>IF(IFERROR(TRIM(INDEX($A231:$AL231,MATCH(Lists!$F$2,$A$1:$AL$1,0))&amp;""),"")="","",IF(OR(IFERROR(TRIM(INDEX($A231:$AL231,MATCH(Lists!$F$13,$A$1:$AL$1,0))&amp;""),"")="Paid",IFERROR(TRIM(INDEX($A231:$AL231,MATCH(Lists!$F$13,$A$1:$AL$1,0))&amp;""),"")="Partially refunded"),"Paid",IF(AP231="Yes","Paid (by hand)",IFERROR(TRIM(INDEX($A231:$AL231,MATCH(Lists!$F$13,$A$1:$AL$1,0))&amp;""),""))))</f>
        <v/>
      </c>
      <c r="BA231" s="21">
        <f>IF(AND(IFERROR(TRIM(INDEX($A231:$AL231,MATCH(Lists!$F$2,$A$1:$AL$1,0))&amp;""),"")&lt;&gt;"",AT231&gt;0,AU231&gt;=0,AV231&gt;AU231,AY231&lt;&gt;"Declined"),1,0)</f>
        <v/>
      </c>
      <c r="BB231" s="21">
        <f>IF(BA231=1,COUNTIFS($AS$2:$AS$501,AS231,$AT$2:$AT$501,AT231,$AU$2:$AU$501,"&lt;"&amp;AV231,$AV$2:$AV$501,"&gt;"&amp;AU231,$BA$2:$BA$501,1)-1,"")</f>
        <v/>
      </c>
      <c r="BC231" s="21">
        <f>IF(N(BB231)&gt;0,"Clashes with "&amp;INDEX($AW$2:$AW$501,SUMPRODUCT(MAX(($AS$2:$AS$501=AS231)*($AT$2:$AT$501=AT231)*($AU$2:$AU$501&lt;AV231)*($AV$2:$AV$501&gt;AU231)*($BA$2:$BA$501=1)*(ROW($AS$2:$AS$501)&lt;&gt;ROW())*ROW($AS$2:$AS$501)))-1)&amp;" ("&amp;INDEX($AY$2:$AY$501,SUMPRODUCT(MAX(($AS$2:$AS$501=AS231)*($AT$2:$AT$501=AT231)*($AU$2:$AU$501&lt;AV231)*($AV$2:$AV$501&gt;AU231)*($BA$2:$BA$501=1)*(ROW($AS$2:$AS$501)&lt;&gt;ROW())*ROW($AS$2:$AS$501)))-1)&amp;")"&amp;IF(BB231&gt;1," and "&amp;(BB231-1)&amp;" more",""),"")</f>
        <v/>
      </c>
      <c r="BD231" s="21">
        <f>IF(AND(BA231=1,AY231="Confirmed"),AT231*10000000+AU231*1000+ROW(),"")</f>
        <v/>
      </c>
      <c r="BE231" s="21">
        <f>IF(IFERROR(TRIM(INDEX($A231:$AL231,MATCH(Lists!$F$2,$A$1:$AL$1,0))&amp;""),"")="","",IFERROR(TRIM(INDEX($A231:$AL231,MATCH(Lists!$F$11,$A$1:$AL$1,0))&amp;""),""))</f>
        <v/>
      </c>
      <c r="BF231" s="21">
        <f>IF(IFERROR(TRIM(INDEX($A231:$AL231,MATCH(Lists!$F$2,$A$1:$AL$1,0))&amp;""),"")="","",IFERROR(TRIM(INDEX($A231:$AL231,MATCH(Lists!$F$12,$A$1:$AL$1,0))&amp;""),""))</f>
        <v/>
      </c>
    </row>
    <row r="232">
      <c r="AM232" s="19" t="n"/>
      <c r="AN232" s="23" t="n"/>
      <c r="AO232" s="23" t="n"/>
      <c r="AP232" s="23" t="n"/>
      <c r="AQ232" s="23" t="n"/>
      <c r="AR232" s="19" t="n"/>
      <c r="AS232" s="21">
        <f>IF(IFERROR(TRIM(INDEX($A232:$AL232,MATCH(Lists!$F$2,$A$1:$AL$1,0))&amp;""),"")="","",IF(AND(IFERROR(TRIM(INDEX($A232:$AL232,MATCH(Lists!$F$3,$A$1:$AL$1,0))&amp;""),"")="Other",IFERROR(TRIM(INDEX($A232:$AL232,MATCH(Lists!$F$4,$A$1:$AL$1,0))&amp;""),"")&lt;&gt;""),IFERROR(TRIM(INDEX($A232:$AL232,MATCH(Lists!$F$4,$A$1:$AL$1,0))&amp;""),""),IF(IFERROR(TRIM(INDEX($A232:$AL232,MATCH(Lists!$F$3,$A$1:$AL$1,0))&amp;""),"")="","(no space)",IFERROR(TRIM(INDEX($A232:$AL232,MATCH(Lists!$F$3,$A$1:$AL$1,0))&amp;""),""))))</f>
        <v/>
      </c>
      <c r="AT232" s="22">
        <f>IF(IFERROR(TRIM(INDEX($A232:$AL232,MATCH(Lists!$F$2,$A$1:$AL$1,0))&amp;""),"")="",0,N(IFERROR(IF(TRIM(INDEX($A232:$AL232,MATCH(Lists!$F$5,$A$1:$AL$1,0))&amp;"")="","",IF(ISNUMBER(INDEX($A232:$AL232,MATCH(Lists!$F$5,$A$1:$AL$1,0))),INT(INDEX($A232:$AL232,MATCH(Lists!$F$5,$A$1:$AL$1,0))),DATE(VALUE(LEFT(INDEX($A232:$AL232,MATCH(Lists!$F$5,$A$1:$AL$1,0)),4)),VALUE(MID(INDEX($A232:$AL232,MATCH(Lists!$F$5,$A$1:$AL$1,0)),6,2)),VALUE(MID(INDEX($A232:$AL232,MATCH(Lists!$F$5,$A$1:$AL$1,0)),9,2))))),"")))</f>
        <v/>
      </c>
      <c r="AU232" s="21">
        <f>IF(IFERROR(TRIM(INDEX($A232:$AL232,MATCH(Lists!$F$2,$A$1:$AL$1,0))&amp;""),"")="",-1,IF(ISNUMBER(IFERROR(IF(TRIM(INDEX($A232:$AL232,MATCH(Lists!$F$6,$A$1:$AL$1,0))&amp;"")="","",IF(ISNUMBER(INDEX($A232:$AL232,MATCH(Lists!$F$6,$A$1:$AL$1,0))),ROUND(MOD(INDEX($A232:$AL232,MATCH(Lists!$F$6,$A$1:$AL$1,0)),1)*1440,0),VALUE(LEFT(INDEX($A232:$AL232,MATCH(Lists!$F$6,$A$1:$AL$1,0)),2))*60+VALUE(MID(INDEX($A232:$AL232,MATCH(Lists!$F$6,$A$1:$AL$1,0)),4,2)))),"")),IFERROR(IF(TRIM(INDEX($A232:$AL232,MATCH(Lists!$F$6,$A$1:$AL$1,0))&amp;"")="","",IF(ISNUMBER(INDEX($A232:$AL232,MATCH(Lists!$F$6,$A$1:$AL$1,0))),ROUND(MOD(INDEX($A232:$AL232,MATCH(Lists!$F$6,$A$1:$AL$1,0)),1)*1440,0),VALUE(LEFT(INDEX($A232:$AL232,MATCH(Lists!$F$6,$A$1:$AL$1,0)),2))*60+VALUE(MID(INDEX($A232:$AL232,MATCH(Lists!$F$6,$A$1:$AL$1,0)),4,2)))),""),-1))</f>
        <v/>
      </c>
      <c r="AV232" s="21">
        <f>IF(IFERROR(TRIM(INDEX($A232:$AL232,MATCH(Lists!$F$2,$A$1:$AL$1,0))&amp;""),"")="",-1,IF(ISNUMBER(IFERROR(IF(TRIM(INDEX($A232:$AL232,MATCH(Lists!$F$7,$A$1:$AL$1,0))&amp;"")="","",IF(ISNUMBER(INDEX($A232:$AL232,MATCH(Lists!$F$7,$A$1:$AL$1,0))),ROUND(MOD(INDEX($A232:$AL232,MATCH(Lists!$F$7,$A$1:$AL$1,0)),1)*1440,0),VALUE(LEFT(INDEX($A232:$AL232,MATCH(Lists!$F$7,$A$1:$AL$1,0)),2))*60+VALUE(MID(INDEX($A232:$AL232,MATCH(Lists!$F$7,$A$1:$AL$1,0)),4,2)))),"")),IFERROR(IF(TRIM(INDEX($A232:$AL232,MATCH(Lists!$F$7,$A$1:$AL$1,0))&amp;"")="","",IF(ISNUMBER(INDEX($A232:$AL232,MATCH(Lists!$F$7,$A$1:$AL$1,0))),ROUND(MOD(INDEX($A232:$AL232,MATCH(Lists!$F$7,$A$1:$AL$1,0)),1)*1440,0),VALUE(LEFT(INDEX($A232:$AL232,MATCH(Lists!$F$7,$A$1:$AL$1,0)),2))*60+VALUE(MID(INDEX($A232:$AL232,MATCH(Lists!$F$7,$A$1:$AL$1,0)),4,2)))),""),-1))</f>
        <v/>
      </c>
      <c r="AW232" s="21">
        <f>IF(IFERROR(TRIM(INDEX($A232:$AL232,MATCH(Lists!$F$2,$A$1:$AL$1,0))&amp;""),"")="","",IF(IFERROR(TRIM(INDEX($A232:$AL232,MATCH(Lists!$F$8,$A$1:$AL$1,0))&amp;""),"")&lt;&gt;"",IFERROR(TRIM(INDEX($A232:$AL232,MATCH(Lists!$F$8,$A$1:$AL$1,0))&amp;""),""),IFERROR(TRIM(INDEX($A232:$AL232,MATCH(Lists!$F$9,$A$1:$AL$1,0))&amp;""),"")))</f>
        <v/>
      </c>
      <c r="AX232" s="21">
        <f>IFERROR(IF(TRIM(INDEX($A232:$AL232,MATCH(Lists!$F$10,$A$1:$AL$1,0))&amp;"")="","",VALUE(TRIM(INDEX($A232:$AL232,MATCH(Lists!$F$10,$A$1:$AL$1,0))&amp;""))),"")</f>
        <v/>
      </c>
      <c r="AY232" s="21">
        <f>IF(IFERROR(TRIM(INDEX($A232:$AL232,MATCH(Lists!$F$2,$A$1:$AL$1,0))&amp;""),"")="","",IF(AN232="","New",AN232))</f>
        <v/>
      </c>
      <c r="AZ232" s="21">
        <f>IF(IFERROR(TRIM(INDEX($A232:$AL232,MATCH(Lists!$F$2,$A$1:$AL$1,0))&amp;""),"")="","",IF(OR(IFERROR(TRIM(INDEX($A232:$AL232,MATCH(Lists!$F$13,$A$1:$AL$1,0))&amp;""),"")="Paid",IFERROR(TRIM(INDEX($A232:$AL232,MATCH(Lists!$F$13,$A$1:$AL$1,0))&amp;""),"")="Partially refunded"),"Paid",IF(AP232="Yes","Paid (by hand)",IFERROR(TRIM(INDEX($A232:$AL232,MATCH(Lists!$F$13,$A$1:$AL$1,0))&amp;""),""))))</f>
        <v/>
      </c>
      <c r="BA232" s="21">
        <f>IF(AND(IFERROR(TRIM(INDEX($A232:$AL232,MATCH(Lists!$F$2,$A$1:$AL$1,0))&amp;""),"")&lt;&gt;"",AT232&gt;0,AU232&gt;=0,AV232&gt;AU232,AY232&lt;&gt;"Declined"),1,0)</f>
        <v/>
      </c>
      <c r="BB232" s="21">
        <f>IF(BA232=1,COUNTIFS($AS$2:$AS$501,AS232,$AT$2:$AT$501,AT232,$AU$2:$AU$501,"&lt;"&amp;AV232,$AV$2:$AV$501,"&gt;"&amp;AU232,$BA$2:$BA$501,1)-1,"")</f>
        <v/>
      </c>
      <c r="BC232" s="21">
        <f>IF(N(BB232)&gt;0,"Clashes with "&amp;INDEX($AW$2:$AW$501,SUMPRODUCT(MAX(($AS$2:$AS$501=AS232)*($AT$2:$AT$501=AT232)*($AU$2:$AU$501&lt;AV232)*($AV$2:$AV$501&gt;AU232)*($BA$2:$BA$501=1)*(ROW($AS$2:$AS$501)&lt;&gt;ROW())*ROW($AS$2:$AS$501)))-1)&amp;" ("&amp;INDEX($AY$2:$AY$501,SUMPRODUCT(MAX(($AS$2:$AS$501=AS232)*($AT$2:$AT$501=AT232)*($AU$2:$AU$501&lt;AV232)*($AV$2:$AV$501&gt;AU232)*($BA$2:$BA$501=1)*(ROW($AS$2:$AS$501)&lt;&gt;ROW())*ROW($AS$2:$AS$501)))-1)&amp;")"&amp;IF(BB232&gt;1," and "&amp;(BB232-1)&amp;" more",""),"")</f>
        <v/>
      </c>
      <c r="BD232" s="21">
        <f>IF(AND(BA232=1,AY232="Confirmed"),AT232*10000000+AU232*1000+ROW(),"")</f>
        <v/>
      </c>
      <c r="BE232" s="21">
        <f>IF(IFERROR(TRIM(INDEX($A232:$AL232,MATCH(Lists!$F$2,$A$1:$AL$1,0))&amp;""),"")="","",IFERROR(TRIM(INDEX($A232:$AL232,MATCH(Lists!$F$11,$A$1:$AL$1,0))&amp;""),""))</f>
        <v/>
      </c>
      <c r="BF232" s="21">
        <f>IF(IFERROR(TRIM(INDEX($A232:$AL232,MATCH(Lists!$F$2,$A$1:$AL$1,0))&amp;""),"")="","",IFERROR(TRIM(INDEX($A232:$AL232,MATCH(Lists!$F$12,$A$1:$AL$1,0))&amp;""),""))</f>
        <v/>
      </c>
    </row>
    <row r="233">
      <c r="AM233" s="19" t="n"/>
      <c r="AN233" s="23" t="n"/>
      <c r="AO233" s="23" t="n"/>
      <c r="AP233" s="23" t="n"/>
      <c r="AQ233" s="23" t="n"/>
      <c r="AR233" s="19" t="n"/>
      <c r="AS233" s="21">
        <f>IF(IFERROR(TRIM(INDEX($A233:$AL233,MATCH(Lists!$F$2,$A$1:$AL$1,0))&amp;""),"")="","",IF(AND(IFERROR(TRIM(INDEX($A233:$AL233,MATCH(Lists!$F$3,$A$1:$AL$1,0))&amp;""),"")="Other",IFERROR(TRIM(INDEX($A233:$AL233,MATCH(Lists!$F$4,$A$1:$AL$1,0))&amp;""),"")&lt;&gt;""),IFERROR(TRIM(INDEX($A233:$AL233,MATCH(Lists!$F$4,$A$1:$AL$1,0))&amp;""),""),IF(IFERROR(TRIM(INDEX($A233:$AL233,MATCH(Lists!$F$3,$A$1:$AL$1,0))&amp;""),"")="","(no space)",IFERROR(TRIM(INDEX($A233:$AL233,MATCH(Lists!$F$3,$A$1:$AL$1,0))&amp;""),""))))</f>
        <v/>
      </c>
      <c r="AT233" s="22">
        <f>IF(IFERROR(TRIM(INDEX($A233:$AL233,MATCH(Lists!$F$2,$A$1:$AL$1,0))&amp;""),"")="",0,N(IFERROR(IF(TRIM(INDEX($A233:$AL233,MATCH(Lists!$F$5,$A$1:$AL$1,0))&amp;"")="","",IF(ISNUMBER(INDEX($A233:$AL233,MATCH(Lists!$F$5,$A$1:$AL$1,0))),INT(INDEX($A233:$AL233,MATCH(Lists!$F$5,$A$1:$AL$1,0))),DATE(VALUE(LEFT(INDEX($A233:$AL233,MATCH(Lists!$F$5,$A$1:$AL$1,0)),4)),VALUE(MID(INDEX($A233:$AL233,MATCH(Lists!$F$5,$A$1:$AL$1,0)),6,2)),VALUE(MID(INDEX($A233:$AL233,MATCH(Lists!$F$5,$A$1:$AL$1,0)),9,2))))),"")))</f>
        <v/>
      </c>
      <c r="AU233" s="21">
        <f>IF(IFERROR(TRIM(INDEX($A233:$AL233,MATCH(Lists!$F$2,$A$1:$AL$1,0))&amp;""),"")="",-1,IF(ISNUMBER(IFERROR(IF(TRIM(INDEX($A233:$AL233,MATCH(Lists!$F$6,$A$1:$AL$1,0))&amp;"")="","",IF(ISNUMBER(INDEX($A233:$AL233,MATCH(Lists!$F$6,$A$1:$AL$1,0))),ROUND(MOD(INDEX($A233:$AL233,MATCH(Lists!$F$6,$A$1:$AL$1,0)),1)*1440,0),VALUE(LEFT(INDEX($A233:$AL233,MATCH(Lists!$F$6,$A$1:$AL$1,0)),2))*60+VALUE(MID(INDEX($A233:$AL233,MATCH(Lists!$F$6,$A$1:$AL$1,0)),4,2)))),"")),IFERROR(IF(TRIM(INDEX($A233:$AL233,MATCH(Lists!$F$6,$A$1:$AL$1,0))&amp;"")="","",IF(ISNUMBER(INDEX($A233:$AL233,MATCH(Lists!$F$6,$A$1:$AL$1,0))),ROUND(MOD(INDEX($A233:$AL233,MATCH(Lists!$F$6,$A$1:$AL$1,0)),1)*1440,0),VALUE(LEFT(INDEX($A233:$AL233,MATCH(Lists!$F$6,$A$1:$AL$1,0)),2))*60+VALUE(MID(INDEX($A233:$AL233,MATCH(Lists!$F$6,$A$1:$AL$1,0)),4,2)))),""),-1))</f>
        <v/>
      </c>
      <c r="AV233" s="21">
        <f>IF(IFERROR(TRIM(INDEX($A233:$AL233,MATCH(Lists!$F$2,$A$1:$AL$1,0))&amp;""),"")="",-1,IF(ISNUMBER(IFERROR(IF(TRIM(INDEX($A233:$AL233,MATCH(Lists!$F$7,$A$1:$AL$1,0))&amp;"")="","",IF(ISNUMBER(INDEX($A233:$AL233,MATCH(Lists!$F$7,$A$1:$AL$1,0))),ROUND(MOD(INDEX($A233:$AL233,MATCH(Lists!$F$7,$A$1:$AL$1,0)),1)*1440,0),VALUE(LEFT(INDEX($A233:$AL233,MATCH(Lists!$F$7,$A$1:$AL$1,0)),2))*60+VALUE(MID(INDEX($A233:$AL233,MATCH(Lists!$F$7,$A$1:$AL$1,0)),4,2)))),"")),IFERROR(IF(TRIM(INDEX($A233:$AL233,MATCH(Lists!$F$7,$A$1:$AL$1,0))&amp;"")="","",IF(ISNUMBER(INDEX($A233:$AL233,MATCH(Lists!$F$7,$A$1:$AL$1,0))),ROUND(MOD(INDEX($A233:$AL233,MATCH(Lists!$F$7,$A$1:$AL$1,0)),1)*1440,0),VALUE(LEFT(INDEX($A233:$AL233,MATCH(Lists!$F$7,$A$1:$AL$1,0)),2))*60+VALUE(MID(INDEX($A233:$AL233,MATCH(Lists!$F$7,$A$1:$AL$1,0)),4,2)))),""),-1))</f>
        <v/>
      </c>
      <c r="AW233" s="21">
        <f>IF(IFERROR(TRIM(INDEX($A233:$AL233,MATCH(Lists!$F$2,$A$1:$AL$1,0))&amp;""),"")="","",IF(IFERROR(TRIM(INDEX($A233:$AL233,MATCH(Lists!$F$8,$A$1:$AL$1,0))&amp;""),"")&lt;&gt;"",IFERROR(TRIM(INDEX($A233:$AL233,MATCH(Lists!$F$8,$A$1:$AL$1,0))&amp;""),""),IFERROR(TRIM(INDEX($A233:$AL233,MATCH(Lists!$F$9,$A$1:$AL$1,0))&amp;""),"")))</f>
        <v/>
      </c>
      <c r="AX233" s="21">
        <f>IFERROR(IF(TRIM(INDEX($A233:$AL233,MATCH(Lists!$F$10,$A$1:$AL$1,0))&amp;"")="","",VALUE(TRIM(INDEX($A233:$AL233,MATCH(Lists!$F$10,$A$1:$AL$1,0))&amp;""))),"")</f>
        <v/>
      </c>
      <c r="AY233" s="21">
        <f>IF(IFERROR(TRIM(INDEX($A233:$AL233,MATCH(Lists!$F$2,$A$1:$AL$1,0))&amp;""),"")="","",IF(AN233="","New",AN233))</f>
        <v/>
      </c>
      <c r="AZ233" s="21">
        <f>IF(IFERROR(TRIM(INDEX($A233:$AL233,MATCH(Lists!$F$2,$A$1:$AL$1,0))&amp;""),"")="","",IF(OR(IFERROR(TRIM(INDEX($A233:$AL233,MATCH(Lists!$F$13,$A$1:$AL$1,0))&amp;""),"")="Paid",IFERROR(TRIM(INDEX($A233:$AL233,MATCH(Lists!$F$13,$A$1:$AL$1,0))&amp;""),"")="Partially refunded"),"Paid",IF(AP233="Yes","Paid (by hand)",IFERROR(TRIM(INDEX($A233:$AL233,MATCH(Lists!$F$13,$A$1:$AL$1,0))&amp;""),""))))</f>
        <v/>
      </c>
      <c r="BA233" s="21">
        <f>IF(AND(IFERROR(TRIM(INDEX($A233:$AL233,MATCH(Lists!$F$2,$A$1:$AL$1,0))&amp;""),"")&lt;&gt;"",AT233&gt;0,AU233&gt;=0,AV233&gt;AU233,AY233&lt;&gt;"Declined"),1,0)</f>
        <v/>
      </c>
      <c r="BB233" s="21">
        <f>IF(BA233=1,COUNTIFS($AS$2:$AS$501,AS233,$AT$2:$AT$501,AT233,$AU$2:$AU$501,"&lt;"&amp;AV233,$AV$2:$AV$501,"&gt;"&amp;AU233,$BA$2:$BA$501,1)-1,"")</f>
        <v/>
      </c>
      <c r="BC233" s="21">
        <f>IF(N(BB233)&gt;0,"Clashes with "&amp;INDEX($AW$2:$AW$501,SUMPRODUCT(MAX(($AS$2:$AS$501=AS233)*($AT$2:$AT$501=AT233)*($AU$2:$AU$501&lt;AV233)*($AV$2:$AV$501&gt;AU233)*($BA$2:$BA$501=1)*(ROW($AS$2:$AS$501)&lt;&gt;ROW())*ROW($AS$2:$AS$501)))-1)&amp;" ("&amp;INDEX($AY$2:$AY$501,SUMPRODUCT(MAX(($AS$2:$AS$501=AS233)*($AT$2:$AT$501=AT233)*($AU$2:$AU$501&lt;AV233)*($AV$2:$AV$501&gt;AU233)*($BA$2:$BA$501=1)*(ROW($AS$2:$AS$501)&lt;&gt;ROW())*ROW($AS$2:$AS$501)))-1)&amp;")"&amp;IF(BB233&gt;1," and "&amp;(BB233-1)&amp;" more",""),"")</f>
        <v/>
      </c>
      <c r="BD233" s="21">
        <f>IF(AND(BA233=1,AY233="Confirmed"),AT233*10000000+AU233*1000+ROW(),"")</f>
        <v/>
      </c>
      <c r="BE233" s="21">
        <f>IF(IFERROR(TRIM(INDEX($A233:$AL233,MATCH(Lists!$F$2,$A$1:$AL$1,0))&amp;""),"")="","",IFERROR(TRIM(INDEX($A233:$AL233,MATCH(Lists!$F$11,$A$1:$AL$1,0))&amp;""),""))</f>
        <v/>
      </c>
      <c r="BF233" s="21">
        <f>IF(IFERROR(TRIM(INDEX($A233:$AL233,MATCH(Lists!$F$2,$A$1:$AL$1,0))&amp;""),"")="","",IFERROR(TRIM(INDEX($A233:$AL233,MATCH(Lists!$F$12,$A$1:$AL$1,0))&amp;""),""))</f>
        <v/>
      </c>
    </row>
    <row r="234">
      <c r="AM234" s="19" t="n"/>
      <c r="AN234" s="23" t="n"/>
      <c r="AO234" s="23" t="n"/>
      <c r="AP234" s="23" t="n"/>
      <c r="AQ234" s="23" t="n"/>
      <c r="AR234" s="19" t="n"/>
      <c r="AS234" s="21">
        <f>IF(IFERROR(TRIM(INDEX($A234:$AL234,MATCH(Lists!$F$2,$A$1:$AL$1,0))&amp;""),"")="","",IF(AND(IFERROR(TRIM(INDEX($A234:$AL234,MATCH(Lists!$F$3,$A$1:$AL$1,0))&amp;""),"")="Other",IFERROR(TRIM(INDEX($A234:$AL234,MATCH(Lists!$F$4,$A$1:$AL$1,0))&amp;""),"")&lt;&gt;""),IFERROR(TRIM(INDEX($A234:$AL234,MATCH(Lists!$F$4,$A$1:$AL$1,0))&amp;""),""),IF(IFERROR(TRIM(INDEX($A234:$AL234,MATCH(Lists!$F$3,$A$1:$AL$1,0))&amp;""),"")="","(no space)",IFERROR(TRIM(INDEX($A234:$AL234,MATCH(Lists!$F$3,$A$1:$AL$1,0))&amp;""),""))))</f>
        <v/>
      </c>
      <c r="AT234" s="22">
        <f>IF(IFERROR(TRIM(INDEX($A234:$AL234,MATCH(Lists!$F$2,$A$1:$AL$1,0))&amp;""),"")="",0,N(IFERROR(IF(TRIM(INDEX($A234:$AL234,MATCH(Lists!$F$5,$A$1:$AL$1,0))&amp;"")="","",IF(ISNUMBER(INDEX($A234:$AL234,MATCH(Lists!$F$5,$A$1:$AL$1,0))),INT(INDEX($A234:$AL234,MATCH(Lists!$F$5,$A$1:$AL$1,0))),DATE(VALUE(LEFT(INDEX($A234:$AL234,MATCH(Lists!$F$5,$A$1:$AL$1,0)),4)),VALUE(MID(INDEX($A234:$AL234,MATCH(Lists!$F$5,$A$1:$AL$1,0)),6,2)),VALUE(MID(INDEX($A234:$AL234,MATCH(Lists!$F$5,$A$1:$AL$1,0)),9,2))))),"")))</f>
        <v/>
      </c>
      <c r="AU234" s="21">
        <f>IF(IFERROR(TRIM(INDEX($A234:$AL234,MATCH(Lists!$F$2,$A$1:$AL$1,0))&amp;""),"")="",-1,IF(ISNUMBER(IFERROR(IF(TRIM(INDEX($A234:$AL234,MATCH(Lists!$F$6,$A$1:$AL$1,0))&amp;"")="","",IF(ISNUMBER(INDEX($A234:$AL234,MATCH(Lists!$F$6,$A$1:$AL$1,0))),ROUND(MOD(INDEX($A234:$AL234,MATCH(Lists!$F$6,$A$1:$AL$1,0)),1)*1440,0),VALUE(LEFT(INDEX($A234:$AL234,MATCH(Lists!$F$6,$A$1:$AL$1,0)),2))*60+VALUE(MID(INDEX($A234:$AL234,MATCH(Lists!$F$6,$A$1:$AL$1,0)),4,2)))),"")),IFERROR(IF(TRIM(INDEX($A234:$AL234,MATCH(Lists!$F$6,$A$1:$AL$1,0))&amp;"")="","",IF(ISNUMBER(INDEX($A234:$AL234,MATCH(Lists!$F$6,$A$1:$AL$1,0))),ROUND(MOD(INDEX($A234:$AL234,MATCH(Lists!$F$6,$A$1:$AL$1,0)),1)*1440,0),VALUE(LEFT(INDEX($A234:$AL234,MATCH(Lists!$F$6,$A$1:$AL$1,0)),2))*60+VALUE(MID(INDEX($A234:$AL234,MATCH(Lists!$F$6,$A$1:$AL$1,0)),4,2)))),""),-1))</f>
        <v/>
      </c>
      <c r="AV234" s="21">
        <f>IF(IFERROR(TRIM(INDEX($A234:$AL234,MATCH(Lists!$F$2,$A$1:$AL$1,0))&amp;""),"")="",-1,IF(ISNUMBER(IFERROR(IF(TRIM(INDEX($A234:$AL234,MATCH(Lists!$F$7,$A$1:$AL$1,0))&amp;"")="","",IF(ISNUMBER(INDEX($A234:$AL234,MATCH(Lists!$F$7,$A$1:$AL$1,0))),ROUND(MOD(INDEX($A234:$AL234,MATCH(Lists!$F$7,$A$1:$AL$1,0)),1)*1440,0),VALUE(LEFT(INDEX($A234:$AL234,MATCH(Lists!$F$7,$A$1:$AL$1,0)),2))*60+VALUE(MID(INDEX($A234:$AL234,MATCH(Lists!$F$7,$A$1:$AL$1,0)),4,2)))),"")),IFERROR(IF(TRIM(INDEX($A234:$AL234,MATCH(Lists!$F$7,$A$1:$AL$1,0))&amp;"")="","",IF(ISNUMBER(INDEX($A234:$AL234,MATCH(Lists!$F$7,$A$1:$AL$1,0))),ROUND(MOD(INDEX($A234:$AL234,MATCH(Lists!$F$7,$A$1:$AL$1,0)),1)*1440,0),VALUE(LEFT(INDEX($A234:$AL234,MATCH(Lists!$F$7,$A$1:$AL$1,0)),2))*60+VALUE(MID(INDEX($A234:$AL234,MATCH(Lists!$F$7,$A$1:$AL$1,0)),4,2)))),""),-1))</f>
        <v/>
      </c>
      <c r="AW234" s="21">
        <f>IF(IFERROR(TRIM(INDEX($A234:$AL234,MATCH(Lists!$F$2,$A$1:$AL$1,0))&amp;""),"")="","",IF(IFERROR(TRIM(INDEX($A234:$AL234,MATCH(Lists!$F$8,$A$1:$AL$1,0))&amp;""),"")&lt;&gt;"",IFERROR(TRIM(INDEX($A234:$AL234,MATCH(Lists!$F$8,$A$1:$AL$1,0))&amp;""),""),IFERROR(TRIM(INDEX($A234:$AL234,MATCH(Lists!$F$9,$A$1:$AL$1,0))&amp;""),"")))</f>
        <v/>
      </c>
      <c r="AX234" s="21">
        <f>IFERROR(IF(TRIM(INDEX($A234:$AL234,MATCH(Lists!$F$10,$A$1:$AL$1,0))&amp;"")="","",VALUE(TRIM(INDEX($A234:$AL234,MATCH(Lists!$F$10,$A$1:$AL$1,0))&amp;""))),"")</f>
        <v/>
      </c>
      <c r="AY234" s="21">
        <f>IF(IFERROR(TRIM(INDEX($A234:$AL234,MATCH(Lists!$F$2,$A$1:$AL$1,0))&amp;""),"")="","",IF(AN234="","New",AN234))</f>
        <v/>
      </c>
      <c r="AZ234" s="21">
        <f>IF(IFERROR(TRIM(INDEX($A234:$AL234,MATCH(Lists!$F$2,$A$1:$AL$1,0))&amp;""),"")="","",IF(OR(IFERROR(TRIM(INDEX($A234:$AL234,MATCH(Lists!$F$13,$A$1:$AL$1,0))&amp;""),"")="Paid",IFERROR(TRIM(INDEX($A234:$AL234,MATCH(Lists!$F$13,$A$1:$AL$1,0))&amp;""),"")="Partially refunded"),"Paid",IF(AP234="Yes","Paid (by hand)",IFERROR(TRIM(INDEX($A234:$AL234,MATCH(Lists!$F$13,$A$1:$AL$1,0))&amp;""),""))))</f>
        <v/>
      </c>
      <c r="BA234" s="21">
        <f>IF(AND(IFERROR(TRIM(INDEX($A234:$AL234,MATCH(Lists!$F$2,$A$1:$AL$1,0))&amp;""),"")&lt;&gt;"",AT234&gt;0,AU234&gt;=0,AV234&gt;AU234,AY234&lt;&gt;"Declined"),1,0)</f>
        <v/>
      </c>
      <c r="BB234" s="21">
        <f>IF(BA234=1,COUNTIFS($AS$2:$AS$501,AS234,$AT$2:$AT$501,AT234,$AU$2:$AU$501,"&lt;"&amp;AV234,$AV$2:$AV$501,"&gt;"&amp;AU234,$BA$2:$BA$501,1)-1,"")</f>
        <v/>
      </c>
      <c r="BC234" s="21">
        <f>IF(N(BB234)&gt;0,"Clashes with "&amp;INDEX($AW$2:$AW$501,SUMPRODUCT(MAX(($AS$2:$AS$501=AS234)*($AT$2:$AT$501=AT234)*($AU$2:$AU$501&lt;AV234)*($AV$2:$AV$501&gt;AU234)*($BA$2:$BA$501=1)*(ROW($AS$2:$AS$501)&lt;&gt;ROW())*ROW($AS$2:$AS$501)))-1)&amp;" ("&amp;INDEX($AY$2:$AY$501,SUMPRODUCT(MAX(($AS$2:$AS$501=AS234)*($AT$2:$AT$501=AT234)*($AU$2:$AU$501&lt;AV234)*($AV$2:$AV$501&gt;AU234)*($BA$2:$BA$501=1)*(ROW($AS$2:$AS$501)&lt;&gt;ROW())*ROW($AS$2:$AS$501)))-1)&amp;")"&amp;IF(BB234&gt;1," and "&amp;(BB234-1)&amp;" more",""),"")</f>
        <v/>
      </c>
      <c r="BD234" s="21">
        <f>IF(AND(BA234=1,AY234="Confirmed"),AT234*10000000+AU234*1000+ROW(),"")</f>
        <v/>
      </c>
      <c r="BE234" s="21">
        <f>IF(IFERROR(TRIM(INDEX($A234:$AL234,MATCH(Lists!$F$2,$A$1:$AL$1,0))&amp;""),"")="","",IFERROR(TRIM(INDEX($A234:$AL234,MATCH(Lists!$F$11,$A$1:$AL$1,0))&amp;""),""))</f>
        <v/>
      </c>
      <c r="BF234" s="21">
        <f>IF(IFERROR(TRIM(INDEX($A234:$AL234,MATCH(Lists!$F$2,$A$1:$AL$1,0))&amp;""),"")="","",IFERROR(TRIM(INDEX($A234:$AL234,MATCH(Lists!$F$12,$A$1:$AL$1,0))&amp;""),""))</f>
        <v/>
      </c>
    </row>
    <row r="235">
      <c r="AM235" s="19" t="n"/>
      <c r="AN235" s="23" t="n"/>
      <c r="AO235" s="23" t="n"/>
      <c r="AP235" s="23" t="n"/>
      <c r="AQ235" s="23" t="n"/>
      <c r="AR235" s="19" t="n"/>
      <c r="AS235" s="21">
        <f>IF(IFERROR(TRIM(INDEX($A235:$AL235,MATCH(Lists!$F$2,$A$1:$AL$1,0))&amp;""),"")="","",IF(AND(IFERROR(TRIM(INDEX($A235:$AL235,MATCH(Lists!$F$3,$A$1:$AL$1,0))&amp;""),"")="Other",IFERROR(TRIM(INDEX($A235:$AL235,MATCH(Lists!$F$4,$A$1:$AL$1,0))&amp;""),"")&lt;&gt;""),IFERROR(TRIM(INDEX($A235:$AL235,MATCH(Lists!$F$4,$A$1:$AL$1,0))&amp;""),""),IF(IFERROR(TRIM(INDEX($A235:$AL235,MATCH(Lists!$F$3,$A$1:$AL$1,0))&amp;""),"")="","(no space)",IFERROR(TRIM(INDEX($A235:$AL235,MATCH(Lists!$F$3,$A$1:$AL$1,0))&amp;""),""))))</f>
        <v/>
      </c>
      <c r="AT235" s="22">
        <f>IF(IFERROR(TRIM(INDEX($A235:$AL235,MATCH(Lists!$F$2,$A$1:$AL$1,0))&amp;""),"")="",0,N(IFERROR(IF(TRIM(INDEX($A235:$AL235,MATCH(Lists!$F$5,$A$1:$AL$1,0))&amp;"")="","",IF(ISNUMBER(INDEX($A235:$AL235,MATCH(Lists!$F$5,$A$1:$AL$1,0))),INT(INDEX($A235:$AL235,MATCH(Lists!$F$5,$A$1:$AL$1,0))),DATE(VALUE(LEFT(INDEX($A235:$AL235,MATCH(Lists!$F$5,$A$1:$AL$1,0)),4)),VALUE(MID(INDEX($A235:$AL235,MATCH(Lists!$F$5,$A$1:$AL$1,0)),6,2)),VALUE(MID(INDEX($A235:$AL235,MATCH(Lists!$F$5,$A$1:$AL$1,0)),9,2))))),"")))</f>
        <v/>
      </c>
      <c r="AU235" s="21">
        <f>IF(IFERROR(TRIM(INDEX($A235:$AL235,MATCH(Lists!$F$2,$A$1:$AL$1,0))&amp;""),"")="",-1,IF(ISNUMBER(IFERROR(IF(TRIM(INDEX($A235:$AL235,MATCH(Lists!$F$6,$A$1:$AL$1,0))&amp;"")="","",IF(ISNUMBER(INDEX($A235:$AL235,MATCH(Lists!$F$6,$A$1:$AL$1,0))),ROUND(MOD(INDEX($A235:$AL235,MATCH(Lists!$F$6,$A$1:$AL$1,0)),1)*1440,0),VALUE(LEFT(INDEX($A235:$AL235,MATCH(Lists!$F$6,$A$1:$AL$1,0)),2))*60+VALUE(MID(INDEX($A235:$AL235,MATCH(Lists!$F$6,$A$1:$AL$1,0)),4,2)))),"")),IFERROR(IF(TRIM(INDEX($A235:$AL235,MATCH(Lists!$F$6,$A$1:$AL$1,0))&amp;"")="","",IF(ISNUMBER(INDEX($A235:$AL235,MATCH(Lists!$F$6,$A$1:$AL$1,0))),ROUND(MOD(INDEX($A235:$AL235,MATCH(Lists!$F$6,$A$1:$AL$1,0)),1)*1440,0),VALUE(LEFT(INDEX($A235:$AL235,MATCH(Lists!$F$6,$A$1:$AL$1,0)),2))*60+VALUE(MID(INDEX($A235:$AL235,MATCH(Lists!$F$6,$A$1:$AL$1,0)),4,2)))),""),-1))</f>
        <v/>
      </c>
      <c r="AV235" s="21">
        <f>IF(IFERROR(TRIM(INDEX($A235:$AL235,MATCH(Lists!$F$2,$A$1:$AL$1,0))&amp;""),"")="",-1,IF(ISNUMBER(IFERROR(IF(TRIM(INDEX($A235:$AL235,MATCH(Lists!$F$7,$A$1:$AL$1,0))&amp;"")="","",IF(ISNUMBER(INDEX($A235:$AL235,MATCH(Lists!$F$7,$A$1:$AL$1,0))),ROUND(MOD(INDEX($A235:$AL235,MATCH(Lists!$F$7,$A$1:$AL$1,0)),1)*1440,0),VALUE(LEFT(INDEX($A235:$AL235,MATCH(Lists!$F$7,$A$1:$AL$1,0)),2))*60+VALUE(MID(INDEX($A235:$AL235,MATCH(Lists!$F$7,$A$1:$AL$1,0)),4,2)))),"")),IFERROR(IF(TRIM(INDEX($A235:$AL235,MATCH(Lists!$F$7,$A$1:$AL$1,0))&amp;"")="","",IF(ISNUMBER(INDEX($A235:$AL235,MATCH(Lists!$F$7,$A$1:$AL$1,0))),ROUND(MOD(INDEX($A235:$AL235,MATCH(Lists!$F$7,$A$1:$AL$1,0)),1)*1440,0),VALUE(LEFT(INDEX($A235:$AL235,MATCH(Lists!$F$7,$A$1:$AL$1,0)),2))*60+VALUE(MID(INDEX($A235:$AL235,MATCH(Lists!$F$7,$A$1:$AL$1,0)),4,2)))),""),-1))</f>
        <v/>
      </c>
      <c r="AW235" s="21">
        <f>IF(IFERROR(TRIM(INDEX($A235:$AL235,MATCH(Lists!$F$2,$A$1:$AL$1,0))&amp;""),"")="","",IF(IFERROR(TRIM(INDEX($A235:$AL235,MATCH(Lists!$F$8,$A$1:$AL$1,0))&amp;""),"")&lt;&gt;"",IFERROR(TRIM(INDEX($A235:$AL235,MATCH(Lists!$F$8,$A$1:$AL$1,0))&amp;""),""),IFERROR(TRIM(INDEX($A235:$AL235,MATCH(Lists!$F$9,$A$1:$AL$1,0))&amp;""),"")))</f>
        <v/>
      </c>
      <c r="AX235" s="21">
        <f>IFERROR(IF(TRIM(INDEX($A235:$AL235,MATCH(Lists!$F$10,$A$1:$AL$1,0))&amp;"")="","",VALUE(TRIM(INDEX($A235:$AL235,MATCH(Lists!$F$10,$A$1:$AL$1,0))&amp;""))),"")</f>
        <v/>
      </c>
      <c r="AY235" s="21">
        <f>IF(IFERROR(TRIM(INDEX($A235:$AL235,MATCH(Lists!$F$2,$A$1:$AL$1,0))&amp;""),"")="","",IF(AN235="","New",AN235))</f>
        <v/>
      </c>
      <c r="AZ235" s="21">
        <f>IF(IFERROR(TRIM(INDEX($A235:$AL235,MATCH(Lists!$F$2,$A$1:$AL$1,0))&amp;""),"")="","",IF(OR(IFERROR(TRIM(INDEX($A235:$AL235,MATCH(Lists!$F$13,$A$1:$AL$1,0))&amp;""),"")="Paid",IFERROR(TRIM(INDEX($A235:$AL235,MATCH(Lists!$F$13,$A$1:$AL$1,0))&amp;""),"")="Partially refunded"),"Paid",IF(AP235="Yes","Paid (by hand)",IFERROR(TRIM(INDEX($A235:$AL235,MATCH(Lists!$F$13,$A$1:$AL$1,0))&amp;""),""))))</f>
        <v/>
      </c>
      <c r="BA235" s="21">
        <f>IF(AND(IFERROR(TRIM(INDEX($A235:$AL235,MATCH(Lists!$F$2,$A$1:$AL$1,0))&amp;""),"")&lt;&gt;"",AT235&gt;0,AU235&gt;=0,AV235&gt;AU235,AY235&lt;&gt;"Declined"),1,0)</f>
        <v/>
      </c>
      <c r="BB235" s="21">
        <f>IF(BA235=1,COUNTIFS($AS$2:$AS$501,AS235,$AT$2:$AT$501,AT235,$AU$2:$AU$501,"&lt;"&amp;AV235,$AV$2:$AV$501,"&gt;"&amp;AU235,$BA$2:$BA$501,1)-1,"")</f>
        <v/>
      </c>
      <c r="BC235" s="21">
        <f>IF(N(BB235)&gt;0,"Clashes with "&amp;INDEX($AW$2:$AW$501,SUMPRODUCT(MAX(($AS$2:$AS$501=AS235)*($AT$2:$AT$501=AT235)*($AU$2:$AU$501&lt;AV235)*($AV$2:$AV$501&gt;AU235)*($BA$2:$BA$501=1)*(ROW($AS$2:$AS$501)&lt;&gt;ROW())*ROW($AS$2:$AS$501)))-1)&amp;" ("&amp;INDEX($AY$2:$AY$501,SUMPRODUCT(MAX(($AS$2:$AS$501=AS235)*($AT$2:$AT$501=AT235)*($AU$2:$AU$501&lt;AV235)*($AV$2:$AV$501&gt;AU235)*($BA$2:$BA$501=1)*(ROW($AS$2:$AS$501)&lt;&gt;ROW())*ROW($AS$2:$AS$501)))-1)&amp;")"&amp;IF(BB235&gt;1," and "&amp;(BB235-1)&amp;" more",""),"")</f>
        <v/>
      </c>
      <c r="BD235" s="21">
        <f>IF(AND(BA235=1,AY235="Confirmed"),AT235*10000000+AU235*1000+ROW(),"")</f>
        <v/>
      </c>
      <c r="BE235" s="21">
        <f>IF(IFERROR(TRIM(INDEX($A235:$AL235,MATCH(Lists!$F$2,$A$1:$AL$1,0))&amp;""),"")="","",IFERROR(TRIM(INDEX($A235:$AL235,MATCH(Lists!$F$11,$A$1:$AL$1,0))&amp;""),""))</f>
        <v/>
      </c>
      <c r="BF235" s="21">
        <f>IF(IFERROR(TRIM(INDEX($A235:$AL235,MATCH(Lists!$F$2,$A$1:$AL$1,0))&amp;""),"")="","",IFERROR(TRIM(INDEX($A235:$AL235,MATCH(Lists!$F$12,$A$1:$AL$1,0))&amp;""),""))</f>
        <v/>
      </c>
    </row>
    <row r="236">
      <c r="AM236" s="19" t="n"/>
      <c r="AN236" s="23" t="n"/>
      <c r="AO236" s="23" t="n"/>
      <c r="AP236" s="23" t="n"/>
      <c r="AQ236" s="23" t="n"/>
      <c r="AR236" s="19" t="n"/>
      <c r="AS236" s="21">
        <f>IF(IFERROR(TRIM(INDEX($A236:$AL236,MATCH(Lists!$F$2,$A$1:$AL$1,0))&amp;""),"")="","",IF(AND(IFERROR(TRIM(INDEX($A236:$AL236,MATCH(Lists!$F$3,$A$1:$AL$1,0))&amp;""),"")="Other",IFERROR(TRIM(INDEX($A236:$AL236,MATCH(Lists!$F$4,$A$1:$AL$1,0))&amp;""),"")&lt;&gt;""),IFERROR(TRIM(INDEX($A236:$AL236,MATCH(Lists!$F$4,$A$1:$AL$1,0))&amp;""),""),IF(IFERROR(TRIM(INDEX($A236:$AL236,MATCH(Lists!$F$3,$A$1:$AL$1,0))&amp;""),"")="","(no space)",IFERROR(TRIM(INDEX($A236:$AL236,MATCH(Lists!$F$3,$A$1:$AL$1,0))&amp;""),""))))</f>
        <v/>
      </c>
      <c r="AT236" s="22">
        <f>IF(IFERROR(TRIM(INDEX($A236:$AL236,MATCH(Lists!$F$2,$A$1:$AL$1,0))&amp;""),"")="",0,N(IFERROR(IF(TRIM(INDEX($A236:$AL236,MATCH(Lists!$F$5,$A$1:$AL$1,0))&amp;"")="","",IF(ISNUMBER(INDEX($A236:$AL236,MATCH(Lists!$F$5,$A$1:$AL$1,0))),INT(INDEX($A236:$AL236,MATCH(Lists!$F$5,$A$1:$AL$1,0))),DATE(VALUE(LEFT(INDEX($A236:$AL236,MATCH(Lists!$F$5,$A$1:$AL$1,0)),4)),VALUE(MID(INDEX($A236:$AL236,MATCH(Lists!$F$5,$A$1:$AL$1,0)),6,2)),VALUE(MID(INDEX($A236:$AL236,MATCH(Lists!$F$5,$A$1:$AL$1,0)),9,2))))),"")))</f>
        <v/>
      </c>
      <c r="AU236" s="21">
        <f>IF(IFERROR(TRIM(INDEX($A236:$AL236,MATCH(Lists!$F$2,$A$1:$AL$1,0))&amp;""),"")="",-1,IF(ISNUMBER(IFERROR(IF(TRIM(INDEX($A236:$AL236,MATCH(Lists!$F$6,$A$1:$AL$1,0))&amp;"")="","",IF(ISNUMBER(INDEX($A236:$AL236,MATCH(Lists!$F$6,$A$1:$AL$1,0))),ROUND(MOD(INDEX($A236:$AL236,MATCH(Lists!$F$6,$A$1:$AL$1,0)),1)*1440,0),VALUE(LEFT(INDEX($A236:$AL236,MATCH(Lists!$F$6,$A$1:$AL$1,0)),2))*60+VALUE(MID(INDEX($A236:$AL236,MATCH(Lists!$F$6,$A$1:$AL$1,0)),4,2)))),"")),IFERROR(IF(TRIM(INDEX($A236:$AL236,MATCH(Lists!$F$6,$A$1:$AL$1,0))&amp;"")="","",IF(ISNUMBER(INDEX($A236:$AL236,MATCH(Lists!$F$6,$A$1:$AL$1,0))),ROUND(MOD(INDEX($A236:$AL236,MATCH(Lists!$F$6,$A$1:$AL$1,0)),1)*1440,0),VALUE(LEFT(INDEX($A236:$AL236,MATCH(Lists!$F$6,$A$1:$AL$1,0)),2))*60+VALUE(MID(INDEX($A236:$AL236,MATCH(Lists!$F$6,$A$1:$AL$1,0)),4,2)))),""),-1))</f>
        <v/>
      </c>
      <c r="AV236" s="21">
        <f>IF(IFERROR(TRIM(INDEX($A236:$AL236,MATCH(Lists!$F$2,$A$1:$AL$1,0))&amp;""),"")="",-1,IF(ISNUMBER(IFERROR(IF(TRIM(INDEX($A236:$AL236,MATCH(Lists!$F$7,$A$1:$AL$1,0))&amp;"")="","",IF(ISNUMBER(INDEX($A236:$AL236,MATCH(Lists!$F$7,$A$1:$AL$1,0))),ROUND(MOD(INDEX($A236:$AL236,MATCH(Lists!$F$7,$A$1:$AL$1,0)),1)*1440,0),VALUE(LEFT(INDEX($A236:$AL236,MATCH(Lists!$F$7,$A$1:$AL$1,0)),2))*60+VALUE(MID(INDEX($A236:$AL236,MATCH(Lists!$F$7,$A$1:$AL$1,0)),4,2)))),"")),IFERROR(IF(TRIM(INDEX($A236:$AL236,MATCH(Lists!$F$7,$A$1:$AL$1,0))&amp;"")="","",IF(ISNUMBER(INDEX($A236:$AL236,MATCH(Lists!$F$7,$A$1:$AL$1,0))),ROUND(MOD(INDEX($A236:$AL236,MATCH(Lists!$F$7,$A$1:$AL$1,0)),1)*1440,0),VALUE(LEFT(INDEX($A236:$AL236,MATCH(Lists!$F$7,$A$1:$AL$1,0)),2))*60+VALUE(MID(INDEX($A236:$AL236,MATCH(Lists!$F$7,$A$1:$AL$1,0)),4,2)))),""),-1))</f>
        <v/>
      </c>
      <c r="AW236" s="21">
        <f>IF(IFERROR(TRIM(INDEX($A236:$AL236,MATCH(Lists!$F$2,$A$1:$AL$1,0))&amp;""),"")="","",IF(IFERROR(TRIM(INDEX($A236:$AL236,MATCH(Lists!$F$8,$A$1:$AL$1,0))&amp;""),"")&lt;&gt;"",IFERROR(TRIM(INDEX($A236:$AL236,MATCH(Lists!$F$8,$A$1:$AL$1,0))&amp;""),""),IFERROR(TRIM(INDEX($A236:$AL236,MATCH(Lists!$F$9,$A$1:$AL$1,0))&amp;""),"")))</f>
        <v/>
      </c>
      <c r="AX236" s="21">
        <f>IFERROR(IF(TRIM(INDEX($A236:$AL236,MATCH(Lists!$F$10,$A$1:$AL$1,0))&amp;"")="","",VALUE(TRIM(INDEX($A236:$AL236,MATCH(Lists!$F$10,$A$1:$AL$1,0))&amp;""))),"")</f>
        <v/>
      </c>
      <c r="AY236" s="21">
        <f>IF(IFERROR(TRIM(INDEX($A236:$AL236,MATCH(Lists!$F$2,$A$1:$AL$1,0))&amp;""),"")="","",IF(AN236="","New",AN236))</f>
        <v/>
      </c>
      <c r="AZ236" s="21">
        <f>IF(IFERROR(TRIM(INDEX($A236:$AL236,MATCH(Lists!$F$2,$A$1:$AL$1,0))&amp;""),"")="","",IF(OR(IFERROR(TRIM(INDEX($A236:$AL236,MATCH(Lists!$F$13,$A$1:$AL$1,0))&amp;""),"")="Paid",IFERROR(TRIM(INDEX($A236:$AL236,MATCH(Lists!$F$13,$A$1:$AL$1,0))&amp;""),"")="Partially refunded"),"Paid",IF(AP236="Yes","Paid (by hand)",IFERROR(TRIM(INDEX($A236:$AL236,MATCH(Lists!$F$13,$A$1:$AL$1,0))&amp;""),""))))</f>
        <v/>
      </c>
      <c r="BA236" s="21">
        <f>IF(AND(IFERROR(TRIM(INDEX($A236:$AL236,MATCH(Lists!$F$2,$A$1:$AL$1,0))&amp;""),"")&lt;&gt;"",AT236&gt;0,AU236&gt;=0,AV236&gt;AU236,AY236&lt;&gt;"Declined"),1,0)</f>
        <v/>
      </c>
      <c r="BB236" s="21">
        <f>IF(BA236=1,COUNTIFS($AS$2:$AS$501,AS236,$AT$2:$AT$501,AT236,$AU$2:$AU$501,"&lt;"&amp;AV236,$AV$2:$AV$501,"&gt;"&amp;AU236,$BA$2:$BA$501,1)-1,"")</f>
        <v/>
      </c>
      <c r="BC236" s="21">
        <f>IF(N(BB236)&gt;0,"Clashes with "&amp;INDEX($AW$2:$AW$501,SUMPRODUCT(MAX(($AS$2:$AS$501=AS236)*($AT$2:$AT$501=AT236)*($AU$2:$AU$501&lt;AV236)*($AV$2:$AV$501&gt;AU236)*($BA$2:$BA$501=1)*(ROW($AS$2:$AS$501)&lt;&gt;ROW())*ROW($AS$2:$AS$501)))-1)&amp;" ("&amp;INDEX($AY$2:$AY$501,SUMPRODUCT(MAX(($AS$2:$AS$501=AS236)*($AT$2:$AT$501=AT236)*($AU$2:$AU$501&lt;AV236)*($AV$2:$AV$501&gt;AU236)*($BA$2:$BA$501=1)*(ROW($AS$2:$AS$501)&lt;&gt;ROW())*ROW($AS$2:$AS$501)))-1)&amp;")"&amp;IF(BB236&gt;1," and "&amp;(BB236-1)&amp;" more",""),"")</f>
        <v/>
      </c>
      <c r="BD236" s="21">
        <f>IF(AND(BA236=1,AY236="Confirmed"),AT236*10000000+AU236*1000+ROW(),"")</f>
        <v/>
      </c>
      <c r="BE236" s="21">
        <f>IF(IFERROR(TRIM(INDEX($A236:$AL236,MATCH(Lists!$F$2,$A$1:$AL$1,0))&amp;""),"")="","",IFERROR(TRIM(INDEX($A236:$AL236,MATCH(Lists!$F$11,$A$1:$AL$1,0))&amp;""),""))</f>
        <v/>
      </c>
      <c r="BF236" s="21">
        <f>IF(IFERROR(TRIM(INDEX($A236:$AL236,MATCH(Lists!$F$2,$A$1:$AL$1,0))&amp;""),"")="","",IFERROR(TRIM(INDEX($A236:$AL236,MATCH(Lists!$F$12,$A$1:$AL$1,0))&amp;""),""))</f>
        <v/>
      </c>
    </row>
    <row r="237">
      <c r="AM237" s="19" t="n"/>
      <c r="AN237" s="23" t="n"/>
      <c r="AO237" s="23" t="n"/>
      <c r="AP237" s="23" t="n"/>
      <c r="AQ237" s="23" t="n"/>
      <c r="AR237" s="19" t="n"/>
      <c r="AS237" s="21">
        <f>IF(IFERROR(TRIM(INDEX($A237:$AL237,MATCH(Lists!$F$2,$A$1:$AL$1,0))&amp;""),"")="","",IF(AND(IFERROR(TRIM(INDEX($A237:$AL237,MATCH(Lists!$F$3,$A$1:$AL$1,0))&amp;""),"")="Other",IFERROR(TRIM(INDEX($A237:$AL237,MATCH(Lists!$F$4,$A$1:$AL$1,0))&amp;""),"")&lt;&gt;""),IFERROR(TRIM(INDEX($A237:$AL237,MATCH(Lists!$F$4,$A$1:$AL$1,0))&amp;""),""),IF(IFERROR(TRIM(INDEX($A237:$AL237,MATCH(Lists!$F$3,$A$1:$AL$1,0))&amp;""),"")="","(no space)",IFERROR(TRIM(INDEX($A237:$AL237,MATCH(Lists!$F$3,$A$1:$AL$1,0))&amp;""),""))))</f>
        <v/>
      </c>
      <c r="AT237" s="22">
        <f>IF(IFERROR(TRIM(INDEX($A237:$AL237,MATCH(Lists!$F$2,$A$1:$AL$1,0))&amp;""),"")="",0,N(IFERROR(IF(TRIM(INDEX($A237:$AL237,MATCH(Lists!$F$5,$A$1:$AL$1,0))&amp;"")="","",IF(ISNUMBER(INDEX($A237:$AL237,MATCH(Lists!$F$5,$A$1:$AL$1,0))),INT(INDEX($A237:$AL237,MATCH(Lists!$F$5,$A$1:$AL$1,0))),DATE(VALUE(LEFT(INDEX($A237:$AL237,MATCH(Lists!$F$5,$A$1:$AL$1,0)),4)),VALUE(MID(INDEX($A237:$AL237,MATCH(Lists!$F$5,$A$1:$AL$1,0)),6,2)),VALUE(MID(INDEX($A237:$AL237,MATCH(Lists!$F$5,$A$1:$AL$1,0)),9,2))))),"")))</f>
        <v/>
      </c>
      <c r="AU237" s="21">
        <f>IF(IFERROR(TRIM(INDEX($A237:$AL237,MATCH(Lists!$F$2,$A$1:$AL$1,0))&amp;""),"")="",-1,IF(ISNUMBER(IFERROR(IF(TRIM(INDEX($A237:$AL237,MATCH(Lists!$F$6,$A$1:$AL$1,0))&amp;"")="","",IF(ISNUMBER(INDEX($A237:$AL237,MATCH(Lists!$F$6,$A$1:$AL$1,0))),ROUND(MOD(INDEX($A237:$AL237,MATCH(Lists!$F$6,$A$1:$AL$1,0)),1)*1440,0),VALUE(LEFT(INDEX($A237:$AL237,MATCH(Lists!$F$6,$A$1:$AL$1,0)),2))*60+VALUE(MID(INDEX($A237:$AL237,MATCH(Lists!$F$6,$A$1:$AL$1,0)),4,2)))),"")),IFERROR(IF(TRIM(INDEX($A237:$AL237,MATCH(Lists!$F$6,$A$1:$AL$1,0))&amp;"")="","",IF(ISNUMBER(INDEX($A237:$AL237,MATCH(Lists!$F$6,$A$1:$AL$1,0))),ROUND(MOD(INDEX($A237:$AL237,MATCH(Lists!$F$6,$A$1:$AL$1,0)),1)*1440,0),VALUE(LEFT(INDEX($A237:$AL237,MATCH(Lists!$F$6,$A$1:$AL$1,0)),2))*60+VALUE(MID(INDEX($A237:$AL237,MATCH(Lists!$F$6,$A$1:$AL$1,0)),4,2)))),""),-1))</f>
        <v/>
      </c>
      <c r="AV237" s="21">
        <f>IF(IFERROR(TRIM(INDEX($A237:$AL237,MATCH(Lists!$F$2,$A$1:$AL$1,0))&amp;""),"")="",-1,IF(ISNUMBER(IFERROR(IF(TRIM(INDEX($A237:$AL237,MATCH(Lists!$F$7,$A$1:$AL$1,0))&amp;"")="","",IF(ISNUMBER(INDEX($A237:$AL237,MATCH(Lists!$F$7,$A$1:$AL$1,0))),ROUND(MOD(INDEX($A237:$AL237,MATCH(Lists!$F$7,$A$1:$AL$1,0)),1)*1440,0),VALUE(LEFT(INDEX($A237:$AL237,MATCH(Lists!$F$7,$A$1:$AL$1,0)),2))*60+VALUE(MID(INDEX($A237:$AL237,MATCH(Lists!$F$7,$A$1:$AL$1,0)),4,2)))),"")),IFERROR(IF(TRIM(INDEX($A237:$AL237,MATCH(Lists!$F$7,$A$1:$AL$1,0))&amp;"")="","",IF(ISNUMBER(INDEX($A237:$AL237,MATCH(Lists!$F$7,$A$1:$AL$1,0))),ROUND(MOD(INDEX($A237:$AL237,MATCH(Lists!$F$7,$A$1:$AL$1,0)),1)*1440,0),VALUE(LEFT(INDEX($A237:$AL237,MATCH(Lists!$F$7,$A$1:$AL$1,0)),2))*60+VALUE(MID(INDEX($A237:$AL237,MATCH(Lists!$F$7,$A$1:$AL$1,0)),4,2)))),""),-1))</f>
        <v/>
      </c>
      <c r="AW237" s="21">
        <f>IF(IFERROR(TRIM(INDEX($A237:$AL237,MATCH(Lists!$F$2,$A$1:$AL$1,0))&amp;""),"")="","",IF(IFERROR(TRIM(INDEX($A237:$AL237,MATCH(Lists!$F$8,$A$1:$AL$1,0))&amp;""),"")&lt;&gt;"",IFERROR(TRIM(INDEX($A237:$AL237,MATCH(Lists!$F$8,$A$1:$AL$1,0))&amp;""),""),IFERROR(TRIM(INDEX($A237:$AL237,MATCH(Lists!$F$9,$A$1:$AL$1,0))&amp;""),"")))</f>
        <v/>
      </c>
      <c r="AX237" s="21">
        <f>IFERROR(IF(TRIM(INDEX($A237:$AL237,MATCH(Lists!$F$10,$A$1:$AL$1,0))&amp;"")="","",VALUE(TRIM(INDEX($A237:$AL237,MATCH(Lists!$F$10,$A$1:$AL$1,0))&amp;""))),"")</f>
        <v/>
      </c>
      <c r="AY237" s="21">
        <f>IF(IFERROR(TRIM(INDEX($A237:$AL237,MATCH(Lists!$F$2,$A$1:$AL$1,0))&amp;""),"")="","",IF(AN237="","New",AN237))</f>
        <v/>
      </c>
      <c r="AZ237" s="21">
        <f>IF(IFERROR(TRIM(INDEX($A237:$AL237,MATCH(Lists!$F$2,$A$1:$AL$1,0))&amp;""),"")="","",IF(OR(IFERROR(TRIM(INDEX($A237:$AL237,MATCH(Lists!$F$13,$A$1:$AL$1,0))&amp;""),"")="Paid",IFERROR(TRIM(INDEX($A237:$AL237,MATCH(Lists!$F$13,$A$1:$AL$1,0))&amp;""),"")="Partially refunded"),"Paid",IF(AP237="Yes","Paid (by hand)",IFERROR(TRIM(INDEX($A237:$AL237,MATCH(Lists!$F$13,$A$1:$AL$1,0))&amp;""),""))))</f>
        <v/>
      </c>
      <c r="BA237" s="21">
        <f>IF(AND(IFERROR(TRIM(INDEX($A237:$AL237,MATCH(Lists!$F$2,$A$1:$AL$1,0))&amp;""),"")&lt;&gt;"",AT237&gt;0,AU237&gt;=0,AV237&gt;AU237,AY237&lt;&gt;"Declined"),1,0)</f>
        <v/>
      </c>
      <c r="BB237" s="21">
        <f>IF(BA237=1,COUNTIFS($AS$2:$AS$501,AS237,$AT$2:$AT$501,AT237,$AU$2:$AU$501,"&lt;"&amp;AV237,$AV$2:$AV$501,"&gt;"&amp;AU237,$BA$2:$BA$501,1)-1,"")</f>
        <v/>
      </c>
      <c r="BC237" s="21">
        <f>IF(N(BB237)&gt;0,"Clashes with "&amp;INDEX($AW$2:$AW$501,SUMPRODUCT(MAX(($AS$2:$AS$501=AS237)*($AT$2:$AT$501=AT237)*($AU$2:$AU$501&lt;AV237)*($AV$2:$AV$501&gt;AU237)*($BA$2:$BA$501=1)*(ROW($AS$2:$AS$501)&lt;&gt;ROW())*ROW($AS$2:$AS$501)))-1)&amp;" ("&amp;INDEX($AY$2:$AY$501,SUMPRODUCT(MAX(($AS$2:$AS$501=AS237)*($AT$2:$AT$501=AT237)*($AU$2:$AU$501&lt;AV237)*($AV$2:$AV$501&gt;AU237)*($BA$2:$BA$501=1)*(ROW($AS$2:$AS$501)&lt;&gt;ROW())*ROW($AS$2:$AS$501)))-1)&amp;")"&amp;IF(BB237&gt;1," and "&amp;(BB237-1)&amp;" more",""),"")</f>
        <v/>
      </c>
      <c r="BD237" s="21">
        <f>IF(AND(BA237=1,AY237="Confirmed"),AT237*10000000+AU237*1000+ROW(),"")</f>
        <v/>
      </c>
      <c r="BE237" s="21">
        <f>IF(IFERROR(TRIM(INDEX($A237:$AL237,MATCH(Lists!$F$2,$A$1:$AL$1,0))&amp;""),"")="","",IFERROR(TRIM(INDEX($A237:$AL237,MATCH(Lists!$F$11,$A$1:$AL$1,0))&amp;""),""))</f>
        <v/>
      </c>
      <c r="BF237" s="21">
        <f>IF(IFERROR(TRIM(INDEX($A237:$AL237,MATCH(Lists!$F$2,$A$1:$AL$1,0))&amp;""),"")="","",IFERROR(TRIM(INDEX($A237:$AL237,MATCH(Lists!$F$12,$A$1:$AL$1,0))&amp;""),""))</f>
        <v/>
      </c>
    </row>
    <row r="238">
      <c r="AM238" s="19" t="n"/>
      <c r="AN238" s="23" t="n"/>
      <c r="AO238" s="23" t="n"/>
      <c r="AP238" s="23" t="n"/>
      <c r="AQ238" s="23" t="n"/>
      <c r="AR238" s="19" t="n"/>
      <c r="AS238" s="21">
        <f>IF(IFERROR(TRIM(INDEX($A238:$AL238,MATCH(Lists!$F$2,$A$1:$AL$1,0))&amp;""),"")="","",IF(AND(IFERROR(TRIM(INDEX($A238:$AL238,MATCH(Lists!$F$3,$A$1:$AL$1,0))&amp;""),"")="Other",IFERROR(TRIM(INDEX($A238:$AL238,MATCH(Lists!$F$4,$A$1:$AL$1,0))&amp;""),"")&lt;&gt;""),IFERROR(TRIM(INDEX($A238:$AL238,MATCH(Lists!$F$4,$A$1:$AL$1,0))&amp;""),""),IF(IFERROR(TRIM(INDEX($A238:$AL238,MATCH(Lists!$F$3,$A$1:$AL$1,0))&amp;""),"")="","(no space)",IFERROR(TRIM(INDEX($A238:$AL238,MATCH(Lists!$F$3,$A$1:$AL$1,0))&amp;""),""))))</f>
        <v/>
      </c>
      <c r="AT238" s="22">
        <f>IF(IFERROR(TRIM(INDEX($A238:$AL238,MATCH(Lists!$F$2,$A$1:$AL$1,0))&amp;""),"")="",0,N(IFERROR(IF(TRIM(INDEX($A238:$AL238,MATCH(Lists!$F$5,$A$1:$AL$1,0))&amp;"")="","",IF(ISNUMBER(INDEX($A238:$AL238,MATCH(Lists!$F$5,$A$1:$AL$1,0))),INT(INDEX($A238:$AL238,MATCH(Lists!$F$5,$A$1:$AL$1,0))),DATE(VALUE(LEFT(INDEX($A238:$AL238,MATCH(Lists!$F$5,$A$1:$AL$1,0)),4)),VALUE(MID(INDEX($A238:$AL238,MATCH(Lists!$F$5,$A$1:$AL$1,0)),6,2)),VALUE(MID(INDEX($A238:$AL238,MATCH(Lists!$F$5,$A$1:$AL$1,0)),9,2))))),"")))</f>
        <v/>
      </c>
      <c r="AU238" s="21">
        <f>IF(IFERROR(TRIM(INDEX($A238:$AL238,MATCH(Lists!$F$2,$A$1:$AL$1,0))&amp;""),"")="",-1,IF(ISNUMBER(IFERROR(IF(TRIM(INDEX($A238:$AL238,MATCH(Lists!$F$6,$A$1:$AL$1,0))&amp;"")="","",IF(ISNUMBER(INDEX($A238:$AL238,MATCH(Lists!$F$6,$A$1:$AL$1,0))),ROUND(MOD(INDEX($A238:$AL238,MATCH(Lists!$F$6,$A$1:$AL$1,0)),1)*1440,0),VALUE(LEFT(INDEX($A238:$AL238,MATCH(Lists!$F$6,$A$1:$AL$1,0)),2))*60+VALUE(MID(INDEX($A238:$AL238,MATCH(Lists!$F$6,$A$1:$AL$1,0)),4,2)))),"")),IFERROR(IF(TRIM(INDEX($A238:$AL238,MATCH(Lists!$F$6,$A$1:$AL$1,0))&amp;"")="","",IF(ISNUMBER(INDEX($A238:$AL238,MATCH(Lists!$F$6,$A$1:$AL$1,0))),ROUND(MOD(INDEX($A238:$AL238,MATCH(Lists!$F$6,$A$1:$AL$1,0)),1)*1440,0),VALUE(LEFT(INDEX($A238:$AL238,MATCH(Lists!$F$6,$A$1:$AL$1,0)),2))*60+VALUE(MID(INDEX($A238:$AL238,MATCH(Lists!$F$6,$A$1:$AL$1,0)),4,2)))),""),-1))</f>
        <v/>
      </c>
      <c r="AV238" s="21">
        <f>IF(IFERROR(TRIM(INDEX($A238:$AL238,MATCH(Lists!$F$2,$A$1:$AL$1,0))&amp;""),"")="",-1,IF(ISNUMBER(IFERROR(IF(TRIM(INDEX($A238:$AL238,MATCH(Lists!$F$7,$A$1:$AL$1,0))&amp;"")="","",IF(ISNUMBER(INDEX($A238:$AL238,MATCH(Lists!$F$7,$A$1:$AL$1,0))),ROUND(MOD(INDEX($A238:$AL238,MATCH(Lists!$F$7,$A$1:$AL$1,0)),1)*1440,0),VALUE(LEFT(INDEX($A238:$AL238,MATCH(Lists!$F$7,$A$1:$AL$1,0)),2))*60+VALUE(MID(INDEX($A238:$AL238,MATCH(Lists!$F$7,$A$1:$AL$1,0)),4,2)))),"")),IFERROR(IF(TRIM(INDEX($A238:$AL238,MATCH(Lists!$F$7,$A$1:$AL$1,0))&amp;"")="","",IF(ISNUMBER(INDEX($A238:$AL238,MATCH(Lists!$F$7,$A$1:$AL$1,0))),ROUND(MOD(INDEX($A238:$AL238,MATCH(Lists!$F$7,$A$1:$AL$1,0)),1)*1440,0),VALUE(LEFT(INDEX($A238:$AL238,MATCH(Lists!$F$7,$A$1:$AL$1,0)),2))*60+VALUE(MID(INDEX($A238:$AL238,MATCH(Lists!$F$7,$A$1:$AL$1,0)),4,2)))),""),-1))</f>
        <v/>
      </c>
      <c r="AW238" s="21">
        <f>IF(IFERROR(TRIM(INDEX($A238:$AL238,MATCH(Lists!$F$2,$A$1:$AL$1,0))&amp;""),"")="","",IF(IFERROR(TRIM(INDEX($A238:$AL238,MATCH(Lists!$F$8,$A$1:$AL$1,0))&amp;""),"")&lt;&gt;"",IFERROR(TRIM(INDEX($A238:$AL238,MATCH(Lists!$F$8,$A$1:$AL$1,0))&amp;""),""),IFERROR(TRIM(INDEX($A238:$AL238,MATCH(Lists!$F$9,$A$1:$AL$1,0))&amp;""),"")))</f>
        <v/>
      </c>
      <c r="AX238" s="21">
        <f>IFERROR(IF(TRIM(INDEX($A238:$AL238,MATCH(Lists!$F$10,$A$1:$AL$1,0))&amp;"")="","",VALUE(TRIM(INDEX($A238:$AL238,MATCH(Lists!$F$10,$A$1:$AL$1,0))&amp;""))),"")</f>
        <v/>
      </c>
      <c r="AY238" s="21">
        <f>IF(IFERROR(TRIM(INDEX($A238:$AL238,MATCH(Lists!$F$2,$A$1:$AL$1,0))&amp;""),"")="","",IF(AN238="","New",AN238))</f>
        <v/>
      </c>
      <c r="AZ238" s="21">
        <f>IF(IFERROR(TRIM(INDEX($A238:$AL238,MATCH(Lists!$F$2,$A$1:$AL$1,0))&amp;""),"")="","",IF(OR(IFERROR(TRIM(INDEX($A238:$AL238,MATCH(Lists!$F$13,$A$1:$AL$1,0))&amp;""),"")="Paid",IFERROR(TRIM(INDEX($A238:$AL238,MATCH(Lists!$F$13,$A$1:$AL$1,0))&amp;""),"")="Partially refunded"),"Paid",IF(AP238="Yes","Paid (by hand)",IFERROR(TRIM(INDEX($A238:$AL238,MATCH(Lists!$F$13,$A$1:$AL$1,0))&amp;""),""))))</f>
        <v/>
      </c>
      <c r="BA238" s="21">
        <f>IF(AND(IFERROR(TRIM(INDEX($A238:$AL238,MATCH(Lists!$F$2,$A$1:$AL$1,0))&amp;""),"")&lt;&gt;"",AT238&gt;0,AU238&gt;=0,AV238&gt;AU238,AY238&lt;&gt;"Declined"),1,0)</f>
        <v/>
      </c>
      <c r="BB238" s="21">
        <f>IF(BA238=1,COUNTIFS($AS$2:$AS$501,AS238,$AT$2:$AT$501,AT238,$AU$2:$AU$501,"&lt;"&amp;AV238,$AV$2:$AV$501,"&gt;"&amp;AU238,$BA$2:$BA$501,1)-1,"")</f>
        <v/>
      </c>
      <c r="BC238" s="21">
        <f>IF(N(BB238)&gt;0,"Clashes with "&amp;INDEX($AW$2:$AW$501,SUMPRODUCT(MAX(($AS$2:$AS$501=AS238)*($AT$2:$AT$501=AT238)*($AU$2:$AU$501&lt;AV238)*($AV$2:$AV$501&gt;AU238)*($BA$2:$BA$501=1)*(ROW($AS$2:$AS$501)&lt;&gt;ROW())*ROW($AS$2:$AS$501)))-1)&amp;" ("&amp;INDEX($AY$2:$AY$501,SUMPRODUCT(MAX(($AS$2:$AS$501=AS238)*($AT$2:$AT$501=AT238)*($AU$2:$AU$501&lt;AV238)*($AV$2:$AV$501&gt;AU238)*($BA$2:$BA$501=1)*(ROW($AS$2:$AS$501)&lt;&gt;ROW())*ROW($AS$2:$AS$501)))-1)&amp;")"&amp;IF(BB238&gt;1," and "&amp;(BB238-1)&amp;" more",""),"")</f>
        <v/>
      </c>
      <c r="BD238" s="21">
        <f>IF(AND(BA238=1,AY238="Confirmed"),AT238*10000000+AU238*1000+ROW(),"")</f>
        <v/>
      </c>
      <c r="BE238" s="21">
        <f>IF(IFERROR(TRIM(INDEX($A238:$AL238,MATCH(Lists!$F$2,$A$1:$AL$1,0))&amp;""),"")="","",IFERROR(TRIM(INDEX($A238:$AL238,MATCH(Lists!$F$11,$A$1:$AL$1,0))&amp;""),""))</f>
        <v/>
      </c>
      <c r="BF238" s="21">
        <f>IF(IFERROR(TRIM(INDEX($A238:$AL238,MATCH(Lists!$F$2,$A$1:$AL$1,0))&amp;""),"")="","",IFERROR(TRIM(INDEX($A238:$AL238,MATCH(Lists!$F$12,$A$1:$AL$1,0))&amp;""),""))</f>
        <v/>
      </c>
    </row>
    <row r="239">
      <c r="AM239" s="19" t="n"/>
      <c r="AN239" s="23" t="n"/>
      <c r="AO239" s="23" t="n"/>
      <c r="AP239" s="23" t="n"/>
      <c r="AQ239" s="23" t="n"/>
      <c r="AR239" s="19" t="n"/>
      <c r="AS239" s="21">
        <f>IF(IFERROR(TRIM(INDEX($A239:$AL239,MATCH(Lists!$F$2,$A$1:$AL$1,0))&amp;""),"")="","",IF(AND(IFERROR(TRIM(INDEX($A239:$AL239,MATCH(Lists!$F$3,$A$1:$AL$1,0))&amp;""),"")="Other",IFERROR(TRIM(INDEX($A239:$AL239,MATCH(Lists!$F$4,$A$1:$AL$1,0))&amp;""),"")&lt;&gt;""),IFERROR(TRIM(INDEX($A239:$AL239,MATCH(Lists!$F$4,$A$1:$AL$1,0))&amp;""),""),IF(IFERROR(TRIM(INDEX($A239:$AL239,MATCH(Lists!$F$3,$A$1:$AL$1,0))&amp;""),"")="","(no space)",IFERROR(TRIM(INDEX($A239:$AL239,MATCH(Lists!$F$3,$A$1:$AL$1,0))&amp;""),""))))</f>
        <v/>
      </c>
      <c r="AT239" s="22">
        <f>IF(IFERROR(TRIM(INDEX($A239:$AL239,MATCH(Lists!$F$2,$A$1:$AL$1,0))&amp;""),"")="",0,N(IFERROR(IF(TRIM(INDEX($A239:$AL239,MATCH(Lists!$F$5,$A$1:$AL$1,0))&amp;"")="","",IF(ISNUMBER(INDEX($A239:$AL239,MATCH(Lists!$F$5,$A$1:$AL$1,0))),INT(INDEX($A239:$AL239,MATCH(Lists!$F$5,$A$1:$AL$1,0))),DATE(VALUE(LEFT(INDEX($A239:$AL239,MATCH(Lists!$F$5,$A$1:$AL$1,0)),4)),VALUE(MID(INDEX($A239:$AL239,MATCH(Lists!$F$5,$A$1:$AL$1,0)),6,2)),VALUE(MID(INDEX($A239:$AL239,MATCH(Lists!$F$5,$A$1:$AL$1,0)),9,2))))),"")))</f>
        <v/>
      </c>
      <c r="AU239" s="21">
        <f>IF(IFERROR(TRIM(INDEX($A239:$AL239,MATCH(Lists!$F$2,$A$1:$AL$1,0))&amp;""),"")="",-1,IF(ISNUMBER(IFERROR(IF(TRIM(INDEX($A239:$AL239,MATCH(Lists!$F$6,$A$1:$AL$1,0))&amp;"")="","",IF(ISNUMBER(INDEX($A239:$AL239,MATCH(Lists!$F$6,$A$1:$AL$1,0))),ROUND(MOD(INDEX($A239:$AL239,MATCH(Lists!$F$6,$A$1:$AL$1,0)),1)*1440,0),VALUE(LEFT(INDEX($A239:$AL239,MATCH(Lists!$F$6,$A$1:$AL$1,0)),2))*60+VALUE(MID(INDEX($A239:$AL239,MATCH(Lists!$F$6,$A$1:$AL$1,0)),4,2)))),"")),IFERROR(IF(TRIM(INDEX($A239:$AL239,MATCH(Lists!$F$6,$A$1:$AL$1,0))&amp;"")="","",IF(ISNUMBER(INDEX($A239:$AL239,MATCH(Lists!$F$6,$A$1:$AL$1,0))),ROUND(MOD(INDEX($A239:$AL239,MATCH(Lists!$F$6,$A$1:$AL$1,0)),1)*1440,0),VALUE(LEFT(INDEX($A239:$AL239,MATCH(Lists!$F$6,$A$1:$AL$1,0)),2))*60+VALUE(MID(INDEX($A239:$AL239,MATCH(Lists!$F$6,$A$1:$AL$1,0)),4,2)))),""),-1))</f>
        <v/>
      </c>
      <c r="AV239" s="21">
        <f>IF(IFERROR(TRIM(INDEX($A239:$AL239,MATCH(Lists!$F$2,$A$1:$AL$1,0))&amp;""),"")="",-1,IF(ISNUMBER(IFERROR(IF(TRIM(INDEX($A239:$AL239,MATCH(Lists!$F$7,$A$1:$AL$1,0))&amp;"")="","",IF(ISNUMBER(INDEX($A239:$AL239,MATCH(Lists!$F$7,$A$1:$AL$1,0))),ROUND(MOD(INDEX($A239:$AL239,MATCH(Lists!$F$7,$A$1:$AL$1,0)),1)*1440,0),VALUE(LEFT(INDEX($A239:$AL239,MATCH(Lists!$F$7,$A$1:$AL$1,0)),2))*60+VALUE(MID(INDEX($A239:$AL239,MATCH(Lists!$F$7,$A$1:$AL$1,0)),4,2)))),"")),IFERROR(IF(TRIM(INDEX($A239:$AL239,MATCH(Lists!$F$7,$A$1:$AL$1,0))&amp;"")="","",IF(ISNUMBER(INDEX($A239:$AL239,MATCH(Lists!$F$7,$A$1:$AL$1,0))),ROUND(MOD(INDEX($A239:$AL239,MATCH(Lists!$F$7,$A$1:$AL$1,0)),1)*1440,0),VALUE(LEFT(INDEX($A239:$AL239,MATCH(Lists!$F$7,$A$1:$AL$1,0)),2))*60+VALUE(MID(INDEX($A239:$AL239,MATCH(Lists!$F$7,$A$1:$AL$1,0)),4,2)))),""),-1))</f>
        <v/>
      </c>
      <c r="AW239" s="21">
        <f>IF(IFERROR(TRIM(INDEX($A239:$AL239,MATCH(Lists!$F$2,$A$1:$AL$1,0))&amp;""),"")="","",IF(IFERROR(TRIM(INDEX($A239:$AL239,MATCH(Lists!$F$8,$A$1:$AL$1,0))&amp;""),"")&lt;&gt;"",IFERROR(TRIM(INDEX($A239:$AL239,MATCH(Lists!$F$8,$A$1:$AL$1,0))&amp;""),""),IFERROR(TRIM(INDEX($A239:$AL239,MATCH(Lists!$F$9,$A$1:$AL$1,0))&amp;""),"")))</f>
        <v/>
      </c>
      <c r="AX239" s="21">
        <f>IFERROR(IF(TRIM(INDEX($A239:$AL239,MATCH(Lists!$F$10,$A$1:$AL$1,0))&amp;"")="","",VALUE(TRIM(INDEX($A239:$AL239,MATCH(Lists!$F$10,$A$1:$AL$1,0))&amp;""))),"")</f>
        <v/>
      </c>
      <c r="AY239" s="21">
        <f>IF(IFERROR(TRIM(INDEX($A239:$AL239,MATCH(Lists!$F$2,$A$1:$AL$1,0))&amp;""),"")="","",IF(AN239="","New",AN239))</f>
        <v/>
      </c>
      <c r="AZ239" s="21">
        <f>IF(IFERROR(TRIM(INDEX($A239:$AL239,MATCH(Lists!$F$2,$A$1:$AL$1,0))&amp;""),"")="","",IF(OR(IFERROR(TRIM(INDEX($A239:$AL239,MATCH(Lists!$F$13,$A$1:$AL$1,0))&amp;""),"")="Paid",IFERROR(TRIM(INDEX($A239:$AL239,MATCH(Lists!$F$13,$A$1:$AL$1,0))&amp;""),"")="Partially refunded"),"Paid",IF(AP239="Yes","Paid (by hand)",IFERROR(TRIM(INDEX($A239:$AL239,MATCH(Lists!$F$13,$A$1:$AL$1,0))&amp;""),""))))</f>
        <v/>
      </c>
      <c r="BA239" s="21">
        <f>IF(AND(IFERROR(TRIM(INDEX($A239:$AL239,MATCH(Lists!$F$2,$A$1:$AL$1,0))&amp;""),"")&lt;&gt;"",AT239&gt;0,AU239&gt;=0,AV239&gt;AU239,AY239&lt;&gt;"Declined"),1,0)</f>
        <v/>
      </c>
      <c r="BB239" s="21">
        <f>IF(BA239=1,COUNTIFS($AS$2:$AS$501,AS239,$AT$2:$AT$501,AT239,$AU$2:$AU$501,"&lt;"&amp;AV239,$AV$2:$AV$501,"&gt;"&amp;AU239,$BA$2:$BA$501,1)-1,"")</f>
        <v/>
      </c>
      <c r="BC239" s="21">
        <f>IF(N(BB239)&gt;0,"Clashes with "&amp;INDEX($AW$2:$AW$501,SUMPRODUCT(MAX(($AS$2:$AS$501=AS239)*($AT$2:$AT$501=AT239)*($AU$2:$AU$501&lt;AV239)*($AV$2:$AV$501&gt;AU239)*($BA$2:$BA$501=1)*(ROW($AS$2:$AS$501)&lt;&gt;ROW())*ROW($AS$2:$AS$501)))-1)&amp;" ("&amp;INDEX($AY$2:$AY$501,SUMPRODUCT(MAX(($AS$2:$AS$501=AS239)*($AT$2:$AT$501=AT239)*($AU$2:$AU$501&lt;AV239)*($AV$2:$AV$501&gt;AU239)*($BA$2:$BA$501=1)*(ROW($AS$2:$AS$501)&lt;&gt;ROW())*ROW($AS$2:$AS$501)))-1)&amp;")"&amp;IF(BB239&gt;1," and "&amp;(BB239-1)&amp;" more",""),"")</f>
        <v/>
      </c>
      <c r="BD239" s="21">
        <f>IF(AND(BA239=1,AY239="Confirmed"),AT239*10000000+AU239*1000+ROW(),"")</f>
        <v/>
      </c>
      <c r="BE239" s="21">
        <f>IF(IFERROR(TRIM(INDEX($A239:$AL239,MATCH(Lists!$F$2,$A$1:$AL$1,0))&amp;""),"")="","",IFERROR(TRIM(INDEX($A239:$AL239,MATCH(Lists!$F$11,$A$1:$AL$1,0))&amp;""),""))</f>
        <v/>
      </c>
      <c r="BF239" s="21">
        <f>IF(IFERROR(TRIM(INDEX($A239:$AL239,MATCH(Lists!$F$2,$A$1:$AL$1,0))&amp;""),"")="","",IFERROR(TRIM(INDEX($A239:$AL239,MATCH(Lists!$F$12,$A$1:$AL$1,0))&amp;""),""))</f>
        <v/>
      </c>
    </row>
    <row r="240">
      <c r="AM240" s="19" t="n"/>
      <c r="AN240" s="23" t="n"/>
      <c r="AO240" s="23" t="n"/>
      <c r="AP240" s="23" t="n"/>
      <c r="AQ240" s="23" t="n"/>
      <c r="AR240" s="19" t="n"/>
      <c r="AS240" s="21">
        <f>IF(IFERROR(TRIM(INDEX($A240:$AL240,MATCH(Lists!$F$2,$A$1:$AL$1,0))&amp;""),"")="","",IF(AND(IFERROR(TRIM(INDEX($A240:$AL240,MATCH(Lists!$F$3,$A$1:$AL$1,0))&amp;""),"")="Other",IFERROR(TRIM(INDEX($A240:$AL240,MATCH(Lists!$F$4,$A$1:$AL$1,0))&amp;""),"")&lt;&gt;""),IFERROR(TRIM(INDEX($A240:$AL240,MATCH(Lists!$F$4,$A$1:$AL$1,0))&amp;""),""),IF(IFERROR(TRIM(INDEX($A240:$AL240,MATCH(Lists!$F$3,$A$1:$AL$1,0))&amp;""),"")="","(no space)",IFERROR(TRIM(INDEX($A240:$AL240,MATCH(Lists!$F$3,$A$1:$AL$1,0))&amp;""),""))))</f>
        <v/>
      </c>
      <c r="AT240" s="22">
        <f>IF(IFERROR(TRIM(INDEX($A240:$AL240,MATCH(Lists!$F$2,$A$1:$AL$1,0))&amp;""),"")="",0,N(IFERROR(IF(TRIM(INDEX($A240:$AL240,MATCH(Lists!$F$5,$A$1:$AL$1,0))&amp;"")="","",IF(ISNUMBER(INDEX($A240:$AL240,MATCH(Lists!$F$5,$A$1:$AL$1,0))),INT(INDEX($A240:$AL240,MATCH(Lists!$F$5,$A$1:$AL$1,0))),DATE(VALUE(LEFT(INDEX($A240:$AL240,MATCH(Lists!$F$5,$A$1:$AL$1,0)),4)),VALUE(MID(INDEX($A240:$AL240,MATCH(Lists!$F$5,$A$1:$AL$1,0)),6,2)),VALUE(MID(INDEX($A240:$AL240,MATCH(Lists!$F$5,$A$1:$AL$1,0)),9,2))))),"")))</f>
        <v/>
      </c>
      <c r="AU240" s="21">
        <f>IF(IFERROR(TRIM(INDEX($A240:$AL240,MATCH(Lists!$F$2,$A$1:$AL$1,0))&amp;""),"")="",-1,IF(ISNUMBER(IFERROR(IF(TRIM(INDEX($A240:$AL240,MATCH(Lists!$F$6,$A$1:$AL$1,0))&amp;"")="","",IF(ISNUMBER(INDEX($A240:$AL240,MATCH(Lists!$F$6,$A$1:$AL$1,0))),ROUND(MOD(INDEX($A240:$AL240,MATCH(Lists!$F$6,$A$1:$AL$1,0)),1)*1440,0),VALUE(LEFT(INDEX($A240:$AL240,MATCH(Lists!$F$6,$A$1:$AL$1,0)),2))*60+VALUE(MID(INDEX($A240:$AL240,MATCH(Lists!$F$6,$A$1:$AL$1,0)),4,2)))),"")),IFERROR(IF(TRIM(INDEX($A240:$AL240,MATCH(Lists!$F$6,$A$1:$AL$1,0))&amp;"")="","",IF(ISNUMBER(INDEX($A240:$AL240,MATCH(Lists!$F$6,$A$1:$AL$1,0))),ROUND(MOD(INDEX($A240:$AL240,MATCH(Lists!$F$6,$A$1:$AL$1,0)),1)*1440,0),VALUE(LEFT(INDEX($A240:$AL240,MATCH(Lists!$F$6,$A$1:$AL$1,0)),2))*60+VALUE(MID(INDEX($A240:$AL240,MATCH(Lists!$F$6,$A$1:$AL$1,0)),4,2)))),""),-1))</f>
        <v/>
      </c>
      <c r="AV240" s="21">
        <f>IF(IFERROR(TRIM(INDEX($A240:$AL240,MATCH(Lists!$F$2,$A$1:$AL$1,0))&amp;""),"")="",-1,IF(ISNUMBER(IFERROR(IF(TRIM(INDEX($A240:$AL240,MATCH(Lists!$F$7,$A$1:$AL$1,0))&amp;"")="","",IF(ISNUMBER(INDEX($A240:$AL240,MATCH(Lists!$F$7,$A$1:$AL$1,0))),ROUND(MOD(INDEX($A240:$AL240,MATCH(Lists!$F$7,$A$1:$AL$1,0)),1)*1440,0),VALUE(LEFT(INDEX($A240:$AL240,MATCH(Lists!$F$7,$A$1:$AL$1,0)),2))*60+VALUE(MID(INDEX($A240:$AL240,MATCH(Lists!$F$7,$A$1:$AL$1,0)),4,2)))),"")),IFERROR(IF(TRIM(INDEX($A240:$AL240,MATCH(Lists!$F$7,$A$1:$AL$1,0))&amp;"")="","",IF(ISNUMBER(INDEX($A240:$AL240,MATCH(Lists!$F$7,$A$1:$AL$1,0))),ROUND(MOD(INDEX($A240:$AL240,MATCH(Lists!$F$7,$A$1:$AL$1,0)),1)*1440,0),VALUE(LEFT(INDEX($A240:$AL240,MATCH(Lists!$F$7,$A$1:$AL$1,0)),2))*60+VALUE(MID(INDEX($A240:$AL240,MATCH(Lists!$F$7,$A$1:$AL$1,0)),4,2)))),""),-1))</f>
        <v/>
      </c>
      <c r="AW240" s="21">
        <f>IF(IFERROR(TRIM(INDEX($A240:$AL240,MATCH(Lists!$F$2,$A$1:$AL$1,0))&amp;""),"")="","",IF(IFERROR(TRIM(INDEX($A240:$AL240,MATCH(Lists!$F$8,$A$1:$AL$1,0))&amp;""),"")&lt;&gt;"",IFERROR(TRIM(INDEX($A240:$AL240,MATCH(Lists!$F$8,$A$1:$AL$1,0))&amp;""),""),IFERROR(TRIM(INDEX($A240:$AL240,MATCH(Lists!$F$9,$A$1:$AL$1,0))&amp;""),"")))</f>
        <v/>
      </c>
      <c r="AX240" s="21">
        <f>IFERROR(IF(TRIM(INDEX($A240:$AL240,MATCH(Lists!$F$10,$A$1:$AL$1,0))&amp;"")="","",VALUE(TRIM(INDEX($A240:$AL240,MATCH(Lists!$F$10,$A$1:$AL$1,0))&amp;""))),"")</f>
        <v/>
      </c>
      <c r="AY240" s="21">
        <f>IF(IFERROR(TRIM(INDEX($A240:$AL240,MATCH(Lists!$F$2,$A$1:$AL$1,0))&amp;""),"")="","",IF(AN240="","New",AN240))</f>
        <v/>
      </c>
      <c r="AZ240" s="21">
        <f>IF(IFERROR(TRIM(INDEX($A240:$AL240,MATCH(Lists!$F$2,$A$1:$AL$1,0))&amp;""),"")="","",IF(OR(IFERROR(TRIM(INDEX($A240:$AL240,MATCH(Lists!$F$13,$A$1:$AL$1,0))&amp;""),"")="Paid",IFERROR(TRIM(INDEX($A240:$AL240,MATCH(Lists!$F$13,$A$1:$AL$1,0))&amp;""),"")="Partially refunded"),"Paid",IF(AP240="Yes","Paid (by hand)",IFERROR(TRIM(INDEX($A240:$AL240,MATCH(Lists!$F$13,$A$1:$AL$1,0))&amp;""),""))))</f>
        <v/>
      </c>
      <c r="BA240" s="21">
        <f>IF(AND(IFERROR(TRIM(INDEX($A240:$AL240,MATCH(Lists!$F$2,$A$1:$AL$1,0))&amp;""),"")&lt;&gt;"",AT240&gt;0,AU240&gt;=0,AV240&gt;AU240,AY240&lt;&gt;"Declined"),1,0)</f>
        <v/>
      </c>
      <c r="BB240" s="21">
        <f>IF(BA240=1,COUNTIFS($AS$2:$AS$501,AS240,$AT$2:$AT$501,AT240,$AU$2:$AU$501,"&lt;"&amp;AV240,$AV$2:$AV$501,"&gt;"&amp;AU240,$BA$2:$BA$501,1)-1,"")</f>
        <v/>
      </c>
      <c r="BC240" s="21">
        <f>IF(N(BB240)&gt;0,"Clashes with "&amp;INDEX($AW$2:$AW$501,SUMPRODUCT(MAX(($AS$2:$AS$501=AS240)*($AT$2:$AT$501=AT240)*($AU$2:$AU$501&lt;AV240)*($AV$2:$AV$501&gt;AU240)*($BA$2:$BA$501=1)*(ROW($AS$2:$AS$501)&lt;&gt;ROW())*ROW($AS$2:$AS$501)))-1)&amp;" ("&amp;INDEX($AY$2:$AY$501,SUMPRODUCT(MAX(($AS$2:$AS$501=AS240)*($AT$2:$AT$501=AT240)*($AU$2:$AU$501&lt;AV240)*($AV$2:$AV$501&gt;AU240)*($BA$2:$BA$501=1)*(ROW($AS$2:$AS$501)&lt;&gt;ROW())*ROW($AS$2:$AS$501)))-1)&amp;")"&amp;IF(BB240&gt;1," and "&amp;(BB240-1)&amp;" more",""),"")</f>
        <v/>
      </c>
      <c r="BD240" s="21">
        <f>IF(AND(BA240=1,AY240="Confirmed"),AT240*10000000+AU240*1000+ROW(),"")</f>
        <v/>
      </c>
      <c r="BE240" s="21">
        <f>IF(IFERROR(TRIM(INDEX($A240:$AL240,MATCH(Lists!$F$2,$A$1:$AL$1,0))&amp;""),"")="","",IFERROR(TRIM(INDEX($A240:$AL240,MATCH(Lists!$F$11,$A$1:$AL$1,0))&amp;""),""))</f>
        <v/>
      </c>
      <c r="BF240" s="21">
        <f>IF(IFERROR(TRIM(INDEX($A240:$AL240,MATCH(Lists!$F$2,$A$1:$AL$1,0))&amp;""),"")="","",IFERROR(TRIM(INDEX($A240:$AL240,MATCH(Lists!$F$12,$A$1:$AL$1,0))&amp;""),""))</f>
        <v/>
      </c>
    </row>
    <row r="241">
      <c r="AM241" s="19" t="n"/>
      <c r="AN241" s="23" t="n"/>
      <c r="AO241" s="23" t="n"/>
      <c r="AP241" s="23" t="n"/>
      <c r="AQ241" s="23" t="n"/>
      <c r="AR241" s="19" t="n"/>
      <c r="AS241" s="21">
        <f>IF(IFERROR(TRIM(INDEX($A241:$AL241,MATCH(Lists!$F$2,$A$1:$AL$1,0))&amp;""),"")="","",IF(AND(IFERROR(TRIM(INDEX($A241:$AL241,MATCH(Lists!$F$3,$A$1:$AL$1,0))&amp;""),"")="Other",IFERROR(TRIM(INDEX($A241:$AL241,MATCH(Lists!$F$4,$A$1:$AL$1,0))&amp;""),"")&lt;&gt;""),IFERROR(TRIM(INDEX($A241:$AL241,MATCH(Lists!$F$4,$A$1:$AL$1,0))&amp;""),""),IF(IFERROR(TRIM(INDEX($A241:$AL241,MATCH(Lists!$F$3,$A$1:$AL$1,0))&amp;""),"")="","(no space)",IFERROR(TRIM(INDEX($A241:$AL241,MATCH(Lists!$F$3,$A$1:$AL$1,0))&amp;""),""))))</f>
        <v/>
      </c>
      <c r="AT241" s="22">
        <f>IF(IFERROR(TRIM(INDEX($A241:$AL241,MATCH(Lists!$F$2,$A$1:$AL$1,0))&amp;""),"")="",0,N(IFERROR(IF(TRIM(INDEX($A241:$AL241,MATCH(Lists!$F$5,$A$1:$AL$1,0))&amp;"")="","",IF(ISNUMBER(INDEX($A241:$AL241,MATCH(Lists!$F$5,$A$1:$AL$1,0))),INT(INDEX($A241:$AL241,MATCH(Lists!$F$5,$A$1:$AL$1,0))),DATE(VALUE(LEFT(INDEX($A241:$AL241,MATCH(Lists!$F$5,$A$1:$AL$1,0)),4)),VALUE(MID(INDEX($A241:$AL241,MATCH(Lists!$F$5,$A$1:$AL$1,0)),6,2)),VALUE(MID(INDEX($A241:$AL241,MATCH(Lists!$F$5,$A$1:$AL$1,0)),9,2))))),"")))</f>
        <v/>
      </c>
      <c r="AU241" s="21">
        <f>IF(IFERROR(TRIM(INDEX($A241:$AL241,MATCH(Lists!$F$2,$A$1:$AL$1,0))&amp;""),"")="",-1,IF(ISNUMBER(IFERROR(IF(TRIM(INDEX($A241:$AL241,MATCH(Lists!$F$6,$A$1:$AL$1,0))&amp;"")="","",IF(ISNUMBER(INDEX($A241:$AL241,MATCH(Lists!$F$6,$A$1:$AL$1,0))),ROUND(MOD(INDEX($A241:$AL241,MATCH(Lists!$F$6,$A$1:$AL$1,0)),1)*1440,0),VALUE(LEFT(INDEX($A241:$AL241,MATCH(Lists!$F$6,$A$1:$AL$1,0)),2))*60+VALUE(MID(INDEX($A241:$AL241,MATCH(Lists!$F$6,$A$1:$AL$1,0)),4,2)))),"")),IFERROR(IF(TRIM(INDEX($A241:$AL241,MATCH(Lists!$F$6,$A$1:$AL$1,0))&amp;"")="","",IF(ISNUMBER(INDEX($A241:$AL241,MATCH(Lists!$F$6,$A$1:$AL$1,0))),ROUND(MOD(INDEX($A241:$AL241,MATCH(Lists!$F$6,$A$1:$AL$1,0)),1)*1440,0),VALUE(LEFT(INDEX($A241:$AL241,MATCH(Lists!$F$6,$A$1:$AL$1,0)),2))*60+VALUE(MID(INDEX($A241:$AL241,MATCH(Lists!$F$6,$A$1:$AL$1,0)),4,2)))),""),-1))</f>
        <v/>
      </c>
      <c r="AV241" s="21">
        <f>IF(IFERROR(TRIM(INDEX($A241:$AL241,MATCH(Lists!$F$2,$A$1:$AL$1,0))&amp;""),"")="",-1,IF(ISNUMBER(IFERROR(IF(TRIM(INDEX($A241:$AL241,MATCH(Lists!$F$7,$A$1:$AL$1,0))&amp;"")="","",IF(ISNUMBER(INDEX($A241:$AL241,MATCH(Lists!$F$7,$A$1:$AL$1,0))),ROUND(MOD(INDEX($A241:$AL241,MATCH(Lists!$F$7,$A$1:$AL$1,0)),1)*1440,0),VALUE(LEFT(INDEX($A241:$AL241,MATCH(Lists!$F$7,$A$1:$AL$1,0)),2))*60+VALUE(MID(INDEX($A241:$AL241,MATCH(Lists!$F$7,$A$1:$AL$1,0)),4,2)))),"")),IFERROR(IF(TRIM(INDEX($A241:$AL241,MATCH(Lists!$F$7,$A$1:$AL$1,0))&amp;"")="","",IF(ISNUMBER(INDEX($A241:$AL241,MATCH(Lists!$F$7,$A$1:$AL$1,0))),ROUND(MOD(INDEX($A241:$AL241,MATCH(Lists!$F$7,$A$1:$AL$1,0)),1)*1440,0),VALUE(LEFT(INDEX($A241:$AL241,MATCH(Lists!$F$7,$A$1:$AL$1,0)),2))*60+VALUE(MID(INDEX($A241:$AL241,MATCH(Lists!$F$7,$A$1:$AL$1,0)),4,2)))),""),-1))</f>
        <v/>
      </c>
      <c r="AW241" s="21">
        <f>IF(IFERROR(TRIM(INDEX($A241:$AL241,MATCH(Lists!$F$2,$A$1:$AL$1,0))&amp;""),"")="","",IF(IFERROR(TRIM(INDEX($A241:$AL241,MATCH(Lists!$F$8,$A$1:$AL$1,0))&amp;""),"")&lt;&gt;"",IFERROR(TRIM(INDEX($A241:$AL241,MATCH(Lists!$F$8,$A$1:$AL$1,0))&amp;""),""),IFERROR(TRIM(INDEX($A241:$AL241,MATCH(Lists!$F$9,$A$1:$AL$1,0))&amp;""),"")))</f>
        <v/>
      </c>
      <c r="AX241" s="21">
        <f>IFERROR(IF(TRIM(INDEX($A241:$AL241,MATCH(Lists!$F$10,$A$1:$AL$1,0))&amp;"")="","",VALUE(TRIM(INDEX($A241:$AL241,MATCH(Lists!$F$10,$A$1:$AL$1,0))&amp;""))),"")</f>
        <v/>
      </c>
      <c r="AY241" s="21">
        <f>IF(IFERROR(TRIM(INDEX($A241:$AL241,MATCH(Lists!$F$2,$A$1:$AL$1,0))&amp;""),"")="","",IF(AN241="","New",AN241))</f>
        <v/>
      </c>
      <c r="AZ241" s="21">
        <f>IF(IFERROR(TRIM(INDEX($A241:$AL241,MATCH(Lists!$F$2,$A$1:$AL$1,0))&amp;""),"")="","",IF(OR(IFERROR(TRIM(INDEX($A241:$AL241,MATCH(Lists!$F$13,$A$1:$AL$1,0))&amp;""),"")="Paid",IFERROR(TRIM(INDEX($A241:$AL241,MATCH(Lists!$F$13,$A$1:$AL$1,0))&amp;""),"")="Partially refunded"),"Paid",IF(AP241="Yes","Paid (by hand)",IFERROR(TRIM(INDEX($A241:$AL241,MATCH(Lists!$F$13,$A$1:$AL$1,0))&amp;""),""))))</f>
        <v/>
      </c>
      <c r="BA241" s="21">
        <f>IF(AND(IFERROR(TRIM(INDEX($A241:$AL241,MATCH(Lists!$F$2,$A$1:$AL$1,0))&amp;""),"")&lt;&gt;"",AT241&gt;0,AU241&gt;=0,AV241&gt;AU241,AY241&lt;&gt;"Declined"),1,0)</f>
        <v/>
      </c>
      <c r="BB241" s="21">
        <f>IF(BA241=1,COUNTIFS($AS$2:$AS$501,AS241,$AT$2:$AT$501,AT241,$AU$2:$AU$501,"&lt;"&amp;AV241,$AV$2:$AV$501,"&gt;"&amp;AU241,$BA$2:$BA$501,1)-1,"")</f>
        <v/>
      </c>
      <c r="BC241" s="21">
        <f>IF(N(BB241)&gt;0,"Clashes with "&amp;INDEX($AW$2:$AW$501,SUMPRODUCT(MAX(($AS$2:$AS$501=AS241)*($AT$2:$AT$501=AT241)*($AU$2:$AU$501&lt;AV241)*($AV$2:$AV$501&gt;AU241)*($BA$2:$BA$501=1)*(ROW($AS$2:$AS$501)&lt;&gt;ROW())*ROW($AS$2:$AS$501)))-1)&amp;" ("&amp;INDEX($AY$2:$AY$501,SUMPRODUCT(MAX(($AS$2:$AS$501=AS241)*($AT$2:$AT$501=AT241)*($AU$2:$AU$501&lt;AV241)*($AV$2:$AV$501&gt;AU241)*($BA$2:$BA$501=1)*(ROW($AS$2:$AS$501)&lt;&gt;ROW())*ROW($AS$2:$AS$501)))-1)&amp;")"&amp;IF(BB241&gt;1," and "&amp;(BB241-1)&amp;" more",""),"")</f>
        <v/>
      </c>
      <c r="BD241" s="21">
        <f>IF(AND(BA241=1,AY241="Confirmed"),AT241*10000000+AU241*1000+ROW(),"")</f>
        <v/>
      </c>
      <c r="BE241" s="21">
        <f>IF(IFERROR(TRIM(INDEX($A241:$AL241,MATCH(Lists!$F$2,$A$1:$AL$1,0))&amp;""),"")="","",IFERROR(TRIM(INDEX($A241:$AL241,MATCH(Lists!$F$11,$A$1:$AL$1,0))&amp;""),""))</f>
        <v/>
      </c>
      <c r="BF241" s="21">
        <f>IF(IFERROR(TRIM(INDEX($A241:$AL241,MATCH(Lists!$F$2,$A$1:$AL$1,0))&amp;""),"")="","",IFERROR(TRIM(INDEX($A241:$AL241,MATCH(Lists!$F$12,$A$1:$AL$1,0))&amp;""),""))</f>
        <v/>
      </c>
    </row>
    <row r="242">
      <c r="AM242" s="19" t="n"/>
      <c r="AN242" s="23" t="n"/>
      <c r="AO242" s="23" t="n"/>
      <c r="AP242" s="23" t="n"/>
      <c r="AQ242" s="23" t="n"/>
      <c r="AR242" s="19" t="n"/>
      <c r="AS242" s="21">
        <f>IF(IFERROR(TRIM(INDEX($A242:$AL242,MATCH(Lists!$F$2,$A$1:$AL$1,0))&amp;""),"")="","",IF(AND(IFERROR(TRIM(INDEX($A242:$AL242,MATCH(Lists!$F$3,$A$1:$AL$1,0))&amp;""),"")="Other",IFERROR(TRIM(INDEX($A242:$AL242,MATCH(Lists!$F$4,$A$1:$AL$1,0))&amp;""),"")&lt;&gt;""),IFERROR(TRIM(INDEX($A242:$AL242,MATCH(Lists!$F$4,$A$1:$AL$1,0))&amp;""),""),IF(IFERROR(TRIM(INDEX($A242:$AL242,MATCH(Lists!$F$3,$A$1:$AL$1,0))&amp;""),"")="","(no space)",IFERROR(TRIM(INDEX($A242:$AL242,MATCH(Lists!$F$3,$A$1:$AL$1,0))&amp;""),""))))</f>
        <v/>
      </c>
      <c r="AT242" s="22">
        <f>IF(IFERROR(TRIM(INDEX($A242:$AL242,MATCH(Lists!$F$2,$A$1:$AL$1,0))&amp;""),"")="",0,N(IFERROR(IF(TRIM(INDEX($A242:$AL242,MATCH(Lists!$F$5,$A$1:$AL$1,0))&amp;"")="","",IF(ISNUMBER(INDEX($A242:$AL242,MATCH(Lists!$F$5,$A$1:$AL$1,0))),INT(INDEX($A242:$AL242,MATCH(Lists!$F$5,$A$1:$AL$1,0))),DATE(VALUE(LEFT(INDEX($A242:$AL242,MATCH(Lists!$F$5,$A$1:$AL$1,0)),4)),VALUE(MID(INDEX($A242:$AL242,MATCH(Lists!$F$5,$A$1:$AL$1,0)),6,2)),VALUE(MID(INDEX($A242:$AL242,MATCH(Lists!$F$5,$A$1:$AL$1,0)),9,2))))),"")))</f>
        <v/>
      </c>
      <c r="AU242" s="21">
        <f>IF(IFERROR(TRIM(INDEX($A242:$AL242,MATCH(Lists!$F$2,$A$1:$AL$1,0))&amp;""),"")="",-1,IF(ISNUMBER(IFERROR(IF(TRIM(INDEX($A242:$AL242,MATCH(Lists!$F$6,$A$1:$AL$1,0))&amp;"")="","",IF(ISNUMBER(INDEX($A242:$AL242,MATCH(Lists!$F$6,$A$1:$AL$1,0))),ROUND(MOD(INDEX($A242:$AL242,MATCH(Lists!$F$6,$A$1:$AL$1,0)),1)*1440,0),VALUE(LEFT(INDEX($A242:$AL242,MATCH(Lists!$F$6,$A$1:$AL$1,0)),2))*60+VALUE(MID(INDEX($A242:$AL242,MATCH(Lists!$F$6,$A$1:$AL$1,0)),4,2)))),"")),IFERROR(IF(TRIM(INDEX($A242:$AL242,MATCH(Lists!$F$6,$A$1:$AL$1,0))&amp;"")="","",IF(ISNUMBER(INDEX($A242:$AL242,MATCH(Lists!$F$6,$A$1:$AL$1,0))),ROUND(MOD(INDEX($A242:$AL242,MATCH(Lists!$F$6,$A$1:$AL$1,0)),1)*1440,0),VALUE(LEFT(INDEX($A242:$AL242,MATCH(Lists!$F$6,$A$1:$AL$1,0)),2))*60+VALUE(MID(INDEX($A242:$AL242,MATCH(Lists!$F$6,$A$1:$AL$1,0)),4,2)))),""),-1))</f>
        <v/>
      </c>
      <c r="AV242" s="21">
        <f>IF(IFERROR(TRIM(INDEX($A242:$AL242,MATCH(Lists!$F$2,$A$1:$AL$1,0))&amp;""),"")="",-1,IF(ISNUMBER(IFERROR(IF(TRIM(INDEX($A242:$AL242,MATCH(Lists!$F$7,$A$1:$AL$1,0))&amp;"")="","",IF(ISNUMBER(INDEX($A242:$AL242,MATCH(Lists!$F$7,$A$1:$AL$1,0))),ROUND(MOD(INDEX($A242:$AL242,MATCH(Lists!$F$7,$A$1:$AL$1,0)),1)*1440,0),VALUE(LEFT(INDEX($A242:$AL242,MATCH(Lists!$F$7,$A$1:$AL$1,0)),2))*60+VALUE(MID(INDEX($A242:$AL242,MATCH(Lists!$F$7,$A$1:$AL$1,0)),4,2)))),"")),IFERROR(IF(TRIM(INDEX($A242:$AL242,MATCH(Lists!$F$7,$A$1:$AL$1,0))&amp;"")="","",IF(ISNUMBER(INDEX($A242:$AL242,MATCH(Lists!$F$7,$A$1:$AL$1,0))),ROUND(MOD(INDEX($A242:$AL242,MATCH(Lists!$F$7,$A$1:$AL$1,0)),1)*1440,0),VALUE(LEFT(INDEX($A242:$AL242,MATCH(Lists!$F$7,$A$1:$AL$1,0)),2))*60+VALUE(MID(INDEX($A242:$AL242,MATCH(Lists!$F$7,$A$1:$AL$1,0)),4,2)))),""),-1))</f>
        <v/>
      </c>
      <c r="AW242" s="21">
        <f>IF(IFERROR(TRIM(INDEX($A242:$AL242,MATCH(Lists!$F$2,$A$1:$AL$1,0))&amp;""),"")="","",IF(IFERROR(TRIM(INDEX($A242:$AL242,MATCH(Lists!$F$8,$A$1:$AL$1,0))&amp;""),"")&lt;&gt;"",IFERROR(TRIM(INDEX($A242:$AL242,MATCH(Lists!$F$8,$A$1:$AL$1,0))&amp;""),""),IFERROR(TRIM(INDEX($A242:$AL242,MATCH(Lists!$F$9,$A$1:$AL$1,0))&amp;""),"")))</f>
        <v/>
      </c>
      <c r="AX242" s="21">
        <f>IFERROR(IF(TRIM(INDEX($A242:$AL242,MATCH(Lists!$F$10,$A$1:$AL$1,0))&amp;"")="","",VALUE(TRIM(INDEX($A242:$AL242,MATCH(Lists!$F$10,$A$1:$AL$1,0))&amp;""))),"")</f>
        <v/>
      </c>
      <c r="AY242" s="21">
        <f>IF(IFERROR(TRIM(INDEX($A242:$AL242,MATCH(Lists!$F$2,$A$1:$AL$1,0))&amp;""),"")="","",IF(AN242="","New",AN242))</f>
        <v/>
      </c>
      <c r="AZ242" s="21">
        <f>IF(IFERROR(TRIM(INDEX($A242:$AL242,MATCH(Lists!$F$2,$A$1:$AL$1,0))&amp;""),"")="","",IF(OR(IFERROR(TRIM(INDEX($A242:$AL242,MATCH(Lists!$F$13,$A$1:$AL$1,0))&amp;""),"")="Paid",IFERROR(TRIM(INDEX($A242:$AL242,MATCH(Lists!$F$13,$A$1:$AL$1,0))&amp;""),"")="Partially refunded"),"Paid",IF(AP242="Yes","Paid (by hand)",IFERROR(TRIM(INDEX($A242:$AL242,MATCH(Lists!$F$13,$A$1:$AL$1,0))&amp;""),""))))</f>
        <v/>
      </c>
      <c r="BA242" s="21">
        <f>IF(AND(IFERROR(TRIM(INDEX($A242:$AL242,MATCH(Lists!$F$2,$A$1:$AL$1,0))&amp;""),"")&lt;&gt;"",AT242&gt;0,AU242&gt;=0,AV242&gt;AU242,AY242&lt;&gt;"Declined"),1,0)</f>
        <v/>
      </c>
      <c r="BB242" s="21">
        <f>IF(BA242=1,COUNTIFS($AS$2:$AS$501,AS242,$AT$2:$AT$501,AT242,$AU$2:$AU$501,"&lt;"&amp;AV242,$AV$2:$AV$501,"&gt;"&amp;AU242,$BA$2:$BA$501,1)-1,"")</f>
        <v/>
      </c>
      <c r="BC242" s="21">
        <f>IF(N(BB242)&gt;0,"Clashes with "&amp;INDEX($AW$2:$AW$501,SUMPRODUCT(MAX(($AS$2:$AS$501=AS242)*($AT$2:$AT$501=AT242)*($AU$2:$AU$501&lt;AV242)*($AV$2:$AV$501&gt;AU242)*($BA$2:$BA$501=1)*(ROW($AS$2:$AS$501)&lt;&gt;ROW())*ROW($AS$2:$AS$501)))-1)&amp;" ("&amp;INDEX($AY$2:$AY$501,SUMPRODUCT(MAX(($AS$2:$AS$501=AS242)*($AT$2:$AT$501=AT242)*($AU$2:$AU$501&lt;AV242)*($AV$2:$AV$501&gt;AU242)*($BA$2:$BA$501=1)*(ROW($AS$2:$AS$501)&lt;&gt;ROW())*ROW($AS$2:$AS$501)))-1)&amp;")"&amp;IF(BB242&gt;1," and "&amp;(BB242-1)&amp;" more",""),"")</f>
        <v/>
      </c>
      <c r="BD242" s="21">
        <f>IF(AND(BA242=1,AY242="Confirmed"),AT242*10000000+AU242*1000+ROW(),"")</f>
        <v/>
      </c>
      <c r="BE242" s="21">
        <f>IF(IFERROR(TRIM(INDEX($A242:$AL242,MATCH(Lists!$F$2,$A$1:$AL$1,0))&amp;""),"")="","",IFERROR(TRIM(INDEX($A242:$AL242,MATCH(Lists!$F$11,$A$1:$AL$1,0))&amp;""),""))</f>
        <v/>
      </c>
      <c r="BF242" s="21">
        <f>IF(IFERROR(TRIM(INDEX($A242:$AL242,MATCH(Lists!$F$2,$A$1:$AL$1,0))&amp;""),"")="","",IFERROR(TRIM(INDEX($A242:$AL242,MATCH(Lists!$F$12,$A$1:$AL$1,0))&amp;""),""))</f>
        <v/>
      </c>
    </row>
    <row r="243">
      <c r="AM243" s="19" t="n"/>
      <c r="AN243" s="23" t="n"/>
      <c r="AO243" s="23" t="n"/>
      <c r="AP243" s="23" t="n"/>
      <c r="AQ243" s="23" t="n"/>
      <c r="AR243" s="19" t="n"/>
      <c r="AS243" s="21">
        <f>IF(IFERROR(TRIM(INDEX($A243:$AL243,MATCH(Lists!$F$2,$A$1:$AL$1,0))&amp;""),"")="","",IF(AND(IFERROR(TRIM(INDEX($A243:$AL243,MATCH(Lists!$F$3,$A$1:$AL$1,0))&amp;""),"")="Other",IFERROR(TRIM(INDEX($A243:$AL243,MATCH(Lists!$F$4,$A$1:$AL$1,0))&amp;""),"")&lt;&gt;""),IFERROR(TRIM(INDEX($A243:$AL243,MATCH(Lists!$F$4,$A$1:$AL$1,0))&amp;""),""),IF(IFERROR(TRIM(INDEX($A243:$AL243,MATCH(Lists!$F$3,$A$1:$AL$1,0))&amp;""),"")="","(no space)",IFERROR(TRIM(INDEX($A243:$AL243,MATCH(Lists!$F$3,$A$1:$AL$1,0))&amp;""),""))))</f>
        <v/>
      </c>
      <c r="AT243" s="22">
        <f>IF(IFERROR(TRIM(INDEX($A243:$AL243,MATCH(Lists!$F$2,$A$1:$AL$1,0))&amp;""),"")="",0,N(IFERROR(IF(TRIM(INDEX($A243:$AL243,MATCH(Lists!$F$5,$A$1:$AL$1,0))&amp;"")="","",IF(ISNUMBER(INDEX($A243:$AL243,MATCH(Lists!$F$5,$A$1:$AL$1,0))),INT(INDEX($A243:$AL243,MATCH(Lists!$F$5,$A$1:$AL$1,0))),DATE(VALUE(LEFT(INDEX($A243:$AL243,MATCH(Lists!$F$5,$A$1:$AL$1,0)),4)),VALUE(MID(INDEX($A243:$AL243,MATCH(Lists!$F$5,$A$1:$AL$1,0)),6,2)),VALUE(MID(INDEX($A243:$AL243,MATCH(Lists!$F$5,$A$1:$AL$1,0)),9,2))))),"")))</f>
        <v/>
      </c>
      <c r="AU243" s="21">
        <f>IF(IFERROR(TRIM(INDEX($A243:$AL243,MATCH(Lists!$F$2,$A$1:$AL$1,0))&amp;""),"")="",-1,IF(ISNUMBER(IFERROR(IF(TRIM(INDEX($A243:$AL243,MATCH(Lists!$F$6,$A$1:$AL$1,0))&amp;"")="","",IF(ISNUMBER(INDEX($A243:$AL243,MATCH(Lists!$F$6,$A$1:$AL$1,0))),ROUND(MOD(INDEX($A243:$AL243,MATCH(Lists!$F$6,$A$1:$AL$1,0)),1)*1440,0),VALUE(LEFT(INDEX($A243:$AL243,MATCH(Lists!$F$6,$A$1:$AL$1,0)),2))*60+VALUE(MID(INDEX($A243:$AL243,MATCH(Lists!$F$6,$A$1:$AL$1,0)),4,2)))),"")),IFERROR(IF(TRIM(INDEX($A243:$AL243,MATCH(Lists!$F$6,$A$1:$AL$1,0))&amp;"")="","",IF(ISNUMBER(INDEX($A243:$AL243,MATCH(Lists!$F$6,$A$1:$AL$1,0))),ROUND(MOD(INDEX($A243:$AL243,MATCH(Lists!$F$6,$A$1:$AL$1,0)),1)*1440,0),VALUE(LEFT(INDEX($A243:$AL243,MATCH(Lists!$F$6,$A$1:$AL$1,0)),2))*60+VALUE(MID(INDEX($A243:$AL243,MATCH(Lists!$F$6,$A$1:$AL$1,0)),4,2)))),""),-1))</f>
        <v/>
      </c>
      <c r="AV243" s="21">
        <f>IF(IFERROR(TRIM(INDEX($A243:$AL243,MATCH(Lists!$F$2,$A$1:$AL$1,0))&amp;""),"")="",-1,IF(ISNUMBER(IFERROR(IF(TRIM(INDEX($A243:$AL243,MATCH(Lists!$F$7,$A$1:$AL$1,0))&amp;"")="","",IF(ISNUMBER(INDEX($A243:$AL243,MATCH(Lists!$F$7,$A$1:$AL$1,0))),ROUND(MOD(INDEX($A243:$AL243,MATCH(Lists!$F$7,$A$1:$AL$1,0)),1)*1440,0),VALUE(LEFT(INDEX($A243:$AL243,MATCH(Lists!$F$7,$A$1:$AL$1,0)),2))*60+VALUE(MID(INDEX($A243:$AL243,MATCH(Lists!$F$7,$A$1:$AL$1,0)),4,2)))),"")),IFERROR(IF(TRIM(INDEX($A243:$AL243,MATCH(Lists!$F$7,$A$1:$AL$1,0))&amp;"")="","",IF(ISNUMBER(INDEX($A243:$AL243,MATCH(Lists!$F$7,$A$1:$AL$1,0))),ROUND(MOD(INDEX($A243:$AL243,MATCH(Lists!$F$7,$A$1:$AL$1,0)),1)*1440,0),VALUE(LEFT(INDEX($A243:$AL243,MATCH(Lists!$F$7,$A$1:$AL$1,0)),2))*60+VALUE(MID(INDEX($A243:$AL243,MATCH(Lists!$F$7,$A$1:$AL$1,0)),4,2)))),""),-1))</f>
        <v/>
      </c>
      <c r="AW243" s="21">
        <f>IF(IFERROR(TRIM(INDEX($A243:$AL243,MATCH(Lists!$F$2,$A$1:$AL$1,0))&amp;""),"")="","",IF(IFERROR(TRIM(INDEX($A243:$AL243,MATCH(Lists!$F$8,$A$1:$AL$1,0))&amp;""),"")&lt;&gt;"",IFERROR(TRIM(INDEX($A243:$AL243,MATCH(Lists!$F$8,$A$1:$AL$1,0))&amp;""),""),IFERROR(TRIM(INDEX($A243:$AL243,MATCH(Lists!$F$9,$A$1:$AL$1,0))&amp;""),"")))</f>
        <v/>
      </c>
      <c r="AX243" s="21">
        <f>IFERROR(IF(TRIM(INDEX($A243:$AL243,MATCH(Lists!$F$10,$A$1:$AL$1,0))&amp;"")="","",VALUE(TRIM(INDEX($A243:$AL243,MATCH(Lists!$F$10,$A$1:$AL$1,0))&amp;""))),"")</f>
        <v/>
      </c>
      <c r="AY243" s="21">
        <f>IF(IFERROR(TRIM(INDEX($A243:$AL243,MATCH(Lists!$F$2,$A$1:$AL$1,0))&amp;""),"")="","",IF(AN243="","New",AN243))</f>
        <v/>
      </c>
      <c r="AZ243" s="21">
        <f>IF(IFERROR(TRIM(INDEX($A243:$AL243,MATCH(Lists!$F$2,$A$1:$AL$1,0))&amp;""),"")="","",IF(OR(IFERROR(TRIM(INDEX($A243:$AL243,MATCH(Lists!$F$13,$A$1:$AL$1,0))&amp;""),"")="Paid",IFERROR(TRIM(INDEX($A243:$AL243,MATCH(Lists!$F$13,$A$1:$AL$1,0))&amp;""),"")="Partially refunded"),"Paid",IF(AP243="Yes","Paid (by hand)",IFERROR(TRIM(INDEX($A243:$AL243,MATCH(Lists!$F$13,$A$1:$AL$1,0))&amp;""),""))))</f>
        <v/>
      </c>
      <c r="BA243" s="21">
        <f>IF(AND(IFERROR(TRIM(INDEX($A243:$AL243,MATCH(Lists!$F$2,$A$1:$AL$1,0))&amp;""),"")&lt;&gt;"",AT243&gt;0,AU243&gt;=0,AV243&gt;AU243,AY243&lt;&gt;"Declined"),1,0)</f>
        <v/>
      </c>
      <c r="BB243" s="21">
        <f>IF(BA243=1,COUNTIFS($AS$2:$AS$501,AS243,$AT$2:$AT$501,AT243,$AU$2:$AU$501,"&lt;"&amp;AV243,$AV$2:$AV$501,"&gt;"&amp;AU243,$BA$2:$BA$501,1)-1,"")</f>
        <v/>
      </c>
      <c r="BC243" s="21">
        <f>IF(N(BB243)&gt;0,"Clashes with "&amp;INDEX($AW$2:$AW$501,SUMPRODUCT(MAX(($AS$2:$AS$501=AS243)*($AT$2:$AT$501=AT243)*($AU$2:$AU$501&lt;AV243)*($AV$2:$AV$501&gt;AU243)*($BA$2:$BA$501=1)*(ROW($AS$2:$AS$501)&lt;&gt;ROW())*ROW($AS$2:$AS$501)))-1)&amp;" ("&amp;INDEX($AY$2:$AY$501,SUMPRODUCT(MAX(($AS$2:$AS$501=AS243)*($AT$2:$AT$501=AT243)*($AU$2:$AU$501&lt;AV243)*($AV$2:$AV$501&gt;AU243)*($BA$2:$BA$501=1)*(ROW($AS$2:$AS$501)&lt;&gt;ROW())*ROW($AS$2:$AS$501)))-1)&amp;")"&amp;IF(BB243&gt;1," and "&amp;(BB243-1)&amp;" more",""),"")</f>
        <v/>
      </c>
      <c r="BD243" s="21">
        <f>IF(AND(BA243=1,AY243="Confirmed"),AT243*10000000+AU243*1000+ROW(),"")</f>
        <v/>
      </c>
      <c r="BE243" s="21">
        <f>IF(IFERROR(TRIM(INDEX($A243:$AL243,MATCH(Lists!$F$2,$A$1:$AL$1,0))&amp;""),"")="","",IFERROR(TRIM(INDEX($A243:$AL243,MATCH(Lists!$F$11,$A$1:$AL$1,0))&amp;""),""))</f>
        <v/>
      </c>
      <c r="BF243" s="21">
        <f>IF(IFERROR(TRIM(INDEX($A243:$AL243,MATCH(Lists!$F$2,$A$1:$AL$1,0))&amp;""),"")="","",IFERROR(TRIM(INDEX($A243:$AL243,MATCH(Lists!$F$12,$A$1:$AL$1,0))&amp;""),""))</f>
        <v/>
      </c>
    </row>
    <row r="244">
      <c r="AM244" s="19" t="n"/>
      <c r="AN244" s="23" t="n"/>
      <c r="AO244" s="23" t="n"/>
      <c r="AP244" s="23" t="n"/>
      <c r="AQ244" s="23" t="n"/>
      <c r="AR244" s="19" t="n"/>
      <c r="AS244" s="21">
        <f>IF(IFERROR(TRIM(INDEX($A244:$AL244,MATCH(Lists!$F$2,$A$1:$AL$1,0))&amp;""),"")="","",IF(AND(IFERROR(TRIM(INDEX($A244:$AL244,MATCH(Lists!$F$3,$A$1:$AL$1,0))&amp;""),"")="Other",IFERROR(TRIM(INDEX($A244:$AL244,MATCH(Lists!$F$4,$A$1:$AL$1,0))&amp;""),"")&lt;&gt;""),IFERROR(TRIM(INDEX($A244:$AL244,MATCH(Lists!$F$4,$A$1:$AL$1,0))&amp;""),""),IF(IFERROR(TRIM(INDEX($A244:$AL244,MATCH(Lists!$F$3,$A$1:$AL$1,0))&amp;""),"")="","(no space)",IFERROR(TRIM(INDEX($A244:$AL244,MATCH(Lists!$F$3,$A$1:$AL$1,0))&amp;""),""))))</f>
        <v/>
      </c>
      <c r="AT244" s="22">
        <f>IF(IFERROR(TRIM(INDEX($A244:$AL244,MATCH(Lists!$F$2,$A$1:$AL$1,0))&amp;""),"")="",0,N(IFERROR(IF(TRIM(INDEX($A244:$AL244,MATCH(Lists!$F$5,$A$1:$AL$1,0))&amp;"")="","",IF(ISNUMBER(INDEX($A244:$AL244,MATCH(Lists!$F$5,$A$1:$AL$1,0))),INT(INDEX($A244:$AL244,MATCH(Lists!$F$5,$A$1:$AL$1,0))),DATE(VALUE(LEFT(INDEX($A244:$AL244,MATCH(Lists!$F$5,$A$1:$AL$1,0)),4)),VALUE(MID(INDEX($A244:$AL244,MATCH(Lists!$F$5,$A$1:$AL$1,0)),6,2)),VALUE(MID(INDEX($A244:$AL244,MATCH(Lists!$F$5,$A$1:$AL$1,0)),9,2))))),"")))</f>
        <v/>
      </c>
      <c r="AU244" s="21">
        <f>IF(IFERROR(TRIM(INDEX($A244:$AL244,MATCH(Lists!$F$2,$A$1:$AL$1,0))&amp;""),"")="",-1,IF(ISNUMBER(IFERROR(IF(TRIM(INDEX($A244:$AL244,MATCH(Lists!$F$6,$A$1:$AL$1,0))&amp;"")="","",IF(ISNUMBER(INDEX($A244:$AL244,MATCH(Lists!$F$6,$A$1:$AL$1,0))),ROUND(MOD(INDEX($A244:$AL244,MATCH(Lists!$F$6,$A$1:$AL$1,0)),1)*1440,0),VALUE(LEFT(INDEX($A244:$AL244,MATCH(Lists!$F$6,$A$1:$AL$1,0)),2))*60+VALUE(MID(INDEX($A244:$AL244,MATCH(Lists!$F$6,$A$1:$AL$1,0)),4,2)))),"")),IFERROR(IF(TRIM(INDEX($A244:$AL244,MATCH(Lists!$F$6,$A$1:$AL$1,0))&amp;"")="","",IF(ISNUMBER(INDEX($A244:$AL244,MATCH(Lists!$F$6,$A$1:$AL$1,0))),ROUND(MOD(INDEX($A244:$AL244,MATCH(Lists!$F$6,$A$1:$AL$1,0)),1)*1440,0),VALUE(LEFT(INDEX($A244:$AL244,MATCH(Lists!$F$6,$A$1:$AL$1,0)),2))*60+VALUE(MID(INDEX($A244:$AL244,MATCH(Lists!$F$6,$A$1:$AL$1,0)),4,2)))),""),-1))</f>
        <v/>
      </c>
      <c r="AV244" s="21">
        <f>IF(IFERROR(TRIM(INDEX($A244:$AL244,MATCH(Lists!$F$2,$A$1:$AL$1,0))&amp;""),"")="",-1,IF(ISNUMBER(IFERROR(IF(TRIM(INDEX($A244:$AL244,MATCH(Lists!$F$7,$A$1:$AL$1,0))&amp;"")="","",IF(ISNUMBER(INDEX($A244:$AL244,MATCH(Lists!$F$7,$A$1:$AL$1,0))),ROUND(MOD(INDEX($A244:$AL244,MATCH(Lists!$F$7,$A$1:$AL$1,0)),1)*1440,0),VALUE(LEFT(INDEX($A244:$AL244,MATCH(Lists!$F$7,$A$1:$AL$1,0)),2))*60+VALUE(MID(INDEX($A244:$AL244,MATCH(Lists!$F$7,$A$1:$AL$1,0)),4,2)))),"")),IFERROR(IF(TRIM(INDEX($A244:$AL244,MATCH(Lists!$F$7,$A$1:$AL$1,0))&amp;"")="","",IF(ISNUMBER(INDEX($A244:$AL244,MATCH(Lists!$F$7,$A$1:$AL$1,0))),ROUND(MOD(INDEX($A244:$AL244,MATCH(Lists!$F$7,$A$1:$AL$1,0)),1)*1440,0),VALUE(LEFT(INDEX($A244:$AL244,MATCH(Lists!$F$7,$A$1:$AL$1,0)),2))*60+VALUE(MID(INDEX($A244:$AL244,MATCH(Lists!$F$7,$A$1:$AL$1,0)),4,2)))),""),-1))</f>
        <v/>
      </c>
      <c r="AW244" s="21">
        <f>IF(IFERROR(TRIM(INDEX($A244:$AL244,MATCH(Lists!$F$2,$A$1:$AL$1,0))&amp;""),"")="","",IF(IFERROR(TRIM(INDEX($A244:$AL244,MATCH(Lists!$F$8,$A$1:$AL$1,0))&amp;""),"")&lt;&gt;"",IFERROR(TRIM(INDEX($A244:$AL244,MATCH(Lists!$F$8,$A$1:$AL$1,0))&amp;""),""),IFERROR(TRIM(INDEX($A244:$AL244,MATCH(Lists!$F$9,$A$1:$AL$1,0))&amp;""),"")))</f>
        <v/>
      </c>
      <c r="AX244" s="21">
        <f>IFERROR(IF(TRIM(INDEX($A244:$AL244,MATCH(Lists!$F$10,$A$1:$AL$1,0))&amp;"")="","",VALUE(TRIM(INDEX($A244:$AL244,MATCH(Lists!$F$10,$A$1:$AL$1,0))&amp;""))),"")</f>
        <v/>
      </c>
      <c r="AY244" s="21">
        <f>IF(IFERROR(TRIM(INDEX($A244:$AL244,MATCH(Lists!$F$2,$A$1:$AL$1,0))&amp;""),"")="","",IF(AN244="","New",AN244))</f>
        <v/>
      </c>
      <c r="AZ244" s="21">
        <f>IF(IFERROR(TRIM(INDEX($A244:$AL244,MATCH(Lists!$F$2,$A$1:$AL$1,0))&amp;""),"")="","",IF(OR(IFERROR(TRIM(INDEX($A244:$AL244,MATCH(Lists!$F$13,$A$1:$AL$1,0))&amp;""),"")="Paid",IFERROR(TRIM(INDEX($A244:$AL244,MATCH(Lists!$F$13,$A$1:$AL$1,0))&amp;""),"")="Partially refunded"),"Paid",IF(AP244="Yes","Paid (by hand)",IFERROR(TRIM(INDEX($A244:$AL244,MATCH(Lists!$F$13,$A$1:$AL$1,0))&amp;""),""))))</f>
        <v/>
      </c>
      <c r="BA244" s="21">
        <f>IF(AND(IFERROR(TRIM(INDEX($A244:$AL244,MATCH(Lists!$F$2,$A$1:$AL$1,0))&amp;""),"")&lt;&gt;"",AT244&gt;0,AU244&gt;=0,AV244&gt;AU244,AY244&lt;&gt;"Declined"),1,0)</f>
        <v/>
      </c>
      <c r="BB244" s="21">
        <f>IF(BA244=1,COUNTIFS($AS$2:$AS$501,AS244,$AT$2:$AT$501,AT244,$AU$2:$AU$501,"&lt;"&amp;AV244,$AV$2:$AV$501,"&gt;"&amp;AU244,$BA$2:$BA$501,1)-1,"")</f>
        <v/>
      </c>
      <c r="BC244" s="21">
        <f>IF(N(BB244)&gt;0,"Clashes with "&amp;INDEX($AW$2:$AW$501,SUMPRODUCT(MAX(($AS$2:$AS$501=AS244)*($AT$2:$AT$501=AT244)*($AU$2:$AU$501&lt;AV244)*($AV$2:$AV$501&gt;AU244)*($BA$2:$BA$501=1)*(ROW($AS$2:$AS$501)&lt;&gt;ROW())*ROW($AS$2:$AS$501)))-1)&amp;" ("&amp;INDEX($AY$2:$AY$501,SUMPRODUCT(MAX(($AS$2:$AS$501=AS244)*($AT$2:$AT$501=AT244)*($AU$2:$AU$501&lt;AV244)*($AV$2:$AV$501&gt;AU244)*($BA$2:$BA$501=1)*(ROW($AS$2:$AS$501)&lt;&gt;ROW())*ROW($AS$2:$AS$501)))-1)&amp;")"&amp;IF(BB244&gt;1," and "&amp;(BB244-1)&amp;" more",""),"")</f>
        <v/>
      </c>
      <c r="BD244" s="21">
        <f>IF(AND(BA244=1,AY244="Confirmed"),AT244*10000000+AU244*1000+ROW(),"")</f>
        <v/>
      </c>
      <c r="BE244" s="21">
        <f>IF(IFERROR(TRIM(INDEX($A244:$AL244,MATCH(Lists!$F$2,$A$1:$AL$1,0))&amp;""),"")="","",IFERROR(TRIM(INDEX($A244:$AL244,MATCH(Lists!$F$11,$A$1:$AL$1,0))&amp;""),""))</f>
        <v/>
      </c>
      <c r="BF244" s="21">
        <f>IF(IFERROR(TRIM(INDEX($A244:$AL244,MATCH(Lists!$F$2,$A$1:$AL$1,0))&amp;""),"")="","",IFERROR(TRIM(INDEX($A244:$AL244,MATCH(Lists!$F$12,$A$1:$AL$1,0))&amp;""),""))</f>
        <v/>
      </c>
    </row>
    <row r="245">
      <c r="AM245" s="19" t="n"/>
      <c r="AN245" s="23" t="n"/>
      <c r="AO245" s="23" t="n"/>
      <c r="AP245" s="23" t="n"/>
      <c r="AQ245" s="23" t="n"/>
      <c r="AR245" s="19" t="n"/>
      <c r="AS245" s="21">
        <f>IF(IFERROR(TRIM(INDEX($A245:$AL245,MATCH(Lists!$F$2,$A$1:$AL$1,0))&amp;""),"")="","",IF(AND(IFERROR(TRIM(INDEX($A245:$AL245,MATCH(Lists!$F$3,$A$1:$AL$1,0))&amp;""),"")="Other",IFERROR(TRIM(INDEX($A245:$AL245,MATCH(Lists!$F$4,$A$1:$AL$1,0))&amp;""),"")&lt;&gt;""),IFERROR(TRIM(INDEX($A245:$AL245,MATCH(Lists!$F$4,$A$1:$AL$1,0))&amp;""),""),IF(IFERROR(TRIM(INDEX($A245:$AL245,MATCH(Lists!$F$3,$A$1:$AL$1,0))&amp;""),"")="","(no space)",IFERROR(TRIM(INDEX($A245:$AL245,MATCH(Lists!$F$3,$A$1:$AL$1,0))&amp;""),""))))</f>
        <v/>
      </c>
      <c r="AT245" s="22">
        <f>IF(IFERROR(TRIM(INDEX($A245:$AL245,MATCH(Lists!$F$2,$A$1:$AL$1,0))&amp;""),"")="",0,N(IFERROR(IF(TRIM(INDEX($A245:$AL245,MATCH(Lists!$F$5,$A$1:$AL$1,0))&amp;"")="","",IF(ISNUMBER(INDEX($A245:$AL245,MATCH(Lists!$F$5,$A$1:$AL$1,0))),INT(INDEX($A245:$AL245,MATCH(Lists!$F$5,$A$1:$AL$1,0))),DATE(VALUE(LEFT(INDEX($A245:$AL245,MATCH(Lists!$F$5,$A$1:$AL$1,0)),4)),VALUE(MID(INDEX($A245:$AL245,MATCH(Lists!$F$5,$A$1:$AL$1,0)),6,2)),VALUE(MID(INDEX($A245:$AL245,MATCH(Lists!$F$5,$A$1:$AL$1,0)),9,2))))),"")))</f>
        <v/>
      </c>
      <c r="AU245" s="21">
        <f>IF(IFERROR(TRIM(INDEX($A245:$AL245,MATCH(Lists!$F$2,$A$1:$AL$1,0))&amp;""),"")="",-1,IF(ISNUMBER(IFERROR(IF(TRIM(INDEX($A245:$AL245,MATCH(Lists!$F$6,$A$1:$AL$1,0))&amp;"")="","",IF(ISNUMBER(INDEX($A245:$AL245,MATCH(Lists!$F$6,$A$1:$AL$1,0))),ROUND(MOD(INDEX($A245:$AL245,MATCH(Lists!$F$6,$A$1:$AL$1,0)),1)*1440,0),VALUE(LEFT(INDEX($A245:$AL245,MATCH(Lists!$F$6,$A$1:$AL$1,0)),2))*60+VALUE(MID(INDEX($A245:$AL245,MATCH(Lists!$F$6,$A$1:$AL$1,0)),4,2)))),"")),IFERROR(IF(TRIM(INDEX($A245:$AL245,MATCH(Lists!$F$6,$A$1:$AL$1,0))&amp;"")="","",IF(ISNUMBER(INDEX($A245:$AL245,MATCH(Lists!$F$6,$A$1:$AL$1,0))),ROUND(MOD(INDEX($A245:$AL245,MATCH(Lists!$F$6,$A$1:$AL$1,0)),1)*1440,0),VALUE(LEFT(INDEX($A245:$AL245,MATCH(Lists!$F$6,$A$1:$AL$1,0)),2))*60+VALUE(MID(INDEX($A245:$AL245,MATCH(Lists!$F$6,$A$1:$AL$1,0)),4,2)))),""),-1))</f>
        <v/>
      </c>
      <c r="AV245" s="21">
        <f>IF(IFERROR(TRIM(INDEX($A245:$AL245,MATCH(Lists!$F$2,$A$1:$AL$1,0))&amp;""),"")="",-1,IF(ISNUMBER(IFERROR(IF(TRIM(INDEX($A245:$AL245,MATCH(Lists!$F$7,$A$1:$AL$1,0))&amp;"")="","",IF(ISNUMBER(INDEX($A245:$AL245,MATCH(Lists!$F$7,$A$1:$AL$1,0))),ROUND(MOD(INDEX($A245:$AL245,MATCH(Lists!$F$7,$A$1:$AL$1,0)),1)*1440,0),VALUE(LEFT(INDEX($A245:$AL245,MATCH(Lists!$F$7,$A$1:$AL$1,0)),2))*60+VALUE(MID(INDEX($A245:$AL245,MATCH(Lists!$F$7,$A$1:$AL$1,0)),4,2)))),"")),IFERROR(IF(TRIM(INDEX($A245:$AL245,MATCH(Lists!$F$7,$A$1:$AL$1,0))&amp;"")="","",IF(ISNUMBER(INDEX($A245:$AL245,MATCH(Lists!$F$7,$A$1:$AL$1,0))),ROUND(MOD(INDEX($A245:$AL245,MATCH(Lists!$F$7,$A$1:$AL$1,0)),1)*1440,0),VALUE(LEFT(INDEX($A245:$AL245,MATCH(Lists!$F$7,$A$1:$AL$1,0)),2))*60+VALUE(MID(INDEX($A245:$AL245,MATCH(Lists!$F$7,$A$1:$AL$1,0)),4,2)))),""),-1))</f>
        <v/>
      </c>
      <c r="AW245" s="21">
        <f>IF(IFERROR(TRIM(INDEX($A245:$AL245,MATCH(Lists!$F$2,$A$1:$AL$1,0))&amp;""),"")="","",IF(IFERROR(TRIM(INDEX($A245:$AL245,MATCH(Lists!$F$8,$A$1:$AL$1,0))&amp;""),"")&lt;&gt;"",IFERROR(TRIM(INDEX($A245:$AL245,MATCH(Lists!$F$8,$A$1:$AL$1,0))&amp;""),""),IFERROR(TRIM(INDEX($A245:$AL245,MATCH(Lists!$F$9,$A$1:$AL$1,0))&amp;""),"")))</f>
        <v/>
      </c>
      <c r="AX245" s="21">
        <f>IFERROR(IF(TRIM(INDEX($A245:$AL245,MATCH(Lists!$F$10,$A$1:$AL$1,0))&amp;"")="","",VALUE(TRIM(INDEX($A245:$AL245,MATCH(Lists!$F$10,$A$1:$AL$1,0))&amp;""))),"")</f>
        <v/>
      </c>
      <c r="AY245" s="21">
        <f>IF(IFERROR(TRIM(INDEX($A245:$AL245,MATCH(Lists!$F$2,$A$1:$AL$1,0))&amp;""),"")="","",IF(AN245="","New",AN245))</f>
        <v/>
      </c>
      <c r="AZ245" s="21">
        <f>IF(IFERROR(TRIM(INDEX($A245:$AL245,MATCH(Lists!$F$2,$A$1:$AL$1,0))&amp;""),"")="","",IF(OR(IFERROR(TRIM(INDEX($A245:$AL245,MATCH(Lists!$F$13,$A$1:$AL$1,0))&amp;""),"")="Paid",IFERROR(TRIM(INDEX($A245:$AL245,MATCH(Lists!$F$13,$A$1:$AL$1,0))&amp;""),"")="Partially refunded"),"Paid",IF(AP245="Yes","Paid (by hand)",IFERROR(TRIM(INDEX($A245:$AL245,MATCH(Lists!$F$13,$A$1:$AL$1,0))&amp;""),""))))</f>
        <v/>
      </c>
      <c r="BA245" s="21">
        <f>IF(AND(IFERROR(TRIM(INDEX($A245:$AL245,MATCH(Lists!$F$2,$A$1:$AL$1,0))&amp;""),"")&lt;&gt;"",AT245&gt;0,AU245&gt;=0,AV245&gt;AU245,AY245&lt;&gt;"Declined"),1,0)</f>
        <v/>
      </c>
      <c r="BB245" s="21">
        <f>IF(BA245=1,COUNTIFS($AS$2:$AS$501,AS245,$AT$2:$AT$501,AT245,$AU$2:$AU$501,"&lt;"&amp;AV245,$AV$2:$AV$501,"&gt;"&amp;AU245,$BA$2:$BA$501,1)-1,"")</f>
        <v/>
      </c>
      <c r="BC245" s="21">
        <f>IF(N(BB245)&gt;0,"Clashes with "&amp;INDEX($AW$2:$AW$501,SUMPRODUCT(MAX(($AS$2:$AS$501=AS245)*($AT$2:$AT$501=AT245)*($AU$2:$AU$501&lt;AV245)*($AV$2:$AV$501&gt;AU245)*($BA$2:$BA$501=1)*(ROW($AS$2:$AS$501)&lt;&gt;ROW())*ROW($AS$2:$AS$501)))-1)&amp;" ("&amp;INDEX($AY$2:$AY$501,SUMPRODUCT(MAX(($AS$2:$AS$501=AS245)*($AT$2:$AT$501=AT245)*($AU$2:$AU$501&lt;AV245)*($AV$2:$AV$501&gt;AU245)*($BA$2:$BA$501=1)*(ROW($AS$2:$AS$501)&lt;&gt;ROW())*ROW($AS$2:$AS$501)))-1)&amp;")"&amp;IF(BB245&gt;1," and "&amp;(BB245-1)&amp;" more",""),"")</f>
        <v/>
      </c>
      <c r="BD245" s="21">
        <f>IF(AND(BA245=1,AY245="Confirmed"),AT245*10000000+AU245*1000+ROW(),"")</f>
        <v/>
      </c>
      <c r="BE245" s="21">
        <f>IF(IFERROR(TRIM(INDEX($A245:$AL245,MATCH(Lists!$F$2,$A$1:$AL$1,0))&amp;""),"")="","",IFERROR(TRIM(INDEX($A245:$AL245,MATCH(Lists!$F$11,$A$1:$AL$1,0))&amp;""),""))</f>
        <v/>
      </c>
      <c r="BF245" s="21">
        <f>IF(IFERROR(TRIM(INDEX($A245:$AL245,MATCH(Lists!$F$2,$A$1:$AL$1,0))&amp;""),"")="","",IFERROR(TRIM(INDEX($A245:$AL245,MATCH(Lists!$F$12,$A$1:$AL$1,0))&amp;""),""))</f>
        <v/>
      </c>
    </row>
    <row r="246">
      <c r="AM246" s="19" t="n"/>
      <c r="AN246" s="23" t="n"/>
      <c r="AO246" s="23" t="n"/>
      <c r="AP246" s="23" t="n"/>
      <c r="AQ246" s="23" t="n"/>
      <c r="AR246" s="19" t="n"/>
      <c r="AS246" s="21">
        <f>IF(IFERROR(TRIM(INDEX($A246:$AL246,MATCH(Lists!$F$2,$A$1:$AL$1,0))&amp;""),"")="","",IF(AND(IFERROR(TRIM(INDEX($A246:$AL246,MATCH(Lists!$F$3,$A$1:$AL$1,0))&amp;""),"")="Other",IFERROR(TRIM(INDEX($A246:$AL246,MATCH(Lists!$F$4,$A$1:$AL$1,0))&amp;""),"")&lt;&gt;""),IFERROR(TRIM(INDEX($A246:$AL246,MATCH(Lists!$F$4,$A$1:$AL$1,0))&amp;""),""),IF(IFERROR(TRIM(INDEX($A246:$AL246,MATCH(Lists!$F$3,$A$1:$AL$1,0))&amp;""),"")="","(no space)",IFERROR(TRIM(INDEX($A246:$AL246,MATCH(Lists!$F$3,$A$1:$AL$1,0))&amp;""),""))))</f>
        <v/>
      </c>
      <c r="AT246" s="22">
        <f>IF(IFERROR(TRIM(INDEX($A246:$AL246,MATCH(Lists!$F$2,$A$1:$AL$1,0))&amp;""),"")="",0,N(IFERROR(IF(TRIM(INDEX($A246:$AL246,MATCH(Lists!$F$5,$A$1:$AL$1,0))&amp;"")="","",IF(ISNUMBER(INDEX($A246:$AL246,MATCH(Lists!$F$5,$A$1:$AL$1,0))),INT(INDEX($A246:$AL246,MATCH(Lists!$F$5,$A$1:$AL$1,0))),DATE(VALUE(LEFT(INDEX($A246:$AL246,MATCH(Lists!$F$5,$A$1:$AL$1,0)),4)),VALUE(MID(INDEX($A246:$AL246,MATCH(Lists!$F$5,$A$1:$AL$1,0)),6,2)),VALUE(MID(INDEX($A246:$AL246,MATCH(Lists!$F$5,$A$1:$AL$1,0)),9,2))))),"")))</f>
        <v/>
      </c>
      <c r="AU246" s="21">
        <f>IF(IFERROR(TRIM(INDEX($A246:$AL246,MATCH(Lists!$F$2,$A$1:$AL$1,0))&amp;""),"")="",-1,IF(ISNUMBER(IFERROR(IF(TRIM(INDEX($A246:$AL246,MATCH(Lists!$F$6,$A$1:$AL$1,0))&amp;"")="","",IF(ISNUMBER(INDEX($A246:$AL246,MATCH(Lists!$F$6,$A$1:$AL$1,0))),ROUND(MOD(INDEX($A246:$AL246,MATCH(Lists!$F$6,$A$1:$AL$1,0)),1)*1440,0),VALUE(LEFT(INDEX($A246:$AL246,MATCH(Lists!$F$6,$A$1:$AL$1,0)),2))*60+VALUE(MID(INDEX($A246:$AL246,MATCH(Lists!$F$6,$A$1:$AL$1,0)),4,2)))),"")),IFERROR(IF(TRIM(INDEX($A246:$AL246,MATCH(Lists!$F$6,$A$1:$AL$1,0))&amp;"")="","",IF(ISNUMBER(INDEX($A246:$AL246,MATCH(Lists!$F$6,$A$1:$AL$1,0))),ROUND(MOD(INDEX($A246:$AL246,MATCH(Lists!$F$6,$A$1:$AL$1,0)),1)*1440,0),VALUE(LEFT(INDEX($A246:$AL246,MATCH(Lists!$F$6,$A$1:$AL$1,0)),2))*60+VALUE(MID(INDEX($A246:$AL246,MATCH(Lists!$F$6,$A$1:$AL$1,0)),4,2)))),""),-1))</f>
        <v/>
      </c>
      <c r="AV246" s="21">
        <f>IF(IFERROR(TRIM(INDEX($A246:$AL246,MATCH(Lists!$F$2,$A$1:$AL$1,0))&amp;""),"")="",-1,IF(ISNUMBER(IFERROR(IF(TRIM(INDEX($A246:$AL246,MATCH(Lists!$F$7,$A$1:$AL$1,0))&amp;"")="","",IF(ISNUMBER(INDEX($A246:$AL246,MATCH(Lists!$F$7,$A$1:$AL$1,0))),ROUND(MOD(INDEX($A246:$AL246,MATCH(Lists!$F$7,$A$1:$AL$1,0)),1)*1440,0),VALUE(LEFT(INDEX($A246:$AL246,MATCH(Lists!$F$7,$A$1:$AL$1,0)),2))*60+VALUE(MID(INDEX($A246:$AL246,MATCH(Lists!$F$7,$A$1:$AL$1,0)),4,2)))),"")),IFERROR(IF(TRIM(INDEX($A246:$AL246,MATCH(Lists!$F$7,$A$1:$AL$1,0))&amp;"")="","",IF(ISNUMBER(INDEX($A246:$AL246,MATCH(Lists!$F$7,$A$1:$AL$1,0))),ROUND(MOD(INDEX($A246:$AL246,MATCH(Lists!$F$7,$A$1:$AL$1,0)),1)*1440,0),VALUE(LEFT(INDEX($A246:$AL246,MATCH(Lists!$F$7,$A$1:$AL$1,0)),2))*60+VALUE(MID(INDEX($A246:$AL246,MATCH(Lists!$F$7,$A$1:$AL$1,0)),4,2)))),""),-1))</f>
        <v/>
      </c>
      <c r="AW246" s="21">
        <f>IF(IFERROR(TRIM(INDEX($A246:$AL246,MATCH(Lists!$F$2,$A$1:$AL$1,0))&amp;""),"")="","",IF(IFERROR(TRIM(INDEX($A246:$AL246,MATCH(Lists!$F$8,$A$1:$AL$1,0))&amp;""),"")&lt;&gt;"",IFERROR(TRIM(INDEX($A246:$AL246,MATCH(Lists!$F$8,$A$1:$AL$1,0))&amp;""),""),IFERROR(TRIM(INDEX($A246:$AL246,MATCH(Lists!$F$9,$A$1:$AL$1,0))&amp;""),"")))</f>
        <v/>
      </c>
      <c r="AX246" s="21">
        <f>IFERROR(IF(TRIM(INDEX($A246:$AL246,MATCH(Lists!$F$10,$A$1:$AL$1,0))&amp;"")="","",VALUE(TRIM(INDEX($A246:$AL246,MATCH(Lists!$F$10,$A$1:$AL$1,0))&amp;""))),"")</f>
        <v/>
      </c>
      <c r="AY246" s="21">
        <f>IF(IFERROR(TRIM(INDEX($A246:$AL246,MATCH(Lists!$F$2,$A$1:$AL$1,0))&amp;""),"")="","",IF(AN246="","New",AN246))</f>
        <v/>
      </c>
      <c r="AZ246" s="21">
        <f>IF(IFERROR(TRIM(INDEX($A246:$AL246,MATCH(Lists!$F$2,$A$1:$AL$1,0))&amp;""),"")="","",IF(OR(IFERROR(TRIM(INDEX($A246:$AL246,MATCH(Lists!$F$13,$A$1:$AL$1,0))&amp;""),"")="Paid",IFERROR(TRIM(INDEX($A246:$AL246,MATCH(Lists!$F$13,$A$1:$AL$1,0))&amp;""),"")="Partially refunded"),"Paid",IF(AP246="Yes","Paid (by hand)",IFERROR(TRIM(INDEX($A246:$AL246,MATCH(Lists!$F$13,$A$1:$AL$1,0))&amp;""),""))))</f>
        <v/>
      </c>
      <c r="BA246" s="21">
        <f>IF(AND(IFERROR(TRIM(INDEX($A246:$AL246,MATCH(Lists!$F$2,$A$1:$AL$1,0))&amp;""),"")&lt;&gt;"",AT246&gt;0,AU246&gt;=0,AV246&gt;AU246,AY246&lt;&gt;"Declined"),1,0)</f>
        <v/>
      </c>
      <c r="BB246" s="21">
        <f>IF(BA246=1,COUNTIFS($AS$2:$AS$501,AS246,$AT$2:$AT$501,AT246,$AU$2:$AU$501,"&lt;"&amp;AV246,$AV$2:$AV$501,"&gt;"&amp;AU246,$BA$2:$BA$501,1)-1,"")</f>
        <v/>
      </c>
      <c r="BC246" s="21">
        <f>IF(N(BB246)&gt;0,"Clashes with "&amp;INDEX($AW$2:$AW$501,SUMPRODUCT(MAX(($AS$2:$AS$501=AS246)*($AT$2:$AT$501=AT246)*($AU$2:$AU$501&lt;AV246)*($AV$2:$AV$501&gt;AU246)*($BA$2:$BA$501=1)*(ROW($AS$2:$AS$501)&lt;&gt;ROW())*ROW($AS$2:$AS$501)))-1)&amp;" ("&amp;INDEX($AY$2:$AY$501,SUMPRODUCT(MAX(($AS$2:$AS$501=AS246)*($AT$2:$AT$501=AT246)*($AU$2:$AU$501&lt;AV246)*($AV$2:$AV$501&gt;AU246)*($BA$2:$BA$501=1)*(ROW($AS$2:$AS$501)&lt;&gt;ROW())*ROW($AS$2:$AS$501)))-1)&amp;")"&amp;IF(BB246&gt;1," and "&amp;(BB246-1)&amp;" more",""),"")</f>
        <v/>
      </c>
      <c r="BD246" s="21">
        <f>IF(AND(BA246=1,AY246="Confirmed"),AT246*10000000+AU246*1000+ROW(),"")</f>
        <v/>
      </c>
      <c r="BE246" s="21">
        <f>IF(IFERROR(TRIM(INDEX($A246:$AL246,MATCH(Lists!$F$2,$A$1:$AL$1,0))&amp;""),"")="","",IFERROR(TRIM(INDEX($A246:$AL246,MATCH(Lists!$F$11,$A$1:$AL$1,0))&amp;""),""))</f>
        <v/>
      </c>
      <c r="BF246" s="21">
        <f>IF(IFERROR(TRIM(INDEX($A246:$AL246,MATCH(Lists!$F$2,$A$1:$AL$1,0))&amp;""),"")="","",IFERROR(TRIM(INDEX($A246:$AL246,MATCH(Lists!$F$12,$A$1:$AL$1,0))&amp;""),""))</f>
        <v/>
      </c>
    </row>
    <row r="247">
      <c r="AM247" s="19" t="n"/>
      <c r="AN247" s="23" t="n"/>
      <c r="AO247" s="23" t="n"/>
      <c r="AP247" s="23" t="n"/>
      <c r="AQ247" s="23" t="n"/>
      <c r="AR247" s="19" t="n"/>
      <c r="AS247" s="21">
        <f>IF(IFERROR(TRIM(INDEX($A247:$AL247,MATCH(Lists!$F$2,$A$1:$AL$1,0))&amp;""),"")="","",IF(AND(IFERROR(TRIM(INDEX($A247:$AL247,MATCH(Lists!$F$3,$A$1:$AL$1,0))&amp;""),"")="Other",IFERROR(TRIM(INDEX($A247:$AL247,MATCH(Lists!$F$4,$A$1:$AL$1,0))&amp;""),"")&lt;&gt;""),IFERROR(TRIM(INDEX($A247:$AL247,MATCH(Lists!$F$4,$A$1:$AL$1,0))&amp;""),""),IF(IFERROR(TRIM(INDEX($A247:$AL247,MATCH(Lists!$F$3,$A$1:$AL$1,0))&amp;""),"")="","(no space)",IFERROR(TRIM(INDEX($A247:$AL247,MATCH(Lists!$F$3,$A$1:$AL$1,0))&amp;""),""))))</f>
        <v/>
      </c>
      <c r="AT247" s="22">
        <f>IF(IFERROR(TRIM(INDEX($A247:$AL247,MATCH(Lists!$F$2,$A$1:$AL$1,0))&amp;""),"")="",0,N(IFERROR(IF(TRIM(INDEX($A247:$AL247,MATCH(Lists!$F$5,$A$1:$AL$1,0))&amp;"")="","",IF(ISNUMBER(INDEX($A247:$AL247,MATCH(Lists!$F$5,$A$1:$AL$1,0))),INT(INDEX($A247:$AL247,MATCH(Lists!$F$5,$A$1:$AL$1,0))),DATE(VALUE(LEFT(INDEX($A247:$AL247,MATCH(Lists!$F$5,$A$1:$AL$1,0)),4)),VALUE(MID(INDEX($A247:$AL247,MATCH(Lists!$F$5,$A$1:$AL$1,0)),6,2)),VALUE(MID(INDEX($A247:$AL247,MATCH(Lists!$F$5,$A$1:$AL$1,0)),9,2))))),"")))</f>
        <v/>
      </c>
      <c r="AU247" s="21">
        <f>IF(IFERROR(TRIM(INDEX($A247:$AL247,MATCH(Lists!$F$2,$A$1:$AL$1,0))&amp;""),"")="",-1,IF(ISNUMBER(IFERROR(IF(TRIM(INDEX($A247:$AL247,MATCH(Lists!$F$6,$A$1:$AL$1,0))&amp;"")="","",IF(ISNUMBER(INDEX($A247:$AL247,MATCH(Lists!$F$6,$A$1:$AL$1,0))),ROUND(MOD(INDEX($A247:$AL247,MATCH(Lists!$F$6,$A$1:$AL$1,0)),1)*1440,0),VALUE(LEFT(INDEX($A247:$AL247,MATCH(Lists!$F$6,$A$1:$AL$1,0)),2))*60+VALUE(MID(INDEX($A247:$AL247,MATCH(Lists!$F$6,$A$1:$AL$1,0)),4,2)))),"")),IFERROR(IF(TRIM(INDEX($A247:$AL247,MATCH(Lists!$F$6,$A$1:$AL$1,0))&amp;"")="","",IF(ISNUMBER(INDEX($A247:$AL247,MATCH(Lists!$F$6,$A$1:$AL$1,0))),ROUND(MOD(INDEX($A247:$AL247,MATCH(Lists!$F$6,$A$1:$AL$1,0)),1)*1440,0),VALUE(LEFT(INDEX($A247:$AL247,MATCH(Lists!$F$6,$A$1:$AL$1,0)),2))*60+VALUE(MID(INDEX($A247:$AL247,MATCH(Lists!$F$6,$A$1:$AL$1,0)),4,2)))),""),-1))</f>
        <v/>
      </c>
      <c r="AV247" s="21">
        <f>IF(IFERROR(TRIM(INDEX($A247:$AL247,MATCH(Lists!$F$2,$A$1:$AL$1,0))&amp;""),"")="",-1,IF(ISNUMBER(IFERROR(IF(TRIM(INDEX($A247:$AL247,MATCH(Lists!$F$7,$A$1:$AL$1,0))&amp;"")="","",IF(ISNUMBER(INDEX($A247:$AL247,MATCH(Lists!$F$7,$A$1:$AL$1,0))),ROUND(MOD(INDEX($A247:$AL247,MATCH(Lists!$F$7,$A$1:$AL$1,0)),1)*1440,0),VALUE(LEFT(INDEX($A247:$AL247,MATCH(Lists!$F$7,$A$1:$AL$1,0)),2))*60+VALUE(MID(INDEX($A247:$AL247,MATCH(Lists!$F$7,$A$1:$AL$1,0)),4,2)))),"")),IFERROR(IF(TRIM(INDEX($A247:$AL247,MATCH(Lists!$F$7,$A$1:$AL$1,0))&amp;"")="","",IF(ISNUMBER(INDEX($A247:$AL247,MATCH(Lists!$F$7,$A$1:$AL$1,0))),ROUND(MOD(INDEX($A247:$AL247,MATCH(Lists!$F$7,$A$1:$AL$1,0)),1)*1440,0),VALUE(LEFT(INDEX($A247:$AL247,MATCH(Lists!$F$7,$A$1:$AL$1,0)),2))*60+VALUE(MID(INDEX($A247:$AL247,MATCH(Lists!$F$7,$A$1:$AL$1,0)),4,2)))),""),-1))</f>
        <v/>
      </c>
      <c r="AW247" s="21">
        <f>IF(IFERROR(TRIM(INDEX($A247:$AL247,MATCH(Lists!$F$2,$A$1:$AL$1,0))&amp;""),"")="","",IF(IFERROR(TRIM(INDEX($A247:$AL247,MATCH(Lists!$F$8,$A$1:$AL$1,0))&amp;""),"")&lt;&gt;"",IFERROR(TRIM(INDEX($A247:$AL247,MATCH(Lists!$F$8,$A$1:$AL$1,0))&amp;""),""),IFERROR(TRIM(INDEX($A247:$AL247,MATCH(Lists!$F$9,$A$1:$AL$1,0))&amp;""),"")))</f>
        <v/>
      </c>
      <c r="AX247" s="21">
        <f>IFERROR(IF(TRIM(INDEX($A247:$AL247,MATCH(Lists!$F$10,$A$1:$AL$1,0))&amp;"")="","",VALUE(TRIM(INDEX($A247:$AL247,MATCH(Lists!$F$10,$A$1:$AL$1,0))&amp;""))),"")</f>
        <v/>
      </c>
      <c r="AY247" s="21">
        <f>IF(IFERROR(TRIM(INDEX($A247:$AL247,MATCH(Lists!$F$2,$A$1:$AL$1,0))&amp;""),"")="","",IF(AN247="","New",AN247))</f>
        <v/>
      </c>
      <c r="AZ247" s="21">
        <f>IF(IFERROR(TRIM(INDEX($A247:$AL247,MATCH(Lists!$F$2,$A$1:$AL$1,0))&amp;""),"")="","",IF(OR(IFERROR(TRIM(INDEX($A247:$AL247,MATCH(Lists!$F$13,$A$1:$AL$1,0))&amp;""),"")="Paid",IFERROR(TRIM(INDEX($A247:$AL247,MATCH(Lists!$F$13,$A$1:$AL$1,0))&amp;""),"")="Partially refunded"),"Paid",IF(AP247="Yes","Paid (by hand)",IFERROR(TRIM(INDEX($A247:$AL247,MATCH(Lists!$F$13,$A$1:$AL$1,0))&amp;""),""))))</f>
        <v/>
      </c>
      <c r="BA247" s="21">
        <f>IF(AND(IFERROR(TRIM(INDEX($A247:$AL247,MATCH(Lists!$F$2,$A$1:$AL$1,0))&amp;""),"")&lt;&gt;"",AT247&gt;0,AU247&gt;=0,AV247&gt;AU247,AY247&lt;&gt;"Declined"),1,0)</f>
        <v/>
      </c>
      <c r="BB247" s="21">
        <f>IF(BA247=1,COUNTIFS($AS$2:$AS$501,AS247,$AT$2:$AT$501,AT247,$AU$2:$AU$501,"&lt;"&amp;AV247,$AV$2:$AV$501,"&gt;"&amp;AU247,$BA$2:$BA$501,1)-1,"")</f>
        <v/>
      </c>
      <c r="BC247" s="21">
        <f>IF(N(BB247)&gt;0,"Clashes with "&amp;INDEX($AW$2:$AW$501,SUMPRODUCT(MAX(($AS$2:$AS$501=AS247)*($AT$2:$AT$501=AT247)*($AU$2:$AU$501&lt;AV247)*($AV$2:$AV$501&gt;AU247)*($BA$2:$BA$501=1)*(ROW($AS$2:$AS$501)&lt;&gt;ROW())*ROW($AS$2:$AS$501)))-1)&amp;" ("&amp;INDEX($AY$2:$AY$501,SUMPRODUCT(MAX(($AS$2:$AS$501=AS247)*($AT$2:$AT$501=AT247)*($AU$2:$AU$501&lt;AV247)*($AV$2:$AV$501&gt;AU247)*($BA$2:$BA$501=1)*(ROW($AS$2:$AS$501)&lt;&gt;ROW())*ROW($AS$2:$AS$501)))-1)&amp;")"&amp;IF(BB247&gt;1," and "&amp;(BB247-1)&amp;" more",""),"")</f>
        <v/>
      </c>
      <c r="BD247" s="21">
        <f>IF(AND(BA247=1,AY247="Confirmed"),AT247*10000000+AU247*1000+ROW(),"")</f>
        <v/>
      </c>
      <c r="BE247" s="21">
        <f>IF(IFERROR(TRIM(INDEX($A247:$AL247,MATCH(Lists!$F$2,$A$1:$AL$1,0))&amp;""),"")="","",IFERROR(TRIM(INDEX($A247:$AL247,MATCH(Lists!$F$11,$A$1:$AL$1,0))&amp;""),""))</f>
        <v/>
      </c>
      <c r="BF247" s="21">
        <f>IF(IFERROR(TRIM(INDEX($A247:$AL247,MATCH(Lists!$F$2,$A$1:$AL$1,0))&amp;""),"")="","",IFERROR(TRIM(INDEX($A247:$AL247,MATCH(Lists!$F$12,$A$1:$AL$1,0))&amp;""),""))</f>
        <v/>
      </c>
    </row>
    <row r="248">
      <c r="AM248" s="19" t="n"/>
      <c r="AN248" s="23" t="n"/>
      <c r="AO248" s="23" t="n"/>
      <c r="AP248" s="23" t="n"/>
      <c r="AQ248" s="23" t="n"/>
      <c r="AR248" s="19" t="n"/>
      <c r="AS248" s="21">
        <f>IF(IFERROR(TRIM(INDEX($A248:$AL248,MATCH(Lists!$F$2,$A$1:$AL$1,0))&amp;""),"")="","",IF(AND(IFERROR(TRIM(INDEX($A248:$AL248,MATCH(Lists!$F$3,$A$1:$AL$1,0))&amp;""),"")="Other",IFERROR(TRIM(INDEX($A248:$AL248,MATCH(Lists!$F$4,$A$1:$AL$1,0))&amp;""),"")&lt;&gt;""),IFERROR(TRIM(INDEX($A248:$AL248,MATCH(Lists!$F$4,$A$1:$AL$1,0))&amp;""),""),IF(IFERROR(TRIM(INDEX($A248:$AL248,MATCH(Lists!$F$3,$A$1:$AL$1,0))&amp;""),"")="","(no space)",IFERROR(TRIM(INDEX($A248:$AL248,MATCH(Lists!$F$3,$A$1:$AL$1,0))&amp;""),""))))</f>
        <v/>
      </c>
      <c r="AT248" s="22">
        <f>IF(IFERROR(TRIM(INDEX($A248:$AL248,MATCH(Lists!$F$2,$A$1:$AL$1,0))&amp;""),"")="",0,N(IFERROR(IF(TRIM(INDEX($A248:$AL248,MATCH(Lists!$F$5,$A$1:$AL$1,0))&amp;"")="","",IF(ISNUMBER(INDEX($A248:$AL248,MATCH(Lists!$F$5,$A$1:$AL$1,0))),INT(INDEX($A248:$AL248,MATCH(Lists!$F$5,$A$1:$AL$1,0))),DATE(VALUE(LEFT(INDEX($A248:$AL248,MATCH(Lists!$F$5,$A$1:$AL$1,0)),4)),VALUE(MID(INDEX($A248:$AL248,MATCH(Lists!$F$5,$A$1:$AL$1,0)),6,2)),VALUE(MID(INDEX($A248:$AL248,MATCH(Lists!$F$5,$A$1:$AL$1,0)),9,2))))),"")))</f>
        <v/>
      </c>
      <c r="AU248" s="21">
        <f>IF(IFERROR(TRIM(INDEX($A248:$AL248,MATCH(Lists!$F$2,$A$1:$AL$1,0))&amp;""),"")="",-1,IF(ISNUMBER(IFERROR(IF(TRIM(INDEX($A248:$AL248,MATCH(Lists!$F$6,$A$1:$AL$1,0))&amp;"")="","",IF(ISNUMBER(INDEX($A248:$AL248,MATCH(Lists!$F$6,$A$1:$AL$1,0))),ROUND(MOD(INDEX($A248:$AL248,MATCH(Lists!$F$6,$A$1:$AL$1,0)),1)*1440,0),VALUE(LEFT(INDEX($A248:$AL248,MATCH(Lists!$F$6,$A$1:$AL$1,0)),2))*60+VALUE(MID(INDEX($A248:$AL248,MATCH(Lists!$F$6,$A$1:$AL$1,0)),4,2)))),"")),IFERROR(IF(TRIM(INDEX($A248:$AL248,MATCH(Lists!$F$6,$A$1:$AL$1,0))&amp;"")="","",IF(ISNUMBER(INDEX($A248:$AL248,MATCH(Lists!$F$6,$A$1:$AL$1,0))),ROUND(MOD(INDEX($A248:$AL248,MATCH(Lists!$F$6,$A$1:$AL$1,0)),1)*1440,0),VALUE(LEFT(INDEX($A248:$AL248,MATCH(Lists!$F$6,$A$1:$AL$1,0)),2))*60+VALUE(MID(INDEX($A248:$AL248,MATCH(Lists!$F$6,$A$1:$AL$1,0)),4,2)))),""),-1))</f>
        <v/>
      </c>
      <c r="AV248" s="21">
        <f>IF(IFERROR(TRIM(INDEX($A248:$AL248,MATCH(Lists!$F$2,$A$1:$AL$1,0))&amp;""),"")="",-1,IF(ISNUMBER(IFERROR(IF(TRIM(INDEX($A248:$AL248,MATCH(Lists!$F$7,$A$1:$AL$1,0))&amp;"")="","",IF(ISNUMBER(INDEX($A248:$AL248,MATCH(Lists!$F$7,$A$1:$AL$1,0))),ROUND(MOD(INDEX($A248:$AL248,MATCH(Lists!$F$7,$A$1:$AL$1,0)),1)*1440,0),VALUE(LEFT(INDEX($A248:$AL248,MATCH(Lists!$F$7,$A$1:$AL$1,0)),2))*60+VALUE(MID(INDEX($A248:$AL248,MATCH(Lists!$F$7,$A$1:$AL$1,0)),4,2)))),"")),IFERROR(IF(TRIM(INDEX($A248:$AL248,MATCH(Lists!$F$7,$A$1:$AL$1,0))&amp;"")="","",IF(ISNUMBER(INDEX($A248:$AL248,MATCH(Lists!$F$7,$A$1:$AL$1,0))),ROUND(MOD(INDEX($A248:$AL248,MATCH(Lists!$F$7,$A$1:$AL$1,0)),1)*1440,0),VALUE(LEFT(INDEX($A248:$AL248,MATCH(Lists!$F$7,$A$1:$AL$1,0)),2))*60+VALUE(MID(INDEX($A248:$AL248,MATCH(Lists!$F$7,$A$1:$AL$1,0)),4,2)))),""),-1))</f>
        <v/>
      </c>
      <c r="AW248" s="21">
        <f>IF(IFERROR(TRIM(INDEX($A248:$AL248,MATCH(Lists!$F$2,$A$1:$AL$1,0))&amp;""),"")="","",IF(IFERROR(TRIM(INDEX($A248:$AL248,MATCH(Lists!$F$8,$A$1:$AL$1,0))&amp;""),"")&lt;&gt;"",IFERROR(TRIM(INDEX($A248:$AL248,MATCH(Lists!$F$8,$A$1:$AL$1,0))&amp;""),""),IFERROR(TRIM(INDEX($A248:$AL248,MATCH(Lists!$F$9,$A$1:$AL$1,0))&amp;""),"")))</f>
        <v/>
      </c>
      <c r="AX248" s="21">
        <f>IFERROR(IF(TRIM(INDEX($A248:$AL248,MATCH(Lists!$F$10,$A$1:$AL$1,0))&amp;"")="","",VALUE(TRIM(INDEX($A248:$AL248,MATCH(Lists!$F$10,$A$1:$AL$1,0))&amp;""))),"")</f>
        <v/>
      </c>
      <c r="AY248" s="21">
        <f>IF(IFERROR(TRIM(INDEX($A248:$AL248,MATCH(Lists!$F$2,$A$1:$AL$1,0))&amp;""),"")="","",IF(AN248="","New",AN248))</f>
        <v/>
      </c>
      <c r="AZ248" s="21">
        <f>IF(IFERROR(TRIM(INDEX($A248:$AL248,MATCH(Lists!$F$2,$A$1:$AL$1,0))&amp;""),"")="","",IF(OR(IFERROR(TRIM(INDEX($A248:$AL248,MATCH(Lists!$F$13,$A$1:$AL$1,0))&amp;""),"")="Paid",IFERROR(TRIM(INDEX($A248:$AL248,MATCH(Lists!$F$13,$A$1:$AL$1,0))&amp;""),"")="Partially refunded"),"Paid",IF(AP248="Yes","Paid (by hand)",IFERROR(TRIM(INDEX($A248:$AL248,MATCH(Lists!$F$13,$A$1:$AL$1,0))&amp;""),""))))</f>
        <v/>
      </c>
      <c r="BA248" s="21">
        <f>IF(AND(IFERROR(TRIM(INDEX($A248:$AL248,MATCH(Lists!$F$2,$A$1:$AL$1,0))&amp;""),"")&lt;&gt;"",AT248&gt;0,AU248&gt;=0,AV248&gt;AU248,AY248&lt;&gt;"Declined"),1,0)</f>
        <v/>
      </c>
      <c r="BB248" s="21">
        <f>IF(BA248=1,COUNTIFS($AS$2:$AS$501,AS248,$AT$2:$AT$501,AT248,$AU$2:$AU$501,"&lt;"&amp;AV248,$AV$2:$AV$501,"&gt;"&amp;AU248,$BA$2:$BA$501,1)-1,"")</f>
        <v/>
      </c>
      <c r="BC248" s="21">
        <f>IF(N(BB248)&gt;0,"Clashes with "&amp;INDEX($AW$2:$AW$501,SUMPRODUCT(MAX(($AS$2:$AS$501=AS248)*($AT$2:$AT$501=AT248)*($AU$2:$AU$501&lt;AV248)*($AV$2:$AV$501&gt;AU248)*($BA$2:$BA$501=1)*(ROW($AS$2:$AS$501)&lt;&gt;ROW())*ROW($AS$2:$AS$501)))-1)&amp;" ("&amp;INDEX($AY$2:$AY$501,SUMPRODUCT(MAX(($AS$2:$AS$501=AS248)*($AT$2:$AT$501=AT248)*($AU$2:$AU$501&lt;AV248)*($AV$2:$AV$501&gt;AU248)*($BA$2:$BA$501=1)*(ROW($AS$2:$AS$501)&lt;&gt;ROW())*ROW($AS$2:$AS$501)))-1)&amp;")"&amp;IF(BB248&gt;1," and "&amp;(BB248-1)&amp;" more",""),"")</f>
        <v/>
      </c>
      <c r="BD248" s="21">
        <f>IF(AND(BA248=1,AY248="Confirmed"),AT248*10000000+AU248*1000+ROW(),"")</f>
        <v/>
      </c>
      <c r="BE248" s="21">
        <f>IF(IFERROR(TRIM(INDEX($A248:$AL248,MATCH(Lists!$F$2,$A$1:$AL$1,0))&amp;""),"")="","",IFERROR(TRIM(INDEX($A248:$AL248,MATCH(Lists!$F$11,$A$1:$AL$1,0))&amp;""),""))</f>
        <v/>
      </c>
      <c r="BF248" s="21">
        <f>IF(IFERROR(TRIM(INDEX($A248:$AL248,MATCH(Lists!$F$2,$A$1:$AL$1,0))&amp;""),"")="","",IFERROR(TRIM(INDEX($A248:$AL248,MATCH(Lists!$F$12,$A$1:$AL$1,0))&amp;""),""))</f>
        <v/>
      </c>
    </row>
    <row r="249">
      <c r="AM249" s="19" t="n"/>
      <c r="AN249" s="23" t="n"/>
      <c r="AO249" s="23" t="n"/>
      <c r="AP249" s="23" t="n"/>
      <c r="AQ249" s="23" t="n"/>
      <c r="AR249" s="19" t="n"/>
      <c r="AS249" s="21">
        <f>IF(IFERROR(TRIM(INDEX($A249:$AL249,MATCH(Lists!$F$2,$A$1:$AL$1,0))&amp;""),"")="","",IF(AND(IFERROR(TRIM(INDEX($A249:$AL249,MATCH(Lists!$F$3,$A$1:$AL$1,0))&amp;""),"")="Other",IFERROR(TRIM(INDEX($A249:$AL249,MATCH(Lists!$F$4,$A$1:$AL$1,0))&amp;""),"")&lt;&gt;""),IFERROR(TRIM(INDEX($A249:$AL249,MATCH(Lists!$F$4,$A$1:$AL$1,0))&amp;""),""),IF(IFERROR(TRIM(INDEX($A249:$AL249,MATCH(Lists!$F$3,$A$1:$AL$1,0))&amp;""),"")="","(no space)",IFERROR(TRIM(INDEX($A249:$AL249,MATCH(Lists!$F$3,$A$1:$AL$1,0))&amp;""),""))))</f>
        <v/>
      </c>
      <c r="AT249" s="22">
        <f>IF(IFERROR(TRIM(INDEX($A249:$AL249,MATCH(Lists!$F$2,$A$1:$AL$1,0))&amp;""),"")="",0,N(IFERROR(IF(TRIM(INDEX($A249:$AL249,MATCH(Lists!$F$5,$A$1:$AL$1,0))&amp;"")="","",IF(ISNUMBER(INDEX($A249:$AL249,MATCH(Lists!$F$5,$A$1:$AL$1,0))),INT(INDEX($A249:$AL249,MATCH(Lists!$F$5,$A$1:$AL$1,0))),DATE(VALUE(LEFT(INDEX($A249:$AL249,MATCH(Lists!$F$5,$A$1:$AL$1,0)),4)),VALUE(MID(INDEX($A249:$AL249,MATCH(Lists!$F$5,$A$1:$AL$1,0)),6,2)),VALUE(MID(INDEX($A249:$AL249,MATCH(Lists!$F$5,$A$1:$AL$1,0)),9,2))))),"")))</f>
        <v/>
      </c>
      <c r="AU249" s="21">
        <f>IF(IFERROR(TRIM(INDEX($A249:$AL249,MATCH(Lists!$F$2,$A$1:$AL$1,0))&amp;""),"")="",-1,IF(ISNUMBER(IFERROR(IF(TRIM(INDEX($A249:$AL249,MATCH(Lists!$F$6,$A$1:$AL$1,0))&amp;"")="","",IF(ISNUMBER(INDEX($A249:$AL249,MATCH(Lists!$F$6,$A$1:$AL$1,0))),ROUND(MOD(INDEX($A249:$AL249,MATCH(Lists!$F$6,$A$1:$AL$1,0)),1)*1440,0),VALUE(LEFT(INDEX($A249:$AL249,MATCH(Lists!$F$6,$A$1:$AL$1,0)),2))*60+VALUE(MID(INDEX($A249:$AL249,MATCH(Lists!$F$6,$A$1:$AL$1,0)),4,2)))),"")),IFERROR(IF(TRIM(INDEX($A249:$AL249,MATCH(Lists!$F$6,$A$1:$AL$1,0))&amp;"")="","",IF(ISNUMBER(INDEX($A249:$AL249,MATCH(Lists!$F$6,$A$1:$AL$1,0))),ROUND(MOD(INDEX($A249:$AL249,MATCH(Lists!$F$6,$A$1:$AL$1,0)),1)*1440,0),VALUE(LEFT(INDEX($A249:$AL249,MATCH(Lists!$F$6,$A$1:$AL$1,0)),2))*60+VALUE(MID(INDEX($A249:$AL249,MATCH(Lists!$F$6,$A$1:$AL$1,0)),4,2)))),""),-1))</f>
        <v/>
      </c>
      <c r="AV249" s="21">
        <f>IF(IFERROR(TRIM(INDEX($A249:$AL249,MATCH(Lists!$F$2,$A$1:$AL$1,0))&amp;""),"")="",-1,IF(ISNUMBER(IFERROR(IF(TRIM(INDEX($A249:$AL249,MATCH(Lists!$F$7,$A$1:$AL$1,0))&amp;"")="","",IF(ISNUMBER(INDEX($A249:$AL249,MATCH(Lists!$F$7,$A$1:$AL$1,0))),ROUND(MOD(INDEX($A249:$AL249,MATCH(Lists!$F$7,$A$1:$AL$1,0)),1)*1440,0),VALUE(LEFT(INDEX($A249:$AL249,MATCH(Lists!$F$7,$A$1:$AL$1,0)),2))*60+VALUE(MID(INDEX($A249:$AL249,MATCH(Lists!$F$7,$A$1:$AL$1,0)),4,2)))),"")),IFERROR(IF(TRIM(INDEX($A249:$AL249,MATCH(Lists!$F$7,$A$1:$AL$1,0))&amp;"")="","",IF(ISNUMBER(INDEX($A249:$AL249,MATCH(Lists!$F$7,$A$1:$AL$1,0))),ROUND(MOD(INDEX($A249:$AL249,MATCH(Lists!$F$7,$A$1:$AL$1,0)),1)*1440,0),VALUE(LEFT(INDEX($A249:$AL249,MATCH(Lists!$F$7,$A$1:$AL$1,0)),2))*60+VALUE(MID(INDEX($A249:$AL249,MATCH(Lists!$F$7,$A$1:$AL$1,0)),4,2)))),""),-1))</f>
        <v/>
      </c>
      <c r="AW249" s="21">
        <f>IF(IFERROR(TRIM(INDEX($A249:$AL249,MATCH(Lists!$F$2,$A$1:$AL$1,0))&amp;""),"")="","",IF(IFERROR(TRIM(INDEX($A249:$AL249,MATCH(Lists!$F$8,$A$1:$AL$1,0))&amp;""),"")&lt;&gt;"",IFERROR(TRIM(INDEX($A249:$AL249,MATCH(Lists!$F$8,$A$1:$AL$1,0))&amp;""),""),IFERROR(TRIM(INDEX($A249:$AL249,MATCH(Lists!$F$9,$A$1:$AL$1,0))&amp;""),"")))</f>
        <v/>
      </c>
      <c r="AX249" s="21">
        <f>IFERROR(IF(TRIM(INDEX($A249:$AL249,MATCH(Lists!$F$10,$A$1:$AL$1,0))&amp;"")="","",VALUE(TRIM(INDEX($A249:$AL249,MATCH(Lists!$F$10,$A$1:$AL$1,0))&amp;""))),"")</f>
        <v/>
      </c>
      <c r="AY249" s="21">
        <f>IF(IFERROR(TRIM(INDEX($A249:$AL249,MATCH(Lists!$F$2,$A$1:$AL$1,0))&amp;""),"")="","",IF(AN249="","New",AN249))</f>
        <v/>
      </c>
      <c r="AZ249" s="21">
        <f>IF(IFERROR(TRIM(INDEX($A249:$AL249,MATCH(Lists!$F$2,$A$1:$AL$1,0))&amp;""),"")="","",IF(OR(IFERROR(TRIM(INDEX($A249:$AL249,MATCH(Lists!$F$13,$A$1:$AL$1,0))&amp;""),"")="Paid",IFERROR(TRIM(INDEX($A249:$AL249,MATCH(Lists!$F$13,$A$1:$AL$1,0))&amp;""),"")="Partially refunded"),"Paid",IF(AP249="Yes","Paid (by hand)",IFERROR(TRIM(INDEX($A249:$AL249,MATCH(Lists!$F$13,$A$1:$AL$1,0))&amp;""),""))))</f>
        <v/>
      </c>
      <c r="BA249" s="21">
        <f>IF(AND(IFERROR(TRIM(INDEX($A249:$AL249,MATCH(Lists!$F$2,$A$1:$AL$1,0))&amp;""),"")&lt;&gt;"",AT249&gt;0,AU249&gt;=0,AV249&gt;AU249,AY249&lt;&gt;"Declined"),1,0)</f>
        <v/>
      </c>
      <c r="BB249" s="21">
        <f>IF(BA249=1,COUNTIFS($AS$2:$AS$501,AS249,$AT$2:$AT$501,AT249,$AU$2:$AU$501,"&lt;"&amp;AV249,$AV$2:$AV$501,"&gt;"&amp;AU249,$BA$2:$BA$501,1)-1,"")</f>
        <v/>
      </c>
      <c r="BC249" s="21">
        <f>IF(N(BB249)&gt;0,"Clashes with "&amp;INDEX($AW$2:$AW$501,SUMPRODUCT(MAX(($AS$2:$AS$501=AS249)*($AT$2:$AT$501=AT249)*($AU$2:$AU$501&lt;AV249)*($AV$2:$AV$501&gt;AU249)*($BA$2:$BA$501=1)*(ROW($AS$2:$AS$501)&lt;&gt;ROW())*ROW($AS$2:$AS$501)))-1)&amp;" ("&amp;INDEX($AY$2:$AY$501,SUMPRODUCT(MAX(($AS$2:$AS$501=AS249)*($AT$2:$AT$501=AT249)*($AU$2:$AU$501&lt;AV249)*($AV$2:$AV$501&gt;AU249)*($BA$2:$BA$501=1)*(ROW($AS$2:$AS$501)&lt;&gt;ROW())*ROW($AS$2:$AS$501)))-1)&amp;")"&amp;IF(BB249&gt;1," and "&amp;(BB249-1)&amp;" more",""),"")</f>
        <v/>
      </c>
      <c r="BD249" s="21">
        <f>IF(AND(BA249=1,AY249="Confirmed"),AT249*10000000+AU249*1000+ROW(),"")</f>
        <v/>
      </c>
      <c r="BE249" s="21">
        <f>IF(IFERROR(TRIM(INDEX($A249:$AL249,MATCH(Lists!$F$2,$A$1:$AL$1,0))&amp;""),"")="","",IFERROR(TRIM(INDEX($A249:$AL249,MATCH(Lists!$F$11,$A$1:$AL$1,0))&amp;""),""))</f>
        <v/>
      </c>
      <c r="BF249" s="21">
        <f>IF(IFERROR(TRIM(INDEX($A249:$AL249,MATCH(Lists!$F$2,$A$1:$AL$1,0))&amp;""),"")="","",IFERROR(TRIM(INDEX($A249:$AL249,MATCH(Lists!$F$12,$A$1:$AL$1,0))&amp;""),""))</f>
        <v/>
      </c>
    </row>
    <row r="250">
      <c r="AM250" s="19" t="n"/>
      <c r="AN250" s="23" t="n"/>
      <c r="AO250" s="23" t="n"/>
      <c r="AP250" s="23" t="n"/>
      <c r="AQ250" s="23" t="n"/>
      <c r="AR250" s="19" t="n"/>
      <c r="AS250" s="21">
        <f>IF(IFERROR(TRIM(INDEX($A250:$AL250,MATCH(Lists!$F$2,$A$1:$AL$1,0))&amp;""),"")="","",IF(AND(IFERROR(TRIM(INDEX($A250:$AL250,MATCH(Lists!$F$3,$A$1:$AL$1,0))&amp;""),"")="Other",IFERROR(TRIM(INDEX($A250:$AL250,MATCH(Lists!$F$4,$A$1:$AL$1,0))&amp;""),"")&lt;&gt;""),IFERROR(TRIM(INDEX($A250:$AL250,MATCH(Lists!$F$4,$A$1:$AL$1,0))&amp;""),""),IF(IFERROR(TRIM(INDEX($A250:$AL250,MATCH(Lists!$F$3,$A$1:$AL$1,0))&amp;""),"")="","(no space)",IFERROR(TRIM(INDEX($A250:$AL250,MATCH(Lists!$F$3,$A$1:$AL$1,0))&amp;""),""))))</f>
        <v/>
      </c>
      <c r="AT250" s="22">
        <f>IF(IFERROR(TRIM(INDEX($A250:$AL250,MATCH(Lists!$F$2,$A$1:$AL$1,0))&amp;""),"")="",0,N(IFERROR(IF(TRIM(INDEX($A250:$AL250,MATCH(Lists!$F$5,$A$1:$AL$1,0))&amp;"")="","",IF(ISNUMBER(INDEX($A250:$AL250,MATCH(Lists!$F$5,$A$1:$AL$1,0))),INT(INDEX($A250:$AL250,MATCH(Lists!$F$5,$A$1:$AL$1,0))),DATE(VALUE(LEFT(INDEX($A250:$AL250,MATCH(Lists!$F$5,$A$1:$AL$1,0)),4)),VALUE(MID(INDEX($A250:$AL250,MATCH(Lists!$F$5,$A$1:$AL$1,0)),6,2)),VALUE(MID(INDEX($A250:$AL250,MATCH(Lists!$F$5,$A$1:$AL$1,0)),9,2))))),"")))</f>
        <v/>
      </c>
      <c r="AU250" s="21">
        <f>IF(IFERROR(TRIM(INDEX($A250:$AL250,MATCH(Lists!$F$2,$A$1:$AL$1,0))&amp;""),"")="",-1,IF(ISNUMBER(IFERROR(IF(TRIM(INDEX($A250:$AL250,MATCH(Lists!$F$6,$A$1:$AL$1,0))&amp;"")="","",IF(ISNUMBER(INDEX($A250:$AL250,MATCH(Lists!$F$6,$A$1:$AL$1,0))),ROUND(MOD(INDEX($A250:$AL250,MATCH(Lists!$F$6,$A$1:$AL$1,0)),1)*1440,0),VALUE(LEFT(INDEX($A250:$AL250,MATCH(Lists!$F$6,$A$1:$AL$1,0)),2))*60+VALUE(MID(INDEX($A250:$AL250,MATCH(Lists!$F$6,$A$1:$AL$1,0)),4,2)))),"")),IFERROR(IF(TRIM(INDEX($A250:$AL250,MATCH(Lists!$F$6,$A$1:$AL$1,0))&amp;"")="","",IF(ISNUMBER(INDEX($A250:$AL250,MATCH(Lists!$F$6,$A$1:$AL$1,0))),ROUND(MOD(INDEX($A250:$AL250,MATCH(Lists!$F$6,$A$1:$AL$1,0)),1)*1440,0),VALUE(LEFT(INDEX($A250:$AL250,MATCH(Lists!$F$6,$A$1:$AL$1,0)),2))*60+VALUE(MID(INDEX($A250:$AL250,MATCH(Lists!$F$6,$A$1:$AL$1,0)),4,2)))),""),-1))</f>
        <v/>
      </c>
      <c r="AV250" s="21">
        <f>IF(IFERROR(TRIM(INDEX($A250:$AL250,MATCH(Lists!$F$2,$A$1:$AL$1,0))&amp;""),"")="",-1,IF(ISNUMBER(IFERROR(IF(TRIM(INDEX($A250:$AL250,MATCH(Lists!$F$7,$A$1:$AL$1,0))&amp;"")="","",IF(ISNUMBER(INDEX($A250:$AL250,MATCH(Lists!$F$7,$A$1:$AL$1,0))),ROUND(MOD(INDEX($A250:$AL250,MATCH(Lists!$F$7,$A$1:$AL$1,0)),1)*1440,0),VALUE(LEFT(INDEX($A250:$AL250,MATCH(Lists!$F$7,$A$1:$AL$1,0)),2))*60+VALUE(MID(INDEX($A250:$AL250,MATCH(Lists!$F$7,$A$1:$AL$1,0)),4,2)))),"")),IFERROR(IF(TRIM(INDEX($A250:$AL250,MATCH(Lists!$F$7,$A$1:$AL$1,0))&amp;"")="","",IF(ISNUMBER(INDEX($A250:$AL250,MATCH(Lists!$F$7,$A$1:$AL$1,0))),ROUND(MOD(INDEX($A250:$AL250,MATCH(Lists!$F$7,$A$1:$AL$1,0)),1)*1440,0),VALUE(LEFT(INDEX($A250:$AL250,MATCH(Lists!$F$7,$A$1:$AL$1,0)),2))*60+VALUE(MID(INDEX($A250:$AL250,MATCH(Lists!$F$7,$A$1:$AL$1,0)),4,2)))),""),-1))</f>
        <v/>
      </c>
      <c r="AW250" s="21">
        <f>IF(IFERROR(TRIM(INDEX($A250:$AL250,MATCH(Lists!$F$2,$A$1:$AL$1,0))&amp;""),"")="","",IF(IFERROR(TRIM(INDEX($A250:$AL250,MATCH(Lists!$F$8,$A$1:$AL$1,0))&amp;""),"")&lt;&gt;"",IFERROR(TRIM(INDEX($A250:$AL250,MATCH(Lists!$F$8,$A$1:$AL$1,0))&amp;""),""),IFERROR(TRIM(INDEX($A250:$AL250,MATCH(Lists!$F$9,$A$1:$AL$1,0))&amp;""),"")))</f>
        <v/>
      </c>
      <c r="AX250" s="21">
        <f>IFERROR(IF(TRIM(INDEX($A250:$AL250,MATCH(Lists!$F$10,$A$1:$AL$1,0))&amp;"")="","",VALUE(TRIM(INDEX($A250:$AL250,MATCH(Lists!$F$10,$A$1:$AL$1,0))&amp;""))),"")</f>
        <v/>
      </c>
      <c r="AY250" s="21">
        <f>IF(IFERROR(TRIM(INDEX($A250:$AL250,MATCH(Lists!$F$2,$A$1:$AL$1,0))&amp;""),"")="","",IF(AN250="","New",AN250))</f>
        <v/>
      </c>
      <c r="AZ250" s="21">
        <f>IF(IFERROR(TRIM(INDEX($A250:$AL250,MATCH(Lists!$F$2,$A$1:$AL$1,0))&amp;""),"")="","",IF(OR(IFERROR(TRIM(INDEX($A250:$AL250,MATCH(Lists!$F$13,$A$1:$AL$1,0))&amp;""),"")="Paid",IFERROR(TRIM(INDEX($A250:$AL250,MATCH(Lists!$F$13,$A$1:$AL$1,0))&amp;""),"")="Partially refunded"),"Paid",IF(AP250="Yes","Paid (by hand)",IFERROR(TRIM(INDEX($A250:$AL250,MATCH(Lists!$F$13,$A$1:$AL$1,0))&amp;""),""))))</f>
        <v/>
      </c>
      <c r="BA250" s="21">
        <f>IF(AND(IFERROR(TRIM(INDEX($A250:$AL250,MATCH(Lists!$F$2,$A$1:$AL$1,0))&amp;""),"")&lt;&gt;"",AT250&gt;0,AU250&gt;=0,AV250&gt;AU250,AY250&lt;&gt;"Declined"),1,0)</f>
        <v/>
      </c>
      <c r="BB250" s="21">
        <f>IF(BA250=1,COUNTIFS($AS$2:$AS$501,AS250,$AT$2:$AT$501,AT250,$AU$2:$AU$501,"&lt;"&amp;AV250,$AV$2:$AV$501,"&gt;"&amp;AU250,$BA$2:$BA$501,1)-1,"")</f>
        <v/>
      </c>
      <c r="BC250" s="21">
        <f>IF(N(BB250)&gt;0,"Clashes with "&amp;INDEX($AW$2:$AW$501,SUMPRODUCT(MAX(($AS$2:$AS$501=AS250)*($AT$2:$AT$501=AT250)*($AU$2:$AU$501&lt;AV250)*($AV$2:$AV$501&gt;AU250)*($BA$2:$BA$501=1)*(ROW($AS$2:$AS$501)&lt;&gt;ROW())*ROW($AS$2:$AS$501)))-1)&amp;" ("&amp;INDEX($AY$2:$AY$501,SUMPRODUCT(MAX(($AS$2:$AS$501=AS250)*($AT$2:$AT$501=AT250)*($AU$2:$AU$501&lt;AV250)*($AV$2:$AV$501&gt;AU250)*($BA$2:$BA$501=1)*(ROW($AS$2:$AS$501)&lt;&gt;ROW())*ROW($AS$2:$AS$501)))-1)&amp;")"&amp;IF(BB250&gt;1," and "&amp;(BB250-1)&amp;" more",""),"")</f>
        <v/>
      </c>
      <c r="BD250" s="21">
        <f>IF(AND(BA250=1,AY250="Confirmed"),AT250*10000000+AU250*1000+ROW(),"")</f>
        <v/>
      </c>
      <c r="BE250" s="21">
        <f>IF(IFERROR(TRIM(INDEX($A250:$AL250,MATCH(Lists!$F$2,$A$1:$AL$1,0))&amp;""),"")="","",IFERROR(TRIM(INDEX($A250:$AL250,MATCH(Lists!$F$11,$A$1:$AL$1,0))&amp;""),""))</f>
        <v/>
      </c>
      <c r="BF250" s="21">
        <f>IF(IFERROR(TRIM(INDEX($A250:$AL250,MATCH(Lists!$F$2,$A$1:$AL$1,0))&amp;""),"")="","",IFERROR(TRIM(INDEX($A250:$AL250,MATCH(Lists!$F$12,$A$1:$AL$1,0))&amp;""),""))</f>
        <v/>
      </c>
    </row>
    <row r="251">
      <c r="AM251" s="19" t="n"/>
      <c r="AN251" s="23" t="n"/>
      <c r="AO251" s="23" t="n"/>
      <c r="AP251" s="23" t="n"/>
      <c r="AQ251" s="23" t="n"/>
      <c r="AR251" s="19" t="n"/>
      <c r="AS251" s="21">
        <f>IF(IFERROR(TRIM(INDEX($A251:$AL251,MATCH(Lists!$F$2,$A$1:$AL$1,0))&amp;""),"")="","",IF(AND(IFERROR(TRIM(INDEX($A251:$AL251,MATCH(Lists!$F$3,$A$1:$AL$1,0))&amp;""),"")="Other",IFERROR(TRIM(INDEX($A251:$AL251,MATCH(Lists!$F$4,$A$1:$AL$1,0))&amp;""),"")&lt;&gt;""),IFERROR(TRIM(INDEX($A251:$AL251,MATCH(Lists!$F$4,$A$1:$AL$1,0))&amp;""),""),IF(IFERROR(TRIM(INDEX($A251:$AL251,MATCH(Lists!$F$3,$A$1:$AL$1,0))&amp;""),"")="","(no space)",IFERROR(TRIM(INDEX($A251:$AL251,MATCH(Lists!$F$3,$A$1:$AL$1,0))&amp;""),""))))</f>
        <v/>
      </c>
      <c r="AT251" s="22">
        <f>IF(IFERROR(TRIM(INDEX($A251:$AL251,MATCH(Lists!$F$2,$A$1:$AL$1,0))&amp;""),"")="",0,N(IFERROR(IF(TRIM(INDEX($A251:$AL251,MATCH(Lists!$F$5,$A$1:$AL$1,0))&amp;"")="","",IF(ISNUMBER(INDEX($A251:$AL251,MATCH(Lists!$F$5,$A$1:$AL$1,0))),INT(INDEX($A251:$AL251,MATCH(Lists!$F$5,$A$1:$AL$1,0))),DATE(VALUE(LEFT(INDEX($A251:$AL251,MATCH(Lists!$F$5,$A$1:$AL$1,0)),4)),VALUE(MID(INDEX($A251:$AL251,MATCH(Lists!$F$5,$A$1:$AL$1,0)),6,2)),VALUE(MID(INDEX($A251:$AL251,MATCH(Lists!$F$5,$A$1:$AL$1,0)),9,2))))),"")))</f>
        <v/>
      </c>
      <c r="AU251" s="21">
        <f>IF(IFERROR(TRIM(INDEX($A251:$AL251,MATCH(Lists!$F$2,$A$1:$AL$1,0))&amp;""),"")="",-1,IF(ISNUMBER(IFERROR(IF(TRIM(INDEX($A251:$AL251,MATCH(Lists!$F$6,$A$1:$AL$1,0))&amp;"")="","",IF(ISNUMBER(INDEX($A251:$AL251,MATCH(Lists!$F$6,$A$1:$AL$1,0))),ROUND(MOD(INDEX($A251:$AL251,MATCH(Lists!$F$6,$A$1:$AL$1,0)),1)*1440,0),VALUE(LEFT(INDEX($A251:$AL251,MATCH(Lists!$F$6,$A$1:$AL$1,0)),2))*60+VALUE(MID(INDEX($A251:$AL251,MATCH(Lists!$F$6,$A$1:$AL$1,0)),4,2)))),"")),IFERROR(IF(TRIM(INDEX($A251:$AL251,MATCH(Lists!$F$6,$A$1:$AL$1,0))&amp;"")="","",IF(ISNUMBER(INDEX($A251:$AL251,MATCH(Lists!$F$6,$A$1:$AL$1,0))),ROUND(MOD(INDEX($A251:$AL251,MATCH(Lists!$F$6,$A$1:$AL$1,0)),1)*1440,0),VALUE(LEFT(INDEX($A251:$AL251,MATCH(Lists!$F$6,$A$1:$AL$1,0)),2))*60+VALUE(MID(INDEX($A251:$AL251,MATCH(Lists!$F$6,$A$1:$AL$1,0)),4,2)))),""),-1))</f>
        <v/>
      </c>
      <c r="AV251" s="21">
        <f>IF(IFERROR(TRIM(INDEX($A251:$AL251,MATCH(Lists!$F$2,$A$1:$AL$1,0))&amp;""),"")="",-1,IF(ISNUMBER(IFERROR(IF(TRIM(INDEX($A251:$AL251,MATCH(Lists!$F$7,$A$1:$AL$1,0))&amp;"")="","",IF(ISNUMBER(INDEX($A251:$AL251,MATCH(Lists!$F$7,$A$1:$AL$1,0))),ROUND(MOD(INDEX($A251:$AL251,MATCH(Lists!$F$7,$A$1:$AL$1,0)),1)*1440,0),VALUE(LEFT(INDEX($A251:$AL251,MATCH(Lists!$F$7,$A$1:$AL$1,0)),2))*60+VALUE(MID(INDEX($A251:$AL251,MATCH(Lists!$F$7,$A$1:$AL$1,0)),4,2)))),"")),IFERROR(IF(TRIM(INDEX($A251:$AL251,MATCH(Lists!$F$7,$A$1:$AL$1,0))&amp;"")="","",IF(ISNUMBER(INDEX($A251:$AL251,MATCH(Lists!$F$7,$A$1:$AL$1,0))),ROUND(MOD(INDEX($A251:$AL251,MATCH(Lists!$F$7,$A$1:$AL$1,0)),1)*1440,0),VALUE(LEFT(INDEX($A251:$AL251,MATCH(Lists!$F$7,$A$1:$AL$1,0)),2))*60+VALUE(MID(INDEX($A251:$AL251,MATCH(Lists!$F$7,$A$1:$AL$1,0)),4,2)))),""),-1))</f>
        <v/>
      </c>
      <c r="AW251" s="21">
        <f>IF(IFERROR(TRIM(INDEX($A251:$AL251,MATCH(Lists!$F$2,$A$1:$AL$1,0))&amp;""),"")="","",IF(IFERROR(TRIM(INDEX($A251:$AL251,MATCH(Lists!$F$8,$A$1:$AL$1,0))&amp;""),"")&lt;&gt;"",IFERROR(TRIM(INDEX($A251:$AL251,MATCH(Lists!$F$8,$A$1:$AL$1,0))&amp;""),""),IFERROR(TRIM(INDEX($A251:$AL251,MATCH(Lists!$F$9,$A$1:$AL$1,0))&amp;""),"")))</f>
        <v/>
      </c>
      <c r="AX251" s="21">
        <f>IFERROR(IF(TRIM(INDEX($A251:$AL251,MATCH(Lists!$F$10,$A$1:$AL$1,0))&amp;"")="","",VALUE(TRIM(INDEX($A251:$AL251,MATCH(Lists!$F$10,$A$1:$AL$1,0))&amp;""))),"")</f>
        <v/>
      </c>
      <c r="AY251" s="21">
        <f>IF(IFERROR(TRIM(INDEX($A251:$AL251,MATCH(Lists!$F$2,$A$1:$AL$1,0))&amp;""),"")="","",IF(AN251="","New",AN251))</f>
        <v/>
      </c>
      <c r="AZ251" s="21">
        <f>IF(IFERROR(TRIM(INDEX($A251:$AL251,MATCH(Lists!$F$2,$A$1:$AL$1,0))&amp;""),"")="","",IF(OR(IFERROR(TRIM(INDEX($A251:$AL251,MATCH(Lists!$F$13,$A$1:$AL$1,0))&amp;""),"")="Paid",IFERROR(TRIM(INDEX($A251:$AL251,MATCH(Lists!$F$13,$A$1:$AL$1,0))&amp;""),"")="Partially refunded"),"Paid",IF(AP251="Yes","Paid (by hand)",IFERROR(TRIM(INDEX($A251:$AL251,MATCH(Lists!$F$13,$A$1:$AL$1,0))&amp;""),""))))</f>
        <v/>
      </c>
      <c r="BA251" s="21">
        <f>IF(AND(IFERROR(TRIM(INDEX($A251:$AL251,MATCH(Lists!$F$2,$A$1:$AL$1,0))&amp;""),"")&lt;&gt;"",AT251&gt;0,AU251&gt;=0,AV251&gt;AU251,AY251&lt;&gt;"Declined"),1,0)</f>
        <v/>
      </c>
      <c r="BB251" s="21">
        <f>IF(BA251=1,COUNTIFS($AS$2:$AS$501,AS251,$AT$2:$AT$501,AT251,$AU$2:$AU$501,"&lt;"&amp;AV251,$AV$2:$AV$501,"&gt;"&amp;AU251,$BA$2:$BA$501,1)-1,"")</f>
        <v/>
      </c>
      <c r="BC251" s="21">
        <f>IF(N(BB251)&gt;0,"Clashes with "&amp;INDEX($AW$2:$AW$501,SUMPRODUCT(MAX(($AS$2:$AS$501=AS251)*($AT$2:$AT$501=AT251)*($AU$2:$AU$501&lt;AV251)*($AV$2:$AV$501&gt;AU251)*($BA$2:$BA$501=1)*(ROW($AS$2:$AS$501)&lt;&gt;ROW())*ROW($AS$2:$AS$501)))-1)&amp;" ("&amp;INDEX($AY$2:$AY$501,SUMPRODUCT(MAX(($AS$2:$AS$501=AS251)*($AT$2:$AT$501=AT251)*($AU$2:$AU$501&lt;AV251)*($AV$2:$AV$501&gt;AU251)*($BA$2:$BA$501=1)*(ROW($AS$2:$AS$501)&lt;&gt;ROW())*ROW($AS$2:$AS$501)))-1)&amp;")"&amp;IF(BB251&gt;1," and "&amp;(BB251-1)&amp;" more",""),"")</f>
        <v/>
      </c>
      <c r="BD251" s="21">
        <f>IF(AND(BA251=1,AY251="Confirmed"),AT251*10000000+AU251*1000+ROW(),"")</f>
        <v/>
      </c>
      <c r="BE251" s="21">
        <f>IF(IFERROR(TRIM(INDEX($A251:$AL251,MATCH(Lists!$F$2,$A$1:$AL$1,0))&amp;""),"")="","",IFERROR(TRIM(INDEX($A251:$AL251,MATCH(Lists!$F$11,$A$1:$AL$1,0))&amp;""),""))</f>
        <v/>
      </c>
      <c r="BF251" s="21">
        <f>IF(IFERROR(TRIM(INDEX($A251:$AL251,MATCH(Lists!$F$2,$A$1:$AL$1,0))&amp;""),"")="","",IFERROR(TRIM(INDEX($A251:$AL251,MATCH(Lists!$F$12,$A$1:$AL$1,0))&amp;""),""))</f>
        <v/>
      </c>
    </row>
    <row r="252">
      <c r="AM252" s="19" t="n"/>
      <c r="AN252" s="23" t="n"/>
      <c r="AO252" s="23" t="n"/>
      <c r="AP252" s="23" t="n"/>
      <c r="AQ252" s="23" t="n"/>
      <c r="AR252" s="19" t="n"/>
      <c r="AS252" s="21">
        <f>IF(IFERROR(TRIM(INDEX($A252:$AL252,MATCH(Lists!$F$2,$A$1:$AL$1,0))&amp;""),"")="","",IF(AND(IFERROR(TRIM(INDEX($A252:$AL252,MATCH(Lists!$F$3,$A$1:$AL$1,0))&amp;""),"")="Other",IFERROR(TRIM(INDEX($A252:$AL252,MATCH(Lists!$F$4,$A$1:$AL$1,0))&amp;""),"")&lt;&gt;""),IFERROR(TRIM(INDEX($A252:$AL252,MATCH(Lists!$F$4,$A$1:$AL$1,0))&amp;""),""),IF(IFERROR(TRIM(INDEX($A252:$AL252,MATCH(Lists!$F$3,$A$1:$AL$1,0))&amp;""),"")="","(no space)",IFERROR(TRIM(INDEX($A252:$AL252,MATCH(Lists!$F$3,$A$1:$AL$1,0))&amp;""),""))))</f>
        <v/>
      </c>
      <c r="AT252" s="22">
        <f>IF(IFERROR(TRIM(INDEX($A252:$AL252,MATCH(Lists!$F$2,$A$1:$AL$1,0))&amp;""),"")="",0,N(IFERROR(IF(TRIM(INDEX($A252:$AL252,MATCH(Lists!$F$5,$A$1:$AL$1,0))&amp;"")="","",IF(ISNUMBER(INDEX($A252:$AL252,MATCH(Lists!$F$5,$A$1:$AL$1,0))),INT(INDEX($A252:$AL252,MATCH(Lists!$F$5,$A$1:$AL$1,0))),DATE(VALUE(LEFT(INDEX($A252:$AL252,MATCH(Lists!$F$5,$A$1:$AL$1,0)),4)),VALUE(MID(INDEX($A252:$AL252,MATCH(Lists!$F$5,$A$1:$AL$1,0)),6,2)),VALUE(MID(INDEX($A252:$AL252,MATCH(Lists!$F$5,$A$1:$AL$1,0)),9,2))))),"")))</f>
        <v/>
      </c>
      <c r="AU252" s="21">
        <f>IF(IFERROR(TRIM(INDEX($A252:$AL252,MATCH(Lists!$F$2,$A$1:$AL$1,0))&amp;""),"")="",-1,IF(ISNUMBER(IFERROR(IF(TRIM(INDEX($A252:$AL252,MATCH(Lists!$F$6,$A$1:$AL$1,0))&amp;"")="","",IF(ISNUMBER(INDEX($A252:$AL252,MATCH(Lists!$F$6,$A$1:$AL$1,0))),ROUND(MOD(INDEX($A252:$AL252,MATCH(Lists!$F$6,$A$1:$AL$1,0)),1)*1440,0),VALUE(LEFT(INDEX($A252:$AL252,MATCH(Lists!$F$6,$A$1:$AL$1,0)),2))*60+VALUE(MID(INDEX($A252:$AL252,MATCH(Lists!$F$6,$A$1:$AL$1,0)),4,2)))),"")),IFERROR(IF(TRIM(INDEX($A252:$AL252,MATCH(Lists!$F$6,$A$1:$AL$1,0))&amp;"")="","",IF(ISNUMBER(INDEX($A252:$AL252,MATCH(Lists!$F$6,$A$1:$AL$1,0))),ROUND(MOD(INDEX($A252:$AL252,MATCH(Lists!$F$6,$A$1:$AL$1,0)),1)*1440,0),VALUE(LEFT(INDEX($A252:$AL252,MATCH(Lists!$F$6,$A$1:$AL$1,0)),2))*60+VALUE(MID(INDEX($A252:$AL252,MATCH(Lists!$F$6,$A$1:$AL$1,0)),4,2)))),""),-1))</f>
        <v/>
      </c>
      <c r="AV252" s="21">
        <f>IF(IFERROR(TRIM(INDEX($A252:$AL252,MATCH(Lists!$F$2,$A$1:$AL$1,0))&amp;""),"")="",-1,IF(ISNUMBER(IFERROR(IF(TRIM(INDEX($A252:$AL252,MATCH(Lists!$F$7,$A$1:$AL$1,0))&amp;"")="","",IF(ISNUMBER(INDEX($A252:$AL252,MATCH(Lists!$F$7,$A$1:$AL$1,0))),ROUND(MOD(INDEX($A252:$AL252,MATCH(Lists!$F$7,$A$1:$AL$1,0)),1)*1440,0),VALUE(LEFT(INDEX($A252:$AL252,MATCH(Lists!$F$7,$A$1:$AL$1,0)),2))*60+VALUE(MID(INDEX($A252:$AL252,MATCH(Lists!$F$7,$A$1:$AL$1,0)),4,2)))),"")),IFERROR(IF(TRIM(INDEX($A252:$AL252,MATCH(Lists!$F$7,$A$1:$AL$1,0))&amp;"")="","",IF(ISNUMBER(INDEX($A252:$AL252,MATCH(Lists!$F$7,$A$1:$AL$1,0))),ROUND(MOD(INDEX($A252:$AL252,MATCH(Lists!$F$7,$A$1:$AL$1,0)),1)*1440,0),VALUE(LEFT(INDEX($A252:$AL252,MATCH(Lists!$F$7,$A$1:$AL$1,0)),2))*60+VALUE(MID(INDEX($A252:$AL252,MATCH(Lists!$F$7,$A$1:$AL$1,0)),4,2)))),""),-1))</f>
        <v/>
      </c>
      <c r="AW252" s="21">
        <f>IF(IFERROR(TRIM(INDEX($A252:$AL252,MATCH(Lists!$F$2,$A$1:$AL$1,0))&amp;""),"")="","",IF(IFERROR(TRIM(INDEX($A252:$AL252,MATCH(Lists!$F$8,$A$1:$AL$1,0))&amp;""),"")&lt;&gt;"",IFERROR(TRIM(INDEX($A252:$AL252,MATCH(Lists!$F$8,$A$1:$AL$1,0))&amp;""),""),IFERROR(TRIM(INDEX($A252:$AL252,MATCH(Lists!$F$9,$A$1:$AL$1,0))&amp;""),"")))</f>
        <v/>
      </c>
      <c r="AX252" s="21">
        <f>IFERROR(IF(TRIM(INDEX($A252:$AL252,MATCH(Lists!$F$10,$A$1:$AL$1,0))&amp;"")="","",VALUE(TRIM(INDEX($A252:$AL252,MATCH(Lists!$F$10,$A$1:$AL$1,0))&amp;""))),"")</f>
        <v/>
      </c>
      <c r="AY252" s="21">
        <f>IF(IFERROR(TRIM(INDEX($A252:$AL252,MATCH(Lists!$F$2,$A$1:$AL$1,0))&amp;""),"")="","",IF(AN252="","New",AN252))</f>
        <v/>
      </c>
      <c r="AZ252" s="21">
        <f>IF(IFERROR(TRIM(INDEX($A252:$AL252,MATCH(Lists!$F$2,$A$1:$AL$1,0))&amp;""),"")="","",IF(OR(IFERROR(TRIM(INDEX($A252:$AL252,MATCH(Lists!$F$13,$A$1:$AL$1,0))&amp;""),"")="Paid",IFERROR(TRIM(INDEX($A252:$AL252,MATCH(Lists!$F$13,$A$1:$AL$1,0))&amp;""),"")="Partially refunded"),"Paid",IF(AP252="Yes","Paid (by hand)",IFERROR(TRIM(INDEX($A252:$AL252,MATCH(Lists!$F$13,$A$1:$AL$1,0))&amp;""),""))))</f>
        <v/>
      </c>
      <c r="BA252" s="21">
        <f>IF(AND(IFERROR(TRIM(INDEX($A252:$AL252,MATCH(Lists!$F$2,$A$1:$AL$1,0))&amp;""),"")&lt;&gt;"",AT252&gt;0,AU252&gt;=0,AV252&gt;AU252,AY252&lt;&gt;"Declined"),1,0)</f>
        <v/>
      </c>
      <c r="BB252" s="21">
        <f>IF(BA252=1,COUNTIFS($AS$2:$AS$501,AS252,$AT$2:$AT$501,AT252,$AU$2:$AU$501,"&lt;"&amp;AV252,$AV$2:$AV$501,"&gt;"&amp;AU252,$BA$2:$BA$501,1)-1,"")</f>
        <v/>
      </c>
      <c r="BC252" s="21">
        <f>IF(N(BB252)&gt;0,"Clashes with "&amp;INDEX($AW$2:$AW$501,SUMPRODUCT(MAX(($AS$2:$AS$501=AS252)*($AT$2:$AT$501=AT252)*($AU$2:$AU$501&lt;AV252)*($AV$2:$AV$501&gt;AU252)*($BA$2:$BA$501=1)*(ROW($AS$2:$AS$501)&lt;&gt;ROW())*ROW($AS$2:$AS$501)))-1)&amp;" ("&amp;INDEX($AY$2:$AY$501,SUMPRODUCT(MAX(($AS$2:$AS$501=AS252)*($AT$2:$AT$501=AT252)*($AU$2:$AU$501&lt;AV252)*($AV$2:$AV$501&gt;AU252)*($BA$2:$BA$501=1)*(ROW($AS$2:$AS$501)&lt;&gt;ROW())*ROW($AS$2:$AS$501)))-1)&amp;")"&amp;IF(BB252&gt;1," and "&amp;(BB252-1)&amp;" more",""),"")</f>
        <v/>
      </c>
      <c r="BD252" s="21">
        <f>IF(AND(BA252=1,AY252="Confirmed"),AT252*10000000+AU252*1000+ROW(),"")</f>
        <v/>
      </c>
      <c r="BE252" s="21">
        <f>IF(IFERROR(TRIM(INDEX($A252:$AL252,MATCH(Lists!$F$2,$A$1:$AL$1,0))&amp;""),"")="","",IFERROR(TRIM(INDEX($A252:$AL252,MATCH(Lists!$F$11,$A$1:$AL$1,0))&amp;""),""))</f>
        <v/>
      </c>
      <c r="BF252" s="21">
        <f>IF(IFERROR(TRIM(INDEX($A252:$AL252,MATCH(Lists!$F$2,$A$1:$AL$1,0))&amp;""),"")="","",IFERROR(TRIM(INDEX($A252:$AL252,MATCH(Lists!$F$12,$A$1:$AL$1,0))&amp;""),""))</f>
        <v/>
      </c>
    </row>
    <row r="253">
      <c r="AM253" s="19" t="n"/>
      <c r="AN253" s="23" t="n"/>
      <c r="AO253" s="23" t="n"/>
      <c r="AP253" s="23" t="n"/>
      <c r="AQ253" s="23" t="n"/>
      <c r="AR253" s="19" t="n"/>
      <c r="AS253" s="21">
        <f>IF(IFERROR(TRIM(INDEX($A253:$AL253,MATCH(Lists!$F$2,$A$1:$AL$1,0))&amp;""),"")="","",IF(AND(IFERROR(TRIM(INDEX($A253:$AL253,MATCH(Lists!$F$3,$A$1:$AL$1,0))&amp;""),"")="Other",IFERROR(TRIM(INDEX($A253:$AL253,MATCH(Lists!$F$4,$A$1:$AL$1,0))&amp;""),"")&lt;&gt;""),IFERROR(TRIM(INDEX($A253:$AL253,MATCH(Lists!$F$4,$A$1:$AL$1,0))&amp;""),""),IF(IFERROR(TRIM(INDEX($A253:$AL253,MATCH(Lists!$F$3,$A$1:$AL$1,0))&amp;""),"")="","(no space)",IFERROR(TRIM(INDEX($A253:$AL253,MATCH(Lists!$F$3,$A$1:$AL$1,0))&amp;""),""))))</f>
        <v/>
      </c>
      <c r="AT253" s="22">
        <f>IF(IFERROR(TRIM(INDEX($A253:$AL253,MATCH(Lists!$F$2,$A$1:$AL$1,0))&amp;""),"")="",0,N(IFERROR(IF(TRIM(INDEX($A253:$AL253,MATCH(Lists!$F$5,$A$1:$AL$1,0))&amp;"")="","",IF(ISNUMBER(INDEX($A253:$AL253,MATCH(Lists!$F$5,$A$1:$AL$1,0))),INT(INDEX($A253:$AL253,MATCH(Lists!$F$5,$A$1:$AL$1,0))),DATE(VALUE(LEFT(INDEX($A253:$AL253,MATCH(Lists!$F$5,$A$1:$AL$1,0)),4)),VALUE(MID(INDEX($A253:$AL253,MATCH(Lists!$F$5,$A$1:$AL$1,0)),6,2)),VALUE(MID(INDEX($A253:$AL253,MATCH(Lists!$F$5,$A$1:$AL$1,0)),9,2))))),"")))</f>
        <v/>
      </c>
      <c r="AU253" s="21">
        <f>IF(IFERROR(TRIM(INDEX($A253:$AL253,MATCH(Lists!$F$2,$A$1:$AL$1,0))&amp;""),"")="",-1,IF(ISNUMBER(IFERROR(IF(TRIM(INDEX($A253:$AL253,MATCH(Lists!$F$6,$A$1:$AL$1,0))&amp;"")="","",IF(ISNUMBER(INDEX($A253:$AL253,MATCH(Lists!$F$6,$A$1:$AL$1,0))),ROUND(MOD(INDEX($A253:$AL253,MATCH(Lists!$F$6,$A$1:$AL$1,0)),1)*1440,0),VALUE(LEFT(INDEX($A253:$AL253,MATCH(Lists!$F$6,$A$1:$AL$1,0)),2))*60+VALUE(MID(INDEX($A253:$AL253,MATCH(Lists!$F$6,$A$1:$AL$1,0)),4,2)))),"")),IFERROR(IF(TRIM(INDEX($A253:$AL253,MATCH(Lists!$F$6,$A$1:$AL$1,0))&amp;"")="","",IF(ISNUMBER(INDEX($A253:$AL253,MATCH(Lists!$F$6,$A$1:$AL$1,0))),ROUND(MOD(INDEX($A253:$AL253,MATCH(Lists!$F$6,$A$1:$AL$1,0)),1)*1440,0),VALUE(LEFT(INDEX($A253:$AL253,MATCH(Lists!$F$6,$A$1:$AL$1,0)),2))*60+VALUE(MID(INDEX($A253:$AL253,MATCH(Lists!$F$6,$A$1:$AL$1,0)),4,2)))),""),-1))</f>
        <v/>
      </c>
      <c r="AV253" s="21">
        <f>IF(IFERROR(TRIM(INDEX($A253:$AL253,MATCH(Lists!$F$2,$A$1:$AL$1,0))&amp;""),"")="",-1,IF(ISNUMBER(IFERROR(IF(TRIM(INDEX($A253:$AL253,MATCH(Lists!$F$7,$A$1:$AL$1,0))&amp;"")="","",IF(ISNUMBER(INDEX($A253:$AL253,MATCH(Lists!$F$7,$A$1:$AL$1,0))),ROUND(MOD(INDEX($A253:$AL253,MATCH(Lists!$F$7,$A$1:$AL$1,0)),1)*1440,0),VALUE(LEFT(INDEX($A253:$AL253,MATCH(Lists!$F$7,$A$1:$AL$1,0)),2))*60+VALUE(MID(INDEX($A253:$AL253,MATCH(Lists!$F$7,$A$1:$AL$1,0)),4,2)))),"")),IFERROR(IF(TRIM(INDEX($A253:$AL253,MATCH(Lists!$F$7,$A$1:$AL$1,0))&amp;"")="","",IF(ISNUMBER(INDEX($A253:$AL253,MATCH(Lists!$F$7,$A$1:$AL$1,0))),ROUND(MOD(INDEX($A253:$AL253,MATCH(Lists!$F$7,$A$1:$AL$1,0)),1)*1440,0),VALUE(LEFT(INDEX($A253:$AL253,MATCH(Lists!$F$7,$A$1:$AL$1,0)),2))*60+VALUE(MID(INDEX($A253:$AL253,MATCH(Lists!$F$7,$A$1:$AL$1,0)),4,2)))),""),-1))</f>
        <v/>
      </c>
      <c r="AW253" s="21">
        <f>IF(IFERROR(TRIM(INDEX($A253:$AL253,MATCH(Lists!$F$2,$A$1:$AL$1,0))&amp;""),"")="","",IF(IFERROR(TRIM(INDEX($A253:$AL253,MATCH(Lists!$F$8,$A$1:$AL$1,0))&amp;""),"")&lt;&gt;"",IFERROR(TRIM(INDEX($A253:$AL253,MATCH(Lists!$F$8,$A$1:$AL$1,0))&amp;""),""),IFERROR(TRIM(INDEX($A253:$AL253,MATCH(Lists!$F$9,$A$1:$AL$1,0))&amp;""),"")))</f>
        <v/>
      </c>
      <c r="AX253" s="21">
        <f>IFERROR(IF(TRIM(INDEX($A253:$AL253,MATCH(Lists!$F$10,$A$1:$AL$1,0))&amp;"")="","",VALUE(TRIM(INDEX($A253:$AL253,MATCH(Lists!$F$10,$A$1:$AL$1,0))&amp;""))),"")</f>
        <v/>
      </c>
      <c r="AY253" s="21">
        <f>IF(IFERROR(TRIM(INDEX($A253:$AL253,MATCH(Lists!$F$2,$A$1:$AL$1,0))&amp;""),"")="","",IF(AN253="","New",AN253))</f>
        <v/>
      </c>
      <c r="AZ253" s="21">
        <f>IF(IFERROR(TRIM(INDEX($A253:$AL253,MATCH(Lists!$F$2,$A$1:$AL$1,0))&amp;""),"")="","",IF(OR(IFERROR(TRIM(INDEX($A253:$AL253,MATCH(Lists!$F$13,$A$1:$AL$1,0))&amp;""),"")="Paid",IFERROR(TRIM(INDEX($A253:$AL253,MATCH(Lists!$F$13,$A$1:$AL$1,0))&amp;""),"")="Partially refunded"),"Paid",IF(AP253="Yes","Paid (by hand)",IFERROR(TRIM(INDEX($A253:$AL253,MATCH(Lists!$F$13,$A$1:$AL$1,0))&amp;""),""))))</f>
        <v/>
      </c>
      <c r="BA253" s="21">
        <f>IF(AND(IFERROR(TRIM(INDEX($A253:$AL253,MATCH(Lists!$F$2,$A$1:$AL$1,0))&amp;""),"")&lt;&gt;"",AT253&gt;0,AU253&gt;=0,AV253&gt;AU253,AY253&lt;&gt;"Declined"),1,0)</f>
        <v/>
      </c>
      <c r="BB253" s="21">
        <f>IF(BA253=1,COUNTIFS($AS$2:$AS$501,AS253,$AT$2:$AT$501,AT253,$AU$2:$AU$501,"&lt;"&amp;AV253,$AV$2:$AV$501,"&gt;"&amp;AU253,$BA$2:$BA$501,1)-1,"")</f>
        <v/>
      </c>
      <c r="BC253" s="21">
        <f>IF(N(BB253)&gt;0,"Clashes with "&amp;INDEX($AW$2:$AW$501,SUMPRODUCT(MAX(($AS$2:$AS$501=AS253)*($AT$2:$AT$501=AT253)*($AU$2:$AU$501&lt;AV253)*($AV$2:$AV$501&gt;AU253)*($BA$2:$BA$501=1)*(ROW($AS$2:$AS$501)&lt;&gt;ROW())*ROW($AS$2:$AS$501)))-1)&amp;" ("&amp;INDEX($AY$2:$AY$501,SUMPRODUCT(MAX(($AS$2:$AS$501=AS253)*($AT$2:$AT$501=AT253)*($AU$2:$AU$501&lt;AV253)*($AV$2:$AV$501&gt;AU253)*($BA$2:$BA$501=1)*(ROW($AS$2:$AS$501)&lt;&gt;ROW())*ROW($AS$2:$AS$501)))-1)&amp;")"&amp;IF(BB253&gt;1," and "&amp;(BB253-1)&amp;" more",""),"")</f>
        <v/>
      </c>
      <c r="BD253" s="21">
        <f>IF(AND(BA253=1,AY253="Confirmed"),AT253*10000000+AU253*1000+ROW(),"")</f>
        <v/>
      </c>
      <c r="BE253" s="21">
        <f>IF(IFERROR(TRIM(INDEX($A253:$AL253,MATCH(Lists!$F$2,$A$1:$AL$1,0))&amp;""),"")="","",IFERROR(TRIM(INDEX($A253:$AL253,MATCH(Lists!$F$11,$A$1:$AL$1,0))&amp;""),""))</f>
        <v/>
      </c>
      <c r="BF253" s="21">
        <f>IF(IFERROR(TRIM(INDEX($A253:$AL253,MATCH(Lists!$F$2,$A$1:$AL$1,0))&amp;""),"")="","",IFERROR(TRIM(INDEX($A253:$AL253,MATCH(Lists!$F$12,$A$1:$AL$1,0))&amp;""),""))</f>
        <v/>
      </c>
    </row>
    <row r="254">
      <c r="AM254" s="19" t="n"/>
      <c r="AN254" s="23" t="n"/>
      <c r="AO254" s="23" t="n"/>
      <c r="AP254" s="23" t="n"/>
      <c r="AQ254" s="23" t="n"/>
      <c r="AR254" s="19" t="n"/>
      <c r="AS254" s="21">
        <f>IF(IFERROR(TRIM(INDEX($A254:$AL254,MATCH(Lists!$F$2,$A$1:$AL$1,0))&amp;""),"")="","",IF(AND(IFERROR(TRIM(INDEX($A254:$AL254,MATCH(Lists!$F$3,$A$1:$AL$1,0))&amp;""),"")="Other",IFERROR(TRIM(INDEX($A254:$AL254,MATCH(Lists!$F$4,$A$1:$AL$1,0))&amp;""),"")&lt;&gt;""),IFERROR(TRIM(INDEX($A254:$AL254,MATCH(Lists!$F$4,$A$1:$AL$1,0))&amp;""),""),IF(IFERROR(TRIM(INDEX($A254:$AL254,MATCH(Lists!$F$3,$A$1:$AL$1,0))&amp;""),"")="","(no space)",IFERROR(TRIM(INDEX($A254:$AL254,MATCH(Lists!$F$3,$A$1:$AL$1,0))&amp;""),""))))</f>
        <v/>
      </c>
      <c r="AT254" s="22">
        <f>IF(IFERROR(TRIM(INDEX($A254:$AL254,MATCH(Lists!$F$2,$A$1:$AL$1,0))&amp;""),"")="",0,N(IFERROR(IF(TRIM(INDEX($A254:$AL254,MATCH(Lists!$F$5,$A$1:$AL$1,0))&amp;"")="","",IF(ISNUMBER(INDEX($A254:$AL254,MATCH(Lists!$F$5,$A$1:$AL$1,0))),INT(INDEX($A254:$AL254,MATCH(Lists!$F$5,$A$1:$AL$1,0))),DATE(VALUE(LEFT(INDEX($A254:$AL254,MATCH(Lists!$F$5,$A$1:$AL$1,0)),4)),VALUE(MID(INDEX($A254:$AL254,MATCH(Lists!$F$5,$A$1:$AL$1,0)),6,2)),VALUE(MID(INDEX($A254:$AL254,MATCH(Lists!$F$5,$A$1:$AL$1,0)),9,2))))),"")))</f>
        <v/>
      </c>
      <c r="AU254" s="21">
        <f>IF(IFERROR(TRIM(INDEX($A254:$AL254,MATCH(Lists!$F$2,$A$1:$AL$1,0))&amp;""),"")="",-1,IF(ISNUMBER(IFERROR(IF(TRIM(INDEX($A254:$AL254,MATCH(Lists!$F$6,$A$1:$AL$1,0))&amp;"")="","",IF(ISNUMBER(INDEX($A254:$AL254,MATCH(Lists!$F$6,$A$1:$AL$1,0))),ROUND(MOD(INDEX($A254:$AL254,MATCH(Lists!$F$6,$A$1:$AL$1,0)),1)*1440,0),VALUE(LEFT(INDEX($A254:$AL254,MATCH(Lists!$F$6,$A$1:$AL$1,0)),2))*60+VALUE(MID(INDEX($A254:$AL254,MATCH(Lists!$F$6,$A$1:$AL$1,0)),4,2)))),"")),IFERROR(IF(TRIM(INDEX($A254:$AL254,MATCH(Lists!$F$6,$A$1:$AL$1,0))&amp;"")="","",IF(ISNUMBER(INDEX($A254:$AL254,MATCH(Lists!$F$6,$A$1:$AL$1,0))),ROUND(MOD(INDEX($A254:$AL254,MATCH(Lists!$F$6,$A$1:$AL$1,0)),1)*1440,0),VALUE(LEFT(INDEX($A254:$AL254,MATCH(Lists!$F$6,$A$1:$AL$1,0)),2))*60+VALUE(MID(INDEX($A254:$AL254,MATCH(Lists!$F$6,$A$1:$AL$1,0)),4,2)))),""),-1))</f>
        <v/>
      </c>
      <c r="AV254" s="21">
        <f>IF(IFERROR(TRIM(INDEX($A254:$AL254,MATCH(Lists!$F$2,$A$1:$AL$1,0))&amp;""),"")="",-1,IF(ISNUMBER(IFERROR(IF(TRIM(INDEX($A254:$AL254,MATCH(Lists!$F$7,$A$1:$AL$1,0))&amp;"")="","",IF(ISNUMBER(INDEX($A254:$AL254,MATCH(Lists!$F$7,$A$1:$AL$1,0))),ROUND(MOD(INDEX($A254:$AL254,MATCH(Lists!$F$7,$A$1:$AL$1,0)),1)*1440,0),VALUE(LEFT(INDEX($A254:$AL254,MATCH(Lists!$F$7,$A$1:$AL$1,0)),2))*60+VALUE(MID(INDEX($A254:$AL254,MATCH(Lists!$F$7,$A$1:$AL$1,0)),4,2)))),"")),IFERROR(IF(TRIM(INDEX($A254:$AL254,MATCH(Lists!$F$7,$A$1:$AL$1,0))&amp;"")="","",IF(ISNUMBER(INDEX($A254:$AL254,MATCH(Lists!$F$7,$A$1:$AL$1,0))),ROUND(MOD(INDEX($A254:$AL254,MATCH(Lists!$F$7,$A$1:$AL$1,0)),1)*1440,0),VALUE(LEFT(INDEX($A254:$AL254,MATCH(Lists!$F$7,$A$1:$AL$1,0)),2))*60+VALUE(MID(INDEX($A254:$AL254,MATCH(Lists!$F$7,$A$1:$AL$1,0)),4,2)))),""),-1))</f>
        <v/>
      </c>
      <c r="AW254" s="21">
        <f>IF(IFERROR(TRIM(INDEX($A254:$AL254,MATCH(Lists!$F$2,$A$1:$AL$1,0))&amp;""),"")="","",IF(IFERROR(TRIM(INDEX($A254:$AL254,MATCH(Lists!$F$8,$A$1:$AL$1,0))&amp;""),"")&lt;&gt;"",IFERROR(TRIM(INDEX($A254:$AL254,MATCH(Lists!$F$8,$A$1:$AL$1,0))&amp;""),""),IFERROR(TRIM(INDEX($A254:$AL254,MATCH(Lists!$F$9,$A$1:$AL$1,0))&amp;""),"")))</f>
        <v/>
      </c>
      <c r="AX254" s="21">
        <f>IFERROR(IF(TRIM(INDEX($A254:$AL254,MATCH(Lists!$F$10,$A$1:$AL$1,0))&amp;"")="","",VALUE(TRIM(INDEX($A254:$AL254,MATCH(Lists!$F$10,$A$1:$AL$1,0))&amp;""))),"")</f>
        <v/>
      </c>
      <c r="AY254" s="21">
        <f>IF(IFERROR(TRIM(INDEX($A254:$AL254,MATCH(Lists!$F$2,$A$1:$AL$1,0))&amp;""),"")="","",IF(AN254="","New",AN254))</f>
        <v/>
      </c>
      <c r="AZ254" s="21">
        <f>IF(IFERROR(TRIM(INDEX($A254:$AL254,MATCH(Lists!$F$2,$A$1:$AL$1,0))&amp;""),"")="","",IF(OR(IFERROR(TRIM(INDEX($A254:$AL254,MATCH(Lists!$F$13,$A$1:$AL$1,0))&amp;""),"")="Paid",IFERROR(TRIM(INDEX($A254:$AL254,MATCH(Lists!$F$13,$A$1:$AL$1,0))&amp;""),"")="Partially refunded"),"Paid",IF(AP254="Yes","Paid (by hand)",IFERROR(TRIM(INDEX($A254:$AL254,MATCH(Lists!$F$13,$A$1:$AL$1,0))&amp;""),""))))</f>
        <v/>
      </c>
      <c r="BA254" s="21">
        <f>IF(AND(IFERROR(TRIM(INDEX($A254:$AL254,MATCH(Lists!$F$2,$A$1:$AL$1,0))&amp;""),"")&lt;&gt;"",AT254&gt;0,AU254&gt;=0,AV254&gt;AU254,AY254&lt;&gt;"Declined"),1,0)</f>
        <v/>
      </c>
      <c r="BB254" s="21">
        <f>IF(BA254=1,COUNTIFS($AS$2:$AS$501,AS254,$AT$2:$AT$501,AT254,$AU$2:$AU$501,"&lt;"&amp;AV254,$AV$2:$AV$501,"&gt;"&amp;AU254,$BA$2:$BA$501,1)-1,"")</f>
        <v/>
      </c>
      <c r="BC254" s="21">
        <f>IF(N(BB254)&gt;0,"Clashes with "&amp;INDEX($AW$2:$AW$501,SUMPRODUCT(MAX(($AS$2:$AS$501=AS254)*($AT$2:$AT$501=AT254)*($AU$2:$AU$501&lt;AV254)*($AV$2:$AV$501&gt;AU254)*($BA$2:$BA$501=1)*(ROW($AS$2:$AS$501)&lt;&gt;ROW())*ROW($AS$2:$AS$501)))-1)&amp;" ("&amp;INDEX($AY$2:$AY$501,SUMPRODUCT(MAX(($AS$2:$AS$501=AS254)*($AT$2:$AT$501=AT254)*($AU$2:$AU$501&lt;AV254)*($AV$2:$AV$501&gt;AU254)*($BA$2:$BA$501=1)*(ROW($AS$2:$AS$501)&lt;&gt;ROW())*ROW($AS$2:$AS$501)))-1)&amp;")"&amp;IF(BB254&gt;1," and "&amp;(BB254-1)&amp;" more",""),"")</f>
        <v/>
      </c>
      <c r="BD254" s="21">
        <f>IF(AND(BA254=1,AY254="Confirmed"),AT254*10000000+AU254*1000+ROW(),"")</f>
        <v/>
      </c>
      <c r="BE254" s="21">
        <f>IF(IFERROR(TRIM(INDEX($A254:$AL254,MATCH(Lists!$F$2,$A$1:$AL$1,0))&amp;""),"")="","",IFERROR(TRIM(INDEX($A254:$AL254,MATCH(Lists!$F$11,$A$1:$AL$1,0))&amp;""),""))</f>
        <v/>
      </c>
      <c r="BF254" s="21">
        <f>IF(IFERROR(TRIM(INDEX($A254:$AL254,MATCH(Lists!$F$2,$A$1:$AL$1,0))&amp;""),"")="","",IFERROR(TRIM(INDEX($A254:$AL254,MATCH(Lists!$F$12,$A$1:$AL$1,0))&amp;""),""))</f>
        <v/>
      </c>
    </row>
    <row r="255">
      <c r="AM255" s="19" t="n"/>
      <c r="AN255" s="23" t="n"/>
      <c r="AO255" s="23" t="n"/>
      <c r="AP255" s="23" t="n"/>
      <c r="AQ255" s="23" t="n"/>
      <c r="AR255" s="19" t="n"/>
      <c r="AS255" s="21">
        <f>IF(IFERROR(TRIM(INDEX($A255:$AL255,MATCH(Lists!$F$2,$A$1:$AL$1,0))&amp;""),"")="","",IF(AND(IFERROR(TRIM(INDEX($A255:$AL255,MATCH(Lists!$F$3,$A$1:$AL$1,0))&amp;""),"")="Other",IFERROR(TRIM(INDEX($A255:$AL255,MATCH(Lists!$F$4,$A$1:$AL$1,0))&amp;""),"")&lt;&gt;""),IFERROR(TRIM(INDEX($A255:$AL255,MATCH(Lists!$F$4,$A$1:$AL$1,0))&amp;""),""),IF(IFERROR(TRIM(INDEX($A255:$AL255,MATCH(Lists!$F$3,$A$1:$AL$1,0))&amp;""),"")="","(no space)",IFERROR(TRIM(INDEX($A255:$AL255,MATCH(Lists!$F$3,$A$1:$AL$1,0))&amp;""),""))))</f>
        <v/>
      </c>
      <c r="AT255" s="22">
        <f>IF(IFERROR(TRIM(INDEX($A255:$AL255,MATCH(Lists!$F$2,$A$1:$AL$1,0))&amp;""),"")="",0,N(IFERROR(IF(TRIM(INDEX($A255:$AL255,MATCH(Lists!$F$5,$A$1:$AL$1,0))&amp;"")="","",IF(ISNUMBER(INDEX($A255:$AL255,MATCH(Lists!$F$5,$A$1:$AL$1,0))),INT(INDEX($A255:$AL255,MATCH(Lists!$F$5,$A$1:$AL$1,0))),DATE(VALUE(LEFT(INDEX($A255:$AL255,MATCH(Lists!$F$5,$A$1:$AL$1,0)),4)),VALUE(MID(INDEX($A255:$AL255,MATCH(Lists!$F$5,$A$1:$AL$1,0)),6,2)),VALUE(MID(INDEX($A255:$AL255,MATCH(Lists!$F$5,$A$1:$AL$1,0)),9,2))))),"")))</f>
        <v/>
      </c>
      <c r="AU255" s="21">
        <f>IF(IFERROR(TRIM(INDEX($A255:$AL255,MATCH(Lists!$F$2,$A$1:$AL$1,0))&amp;""),"")="",-1,IF(ISNUMBER(IFERROR(IF(TRIM(INDEX($A255:$AL255,MATCH(Lists!$F$6,$A$1:$AL$1,0))&amp;"")="","",IF(ISNUMBER(INDEX($A255:$AL255,MATCH(Lists!$F$6,$A$1:$AL$1,0))),ROUND(MOD(INDEX($A255:$AL255,MATCH(Lists!$F$6,$A$1:$AL$1,0)),1)*1440,0),VALUE(LEFT(INDEX($A255:$AL255,MATCH(Lists!$F$6,$A$1:$AL$1,0)),2))*60+VALUE(MID(INDEX($A255:$AL255,MATCH(Lists!$F$6,$A$1:$AL$1,0)),4,2)))),"")),IFERROR(IF(TRIM(INDEX($A255:$AL255,MATCH(Lists!$F$6,$A$1:$AL$1,0))&amp;"")="","",IF(ISNUMBER(INDEX($A255:$AL255,MATCH(Lists!$F$6,$A$1:$AL$1,0))),ROUND(MOD(INDEX($A255:$AL255,MATCH(Lists!$F$6,$A$1:$AL$1,0)),1)*1440,0),VALUE(LEFT(INDEX($A255:$AL255,MATCH(Lists!$F$6,$A$1:$AL$1,0)),2))*60+VALUE(MID(INDEX($A255:$AL255,MATCH(Lists!$F$6,$A$1:$AL$1,0)),4,2)))),""),-1))</f>
        <v/>
      </c>
      <c r="AV255" s="21">
        <f>IF(IFERROR(TRIM(INDEX($A255:$AL255,MATCH(Lists!$F$2,$A$1:$AL$1,0))&amp;""),"")="",-1,IF(ISNUMBER(IFERROR(IF(TRIM(INDEX($A255:$AL255,MATCH(Lists!$F$7,$A$1:$AL$1,0))&amp;"")="","",IF(ISNUMBER(INDEX($A255:$AL255,MATCH(Lists!$F$7,$A$1:$AL$1,0))),ROUND(MOD(INDEX($A255:$AL255,MATCH(Lists!$F$7,$A$1:$AL$1,0)),1)*1440,0),VALUE(LEFT(INDEX($A255:$AL255,MATCH(Lists!$F$7,$A$1:$AL$1,0)),2))*60+VALUE(MID(INDEX($A255:$AL255,MATCH(Lists!$F$7,$A$1:$AL$1,0)),4,2)))),"")),IFERROR(IF(TRIM(INDEX($A255:$AL255,MATCH(Lists!$F$7,$A$1:$AL$1,0))&amp;"")="","",IF(ISNUMBER(INDEX($A255:$AL255,MATCH(Lists!$F$7,$A$1:$AL$1,0))),ROUND(MOD(INDEX($A255:$AL255,MATCH(Lists!$F$7,$A$1:$AL$1,0)),1)*1440,0),VALUE(LEFT(INDEX($A255:$AL255,MATCH(Lists!$F$7,$A$1:$AL$1,0)),2))*60+VALUE(MID(INDEX($A255:$AL255,MATCH(Lists!$F$7,$A$1:$AL$1,0)),4,2)))),""),-1))</f>
        <v/>
      </c>
      <c r="AW255" s="21">
        <f>IF(IFERROR(TRIM(INDEX($A255:$AL255,MATCH(Lists!$F$2,$A$1:$AL$1,0))&amp;""),"")="","",IF(IFERROR(TRIM(INDEX($A255:$AL255,MATCH(Lists!$F$8,$A$1:$AL$1,0))&amp;""),"")&lt;&gt;"",IFERROR(TRIM(INDEX($A255:$AL255,MATCH(Lists!$F$8,$A$1:$AL$1,0))&amp;""),""),IFERROR(TRIM(INDEX($A255:$AL255,MATCH(Lists!$F$9,$A$1:$AL$1,0))&amp;""),"")))</f>
        <v/>
      </c>
      <c r="AX255" s="21">
        <f>IFERROR(IF(TRIM(INDEX($A255:$AL255,MATCH(Lists!$F$10,$A$1:$AL$1,0))&amp;"")="","",VALUE(TRIM(INDEX($A255:$AL255,MATCH(Lists!$F$10,$A$1:$AL$1,0))&amp;""))),"")</f>
        <v/>
      </c>
      <c r="AY255" s="21">
        <f>IF(IFERROR(TRIM(INDEX($A255:$AL255,MATCH(Lists!$F$2,$A$1:$AL$1,0))&amp;""),"")="","",IF(AN255="","New",AN255))</f>
        <v/>
      </c>
      <c r="AZ255" s="21">
        <f>IF(IFERROR(TRIM(INDEX($A255:$AL255,MATCH(Lists!$F$2,$A$1:$AL$1,0))&amp;""),"")="","",IF(OR(IFERROR(TRIM(INDEX($A255:$AL255,MATCH(Lists!$F$13,$A$1:$AL$1,0))&amp;""),"")="Paid",IFERROR(TRIM(INDEX($A255:$AL255,MATCH(Lists!$F$13,$A$1:$AL$1,0))&amp;""),"")="Partially refunded"),"Paid",IF(AP255="Yes","Paid (by hand)",IFERROR(TRIM(INDEX($A255:$AL255,MATCH(Lists!$F$13,$A$1:$AL$1,0))&amp;""),""))))</f>
        <v/>
      </c>
      <c r="BA255" s="21">
        <f>IF(AND(IFERROR(TRIM(INDEX($A255:$AL255,MATCH(Lists!$F$2,$A$1:$AL$1,0))&amp;""),"")&lt;&gt;"",AT255&gt;0,AU255&gt;=0,AV255&gt;AU255,AY255&lt;&gt;"Declined"),1,0)</f>
        <v/>
      </c>
      <c r="BB255" s="21">
        <f>IF(BA255=1,COUNTIFS($AS$2:$AS$501,AS255,$AT$2:$AT$501,AT255,$AU$2:$AU$501,"&lt;"&amp;AV255,$AV$2:$AV$501,"&gt;"&amp;AU255,$BA$2:$BA$501,1)-1,"")</f>
        <v/>
      </c>
      <c r="BC255" s="21">
        <f>IF(N(BB255)&gt;0,"Clashes with "&amp;INDEX($AW$2:$AW$501,SUMPRODUCT(MAX(($AS$2:$AS$501=AS255)*($AT$2:$AT$501=AT255)*($AU$2:$AU$501&lt;AV255)*($AV$2:$AV$501&gt;AU255)*($BA$2:$BA$501=1)*(ROW($AS$2:$AS$501)&lt;&gt;ROW())*ROW($AS$2:$AS$501)))-1)&amp;" ("&amp;INDEX($AY$2:$AY$501,SUMPRODUCT(MAX(($AS$2:$AS$501=AS255)*($AT$2:$AT$501=AT255)*($AU$2:$AU$501&lt;AV255)*($AV$2:$AV$501&gt;AU255)*($BA$2:$BA$501=1)*(ROW($AS$2:$AS$501)&lt;&gt;ROW())*ROW($AS$2:$AS$501)))-1)&amp;")"&amp;IF(BB255&gt;1," and "&amp;(BB255-1)&amp;" more",""),"")</f>
        <v/>
      </c>
      <c r="BD255" s="21">
        <f>IF(AND(BA255=1,AY255="Confirmed"),AT255*10000000+AU255*1000+ROW(),"")</f>
        <v/>
      </c>
      <c r="BE255" s="21">
        <f>IF(IFERROR(TRIM(INDEX($A255:$AL255,MATCH(Lists!$F$2,$A$1:$AL$1,0))&amp;""),"")="","",IFERROR(TRIM(INDEX($A255:$AL255,MATCH(Lists!$F$11,$A$1:$AL$1,0))&amp;""),""))</f>
        <v/>
      </c>
      <c r="BF255" s="21">
        <f>IF(IFERROR(TRIM(INDEX($A255:$AL255,MATCH(Lists!$F$2,$A$1:$AL$1,0))&amp;""),"")="","",IFERROR(TRIM(INDEX($A255:$AL255,MATCH(Lists!$F$12,$A$1:$AL$1,0))&amp;""),""))</f>
        <v/>
      </c>
    </row>
    <row r="256">
      <c r="AM256" s="19" t="n"/>
      <c r="AN256" s="23" t="n"/>
      <c r="AO256" s="23" t="n"/>
      <c r="AP256" s="23" t="n"/>
      <c r="AQ256" s="23" t="n"/>
      <c r="AR256" s="19" t="n"/>
      <c r="AS256" s="21">
        <f>IF(IFERROR(TRIM(INDEX($A256:$AL256,MATCH(Lists!$F$2,$A$1:$AL$1,0))&amp;""),"")="","",IF(AND(IFERROR(TRIM(INDEX($A256:$AL256,MATCH(Lists!$F$3,$A$1:$AL$1,0))&amp;""),"")="Other",IFERROR(TRIM(INDEX($A256:$AL256,MATCH(Lists!$F$4,$A$1:$AL$1,0))&amp;""),"")&lt;&gt;""),IFERROR(TRIM(INDEX($A256:$AL256,MATCH(Lists!$F$4,$A$1:$AL$1,0))&amp;""),""),IF(IFERROR(TRIM(INDEX($A256:$AL256,MATCH(Lists!$F$3,$A$1:$AL$1,0))&amp;""),"")="","(no space)",IFERROR(TRIM(INDEX($A256:$AL256,MATCH(Lists!$F$3,$A$1:$AL$1,0))&amp;""),""))))</f>
        <v/>
      </c>
      <c r="AT256" s="22">
        <f>IF(IFERROR(TRIM(INDEX($A256:$AL256,MATCH(Lists!$F$2,$A$1:$AL$1,0))&amp;""),"")="",0,N(IFERROR(IF(TRIM(INDEX($A256:$AL256,MATCH(Lists!$F$5,$A$1:$AL$1,0))&amp;"")="","",IF(ISNUMBER(INDEX($A256:$AL256,MATCH(Lists!$F$5,$A$1:$AL$1,0))),INT(INDEX($A256:$AL256,MATCH(Lists!$F$5,$A$1:$AL$1,0))),DATE(VALUE(LEFT(INDEX($A256:$AL256,MATCH(Lists!$F$5,$A$1:$AL$1,0)),4)),VALUE(MID(INDEX($A256:$AL256,MATCH(Lists!$F$5,$A$1:$AL$1,0)),6,2)),VALUE(MID(INDEX($A256:$AL256,MATCH(Lists!$F$5,$A$1:$AL$1,0)),9,2))))),"")))</f>
        <v/>
      </c>
      <c r="AU256" s="21">
        <f>IF(IFERROR(TRIM(INDEX($A256:$AL256,MATCH(Lists!$F$2,$A$1:$AL$1,0))&amp;""),"")="",-1,IF(ISNUMBER(IFERROR(IF(TRIM(INDEX($A256:$AL256,MATCH(Lists!$F$6,$A$1:$AL$1,0))&amp;"")="","",IF(ISNUMBER(INDEX($A256:$AL256,MATCH(Lists!$F$6,$A$1:$AL$1,0))),ROUND(MOD(INDEX($A256:$AL256,MATCH(Lists!$F$6,$A$1:$AL$1,0)),1)*1440,0),VALUE(LEFT(INDEX($A256:$AL256,MATCH(Lists!$F$6,$A$1:$AL$1,0)),2))*60+VALUE(MID(INDEX($A256:$AL256,MATCH(Lists!$F$6,$A$1:$AL$1,0)),4,2)))),"")),IFERROR(IF(TRIM(INDEX($A256:$AL256,MATCH(Lists!$F$6,$A$1:$AL$1,0))&amp;"")="","",IF(ISNUMBER(INDEX($A256:$AL256,MATCH(Lists!$F$6,$A$1:$AL$1,0))),ROUND(MOD(INDEX($A256:$AL256,MATCH(Lists!$F$6,$A$1:$AL$1,0)),1)*1440,0),VALUE(LEFT(INDEX($A256:$AL256,MATCH(Lists!$F$6,$A$1:$AL$1,0)),2))*60+VALUE(MID(INDEX($A256:$AL256,MATCH(Lists!$F$6,$A$1:$AL$1,0)),4,2)))),""),-1))</f>
        <v/>
      </c>
      <c r="AV256" s="21">
        <f>IF(IFERROR(TRIM(INDEX($A256:$AL256,MATCH(Lists!$F$2,$A$1:$AL$1,0))&amp;""),"")="",-1,IF(ISNUMBER(IFERROR(IF(TRIM(INDEX($A256:$AL256,MATCH(Lists!$F$7,$A$1:$AL$1,0))&amp;"")="","",IF(ISNUMBER(INDEX($A256:$AL256,MATCH(Lists!$F$7,$A$1:$AL$1,0))),ROUND(MOD(INDEX($A256:$AL256,MATCH(Lists!$F$7,$A$1:$AL$1,0)),1)*1440,0),VALUE(LEFT(INDEX($A256:$AL256,MATCH(Lists!$F$7,$A$1:$AL$1,0)),2))*60+VALUE(MID(INDEX($A256:$AL256,MATCH(Lists!$F$7,$A$1:$AL$1,0)),4,2)))),"")),IFERROR(IF(TRIM(INDEX($A256:$AL256,MATCH(Lists!$F$7,$A$1:$AL$1,0))&amp;"")="","",IF(ISNUMBER(INDEX($A256:$AL256,MATCH(Lists!$F$7,$A$1:$AL$1,0))),ROUND(MOD(INDEX($A256:$AL256,MATCH(Lists!$F$7,$A$1:$AL$1,0)),1)*1440,0),VALUE(LEFT(INDEX($A256:$AL256,MATCH(Lists!$F$7,$A$1:$AL$1,0)),2))*60+VALUE(MID(INDEX($A256:$AL256,MATCH(Lists!$F$7,$A$1:$AL$1,0)),4,2)))),""),-1))</f>
        <v/>
      </c>
      <c r="AW256" s="21">
        <f>IF(IFERROR(TRIM(INDEX($A256:$AL256,MATCH(Lists!$F$2,$A$1:$AL$1,0))&amp;""),"")="","",IF(IFERROR(TRIM(INDEX($A256:$AL256,MATCH(Lists!$F$8,$A$1:$AL$1,0))&amp;""),"")&lt;&gt;"",IFERROR(TRIM(INDEX($A256:$AL256,MATCH(Lists!$F$8,$A$1:$AL$1,0))&amp;""),""),IFERROR(TRIM(INDEX($A256:$AL256,MATCH(Lists!$F$9,$A$1:$AL$1,0))&amp;""),"")))</f>
        <v/>
      </c>
      <c r="AX256" s="21">
        <f>IFERROR(IF(TRIM(INDEX($A256:$AL256,MATCH(Lists!$F$10,$A$1:$AL$1,0))&amp;"")="","",VALUE(TRIM(INDEX($A256:$AL256,MATCH(Lists!$F$10,$A$1:$AL$1,0))&amp;""))),"")</f>
        <v/>
      </c>
      <c r="AY256" s="21">
        <f>IF(IFERROR(TRIM(INDEX($A256:$AL256,MATCH(Lists!$F$2,$A$1:$AL$1,0))&amp;""),"")="","",IF(AN256="","New",AN256))</f>
        <v/>
      </c>
      <c r="AZ256" s="21">
        <f>IF(IFERROR(TRIM(INDEX($A256:$AL256,MATCH(Lists!$F$2,$A$1:$AL$1,0))&amp;""),"")="","",IF(OR(IFERROR(TRIM(INDEX($A256:$AL256,MATCH(Lists!$F$13,$A$1:$AL$1,0))&amp;""),"")="Paid",IFERROR(TRIM(INDEX($A256:$AL256,MATCH(Lists!$F$13,$A$1:$AL$1,0))&amp;""),"")="Partially refunded"),"Paid",IF(AP256="Yes","Paid (by hand)",IFERROR(TRIM(INDEX($A256:$AL256,MATCH(Lists!$F$13,$A$1:$AL$1,0))&amp;""),""))))</f>
        <v/>
      </c>
      <c r="BA256" s="21">
        <f>IF(AND(IFERROR(TRIM(INDEX($A256:$AL256,MATCH(Lists!$F$2,$A$1:$AL$1,0))&amp;""),"")&lt;&gt;"",AT256&gt;0,AU256&gt;=0,AV256&gt;AU256,AY256&lt;&gt;"Declined"),1,0)</f>
        <v/>
      </c>
      <c r="BB256" s="21">
        <f>IF(BA256=1,COUNTIFS($AS$2:$AS$501,AS256,$AT$2:$AT$501,AT256,$AU$2:$AU$501,"&lt;"&amp;AV256,$AV$2:$AV$501,"&gt;"&amp;AU256,$BA$2:$BA$501,1)-1,"")</f>
        <v/>
      </c>
      <c r="BC256" s="21">
        <f>IF(N(BB256)&gt;0,"Clashes with "&amp;INDEX($AW$2:$AW$501,SUMPRODUCT(MAX(($AS$2:$AS$501=AS256)*($AT$2:$AT$501=AT256)*($AU$2:$AU$501&lt;AV256)*($AV$2:$AV$501&gt;AU256)*($BA$2:$BA$501=1)*(ROW($AS$2:$AS$501)&lt;&gt;ROW())*ROW($AS$2:$AS$501)))-1)&amp;" ("&amp;INDEX($AY$2:$AY$501,SUMPRODUCT(MAX(($AS$2:$AS$501=AS256)*($AT$2:$AT$501=AT256)*($AU$2:$AU$501&lt;AV256)*($AV$2:$AV$501&gt;AU256)*($BA$2:$BA$501=1)*(ROW($AS$2:$AS$501)&lt;&gt;ROW())*ROW($AS$2:$AS$501)))-1)&amp;")"&amp;IF(BB256&gt;1," and "&amp;(BB256-1)&amp;" more",""),"")</f>
        <v/>
      </c>
      <c r="BD256" s="21">
        <f>IF(AND(BA256=1,AY256="Confirmed"),AT256*10000000+AU256*1000+ROW(),"")</f>
        <v/>
      </c>
      <c r="BE256" s="21">
        <f>IF(IFERROR(TRIM(INDEX($A256:$AL256,MATCH(Lists!$F$2,$A$1:$AL$1,0))&amp;""),"")="","",IFERROR(TRIM(INDEX($A256:$AL256,MATCH(Lists!$F$11,$A$1:$AL$1,0))&amp;""),""))</f>
        <v/>
      </c>
      <c r="BF256" s="21">
        <f>IF(IFERROR(TRIM(INDEX($A256:$AL256,MATCH(Lists!$F$2,$A$1:$AL$1,0))&amp;""),"")="","",IFERROR(TRIM(INDEX($A256:$AL256,MATCH(Lists!$F$12,$A$1:$AL$1,0))&amp;""),""))</f>
        <v/>
      </c>
    </row>
    <row r="257">
      <c r="AM257" s="19" t="n"/>
      <c r="AN257" s="23" t="n"/>
      <c r="AO257" s="23" t="n"/>
      <c r="AP257" s="23" t="n"/>
      <c r="AQ257" s="23" t="n"/>
      <c r="AR257" s="19" t="n"/>
      <c r="AS257" s="21">
        <f>IF(IFERROR(TRIM(INDEX($A257:$AL257,MATCH(Lists!$F$2,$A$1:$AL$1,0))&amp;""),"")="","",IF(AND(IFERROR(TRIM(INDEX($A257:$AL257,MATCH(Lists!$F$3,$A$1:$AL$1,0))&amp;""),"")="Other",IFERROR(TRIM(INDEX($A257:$AL257,MATCH(Lists!$F$4,$A$1:$AL$1,0))&amp;""),"")&lt;&gt;""),IFERROR(TRIM(INDEX($A257:$AL257,MATCH(Lists!$F$4,$A$1:$AL$1,0))&amp;""),""),IF(IFERROR(TRIM(INDEX($A257:$AL257,MATCH(Lists!$F$3,$A$1:$AL$1,0))&amp;""),"")="","(no space)",IFERROR(TRIM(INDEX($A257:$AL257,MATCH(Lists!$F$3,$A$1:$AL$1,0))&amp;""),""))))</f>
        <v/>
      </c>
      <c r="AT257" s="22">
        <f>IF(IFERROR(TRIM(INDEX($A257:$AL257,MATCH(Lists!$F$2,$A$1:$AL$1,0))&amp;""),"")="",0,N(IFERROR(IF(TRIM(INDEX($A257:$AL257,MATCH(Lists!$F$5,$A$1:$AL$1,0))&amp;"")="","",IF(ISNUMBER(INDEX($A257:$AL257,MATCH(Lists!$F$5,$A$1:$AL$1,0))),INT(INDEX($A257:$AL257,MATCH(Lists!$F$5,$A$1:$AL$1,0))),DATE(VALUE(LEFT(INDEX($A257:$AL257,MATCH(Lists!$F$5,$A$1:$AL$1,0)),4)),VALUE(MID(INDEX($A257:$AL257,MATCH(Lists!$F$5,$A$1:$AL$1,0)),6,2)),VALUE(MID(INDEX($A257:$AL257,MATCH(Lists!$F$5,$A$1:$AL$1,0)),9,2))))),"")))</f>
        <v/>
      </c>
      <c r="AU257" s="21">
        <f>IF(IFERROR(TRIM(INDEX($A257:$AL257,MATCH(Lists!$F$2,$A$1:$AL$1,0))&amp;""),"")="",-1,IF(ISNUMBER(IFERROR(IF(TRIM(INDEX($A257:$AL257,MATCH(Lists!$F$6,$A$1:$AL$1,0))&amp;"")="","",IF(ISNUMBER(INDEX($A257:$AL257,MATCH(Lists!$F$6,$A$1:$AL$1,0))),ROUND(MOD(INDEX($A257:$AL257,MATCH(Lists!$F$6,$A$1:$AL$1,0)),1)*1440,0),VALUE(LEFT(INDEX($A257:$AL257,MATCH(Lists!$F$6,$A$1:$AL$1,0)),2))*60+VALUE(MID(INDEX($A257:$AL257,MATCH(Lists!$F$6,$A$1:$AL$1,0)),4,2)))),"")),IFERROR(IF(TRIM(INDEX($A257:$AL257,MATCH(Lists!$F$6,$A$1:$AL$1,0))&amp;"")="","",IF(ISNUMBER(INDEX($A257:$AL257,MATCH(Lists!$F$6,$A$1:$AL$1,0))),ROUND(MOD(INDEX($A257:$AL257,MATCH(Lists!$F$6,$A$1:$AL$1,0)),1)*1440,0),VALUE(LEFT(INDEX($A257:$AL257,MATCH(Lists!$F$6,$A$1:$AL$1,0)),2))*60+VALUE(MID(INDEX($A257:$AL257,MATCH(Lists!$F$6,$A$1:$AL$1,0)),4,2)))),""),-1))</f>
        <v/>
      </c>
      <c r="AV257" s="21">
        <f>IF(IFERROR(TRIM(INDEX($A257:$AL257,MATCH(Lists!$F$2,$A$1:$AL$1,0))&amp;""),"")="",-1,IF(ISNUMBER(IFERROR(IF(TRIM(INDEX($A257:$AL257,MATCH(Lists!$F$7,$A$1:$AL$1,0))&amp;"")="","",IF(ISNUMBER(INDEX($A257:$AL257,MATCH(Lists!$F$7,$A$1:$AL$1,0))),ROUND(MOD(INDEX($A257:$AL257,MATCH(Lists!$F$7,$A$1:$AL$1,0)),1)*1440,0),VALUE(LEFT(INDEX($A257:$AL257,MATCH(Lists!$F$7,$A$1:$AL$1,0)),2))*60+VALUE(MID(INDEX($A257:$AL257,MATCH(Lists!$F$7,$A$1:$AL$1,0)),4,2)))),"")),IFERROR(IF(TRIM(INDEX($A257:$AL257,MATCH(Lists!$F$7,$A$1:$AL$1,0))&amp;"")="","",IF(ISNUMBER(INDEX($A257:$AL257,MATCH(Lists!$F$7,$A$1:$AL$1,0))),ROUND(MOD(INDEX($A257:$AL257,MATCH(Lists!$F$7,$A$1:$AL$1,0)),1)*1440,0),VALUE(LEFT(INDEX($A257:$AL257,MATCH(Lists!$F$7,$A$1:$AL$1,0)),2))*60+VALUE(MID(INDEX($A257:$AL257,MATCH(Lists!$F$7,$A$1:$AL$1,0)),4,2)))),""),-1))</f>
        <v/>
      </c>
      <c r="AW257" s="21">
        <f>IF(IFERROR(TRIM(INDEX($A257:$AL257,MATCH(Lists!$F$2,$A$1:$AL$1,0))&amp;""),"")="","",IF(IFERROR(TRIM(INDEX($A257:$AL257,MATCH(Lists!$F$8,$A$1:$AL$1,0))&amp;""),"")&lt;&gt;"",IFERROR(TRIM(INDEX($A257:$AL257,MATCH(Lists!$F$8,$A$1:$AL$1,0))&amp;""),""),IFERROR(TRIM(INDEX($A257:$AL257,MATCH(Lists!$F$9,$A$1:$AL$1,0))&amp;""),"")))</f>
        <v/>
      </c>
      <c r="AX257" s="21">
        <f>IFERROR(IF(TRIM(INDEX($A257:$AL257,MATCH(Lists!$F$10,$A$1:$AL$1,0))&amp;"")="","",VALUE(TRIM(INDEX($A257:$AL257,MATCH(Lists!$F$10,$A$1:$AL$1,0))&amp;""))),"")</f>
        <v/>
      </c>
      <c r="AY257" s="21">
        <f>IF(IFERROR(TRIM(INDEX($A257:$AL257,MATCH(Lists!$F$2,$A$1:$AL$1,0))&amp;""),"")="","",IF(AN257="","New",AN257))</f>
        <v/>
      </c>
      <c r="AZ257" s="21">
        <f>IF(IFERROR(TRIM(INDEX($A257:$AL257,MATCH(Lists!$F$2,$A$1:$AL$1,0))&amp;""),"")="","",IF(OR(IFERROR(TRIM(INDEX($A257:$AL257,MATCH(Lists!$F$13,$A$1:$AL$1,0))&amp;""),"")="Paid",IFERROR(TRIM(INDEX($A257:$AL257,MATCH(Lists!$F$13,$A$1:$AL$1,0))&amp;""),"")="Partially refunded"),"Paid",IF(AP257="Yes","Paid (by hand)",IFERROR(TRIM(INDEX($A257:$AL257,MATCH(Lists!$F$13,$A$1:$AL$1,0))&amp;""),""))))</f>
        <v/>
      </c>
      <c r="BA257" s="21">
        <f>IF(AND(IFERROR(TRIM(INDEX($A257:$AL257,MATCH(Lists!$F$2,$A$1:$AL$1,0))&amp;""),"")&lt;&gt;"",AT257&gt;0,AU257&gt;=0,AV257&gt;AU257,AY257&lt;&gt;"Declined"),1,0)</f>
        <v/>
      </c>
      <c r="BB257" s="21">
        <f>IF(BA257=1,COUNTIFS($AS$2:$AS$501,AS257,$AT$2:$AT$501,AT257,$AU$2:$AU$501,"&lt;"&amp;AV257,$AV$2:$AV$501,"&gt;"&amp;AU257,$BA$2:$BA$501,1)-1,"")</f>
        <v/>
      </c>
      <c r="BC257" s="21">
        <f>IF(N(BB257)&gt;0,"Clashes with "&amp;INDEX($AW$2:$AW$501,SUMPRODUCT(MAX(($AS$2:$AS$501=AS257)*($AT$2:$AT$501=AT257)*($AU$2:$AU$501&lt;AV257)*($AV$2:$AV$501&gt;AU257)*($BA$2:$BA$501=1)*(ROW($AS$2:$AS$501)&lt;&gt;ROW())*ROW($AS$2:$AS$501)))-1)&amp;" ("&amp;INDEX($AY$2:$AY$501,SUMPRODUCT(MAX(($AS$2:$AS$501=AS257)*($AT$2:$AT$501=AT257)*($AU$2:$AU$501&lt;AV257)*($AV$2:$AV$501&gt;AU257)*($BA$2:$BA$501=1)*(ROW($AS$2:$AS$501)&lt;&gt;ROW())*ROW($AS$2:$AS$501)))-1)&amp;")"&amp;IF(BB257&gt;1," and "&amp;(BB257-1)&amp;" more",""),"")</f>
        <v/>
      </c>
      <c r="BD257" s="21">
        <f>IF(AND(BA257=1,AY257="Confirmed"),AT257*10000000+AU257*1000+ROW(),"")</f>
        <v/>
      </c>
      <c r="BE257" s="21">
        <f>IF(IFERROR(TRIM(INDEX($A257:$AL257,MATCH(Lists!$F$2,$A$1:$AL$1,0))&amp;""),"")="","",IFERROR(TRIM(INDEX($A257:$AL257,MATCH(Lists!$F$11,$A$1:$AL$1,0))&amp;""),""))</f>
        <v/>
      </c>
      <c r="BF257" s="21">
        <f>IF(IFERROR(TRIM(INDEX($A257:$AL257,MATCH(Lists!$F$2,$A$1:$AL$1,0))&amp;""),"")="","",IFERROR(TRIM(INDEX($A257:$AL257,MATCH(Lists!$F$12,$A$1:$AL$1,0))&amp;""),""))</f>
        <v/>
      </c>
    </row>
    <row r="258">
      <c r="AM258" s="19" t="n"/>
      <c r="AN258" s="23" t="n"/>
      <c r="AO258" s="23" t="n"/>
      <c r="AP258" s="23" t="n"/>
      <c r="AQ258" s="23" t="n"/>
      <c r="AR258" s="19" t="n"/>
      <c r="AS258" s="21">
        <f>IF(IFERROR(TRIM(INDEX($A258:$AL258,MATCH(Lists!$F$2,$A$1:$AL$1,0))&amp;""),"")="","",IF(AND(IFERROR(TRIM(INDEX($A258:$AL258,MATCH(Lists!$F$3,$A$1:$AL$1,0))&amp;""),"")="Other",IFERROR(TRIM(INDEX($A258:$AL258,MATCH(Lists!$F$4,$A$1:$AL$1,0))&amp;""),"")&lt;&gt;""),IFERROR(TRIM(INDEX($A258:$AL258,MATCH(Lists!$F$4,$A$1:$AL$1,0))&amp;""),""),IF(IFERROR(TRIM(INDEX($A258:$AL258,MATCH(Lists!$F$3,$A$1:$AL$1,0))&amp;""),"")="","(no space)",IFERROR(TRIM(INDEX($A258:$AL258,MATCH(Lists!$F$3,$A$1:$AL$1,0))&amp;""),""))))</f>
        <v/>
      </c>
      <c r="AT258" s="22">
        <f>IF(IFERROR(TRIM(INDEX($A258:$AL258,MATCH(Lists!$F$2,$A$1:$AL$1,0))&amp;""),"")="",0,N(IFERROR(IF(TRIM(INDEX($A258:$AL258,MATCH(Lists!$F$5,$A$1:$AL$1,0))&amp;"")="","",IF(ISNUMBER(INDEX($A258:$AL258,MATCH(Lists!$F$5,$A$1:$AL$1,0))),INT(INDEX($A258:$AL258,MATCH(Lists!$F$5,$A$1:$AL$1,0))),DATE(VALUE(LEFT(INDEX($A258:$AL258,MATCH(Lists!$F$5,$A$1:$AL$1,0)),4)),VALUE(MID(INDEX($A258:$AL258,MATCH(Lists!$F$5,$A$1:$AL$1,0)),6,2)),VALUE(MID(INDEX($A258:$AL258,MATCH(Lists!$F$5,$A$1:$AL$1,0)),9,2))))),"")))</f>
        <v/>
      </c>
      <c r="AU258" s="21">
        <f>IF(IFERROR(TRIM(INDEX($A258:$AL258,MATCH(Lists!$F$2,$A$1:$AL$1,0))&amp;""),"")="",-1,IF(ISNUMBER(IFERROR(IF(TRIM(INDEX($A258:$AL258,MATCH(Lists!$F$6,$A$1:$AL$1,0))&amp;"")="","",IF(ISNUMBER(INDEX($A258:$AL258,MATCH(Lists!$F$6,$A$1:$AL$1,0))),ROUND(MOD(INDEX($A258:$AL258,MATCH(Lists!$F$6,$A$1:$AL$1,0)),1)*1440,0),VALUE(LEFT(INDEX($A258:$AL258,MATCH(Lists!$F$6,$A$1:$AL$1,0)),2))*60+VALUE(MID(INDEX($A258:$AL258,MATCH(Lists!$F$6,$A$1:$AL$1,0)),4,2)))),"")),IFERROR(IF(TRIM(INDEX($A258:$AL258,MATCH(Lists!$F$6,$A$1:$AL$1,0))&amp;"")="","",IF(ISNUMBER(INDEX($A258:$AL258,MATCH(Lists!$F$6,$A$1:$AL$1,0))),ROUND(MOD(INDEX($A258:$AL258,MATCH(Lists!$F$6,$A$1:$AL$1,0)),1)*1440,0),VALUE(LEFT(INDEX($A258:$AL258,MATCH(Lists!$F$6,$A$1:$AL$1,0)),2))*60+VALUE(MID(INDEX($A258:$AL258,MATCH(Lists!$F$6,$A$1:$AL$1,0)),4,2)))),""),-1))</f>
        <v/>
      </c>
      <c r="AV258" s="21">
        <f>IF(IFERROR(TRIM(INDEX($A258:$AL258,MATCH(Lists!$F$2,$A$1:$AL$1,0))&amp;""),"")="",-1,IF(ISNUMBER(IFERROR(IF(TRIM(INDEX($A258:$AL258,MATCH(Lists!$F$7,$A$1:$AL$1,0))&amp;"")="","",IF(ISNUMBER(INDEX($A258:$AL258,MATCH(Lists!$F$7,$A$1:$AL$1,0))),ROUND(MOD(INDEX($A258:$AL258,MATCH(Lists!$F$7,$A$1:$AL$1,0)),1)*1440,0),VALUE(LEFT(INDEX($A258:$AL258,MATCH(Lists!$F$7,$A$1:$AL$1,0)),2))*60+VALUE(MID(INDEX($A258:$AL258,MATCH(Lists!$F$7,$A$1:$AL$1,0)),4,2)))),"")),IFERROR(IF(TRIM(INDEX($A258:$AL258,MATCH(Lists!$F$7,$A$1:$AL$1,0))&amp;"")="","",IF(ISNUMBER(INDEX($A258:$AL258,MATCH(Lists!$F$7,$A$1:$AL$1,0))),ROUND(MOD(INDEX($A258:$AL258,MATCH(Lists!$F$7,$A$1:$AL$1,0)),1)*1440,0),VALUE(LEFT(INDEX($A258:$AL258,MATCH(Lists!$F$7,$A$1:$AL$1,0)),2))*60+VALUE(MID(INDEX($A258:$AL258,MATCH(Lists!$F$7,$A$1:$AL$1,0)),4,2)))),""),-1))</f>
        <v/>
      </c>
      <c r="AW258" s="21">
        <f>IF(IFERROR(TRIM(INDEX($A258:$AL258,MATCH(Lists!$F$2,$A$1:$AL$1,0))&amp;""),"")="","",IF(IFERROR(TRIM(INDEX($A258:$AL258,MATCH(Lists!$F$8,$A$1:$AL$1,0))&amp;""),"")&lt;&gt;"",IFERROR(TRIM(INDEX($A258:$AL258,MATCH(Lists!$F$8,$A$1:$AL$1,0))&amp;""),""),IFERROR(TRIM(INDEX($A258:$AL258,MATCH(Lists!$F$9,$A$1:$AL$1,0))&amp;""),"")))</f>
        <v/>
      </c>
      <c r="AX258" s="21">
        <f>IFERROR(IF(TRIM(INDEX($A258:$AL258,MATCH(Lists!$F$10,$A$1:$AL$1,0))&amp;"")="","",VALUE(TRIM(INDEX($A258:$AL258,MATCH(Lists!$F$10,$A$1:$AL$1,0))&amp;""))),"")</f>
        <v/>
      </c>
      <c r="AY258" s="21">
        <f>IF(IFERROR(TRIM(INDEX($A258:$AL258,MATCH(Lists!$F$2,$A$1:$AL$1,0))&amp;""),"")="","",IF(AN258="","New",AN258))</f>
        <v/>
      </c>
      <c r="AZ258" s="21">
        <f>IF(IFERROR(TRIM(INDEX($A258:$AL258,MATCH(Lists!$F$2,$A$1:$AL$1,0))&amp;""),"")="","",IF(OR(IFERROR(TRIM(INDEX($A258:$AL258,MATCH(Lists!$F$13,$A$1:$AL$1,0))&amp;""),"")="Paid",IFERROR(TRIM(INDEX($A258:$AL258,MATCH(Lists!$F$13,$A$1:$AL$1,0))&amp;""),"")="Partially refunded"),"Paid",IF(AP258="Yes","Paid (by hand)",IFERROR(TRIM(INDEX($A258:$AL258,MATCH(Lists!$F$13,$A$1:$AL$1,0))&amp;""),""))))</f>
        <v/>
      </c>
      <c r="BA258" s="21">
        <f>IF(AND(IFERROR(TRIM(INDEX($A258:$AL258,MATCH(Lists!$F$2,$A$1:$AL$1,0))&amp;""),"")&lt;&gt;"",AT258&gt;0,AU258&gt;=0,AV258&gt;AU258,AY258&lt;&gt;"Declined"),1,0)</f>
        <v/>
      </c>
      <c r="BB258" s="21">
        <f>IF(BA258=1,COUNTIFS($AS$2:$AS$501,AS258,$AT$2:$AT$501,AT258,$AU$2:$AU$501,"&lt;"&amp;AV258,$AV$2:$AV$501,"&gt;"&amp;AU258,$BA$2:$BA$501,1)-1,"")</f>
        <v/>
      </c>
      <c r="BC258" s="21">
        <f>IF(N(BB258)&gt;0,"Clashes with "&amp;INDEX($AW$2:$AW$501,SUMPRODUCT(MAX(($AS$2:$AS$501=AS258)*($AT$2:$AT$501=AT258)*($AU$2:$AU$501&lt;AV258)*($AV$2:$AV$501&gt;AU258)*($BA$2:$BA$501=1)*(ROW($AS$2:$AS$501)&lt;&gt;ROW())*ROW($AS$2:$AS$501)))-1)&amp;" ("&amp;INDEX($AY$2:$AY$501,SUMPRODUCT(MAX(($AS$2:$AS$501=AS258)*($AT$2:$AT$501=AT258)*($AU$2:$AU$501&lt;AV258)*($AV$2:$AV$501&gt;AU258)*($BA$2:$BA$501=1)*(ROW($AS$2:$AS$501)&lt;&gt;ROW())*ROW($AS$2:$AS$501)))-1)&amp;")"&amp;IF(BB258&gt;1," and "&amp;(BB258-1)&amp;" more",""),"")</f>
        <v/>
      </c>
      <c r="BD258" s="21">
        <f>IF(AND(BA258=1,AY258="Confirmed"),AT258*10000000+AU258*1000+ROW(),"")</f>
        <v/>
      </c>
      <c r="BE258" s="21">
        <f>IF(IFERROR(TRIM(INDEX($A258:$AL258,MATCH(Lists!$F$2,$A$1:$AL$1,0))&amp;""),"")="","",IFERROR(TRIM(INDEX($A258:$AL258,MATCH(Lists!$F$11,$A$1:$AL$1,0))&amp;""),""))</f>
        <v/>
      </c>
      <c r="BF258" s="21">
        <f>IF(IFERROR(TRIM(INDEX($A258:$AL258,MATCH(Lists!$F$2,$A$1:$AL$1,0))&amp;""),"")="","",IFERROR(TRIM(INDEX($A258:$AL258,MATCH(Lists!$F$12,$A$1:$AL$1,0))&amp;""),""))</f>
        <v/>
      </c>
    </row>
    <row r="259">
      <c r="AM259" s="19" t="n"/>
      <c r="AN259" s="23" t="n"/>
      <c r="AO259" s="23" t="n"/>
      <c r="AP259" s="23" t="n"/>
      <c r="AQ259" s="23" t="n"/>
      <c r="AR259" s="19" t="n"/>
      <c r="AS259" s="21">
        <f>IF(IFERROR(TRIM(INDEX($A259:$AL259,MATCH(Lists!$F$2,$A$1:$AL$1,0))&amp;""),"")="","",IF(AND(IFERROR(TRIM(INDEX($A259:$AL259,MATCH(Lists!$F$3,$A$1:$AL$1,0))&amp;""),"")="Other",IFERROR(TRIM(INDEX($A259:$AL259,MATCH(Lists!$F$4,$A$1:$AL$1,0))&amp;""),"")&lt;&gt;""),IFERROR(TRIM(INDEX($A259:$AL259,MATCH(Lists!$F$4,$A$1:$AL$1,0))&amp;""),""),IF(IFERROR(TRIM(INDEX($A259:$AL259,MATCH(Lists!$F$3,$A$1:$AL$1,0))&amp;""),"")="","(no space)",IFERROR(TRIM(INDEX($A259:$AL259,MATCH(Lists!$F$3,$A$1:$AL$1,0))&amp;""),""))))</f>
        <v/>
      </c>
      <c r="AT259" s="22">
        <f>IF(IFERROR(TRIM(INDEX($A259:$AL259,MATCH(Lists!$F$2,$A$1:$AL$1,0))&amp;""),"")="",0,N(IFERROR(IF(TRIM(INDEX($A259:$AL259,MATCH(Lists!$F$5,$A$1:$AL$1,0))&amp;"")="","",IF(ISNUMBER(INDEX($A259:$AL259,MATCH(Lists!$F$5,$A$1:$AL$1,0))),INT(INDEX($A259:$AL259,MATCH(Lists!$F$5,$A$1:$AL$1,0))),DATE(VALUE(LEFT(INDEX($A259:$AL259,MATCH(Lists!$F$5,$A$1:$AL$1,0)),4)),VALUE(MID(INDEX($A259:$AL259,MATCH(Lists!$F$5,$A$1:$AL$1,0)),6,2)),VALUE(MID(INDEX($A259:$AL259,MATCH(Lists!$F$5,$A$1:$AL$1,0)),9,2))))),"")))</f>
        <v/>
      </c>
      <c r="AU259" s="21">
        <f>IF(IFERROR(TRIM(INDEX($A259:$AL259,MATCH(Lists!$F$2,$A$1:$AL$1,0))&amp;""),"")="",-1,IF(ISNUMBER(IFERROR(IF(TRIM(INDEX($A259:$AL259,MATCH(Lists!$F$6,$A$1:$AL$1,0))&amp;"")="","",IF(ISNUMBER(INDEX($A259:$AL259,MATCH(Lists!$F$6,$A$1:$AL$1,0))),ROUND(MOD(INDEX($A259:$AL259,MATCH(Lists!$F$6,$A$1:$AL$1,0)),1)*1440,0),VALUE(LEFT(INDEX($A259:$AL259,MATCH(Lists!$F$6,$A$1:$AL$1,0)),2))*60+VALUE(MID(INDEX($A259:$AL259,MATCH(Lists!$F$6,$A$1:$AL$1,0)),4,2)))),"")),IFERROR(IF(TRIM(INDEX($A259:$AL259,MATCH(Lists!$F$6,$A$1:$AL$1,0))&amp;"")="","",IF(ISNUMBER(INDEX($A259:$AL259,MATCH(Lists!$F$6,$A$1:$AL$1,0))),ROUND(MOD(INDEX($A259:$AL259,MATCH(Lists!$F$6,$A$1:$AL$1,0)),1)*1440,0),VALUE(LEFT(INDEX($A259:$AL259,MATCH(Lists!$F$6,$A$1:$AL$1,0)),2))*60+VALUE(MID(INDEX($A259:$AL259,MATCH(Lists!$F$6,$A$1:$AL$1,0)),4,2)))),""),-1))</f>
        <v/>
      </c>
      <c r="AV259" s="21">
        <f>IF(IFERROR(TRIM(INDEX($A259:$AL259,MATCH(Lists!$F$2,$A$1:$AL$1,0))&amp;""),"")="",-1,IF(ISNUMBER(IFERROR(IF(TRIM(INDEX($A259:$AL259,MATCH(Lists!$F$7,$A$1:$AL$1,0))&amp;"")="","",IF(ISNUMBER(INDEX($A259:$AL259,MATCH(Lists!$F$7,$A$1:$AL$1,0))),ROUND(MOD(INDEX($A259:$AL259,MATCH(Lists!$F$7,$A$1:$AL$1,0)),1)*1440,0),VALUE(LEFT(INDEX($A259:$AL259,MATCH(Lists!$F$7,$A$1:$AL$1,0)),2))*60+VALUE(MID(INDEX($A259:$AL259,MATCH(Lists!$F$7,$A$1:$AL$1,0)),4,2)))),"")),IFERROR(IF(TRIM(INDEX($A259:$AL259,MATCH(Lists!$F$7,$A$1:$AL$1,0))&amp;"")="","",IF(ISNUMBER(INDEX($A259:$AL259,MATCH(Lists!$F$7,$A$1:$AL$1,0))),ROUND(MOD(INDEX($A259:$AL259,MATCH(Lists!$F$7,$A$1:$AL$1,0)),1)*1440,0),VALUE(LEFT(INDEX($A259:$AL259,MATCH(Lists!$F$7,$A$1:$AL$1,0)),2))*60+VALUE(MID(INDEX($A259:$AL259,MATCH(Lists!$F$7,$A$1:$AL$1,0)),4,2)))),""),-1))</f>
        <v/>
      </c>
      <c r="AW259" s="21">
        <f>IF(IFERROR(TRIM(INDEX($A259:$AL259,MATCH(Lists!$F$2,$A$1:$AL$1,0))&amp;""),"")="","",IF(IFERROR(TRIM(INDEX($A259:$AL259,MATCH(Lists!$F$8,$A$1:$AL$1,0))&amp;""),"")&lt;&gt;"",IFERROR(TRIM(INDEX($A259:$AL259,MATCH(Lists!$F$8,$A$1:$AL$1,0))&amp;""),""),IFERROR(TRIM(INDEX($A259:$AL259,MATCH(Lists!$F$9,$A$1:$AL$1,0))&amp;""),"")))</f>
        <v/>
      </c>
      <c r="AX259" s="21">
        <f>IFERROR(IF(TRIM(INDEX($A259:$AL259,MATCH(Lists!$F$10,$A$1:$AL$1,0))&amp;"")="","",VALUE(TRIM(INDEX($A259:$AL259,MATCH(Lists!$F$10,$A$1:$AL$1,0))&amp;""))),"")</f>
        <v/>
      </c>
      <c r="AY259" s="21">
        <f>IF(IFERROR(TRIM(INDEX($A259:$AL259,MATCH(Lists!$F$2,$A$1:$AL$1,0))&amp;""),"")="","",IF(AN259="","New",AN259))</f>
        <v/>
      </c>
      <c r="AZ259" s="21">
        <f>IF(IFERROR(TRIM(INDEX($A259:$AL259,MATCH(Lists!$F$2,$A$1:$AL$1,0))&amp;""),"")="","",IF(OR(IFERROR(TRIM(INDEX($A259:$AL259,MATCH(Lists!$F$13,$A$1:$AL$1,0))&amp;""),"")="Paid",IFERROR(TRIM(INDEX($A259:$AL259,MATCH(Lists!$F$13,$A$1:$AL$1,0))&amp;""),"")="Partially refunded"),"Paid",IF(AP259="Yes","Paid (by hand)",IFERROR(TRIM(INDEX($A259:$AL259,MATCH(Lists!$F$13,$A$1:$AL$1,0))&amp;""),""))))</f>
        <v/>
      </c>
      <c r="BA259" s="21">
        <f>IF(AND(IFERROR(TRIM(INDEX($A259:$AL259,MATCH(Lists!$F$2,$A$1:$AL$1,0))&amp;""),"")&lt;&gt;"",AT259&gt;0,AU259&gt;=0,AV259&gt;AU259,AY259&lt;&gt;"Declined"),1,0)</f>
        <v/>
      </c>
      <c r="BB259" s="21">
        <f>IF(BA259=1,COUNTIFS($AS$2:$AS$501,AS259,$AT$2:$AT$501,AT259,$AU$2:$AU$501,"&lt;"&amp;AV259,$AV$2:$AV$501,"&gt;"&amp;AU259,$BA$2:$BA$501,1)-1,"")</f>
        <v/>
      </c>
      <c r="BC259" s="21">
        <f>IF(N(BB259)&gt;0,"Clashes with "&amp;INDEX($AW$2:$AW$501,SUMPRODUCT(MAX(($AS$2:$AS$501=AS259)*($AT$2:$AT$501=AT259)*($AU$2:$AU$501&lt;AV259)*($AV$2:$AV$501&gt;AU259)*($BA$2:$BA$501=1)*(ROW($AS$2:$AS$501)&lt;&gt;ROW())*ROW($AS$2:$AS$501)))-1)&amp;" ("&amp;INDEX($AY$2:$AY$501,SUMPRODUCT(MAX(($AS$2:$AS$501=AS259)*($AT$2:$AT$501=AT259)*($AU$2:$AU$501&lt;AV259)*($AV$2:$AV$501&gt;AU259)*($BA$2:$BA$501=1)*(ROW($AS$2:$AS$501)&lt;&gt;ROW())*ROW($AS$2:$AS$501)))-1)&amp;")"&amp;IF(BB259&gt;1," and "&amp;(BB259-1)&amp;" more",""),"")</f>
        <v/>
      </c>
      <c r="BD259" s="21">
        <f>IF(AND(BA259=1,AY259="Confirmed"),AT259*10000000+AU259*1000+ROW(),"")</f>
        <v/>
      </c>
      <c r="BE259" s="21">
        <f>IF(IFERROR(TRIM(INDEX($A259:$AL259,MATCH(Lists!$F$2,$A$1:$AL$1,0))&amp;""),"")="","",IFERROR(TRIM(INDEX($A259:$AL259,MATCH(Lists!$F$11,$A$1:$AL$1,0))&amp;""),""))</f>
        <v/>
      </c>
      <c r="BF259" s="21">
        <f>IF(IFERROR(TRIM(INDEX($A259:$AL259,MATCH(Lists!$F$2,$A$1:$AL$1,0))&amp;""),"")="","",IFERROR(TRIM(INDEX($A259:$AL259,MATCH(Lists!$F$12,$A$1:$AL$1,0))&amp;""),""))</f>
        <v/>
      </c>
    </row>
    <row r="260">
      <c r="AM260" s="19" t="n"/>
      <c r="AN260" s="23" t="n"/>
      <c r="AO260" s="23" t="n"/>
      <c r="AP260" s="23" t="n"/>
      <c r="AQ260" s="23" t="n"/>
      <c r="AR260" s="19" t="n"/>
      <c r="AS260" s="21">
        <f>IF(IFERROR(TRIM(INDEX($A260:$AL260,MATCH(Lists!$F$2,$A$1:$AL$1,0))&amp;""),"")="","",IF(AND(IFERROR(TRIM(INDEX($A260:$AL260,MATCH(Lists!$F$3,$A$1:$AL$1,0))&amp;""),"")="Other",IFERROR(TRIM(INDEX($A260:$AL260,MATCH(Lists!$F$4,$A$1:$AL$1,0))&amp;""),"")&lt;&gt;""),IFERROR(TRIM(INDEX($A260:$AL260,MATCH(Lists!$F$4,$A$1:$AL$1,0))&amp;""),""),IF(IFERROR(TRIM(INDEX($A260:$AL260,MATCH(Lists!$F$3,$A$1:$AL$1,0))&amp;""),"")="","(no space)",IFERROR(TRIM(INDEX($A260:$AL260,MATCH(Lists!$F$3,$A$1:$AL$1,0))&amp;""),""))))</f>
        <v/>
      </c>
      <c r="AT260" s="22">
        <f>IF(IFERROR(TRIM(INDEX($A260:$AL260,MATCH(Lists!$F$2,$A$1:$AL$1,0))&amp;""),"")="",0,N(IFERROR(IF(TRIM(INDEX($A260:$AL260,MATCH(Lists!$F$5,$A$1:$AL$1,0))&amp;"")="","",IF(ISNUMBER(INDEX($A260:$AL260,MATCH(Lists!$F$5,$A$1:$AL$1,0))),INT(INDEX($A260:$AL260,MATCH(Lists!$F$5,$A$1:$AL$1,0))),DATE(VALUE(LEFT(INDEX($A260:$AL260,MATCH(Lists!$F$5,$A$1:$AL$1,0)),4)),VALUE(MID(INDEX($A260:$AL260,MATCH(Lists!$F$5,$A$1:$AL$1,0)),6,2)),VALUE(MID(INDEX($A260:$AL260,MATCH(Lists!$F$5,$A$1:$AL$1,0)),9,2))))),"")))</f>
        <v/>
      </c>
      <c r="AU260" s="21">
        <f>IF(IFERROR(TRIM(INDEX($A260:$AL260,MATCH(Lists!$F$2,$A$1:$AL$1,0))&amp;""),"")="",-1,IF(ISNUMBER(IFERROR(IF(TRIM(INDEX($A260:$AL260,MATCH(Lists!$F$6,$A$1:$AL$1,0))&amp;"")="","",IF(ISNUMBER(INDEX($A260:$AL260,MATCH(Lists!$F$6,$A$1:$AL$1,0))),ROUND(MOD(INDEX($A260:$AL260,MATCH(Lists!$F$6,$A$1:$AL$1,0)),1)*1440,0),VALUE(LEFT(INDEX($A260:$AL260,MATCH(Lists!$F$6,$A$1:$AL$1,0)),2))*60+VALUE(MID(INDEX($A260:$AL260,MATCH(Lists!$F$6,$A$1:$AL$1,0)),4,2)))),"")),IFERROR(IF(TRIM(INDEX($A260:$AL260,MATCH(Lists!$F$6,$A$1:$AL$1,0))&amp;"")="","",IF(ISNUMBER(INDEX($A260:$AL260,MATCH(Lists!$F$6,$A$1:$AL$1,0))),ROUND(MOD(INDEX($A260:$AL260,MATCH(Lists!$F$6,$A$1:$AL$1,0)),1)*1440,0),VALUE(LEFT(INDEX($A260:$AL260,MATCH(Lists!$F$6,$A$1:$AL$1,0)),2))*60+VALUE(MID(INDEX($A260:$AL260,MATCH(Lists!$F$6,$A$1:$AL$1,0)),4,2)))),""),-1))</f>
        <v/>
      </c>
      <c r="AV260" s="21">
        <f>IF(IFERROR(TRIM(INDEX($A260:$AL260,MATCH(Lists!$F$2,$A$1:$AL$1,0))&amp;""),"")="",-1,IF(ISNUMBER(IFERROR(IF(TRIM(INDEX($A260:$AL260,MATCH(Lists!$F$7,$A$1:$AL$1,0))&amp;"")="","",IF(ISNUMBER(INDEX($A260:$AL260,MATCH(Lists!$F$7,$A$1:$AL$1,0))),ROUND(MOD(INDEX($A260:$AL260,MATCH(Lists!$F$7,$A$1:$AL$1,0)),1)*1440,0),VALUE(LEFT(INDEX($A260:$AL260,MATCH(Lists!$F$7,$A$1:$AL$1,0)),2))*60+VALUE(MID(INDEX($A260:$AL260,MATCH(Lists!$F$7,$A$1:$AL$1,0)),4,2)))),"")),IFERROR(IF(TRIM(INDEX($A260:$AL260,MATCH(Lists!$F$7,$A$1:$AL$1,0))&amp;"")="","",IF(ISNUMBER(INDEX($A260:$AL260,MATCH(Lists!$F$7,$A$1:$AL$1,0))),ROUND(MOD(INDEX($A260:$AL260,MATCH(Lists!$F$7,$A$1:$AL$1,0)),1)*1440,0),VALUE(LEFT(INDEX($A260:$AL260,MATCH(Lists!$F$7,$A$1:$AL$1,0)),2))*60+VALUE(MID(INDEX($A260:$AL260,MATCH(Lists!$F$7,$A$1:$AL$1,0)),4,2)))),""),-1))</f>
        <v/>
      </c>
      <c r="AW260" s="21">
        <f>IF(IFERROR(TRIM(INDEX($A260:$AL260,MATCH(Lists!$F$2,$A$1:$AL$1,0))&amp;""),"")="","",IF(IFERROR(TRIM(INDEX($A260:$AL260,MATCH(Lists!$F$8,$A$1:$AL$1,0))&amp;""),"")&lt;&gt;"",IFERROR(TRIM(INDEX($A260:$AL260,MATCH(Lists!$F$8,$A$1:$AL$1,0))&amp;""),""),IFERROR(TRIM(INDEX($A260:$AL260,MATCH(Lists!$F$9,$A$1:$AL$1,0))&amp;""),"")))</f>
        <v/>
      </c>
      <c r="AX260" s="21">
        <f>IFERROR(IF(TRIM(INDEX($A260:$AL260,MATCH(Lists!$F$10,$A$1:$AL$1,0))&amp;"")="","",VALUE(TRIM(INDEX($A260:$AL260,MATCH(Lists!$F$10,$A$1:$AL$1,0))&amp;""))),"")</f>
        <v/>
      </c>
      <c r="AY260" s="21">
        <f>IF(IFERROR(TRIM(INDEX($A260:$AL260,MATCH(Lists!$F$2,$A$1:$AL$1,0))&amp;""),"")="","",IF(AN260="","New",AN260))</f>
        <v/>
      </c>
      <c r="AZ260" s="21">
        <f>IF(IFERROR(TRIM(INDEX($A260:$AL260,MATCH(Lists!$F$2,$A$1:$AL$1,0))&amp;""),"")="","",IF(OR(IFERROR(TRIM(INDEX($A260:$AL260,MATCH(Lists!$F$13,$A$1:$AL$1,0))&amp;""),"")="Paid",IFERROR(TRIM(INDEX($A260:$AL260,MATCH(Lists!$F$13,$A$1:$AL$1,0))&amp;""),"")="Partially refunded"),"Paid",IF(AP260="Yes","Paid (by hand)",IFERROR(TRIM(INDEX($A260:$AL260,MATCH(Lists!$F$13,$A$1:$AL$1,0))&amp;""),""))))</f>
        <v/>
      </c>
      <c r="BA260" s="21">
        <f>IF(AND(IFERROR(TRIM(INDEX($A260:$AL260,MATCH(Lists!$F$2,$A$1:$AL$1,0))&amp;""),"")&lt;&gt;"",AT260&gt;0,AU260&gt;=0,AV260&gt;AU260,AY260&lt;&gt;"Declined"),1,0)</f>
        <v/>
      </c>
      <c r="BB260" s="21">
        <f>IF(BA260=1,COUNTIFS($AS$2:$AS$501,AS260,$AT$2:$AT$501,AT260,$AU$2:$AU$501,"&lt;"&amp;AV260,$AV$2:$AV$501,"&gt;"&amp;AU260,$BA$2:$BA$501,1)-1,"")</f>
        <v/>
      </c>
      <c r="BC260" s="21">
        <f>IF(N(BB260)&gt;0,"Clashes with "&amp;INDEX($AW$2:$AW$501,SUMPRODUCT(MAX(($AS$2:$AS$501=AS260)*($AT$2:$AT$501=AT260)*($AU$2:$AU$501&lt;AV260)*($AV$2:$AV$501&gt;AU260)*($BA$2:$BA$501=1)*(ROW($AS$2:$AS$501)&lt;&gt;ROW())*ROW($AS$2:$AS$501)))-1)&amp;" ("&amp;INDEX($AY$2:$AY$501,SUMPRODUCT(MAX(($AS$2:$AS$501=AS260)*($AT$2:$AT$501=AT260)*($AU$2:$AU$501&lt;AV260)*($AV$2:$AV$501&gt;AU260)*($BA$2:$BA$501=1)*(ROW($AS$2:$AS$501)&lt;&gt;ROW())*ROW($AS$2:$AS$501)))-1)&amp;")"&amp;IF(BB260&gt;1," and "&amp;(BB260-1)&amp;" more",""),"")</f>
        <v/>
      </c>
      <c r="BD260" s="21">
        <f>IF(AND(BA260=1,AY260="Confirmed"),AT260*10000000+AU260*1000+ROW(),"")</f>
        <v/>
      </c>
      <c r="BE260" s="21">
        <f>IF(IFERROR(TRIM(INDEX($A260:$AL260,MATCH(Lists!$F$2,$A$1:$AL$1,0))&amp;""),"")="","",IFERROR(TRIM(INDEX($A260:$AL260,MATCH(Lists!$F$11,$A$1:$AL$1,0))&amp;""),""))</f>
        <v/>
      </c>
      <c r="BF260" s="21">
        <f>IF(IFERROR(TRIM(INDEX($A260:$AL260,MATCH(Lists!$F$2,$A$1:$AL$1,0))&amp;""),"")="","",IFERROR(TRIM(INDEX($A260:$AL260,MATCH(Lists!$F$12,$A$1:$AL$1,0))&amp;""),""))</f>
        <v/>
      </c>
    </row>
    <row r="261">
      <c r="AM261" s="19" t="n"/>
      <c r="AN261" s="23" t="n"/>
      <c r="AO261" s="23" t="n"/>
      <c r="AP261" s="23" t="n"/>
      <c r="AQ261" s="23" t="n"/>
      <c r="AR261" s="19" t="n"/>
      <c r="AS261" s="21">
        <f>IF(IFERROR(TRIM(INDEX($A261:$AL261,MATCH(Lists!$F$2,$A$1:$AL$1,0))&amp;""),"")="","",IF(AND(IFERROR(TRIM(INDEX($A261:$AL261,MATCH(Lists!$F$3,$A$1:$AL$1,0))&amp;""),"")="Other",IFERROR(TRIM(INDEX($A261:$AL261,MATCH(Lists!$F$4,$A$1:$AL$1,0))&amp;""),"")&lt;&gt;""),IFERROR(TRIM(INDEX($A261:$AL261,MATCH(Lists!$F$4,$A$1:$AL$1,0))&amp;""),""),IF(IFERROR(TRIM(INDEX($A261:$AL261,MATCH(Lists!$F$3,$A$1:$AL$1,0))&amp;""),"")="","(no space)",IFERROR(TRIM(INDEX($A261:$AL261,MATCH(Lists!$F$3,$A$1:$AL$1,0))&amp;""),""))))</f>
        <v/>
      </c>
      <c r="AT261" s="22">
        <f>IF(IFERROR(TRIM(INDEX($A261:$AL261,MATCH(Lists!$F$2,$A$1:$AL$1,0))&amp;""),"")="",0,N(IFERROR(IF(TRIM(INDEX($A261:$AL261,MATCH(Lists!$F$5,$A$1:$AL$1,0))&amp;"")="","",IF(ISNUMBER(INDEX($A261:$AL261,MATCH(Lists!$F$5,$A$1:$AL$1,0))),INT(INDEX($A261:$AL261,MATCH(Lists!$F$5,$A$1:$AL$1,0))),DATE(VALUE(LEFT(INDEX($A261:$AL261,MATCH(Lists!$F$5,$A$1:$AL$1,0)),4)),VALUE(MID(INDEX($A261:$AL261,MATCH(Lists!$F$5,$A$1:$AL$1,0)),6,2)),VALUE(MID(INDEX($A261:$AL261,MATCH(Lists!$F$5,$A$1:$AL$1,0)),9,2))))),"")))</f>
        <v/>
      </c>
      <c r="AU261" s="21">
        <f>IF(IFERROR(TRIM(INDEX($A261:$AL261,MATCH(Lists!$F$2,$A$1:$AL$1,0))&amp;""),"")="",-1,IF(ISNUMBER(IFERROR(IF(TRIM(INDEX($A261:$AL261,MATCH(Lists!$F$6,$A$1:$AL$1,0))&amp;"")="","",IF(ISNUMBER(INDEX($A261:$AL261,MATCH(Lists!$F$6,$A$1:$AL$1,0))),ROUND(MOD(INDEX($A261:$AL261,MATCH(Lists!$F$6,$A$1:$AL$1,0)),1)*1440,0),VALUE(LEFT(INDEX($A261:$AL261,MATCH(Lists!$F$6,$A$1:$AL$1,0)),2))*60+VALUE(MID(INDEX($A261:$AL261,MATCH(Lists!$F$6,$A$1:$AL$1,0)),4,2)))),"")),IFERROR(IF(TRIM(INDEX($A261:$AL261,MATCH(Lists!$F$6,$A$1:$AL$1,0))&amp;"")="","",IF(ISNUMBER(INDEX($A261:$AL261,MATCH(Lists!$F$6,$A$1:$AL$1,0))),ROUND(MOD(INDEX($A261:$AL261,MATCH(Lists!$F$6,$A$1:$AL$1,0)),1)*1440,0),VALUE(LEFT(INDEX($A261:$AL261,MATCH(Lists!$F$6,$A$1:$AL$1,0)),2))*60+VALUE(MID(INDEX($A261:$AL261,MATCH(Lists!$F$6,$A$1:$AL$1,0)),4,2)))),""),-1))</f>
        <v/>
      </c>
      <c r="AV261" s="21">
        <f>IF(IFERROR(TRIM(INDEX($A261:$AL261,MATCH(Lists!$F$2,$A$1:$AL$1,0))&amp;""),"")="",-1,IF(ISNUMBER(IFERROR(IF(TRIM(INDEX($A261:$AL261,MATCH(Lists!$F$7,$A$1:$AL$1,0))&amp;"")="","",IF(ISNUMBER(INDEX($A261:$AL261,MATCH(Lists!$F$7,$A$1:$AL$1,0))),ROUND(MOD(INDEX($A261:$AL261,MATCH(Lists!$F$7,$A$1:$AL$1,0)),1)*1440,0),VALUE(LEFT(INDEX($A261:$AL261,MATCH(Lists!$F$7,$A$1:$AL$1,0)),2))*60+VALUE(MID(INDEX($A261:$AL261,MATCH(Lists!$F$7,$A$1:$AL$1,0)),4,2)))),"")),IFERROR(IF(TRIM(INDEX($A261:$AL261,MATCH(Lists!$F$7,$A$1:$AL$1,0))&amp;"")="","",IF(ISNUMBER(INDEX($A261:$AL261,MATCH(Lists!$F$7,$A$1:$AL$1,0))),ROUND(MOD(INDEX($A261:$AL261,MATCH(Lists!$F$7,$A$1:$AL$1,0)),1)*1440,0),VALUE(LEFT(INDEX($A261:$AL261,MATCH(Lists!$F$7,$A$1:$AL$1,0)),2))*60+VALUE(MID(INDEX($A261:$AL261,MATCH(Lists!$F$7,$A$1:$AL$1,0)),4,2)))),""),-1))</f>
        <v/>
      </c>
      <c r="AW261" s="21">
        <f>IF(IFERROR(TRIM(INDEX($A261:$AL261,MATCH(Lists!$F$2,$A$1:$AL$1,0))&amp;""),"")="","",IF(IFERROR(TRIM(INDEX($A261:$AL261,MATCH(Lists!$F$8,$A$1:$AL$1,0))&amp;""),"")&lt;&gt;"",IFERROR(TRIM(INDEX($A261:$AL261,MATCH(Lists!$F$8,$A$1:$AL$1,0))&amp;""),""),IFERROR(TRIM(INDEX($A261:$AL261,MATCH(Lists!$F$9,$A$1:$AL$1,0))&amp;""),"")))</f>
        <v/>
      </c>
      <c r="AX261" s="21">
        <f>IFERROR(IF(TRIM(INDEX($A261:$AL261,MATCH(Lists!$F$10,$A$1:$AL$1,0))&amp;"")="","",VALUE(TRIM(INDEX($A261:$AL261,MATCH(Lists!$F$10,$A$1:$AL$1,0))&amp;""))),"")</f>
        <v/>
      </c>
      <c r="AY261" s="21">
        <f>IF(IFERROR(TRIM(INDEX($A261:$AL261,MATCH(Lists!$F$2,$A$1:$AL$1,0))&amp;""),"")="","",IF(AN261="","New",AN261))</f>
        <v/>
      </c>
      <c r="AZ261" s="21">
        <f>IF(IFERROR(TRIM(INDEX($A261:$AL261,MATCH(Lists!$F$2,$A$1:$AL$1,0))&amp;""),"")="","",IF(OR(IFERROR(TRIM(INDEX($A261:$AL261,MATCH(Lists!$F$13,$A$1:$AL$1,0))&amp;""),"")="Paid",IFERROR(TRIM(INDEX($A261:$AL261,MATCH(Lists!$F$13,$A$1:$AL$1,0))&amp;""),"")="Partially refunded"),"Paid",IF(AP261="Yes","Paid (by hand)",IFERROR(TRIM(INDEX($A261:$AL261,MATCH(Lists!$F$13,$A$1:$AL$1,0))&amp;""),""))))</f>
        <v/>
      </c>
      <c r="BA261" s="21">
        <f>IF(AND(IFERROR(TRIM(INDEX($A261:$AL261,MATCH(Lists!$F$2,$A$1:$AL$1,0))&amp;""),"")&lt;&gt;"",AT261&gt;0,AU261&gt;=0,AV261&gt;AU261,AY261&lt;&gt;"Declined"),1,0)</f>
        <v/>
      </c>
      <c r="BB261" s="21">
        <f>IF(BA261=1,COUNTIFS($AS$2:$AS$501,AS261,$AT$2:$AT$501,AT261,$AU$2:$AU$501,"&lt;"&amp;AV261,$AV$2:$AV$501,"&gt;"&amp;AU261,$BA$2:$BA$501,1)-1,"")</f>
        <v/>
      </c>
      <c r="BC261" s="21">
        <f>IF(N(BB261)&gt;0,"Clashes with "&amp;INDEX($AW$2:$AW$501,SUMPRODUCT(MAX(($AS$2:$AS$501=AS261)*($AT$2:$AT$501=AT261)*($AU$2:$AU$501&lt;AV261)*($AV$2:$AV$501&gt;AU261)*($BA$2:$BA$501=1)*(ROW($AS$2:$AS$501)&lt;&gt;ROW())*ROW($AS$2:$AS$501)))-1)&amp;" ("&amp;INDEX($AY$2:$AY$501,SUMPRODUCT(MAX(($AS$2:$AS$501=AS261)*($AT$2:$AT$501=AT261)*($AU$2:$AU$501&lt;AV261)*($AV$2:$AV$501&gt;AU261)*($BA$2:$BA$501=1)*(ROW($AS$2:$AS$501)&lt;&gt;ROW())*ROW($AS$2:$AS$501)))-1)&amp;")"&amp;IF(BB261&gt;1," and "&amp;(BB261-1)&amp;" more",""),"")</f>
        <v/>
      </c>
      <c r="BD261" s="21">
        <f>IF(AND(BA261=1,AY261="Confirmed"),AT261*10000000+AU261*1000+ROW(),"")</f>
        <v/>
      </c>
      <c r="BE261" s="21">
        <f>IF(IFERROR(TRIM(INDEX($A261:$AL261,MATCH(Lists!$F$2,$A$1:$AL$1,0))&amp;""),"")="","",IFERROR(TRIM(INDEX($A261:$AL261,MATCH(Lists!$F$11,$A$1:$AL$1,0))&amp;""),""))</f>
        <v/>
      </c>
      <c r="BF261" s="21">
        <f>IF(IFERROR(TRIM(INDEX($A261:$AL261,MATCH(Lists!$F$2,$A$1:$AL$1,0))&amp;""),"")="","",IFERROR(TRIM(INDEX($A261:$AL261,MATCH(Lists!$F$12,$A$1:$AL$1,0))&amp;""),""))</f>
        <v/>
      </c>
    </row>
    <row r="262">
      <c r="AM262" s="19" t="n"/>
      <c r="AN262" s="23" t="n"/>
      <c r="AO262" s="23" t="n"/>
      <c r="AP262" s="23" t="n"/>
      <c r="AQ262" s="23" t="n"/>
      <c r="AR262" s="19" t="n"/>
      <c r="AS262" s="21">
        <f>IF(IFERROR(TRIM(INDEX($A262:$AL262,MATCH(Lists!$F$2,$A$1:$AL$1,0))&amp;""),"")="","",IF(AND(IFERROR(TRIM(INDEX($A262:$AL262,MATCH(Lists!$F$3,$A$1:$AL$1,0))&amp;""),"")="Other",IFERROR(TRIM(INDEX($A262:$AL262,MATCH(Lists!$F$4,$A$1:$AL$1,0))&amp;""),"")&lt;&gt;""),IFERROR(TRIM(INDEX($A262:$AL262,MATCH(Lists!$F$4,$A$1:$AL$1,0))&amp;""),""),IF(IFERROR(TRIM(INDEX($A262:$AL262,MATCH(Lists!$F$3,$A$1:$AL$1,0))&amp;""),"")="","(no space)",IFERROR(TRIM(INDEX($A262:$AL262,MATCH(Lists!$F$3,$A$1:$AL$1,0))&amp;""),""))))</f>
        <v/>
      </c>
      <c r="AT262" s="22">
        <f>IF(IFERROR(TRIM(INDEX($A262:$AL262,MATCH(Lists!$F$2,$A$1:$AL$1,0))&amp;""),"")="",0,N(IFERROR(IF(TRIM(INDEX($A262:$AL262,MATCH(Lists!$F$5,$A$1:$AL$1,0))&amp;"")="","",IF(ISNUMBER(INDEX($A262:$AL262,MATCH(Lists!$F$5,$A$1:$AL$1,0))),INT(INDEX($A262:$AL262,MATCH(Lists!$F$5,$A$1:$AL$1,0))),DATE(VALUE(LEFT(INDEX($A262:$AL262,MATCH(Lists!$F$5,$A$1:$AL$1,0)),4)),VALUE(MID(INDEX($A262:$AL262,MATCH(Lists!$F$5,$A$1:$AL$1,0)),6,2)),VALUE(MID(INDEX($A262:$AL262,MATCH(Lists!$F$5,$A$1:$AL$1,0)),9,2))))),"")))</f>
        <v/>
      </c>
      <c r="AU262" s="21">
        <f>IF(IFERROR(TRIM(INDEX($A262:$AL262,MATCH(Lists!$F$2,$A$1:$AL$1,0))&amp;""),"")="",-1,IF(ISNUMBER(IFERROR(IF(TRIM(INDEX($A262:$AL262,MATCH(Lists!$F$6,$A$1:$AL$1,0))&amp;"")="","",IF(ISNUMBER(INDEX($A262:$AL262,MATCH(Lists!$F$6,$A$1:$AL$1,0))),ROUND(MOD(INDEX($A262:$AL262,MATCH(Lists!$F$6,$A$1:$AL$1,0)),1)*1440,0),VALUE(LEFT(INDEX($A262:$AL262,MATCH(Lists!$F$6,$A$1:$AL$1,0)),2))*60+VALUE(MID(INDEX($A262:$AL262,MATCH(Lists!$F$6,$A$1:$AL$1,0)),4,2)))),"")),IFERROR(IF(TRIM(INDEX($A262:$AL262,MATCH(Lists!$F$6,$A$1:$AL$1,0))&amp;"")="","",IF(ISNUMBER(INDEX($A262:$AL262,MATCH(Lists!$F$6,$A$1:$AL$1,0))),ROUND(MOD(INDEX($A262:$AL262,MATCH(Lists!$F$6,$A$1:$AL$1,0)),1)*1440,0),VALUE(LEFT(INDEX($A262:$AL262,MATCH(Lists!$F$6,$A$1:$AL$1,0)),2))*60+VALUE(MID(INDEX($A262:$AL262,MATCH(Lists!$F$6,$A$1:$AL$1,0)),4,2)))),""),-1))</f>
        <v/>
      </c>
      <c r="AV262" s="21">
        <f>IF(IFERROR(TRIM(INDEX($A262:$AL262,MATCH(Lists!$F$2,$A$1:$AL$1,0))&amp;""),"")="",-1,IF(ISNUMBER(IFERROR(IF(TRIM(INDEX($A262:$AL262,MATCH(Lists!$F$7,$A$1:$AL$1,0))&amp;"")="","",IF(ISNUMBER(INDEX($A262:$AL262,MATCH(Lists!$F$7,$A$1:$AL$1,0))),ROUND(MOD(INDEX($A262:$AL262,MATCH(Lists!$F$7,$A$1:$AL$1,0)),1)*1440,0),VALUE(LEFT(INDEX($A262:$AL262,MATCH(Lists!$F$7,$A$1:$AL$1,0)),2))*60+VALUE(MID(INDEX($A262:$AL262,MATCH(Lists!$F$7,$A$1:$AL$1,0)),4,2)))),"")),IFERROR(IF(TRIM(INDEX($A262:$AL262,MATCH(Lists!$F$7,$A$1:$AL$1,0))&amp;"")="","",IF(ISNUMBER(INDEX($A262:$AL262,MATCH(Lists!$F$7,$A$1:$AL$1,0))),ROUND(MOD(INDEX($A262:$AL262,MATCH(Lists!$F$7,$A$1:$AL$1,0)),1)*1440,0),VALUE(LEFT(INDEX($A262:$AL262,MATCH(Lists!$F$7,$A$1:$AL$1,0)),2))*60+VALUE(MID(INDEX($A262:$AL262,MATCH(Lists!$F$7,$A$1:$AL$1,0)),4,2)))),""),-1))</f>
        <v/>
      </c>
      <c r="AW262" s="21">
        <f>IF(IFERROR(TRIM(INDEX($A262:$AL262,MATCH(Lists!$F$2,$A$1:$AL$1,0))&amp;""),"")="","",IF(IFERROR(TRIM(INDEX($A262:$AL262,MATCH(Lists!$F$8,$A$1:$AL$1,0))&amp;""),"")&lt;&gt;"",IFERROR(TRIM(INDEX($A262:$AL262,MATCH(Lists!$F$8,$A$1:$AL$1,0))&amp;""),""),IFERROR(TRIM(INDEX($A262:$AL262,MATCH(Lists!$F$9,$A$1:$AL$1,0))&amp;""),"")))</f>
        <v/>
      </c>
      <c r="AX262" s="21">
        <f>IFERROR(IF(TRIM(INDEX($A262:$AL262,MATCH(Lists!$F$10,$A$1:$AL$1,0))&amp;"")="","",VALUE(TRIM(INDEX($A262:$AL262,MATCH(Lists!$F$10,$A$1:$AL$1,0))&amp;""))),"")</f>
        <v/>
      </c>
      <c r="AY262" s="21">
        <f>IF(IFERROR(TRIM(INDEX($A262:$AL262,MATCH(Lists!$F$2,$A$1:$AL$1,0))&amp;""),"")="","",IF(AN262="","New",AN262))</f>
        <v/>
      </c>
      <c r="AZ262" s="21">
        <f>IF(IFERROR(TRIM(INDEX($A262:$AL262,MATCH(Lists!$F$2,$A$1:$AL$1,0))&amp;""),"")="","",IF(OR(IFERROR(TRIM(INDEX($A262:$AL262,MATCH(Lists!$F$13,$A$1:$AL$1,0))&amp;""),"")="Paid",IFERROR(TRIM(INDEX($A262:$AL262,MATCH(Lists!$F$13,$A$1:$AL$1,0))&amp;""),"")="Partially refunded"),"Paid",IF(AP262="Yes","Paid (by hand)",IFERROR(TRIM(INDEX($A262:$AL262,MATCH(Lists!$F$13,$A$1:$AL$1,0))&amp;""),""))))</f>
        <v/>
      </c>
      <c r="BA262" s="21">
        <f>IF(AND(IFERROR(TRIM(INDEX($A262:$AL262,MATCH(Lists!$F$2,$A$1:$AL$1,0))&amp;""),"")&lt;&gt;"",AT262&gt;0,AU262&gt;=0,AV262&gt;AU262,AY262&lt;&gt;"Declined"),1,0)</f>
        <v/>
      </c>
      <c r="BB262" s="21">
        <f>IF(BA262=1,COUNTIFS($AS$2:$AS$501,AS262,$AT$2:$AT$501,AT262,$AU$2:$AU$501,"&lt;"&amp;AV262,$AV$2:$AV$501,"&gt;"&amp;AU262,$BA$2:$BA$501,1)-1,"")</f>
        <v/>
      </c>
      <c r="BC262" s="21">
        <f>IF(N(BB262)&gt;0,"Clashes with "&amp;INDEX($AW$2:$AW$501,SUMPRODUCT(MAX(($AS$2:$AS$501=AS262)*($AT$2:$AT$501=AT262)*($AU$2:$AU$501&lt;AV262)*($AV$2:$AV$501&gt;AU262)*($BA$2:$BA$501=1)*(ROW($AS$2:$AS$501)&lt;&gt;ROW())*ROW($AS$2:$AS$501)))-1)&amp;" ("&amp;INDEX($AY$2:$AY$501,SUMPRODUCT(MAX(($AS$2:$AS$501=AS262)*($AT$2:$AT$501=AT262)*($AU$2:$AU$501&lt;AV262)*($AV$2:$AV$501&gt;AU262)*($BA$2:$BA$501=1)*(ROW($AS$2:$AS$501)&lt;&gt;ROW())*ROW($AS$2:$AS$501)))-1)&amp;")"&amp;IF(BB262&gt;1," and "&amp;(BB262-1)&amp;" more",""),"")</f>
        <v/>
      </c>
      <c r="BD262" s="21">
        <f>IF(AND(BA262=1,AY262="Confirmed"),AT262*10000000+AU262*1000+ROW(),"")</f>
        <v/>
      </c>
      <c r="BE262" s="21">
        <f>IF(IFERROR(TRIM(INDEX($A262:$AL262,MATCH(Lists!$F$2,$A$1:$AL$1,0))&amp;""),"")="","",IFERROR(TRIM(INDEX($A262:$AL262,MATCH(Lists!$F$11,$A$1:$AL$1,0))&amp;""),""))</f>
        <v/>
      </c>
      <c r="BF262" s="21">
        <f>IF(IFERROR(TRIM(INDEX($A262:$AL262,MATCH(Lists!$F$2,$A$1:$AL$1,0))&amp;""),"")="","",IFERROR(TRIM(INDEX($A262:$AL262,MATCH(Lists!$F$12,$A$1:$AL$1,0))&amp;""),""))</f>
        <v/>
      </c>
    </row>
    <row r="263">
      <c r="AM263" s="19" t="n"/>
      <c r="AN263" s="23" t="n"/>
      <c r="AO263" s="23" t="n"/>
      <c r="AP263" s="23" t="n"/>
      <c r="AQ263" s="23" t="n"/>
      <c r="AR263" s="19" t="n"/>
      <c r="AS263" s="21">
        <f>IF(IFERROR(TRIM(INDEX($A263:$AL263,MATCH(Lists!$F$2,$A$1:$AL$1,0))&amp;""),"")="","",IF(AND(IFERROR(TRIM(INDEX($A263:$AL263,MATCH(Lists!$F$3,$A$1:$AL$1,0))&amp;""),"")="Other",IFERROR(TRIM(INDEX($A263:$AL263,MATCH(Lists!$F$4,$A$1:$AL$1,0))&amp;""),"")&lt;&gt;""),IFERROR(TRIM(INDEX($A263:$AL263,MATCH(Lists!$F$4,$A$1:$AL$1,0))&amp;""),""),IF(IFERROR(TRIM(INDEX($A263:$AL263,MATCH(Lists!$F$3,$A$1:$AL$1,0))&amp;""),"")="","(no space)",IFERROR(TRIM(INDEX($A263:$AL263,MATCH(Lists!$F$3,$A$1:$AL$1,0))&amp;""),""))))</f>
        <v/>
      </c>
      <c r="AT263" s="22">
        <f>IF(IFERROR(TRIM(INDEX($A263:$AL263,MATCH(Lists!$F$2,$A$1:$AL$1,0))&amp;""),"")="",0,N(IFERROR(IF(TRIM(INDEX($A263:$AL263,MATCH(Lists!$F$5,$A$1:$AL$1,0))&amp;"")="","",IF(ISNUMBER(INDEX($A263:$AL263,MATCH(Lists!$F$5,$A$1:$AL$1,0))),INT(INDEX($A263:$AL263,MATCH(Lists!$F$5,$A$1:$AL$1,0))),DATE(VALUE(LEFT(INDEX($A263:$AL263,MATCH(Lists!$F$5,$A$1:$AL$1,0)),4)),VALUE(MID(INDEX($A263:$AL263,MATCH(Lists!$F$5,$A$1:$AL$1,0)),6,2)),VALUE(MID(INDEX($A263:$AL263,MATCH(Lists!$F$5,$A$1:$AL$1,0)),9,2))))),"")))</f>
        <v/>
      </c>
      <c r="AU263" s="21">
        <f>IF(IFERROR(TRIM(INDEX($A263:$AL263,MATCH(Lists!$F$2,$A$1:$AL$1,0))&amp;""),"")="",-1,IF(ISNUMBER(IFERROR(IF(TRIM(INDEX($A263:$AL263,MATCH(Lists!$F$6,$A$1:$AL$1,0))&amp;"")="","",IF(ISNUMBER(INDEX($A263:$AL263,MATCH(Lists!$F$6,$A$1:$AL$1,0))),ROUND(MOD(INDEX($A263:$AL263,MATCH(Lists!$F$6,$A$1:$AL$1,0)),1)*1440,0),VALUE(LEFT(INDEX($A263:$AL263,MATCH(Lists!$F$6,$A$1:$AL$1,0)),2))*60+VALUE(MID(INDEX($A263:$AL263,MATCH(Lists!$F$6,$A$1:$AL$1,0)),4,2)))),"")),IFERROR(IF(TRIM(INDEX($A263:$AL263,MATCH(Lists!$F$6,$A$1:$AL$1,0))&amp;"")="","",IF(ISNUMBER(INDEX($A263:$AL263,MATCH(Lists!$F$6,$A$1:$AL$1,0))),ROUND(MOD(INDEX($A263:$AL263,MATCH(Lists!$F$6,$A$1:$AL$1,0)),1)*1440,0),VALUE(LEFT(INDEX($A263:$AL263,MATCH(Lists!$F$6,$A$1:$AL$1,0)),2))*60+VALUE(MID(INDEX($A263:$AL263,MATCH(Lists!$F$6,$A$1:$AL$1,0)),4,2)))),""),-1))</f>
        <v/>
      </c>
      <c r="AV263" s="21">
        <f>IF(IFERROR(TRIM(INDEX($A263:$AL263,MATCH(Lists!$F$2,$A$1:$AL$1,0))&amp;""),"")="",-1,IF(ISNUMBER(IFERROR(IF(TRIM(INDEX($A263:$AL263,MATCH(Lists!$F$7,$A$1:$AL$1,0))&amp;"")="","",IF(ISNUMBER(INDEX($A263:$AL263,MATCH(Lists!$F$7,$A$1:$AL$1,0))),ROUND(MOD(INDEX($A263:$AL263,MATCH(Lists!$F$7,$A$1:$AL$1,0)),1)*1440,0),VALUE(LEFT(INDEX($A263:$AL263,MATCH(Lists!$F$7,$A$1:$AL$1,0)),2))*60+VALUE(MID(INDEX($A263:$AL263,MATCH(Lists!$F$7,$A$1:$AL$1,0)),4,2)))),"")),IFERROR(IF(TRIM(INDEX($A263:$AL263,MATCH(Lists!$F$7,$A$1:$AL$1,0))&amp;"")="","",IF(ISNUMBER(INDEX($A263:$AL263,MATCH(Lists!$F$7,$A$1:$AL$1,0))),ROUND(MOD(INDEX($A263:$AL263,MATCH(Lists!$F$7,$A$1:$AL$1,0)),1)*1440,0),VALUE(LEFT(INDEX($A263:$AL263,MATCH(Lists!$F$7,$A$1:$AL$1,0)),2))*60+VALUE(MID(INDEX($A263:$AL263,MATCH(Lists!$F$7,$A$1:$AL$1,0)),4,2)))),""),-1))</f>
        <v/>
      </c>
      <c r="AW263" s="21">
        <f>IF(IFERROR(TRIM(INDEX($A263:$AL263,MATCH(Lists!$F$2,$A$1:$AL$1,0))&amp;""),"")="","",IF(IFERROR(TRIM(INDEX($A263:$AL263,MATCH(Lists!$F$8,$A$1:$AL$1,0))&amp;""),"")&lt;&gt;"",IFERROR(TRIM(INDEX($A263:$AL263,MATCH(Lists!$F$8,$A$1:$AL$1,0))&amp;""),""),IFERROR(TRIM(INDEX($A263:$AL263,MATCH(Lists!$F$9,$A$1:$AL$1,0))&amp;""),"")))</f>
        <v/>
      </c>
      <c r="AX263" s="21">
        <f>IFERROR(IF(TRIM(INDEX($A263:$AL263,MATCH(Lists!$F$10,$A$1:$AL$1,0))&amp;"")="","",VALUE(TRIM(INDEX($A263:$AL263,MATCH(Lists!$F$10,$A$1:$AL$1,0))&amp;""))),"")</f>
        <v/>
      </c>
      <c r="AY263" s="21">
        <f>IF(IFERROR(TRIM(INDEX($A263:$AL263,MATCH(Lists!$F$2,$A$1:$AL$1,0))&amp;""),"")="","",IF(AN263="","New",AN263))</f>
        <v/>
      </c>
      <c r="AZ263" s="21">
        <f>IF(IFERROR(TRIM(INDEX($A263:$AL263,MATCH(Lists!$F$2,$A$1:$AL$1,0))&amp;""),"")="","",IF(OR(IFERROR(TRIM(INDEX($A263:$AL263,MATCH(Lists!$F$13,$A$1:$AL$1,0))&amp;""),"")="Paid",IFERROR(TRIM(INDEX($A263:$AL263,MATCH(Lists!$F$13,$A$1:$AL$1,0))&amp;""),"")="Partially refunded"),"Paid",IF(AP263="Yes","Paid (by hand)",IFERROR(TRIM(INDEX($A263:$AL263,MATCH(Lists!$F$13,$A$1:$AL$1,0))&amp;""),""))))</f>
        <v/>
      </c>
      <c r="BA263" s="21">
        <f>IF(AND(IFERROR(TRIM(INDEX($A263:$AL263,MATCH(Lists!$F$2,$A$1:$AL$1,0))&amp;""),"")&lt;&gt;"",AT263&gt;0,AU263&gt;=0,AV263&gt;AU263,AY263&lt;&gt;"Declined"),1,0)</f>
        <v/>
      </c>
      <c r="BB263" s="21">
        <f>IF(BA263=1,COUNTIFS($AS$2:$AS$501,AS263,$AT$2:$AT$501,AT263,$AU$2:$AU$501,"&lt;"&amp;AV263,$AV$2:$AV$501,"&gt;"&amp;AU263,$BA$2:$BA$501,1)-1,"")</f>
        <v/>
      </c>
      <c r="BC263" s="21">
        <f>IF(N(BB263)&gt;0,"Clashes with "&amp;INDEX($AW$2:$AW$501,SUMPRODUCT(MAX(($AS$2:$AS$501=AS263)*($AT$2:$AT$501=AT263)*($AU$2:$AU$501&lt;AV263)*($AV$2:$AV$501&gt;AU263)*($BA$2:$BA$501=1)*(ROW($AS$2:$AS$501)&lt;&gt;ROW())*ROW($AS$2:$AS$501)))-1)&amp;" ("&amp;INDEX($AY$2:$AY$501,SUMPRODUCT(MAX(($AS$2:$AS$501=AS263)*($AT$2:$AT$501=AT263)*($AU$2:$AU$501&lt;AV263)*($AV$2:$AV$501&gt;AU263)*($BA$2:$BA$501=1)*(ROW($AS$2:$AS$501)&lt;&gt;ROW())*ROW($AS$2:$AS$501)))-1)&amp;")"&amp;IF(BB263&gt;1," and "&amp;(BB263-1)&amp;" more",""),"")</f>
        <v/>
      </c>
      <c r="BD263" s="21">
        <f>IF(AND(BA263=1,AY263="Confirmed"),AT263*10000000+AU263*1000+ROW(),"")</f>
        <v/>
      </c>
      <c r="BE263" s="21">
        <f>IF(IFERROR(TRIM(INDEX($A263:$AL263,MATCH(Lists!$F$2,$A$1:$AL$1,0))&amp;""),"")="","",IFERROR(TRIM(INDEX($A263:$AL263,MATCH(Lists!$F$11,$A$1:$AL$1,0))&amp;""),""))</f>
        <v/>
      </c>
      <c r="BF263" s="21">
        <f>IF(IFERROR(TRIM(INDEX($A263:$AL263,MATCH(Lists!$F$2,$A$1:$AL$1,0))&amp;""),"")="","",IFERROR(TRIM(INDEX($A263:$AL263,MATCH(Lists!$F$12,$A$1:$AL$1,0))&amp;""),""))</f>
        <v/>
      </c>
    </row>
    <row r="264">
      <c r="AM264" s="19" t="n"/>
      <c r="AN264" s="23" t="n"/>
      <c r="AO264" s="23" t="n"/>
      <c r="AP264" s="23" t="n"/>
      <c r="AQ264" s="23" t="n"/>
      <c r="AR264" s="19" t="n"/>
      <c r="AS264" s="21">
        <f>IF(IFERROR(TRIM(INDEX($A264:$AL264,MATCH(Lists!$F$2,$A$1:$AL$1,0))&amp;""),"")="","",IF(AND(IFERROR(TRIM(INDEX($A264:$AL264,MATCH(Lists!$F$3,$A$1:$AL$1,0))&amp;""),"")="Other",IFERROR(TRIM(INDEX($A264:$AL264,MATCH(Lists!$F$4,$A$1:$AL$1,0))&amp;""),"")&lt;&gt;""),IFERROR(TRIM(INDEX($A264:$AL264,MATCH(Lists!$F$4,$A$1:$AL$1,0))&amp;""),""),IF(IFERROR(TRIM(INDEX($A264:$AL264,MATCH(Lists!$F$3,$A$1:$AL$1,0))&amp;""),"")="","(no space)",IFERROR(TRIM(INDEX($A264:$AL264,MATCH(Lists!$F$3,$A$1:$AL$1,0))&amp;""),""))))</f>
        <v/>
      </c>
      <c r="AT264" s="22">
        <f>IF(IFERROR(TRIM(INDEX($A264:$AL264,MATCH(Lists!$F$2,$A$1:$AL$1,0))&amp;""),"")="",0,N(IFERROR(IF(TRIM(INDEX($A264:$AL264,MATCH(Lists!$F$5,$A$1:$AL$1,0))&amp;"")="","",IF(ISNUMBER(INDEX($A264:$AL264,MATCH(Lists!$F$5,$A$1:$AL$1,0))),INT(INDEX($A264:$AL264,MATCH(Lists!$F$5,$A$1:$AL$1,0))),DATE(VALUE(LEFT(INDEX($A264:$AL264,MATCH(Lists!$F$5,$A$1:$AL$1,0)),4)),VALUE(MID(INDEX($A264:$AL264,MATCH(Lists!$F$5,$A$1:$AL$1,0)),6,2)),VALUE(MID(INDEX($A264:$AL264,MATCH(Lists!$F$5,$A$1:$AL$1,0)),9,2))))),"")))</f>
        <v/>
      </c>
      <c r="AU264" s="21">
        <f>IF(IFERROR(TRIM(INDEX($A264:$AL264,MATCH(Lists!$F$2,$A$1:$AL$1,0))&amp;""),"")="",-1,IF(ISNUMBER(IFERROR(IF(TRIM(INDEX($A264:$AL264,MATCH(Lists!$F$6,$A$1:$AL$1,0))&amp;"")="","",IF(ISNUMBER(INDEX($A264:$AL264,MATCH(Lists!$F$6,$A$1:$AL$1,0))),ROUND(MOD(INDEX($A264:$AL264,MATCH(Lists!$F$6,$A$1:$AL$1,0)),1)*1440,0),VALUE(LEFT(INDEX($A264:$AL264,MATCH(Lists!$F$6,$A$1:$AL$1,0)),2))*60+VALUE(MID(INDEX($A264:$AL264,MATCH(Lists!$F$6,$A$1:$AL$1,0)),4,2)))),"")),IFERROR(IF(TRIM(INDEX($A264:$AL264,MATCH(Lists!$F$6,$A$1:$AL$1,0))&amp;"")="","",IF(ISNUMBER(INDEX($A264:$AL264,MATCH(Lists!$F$6,$A$1:$AL$1,0))),ROUND(MOD(INDEX($A264:$AL264,MATCH(Lists!$F$6,$A$1:$AL$1,0)),1)*1440,0),VALUE(LEFT(INDEX($A264:$AL264,MATCH(Lists!$F$6,$A$1:$AL$1,0)),2))*60+VALUE(MID(INDEX($A264:$AL264,MATCH(Lists!$F$6,$A$1:$AL$1,0)),4,2)))),""),-1))</f>
        <v/>
      </c>
      <c r="AV264" s="21">
        <f>IF(IFERROR(TRIM(INDEX($A264:$AL264,MATCH(Lists!$F$2,$A$1:$AL$1,0))&amp;""),"")="",-1,IF(ISNUMBER(IFERROR(IF(TRIM(INDEX($A264:$AL264,MATCH(Lists!$F$7,$A$1:$AL$1,0))&amp;"")="","",IF(ISNUMBER(INDEX($A264:$AL264,MATCH(Lists!$F$7,$A$1:$AL$1,0))),ROUND(MOD(INDEX($A264:$AL264,MATCH(Lists!$F$7,$A$1:$AL$1,0)),1)*1440,0),VALUE(LEFT(INDEX($A264:$AL264,MATCH(Lists!$F$7,$A$1:$AL$1,0)),2))*60+VALUE(MID(INDEX($A264:$AL264,MATCH(Lists!$F$7,$A$1:$AL$1,0)),4,2)))),"")),IFERROR(IF(TRIM(INDEX($A264:$AL264,MATCH(Lists!$F$7,$A$1:$AL$1,0))&amp;"")="","",IF(ISNUMBER(INDEX($A264:$AL264,MATCH(Lists!$F$7,$A$1:$AL$1,0))),ROUND(MOD(INDEX($A264:$AL264,MATCH(Lists!$F$7,$A$1:$AL$1,0)),1)*1440,0),VALUE(LEFT(INDEX($A264:$AL264,MATCH(Lists!$F$7,$A$1:$AL$1,0)),2))*60+VALUE(MID(INDEX($A264:$AL264,MATCH(Lists!$F$7,$A$1:$AL$1,0)),4,2)))),""),-1))</f>
        <v/>
      </c>
      <c r="AW264" s="21">
        <f>IF(IFERROR(TRIM(INDEX($A264:$AL264,MATCH(Lists!$F$2,$A$1:$AL$1,0))&amp;""),"")="","",IF(IFERROR(TRIM(INDEX($A264:$AL264,MATCH(Lists!$F$8,$A$1:$AL$1,0))&amp;""),"")&lt;&gt;"",IFERROR(TRIM(INDEX($A264:$AL264,MATCH(Lists!$F$8,$A$1:$AL$1,0))&amp;""),""),IFERROR(TRIM(INDEX($A264:$AL264,MATCH(Lists!$F$9,$A$1:$AL$1,0))&amp;""),"")))</f>
        <v/>
      </c>
      <c r="AX264" s="21">
        <f>IFERROR(IF(TRIM(INDEX($A264:$AL264,MATCH(Lists!$F$10,$A$1:$AL$1,0))&amp;"")="","",VALUE(TRIM(INDEX($A264:$AL264,MATCH(Lists!$F$10,$A$1:$AL$1,0))&amp;""))),"")</f>
        <v/>
      </c>
      <c r="AY264" s="21">
        <f>IF(IFERROR(TRIM(INDEX($A264:$AL264,MATCH(Lists!$F$2,$A$1:$AL$1,0))&amp;""),"")="","",IF(AN264="","New",AN264))</f>
        <v/>
      </c>
      <c r="AZ264" s="21">
        <f>IF(IFERROR(TRIM(INDEX($A264:$AL264,MATCH(Lists!$F$2,$A$1:$AL$1,0))&amp;""),"")="","",IF(OR(IFERROR(TRIM(INDEX($A264:$AL264,MATCH(Lists!$F$13,$A$1:$AL$1,0))&amp;""),"")="Paid",IFERROR(TRIM(INDEX($A264:$AL264,MATCH(Lists!$F$13,$A$1:$AL$1,0))&amp;""),"")="Partially refunded"),"Paid",IF(AP264="Yes","Paid (by hand)",IFERROR(TRIM(INDEX($A264:$AL264,MATCH(Lists!$F$13,$A$1:$AL$1,0))&amp;""),""))))</f>
        <v/>
      </c>
      <c r="BA264" s="21">
        <f>IF(AND(IFERROR(TRIM(INDEX($A264:$AL264,MATCH(Lists!$F$2,$A$1:$AL$1,0))&amp;""),"")&lt;&gt;"",AT264&gt;0,AU264&gt;=0,AV264&gt;AU264,AY264&lt;&gt;"Declined"),1,0)</f>
        <v/>
      </c>
      <c r="BB264" s="21">
        <f>IF(BA264=1,COUNTIFS($AS$2:$AS$501,AS264,$AT$2:$AT$501,AT264,$AU$2:$AU$501,"&lt;"&amp;AV264,$AV$2:$AV$501,"&gt;"&amp;AU264,$BA$2:$BA$501,1)-1,"")</f>
        <v/>
      </c>
      <c r="BC264" s="21">
        <f>IF(N(BB264)&gt;0,"Clashes with "&amp;INDEX($AW$2:$AW$501,SUMPRODUCT(MAX(($AS$2:$AS$501=AS264)*($AT$2:$AT$501=AT264)*($AU$2:$AU$501&lt;AV264)*($AV$2:$AV$501&gt;AU264)*($BA$2:$BA$501=1)*(ROW($AS$2:$AS$501)&lt;&gt;ROW())*ROW($AS$2:$AS$501)))-1)&amp;" ("&amp;INDEX($AY$2:$AY$501,SUMPRODUCT(MAX(($AS$2:$AS$501=AS264)*($AT$2:$AT$501=AT264)*($AU$2:$AU$501&lt;AV264)*($AV$2:$AV$501&gt;AU264)*($BA$2:$BA$501=1)*(ROW($AS$2:$AS$501)&lt;&gt;ROW())*ROW($AS$2:$AS$501)))-1)&amp;")"&amp;IF(BB264&gt;1," and "&amp;(BB264-1)&amp;" more",""),"")</f>
        <v/>
      </c>
      <c r="BD264" s="21">
        <f>IF(AND(BA264=1,AY264="Confirmed"),AT264*10000000+AU264*1000+ROW(),"")</f>
        <v/>
      </c>
      <c r="BE264" s="21">
        <f>IF(IFERROR(TRIM(INDEX($A264:$AL264,MATCH(Lists!$F$2,$A$1:$AL$1,0))&amp;""),"")="","",IFERROR(TRIM(INDEX($A264:$AL264,MATCH(Lists!$F$11,$A$1:$AL$1,0))&amp;""),""))</f>
        <v/>
      </c>
      <c r="BF264" s="21">
        <f>IF(IFERROR(TRIM(INDEX($A264:$AL264,MATCH(Lists!$F$2,$A$1:$AL$1,0))&amp;""),"")="","",IFERROR(TRIM(INDEX($A264:$AL264,MATCH(Lists!$F$12,$A$1:$AL$1,0))&amp;""),""))</f>
        <v/>
      </c>
    </row>
    <row r="265">
      <c r="AM265" s="19" t="n"/>
      <c r="AN265" s="23" t="n"/>
      <c r="AO265" s="23" t="n"/>
      <c r="AP265" s="23" t="n"/>
      <c r="AQ265" s="23" t="n"/>
      <c r="AR265" s="19" t="n"/>
      <c r="AS265" s="21">
        <f>IF(IFERROR(TRIM(INDEX($A265:$AL265,MATCH(Lists!$F$2,$A$1:$AL$1,0))&amp;""),"")="","",IF(AND(IFERROR(TRIM(INDEX($A265:$AL265,MATCH(Lists!$F$3,$A$1:$AL$1,0))&amp;""),"")="Other",IFERROR(TRIM(INDEX($A265:$AL265,MATCH(Lists!$F$4,$A$1:$AL$1,0))&amp;""),"")&lt;&gt;""),IFERROR(TRIM(INDEX($A265:$AL265,MATCH(Lists!$F$4,$A$1:$AL$1,0))&amp;""),""),IF(IFERROR(TRIM(INDEX($A265:$AL265,MATCH(Lists!$F$3,$A$1:$AL$1,0))&amp;""),"")="","(no space)",IFERROR(TRIM(INDEX($A265:$AL265,MATCH(Lists!$F$3,$A$1:$AL$1,0))&amp;""),""))))</f>
        <v/>
      </c>
      <c r="AT265" s="22">
        <f>IF(IFERROR(TRIM(INDEX($A265:$AL265,MATCH(Lists!$F$2,$A$1:$AL$1,0))&amp;""),"")="",0,N(IFERROR(IF(TRIM(INDEX($A265:$AL265,MATCH(Lists!$F$5,$A$1:$AL$1,0))&amp;"")="","",IF(ISNUMBER(INDEX($A265:$AL265,MATCH(Lists!$F$5,$A$1:$AL$1,0))),INT(INDEX($A265:$AL265,MATCH(Lists!$F$5,$A$1:$AL$1,0))),DATE(VALUE(LEFT(INDEX($A265:$AL265,MATCH(Lists!$F$5,$A$1:$AL$1,0)),4)),VALUE(MID(INDEX($A265:$AL265,MATCH(Lists!$F$5,$A$1:$AL$1,0)),6,2)),VALUE(MID(INDEX($A265:$AL265,MATCH(Lists!$F$5,$A$1:$AL$1,0)),9,2))))),"")))</f>
        <v/>
      </c>
      <c r="AU265" s="21">
        <f>IF(IFERROR(TRIM(INDEX($A265:$AL265,MATCH(Lists!$F$2,$A$1:$AL$1,0))&amp;""),"")="",-1,IF(ISNUMBER(IFERROR(IF(TRIM(INDEX($A265:$AL265,MATCH(Lists!$F$6,$A$1:$AL$1,0))&amp;"")="","",IF(ISNUMBER(INDEX($A265:$AL265,MATCH(Lists!$F$6,$A$1:$AL$1,0))),ROUND(MOD(INDEX($A265:$AL265,MATCH(Lists!$F$6,$A$1:$AL$1,0)),1)*1440,0),VALUE(LEFT(INDEX($A265:$AL265,MATCH(Lists!$F$6,$A$1:$AL$1,0)),2))*60+VALUE(MID(INDEX($A265:$AL265,MATCH(Lists!$F$6,$A$1:$AL$1,0)),4,2)))),"")),IFERROR(IF(TRIM(INDEX($A265:$AL265,MATCH(Lists!$F$6,$A$1:$AL$1,0))&amp;"")="","",IF(ISNUMBER(INDEX($A265:$AL265,MATCH(Lists!$F$6,$A$1:$AL$1,0))),ROUND(MOD(INDEX($A265:$AL265,MATCH(Lists!$F$6,$A$1:$AL$1,0)),1)*1440,0),VALUE(LEFT(INDEX($A265:$AL265,MATCH(Lists!$F$6,$A$1:$AL$1,0)),2))*60+VALUE(MID(INDEX($A265:$AL265,MATCH(Lists!$F$6,$A$1:$AL$1,0)),4,2)))),""),-1))</f>
        <v/>
      </c>
      <c r="AV265" s="21">
        <f>IF(IFERROR(TRIM(INDEX($A265:$AL265,MATCH(Lists!$F$2,$A$1:$AL$1,0))&amp;""),"")="",-1,IF(ISNUMBER(IFERROR(IF(TRIM(INDEX($A265:$AL265,MATCH(Lists!$F$7,$A$1:$AL$1,0))&amp;"")="","",IF(ISNUMBER(INDEX($A265:$AL265,MATCH(Lists!$F$7,$A$1:$AL$1,0))),ROUND(MOD(INDEX($A265:$AL265,MATCH(Lists!$F$7,$A$1:$AL$1,0)),1)*1440,0),VALUE(LEFT(INDEX($A265:$AL265,MATCH(Lists!$F$7,$A$1:$AL$1,0)),2))*60+VALUE(MID(INDEX($A265:$AL265,MATCH(Lists!$F$7,$A$1:$AL$1,0)),4,2)))),"")),IFERROR(IF(TRIM(INDEX($A265:$AL265,MATCH(Lists!$F$7,$A$1:$AL$1,0))&amp;"")="","",IF(ISNUMBER(INDEX($A265:$AL265,MATCH(Lists!$F$7,$A$1:$AL$1,0))),ROUND(MOD(INDEX($A265:$AL265,MATCH(Lists!$F$7,$A$1:$AL$1,0)),1)*1440,0),VALUE(LEFT(INDEX($A265:$AL265,MATCH(Lists!$F$7,$A$1:$AL$1,0)),2))*60+VALUE(MID(INDEX($A265:$AL265,MATCH(Lists!$F$7,$A$1:$AL$1,0)),4,2)))),""),-1))</f>
        <v/>
      </c>
      <c r="AW265" s="21">
        <f>IF(IFERROR(TRIM(INDEX($A265:$AL265,MATCH(Lists!$F$2,$A$1:$AL$1,0))&amp;""),"")="","",IF(IFERROR(TRIM(INDEX($A265:$AL265,MATCH(Lists!$F$8,$A$1:$AL$1,0))&amp;""),"")&lt;&gt;"",IFERROR(TRIM(INDEX($A265:$AL265,MATCH(Lists!$F$8,$A$1:$AL$1,0))&amp;""),""),IFERROR(TRIM(INDEX($A265:$AL265,MATCH(Lists!$F$9,$A$1:$AL$1,0))&amp;""),"")))</f>
        <v/>
      </c>
      <c r="AX265" s="21">
        <f>IFERROR(IF(TRIM(INDEX($A265:$AL265,MATCH(Lists!$F$10,$A$1:$AL$1,0))&amp;"")="","",VALUE(TRIM(INDEX($A265:$AL265,MATCH(Lists!$F$10,$A$1:$AL$1,0))&amp;""))),"")</f>
        <v/>
      </c>
      <c r="AY265" s="21">
        <f>IF(IFERROR(TRIM(INDEX($A265:$AL265,MATCH(Lists!$F$2,$A$1:$AL$1,0))&amp;""),"")="","",IF(AN265="","New",AN265))</f>
        <v/>
      </c>
      <c r="AZ265" s="21">
        <f>IF(IFERROR(TRIM(INDEX($A265:$AL265,MATCH(Lists!$F$2,$A$1:$AL$1,0))&amp;""),"")="","",IF(OR(IFERROR(TRIM(INDEX($A265:$AL265,MATCH(Lists!$F$13,$A$1:$AL$1,0))&amp;""),"")="Paid",IFERROR(TRIM(INDEX($A265:$AL265,MATCH(Lists!$F$13,$A$1:$AL$1,0))&amp;""),"")="Partially refunded"),"Paid",IF(AP265="Yes","Paid (by hand)",IFERROR(TRIM(INDEX($A265:$AL265,MATCH(Lists!$F$13,$A$1:$AL$1,0))&amp;""),""))))</f>
        <v/>
      </c>
      <c r="BA265" s="21">
        <f>IF(AND(IFERROR(TRIM(INDEX($A265:$AL265,MATCH(Lists!$F$2,$A$1:$AL$1,0))&amp;""),"")&lt;&gt;"",AT265&gt;0,AU265&gt;=0,AV265&gt;AU265,AY265&lt;&gt;"Declined"),1,0)</f>
        <v/>
      </c>
      <c r="BB265" s="21">
        <f>IF(BA265=1,COUNTIFS($AS$2:$AS$501,AS265,$AT$2:$AT$501,AT265,$AU$2:$AU$501,"&lt;"&amp;AV265,$AV$2:$AV$501,"&gt;"&amp;AU265,$BA$2:$BA$501,1)-1,"")</f>
        <v/>
      </c>
      <c r="BC265" s="21">
        <f>IF(N(BB265)&gt;0,"Clashes with "&amp;INDEX($AW$2:$AW$501,SUMPRODUCT(MAX(($AS$2:$AS$501=AS265)*($AT$2:$AT$501=AT265)*($AU$2:$AU$501&lt;AV265)*($AV$2:$AV$501&gt;AU265)*($BA$2:$BA$501=1)*(ROW($AS$2:$AS$501)&lt;&gt;ROW())*ROW($AS$2:$AS$501)))-1)&amp;" ("&amp;INDEX($AY$2:$AY$501,SUMPRODUCT(MAX(($AS$2:$AS$501=AS265)*($AT$2:$AT$501=AT265)*($AU$2:$AU$501&lt;AV265)*($AV$2:$AV$501&gt;AU265)*($BA$2:$BA$501=1)*(ROW($AS$2:$AS$501)&lt;&gt;ROW())*ROW($AS$2:$AS$501)))-1)&amp;")"&amp;IF(BB265&gt;1," and "&amp;(BB265-1)&amp;" more",""),"")</f>
        <v/>
      </c>
      <c r="BD265" s="21">
        <f>IF(AND(BA265=1,AY265="Confirmed"),AT265*10000000+AU265*1000+ROW(),"")</f>
        <v/>
      </c>
      <c r="BE265" s="21">
        <f>IF(IFERROR(TRIM(INDEX($A265:$AL265,MATCH(Lists!$F$2,$A$1:$AL$1,0))&amp;""),"")="","",IFERROR(TRIM(INDEX($A265:$AL265,MATCH(Lists!$F$11,$A$1:$AL$1,0))&amp;""),""))</f>
        <v/>
      </c>
      <c r="BF265" s="21">
        <f>IF(IFERROR(TRIM(INDEX($A265:$AL265,MATCH(Lists!$F$2,$A$1:$AL$1,0))&amp;""),"")="","",IFERROR(TRIM(INDEX($A265:$AL265,MATCH(Lists!$F$12,$A$1:$AL$1,0))&amp;""),""))</f>
        <v/>
      </c>
    </row>
    <row r="266">
      <c r="AM266" s="19" t="n"/>
      <c r="AN266" s="23" t="n"/>
      <c r="AO266" s="23" t="n"/>
      <c r="AP266" s="23" t="n"/>
      <c r="AQ266" s="23" t="n"/>
      <c r="AR266" s="19" t="n"/>
      <c r="AS266" s="21">
        <f>IF(IFERROR(TRIM(INDEX($A266:$AL266,MATCH(Lists!$F$2,$A$1:$AL$1,0))&amp;""),"")="","",IF(AND(IFERROR(TRIM(INDEX($A266:$AL266,MATCH(Lists!$F$3,$A$1:$AL$1,0))&amp;""),"")="Other",IFERROR(TRIM(INDEX($A266:$AL266,MATCH(Lists!$F$4,$A$1:$AL$1,0))&amp;""),"")&lt;&gt;""),IFERROR(TRIM(INDEX($A266:$AL266,MATCH(Lists!$F$4,$A$1:$AL$1,0))&amp;""),""),IF(IFERROR(TRIM(INDEX($A266:$AL266,MATCH(Lists!$F$3,$A$1:$AL$1,0))&amp;""),"")="","(no space)",IFERROR(TRIM(INDEX($A266:$AL266,MATCH(Lists!$F$3,$A$1:$AL$1,0))&amp;""),""))))</f>
        <v/>
      </c>
      <c r="AT266" s="22">
        <f>IF(IFERROR(TRIM(INDEX($A266:$AL266,MATCH(Lists!$F$2,$A$1:$AL$1,0))&amp;""),"")="",0,N(IFERROR(IF(TRIM(INDEX($A266:$AL266,MATCH(Lists!$F$5,$A$1:$AL$1,0))&amp;"")="","",IF(ISNUMBER(INDEX($A266:$AL266,MATCH(Lists!$F$5,$A$1:$AL$1,0))),INT(INDEX($A266:$AL266,MATCH(Lists!$F$5,$A$1:$AL$1,0))),DATE(VALUE(LEFT(INDEX($A266:$AL266,MATCH(Lists!$F$5,$A$1:$AL$1,0)),4)),VALUE(MID(INDEX($A266:$AL266,MATCH(Lists!$F$5,$A$1:$AL$1,0)),6,2)),VALUE(MID(INDEX($A266:$AL266,MATCH(Lists!$F$5,$A$1:$AL$1,0)),9,2))))),"")))</f>
        <v/>
      </c>
      <c r="AU266" s="21">
        <f>IF(IFERROR(TRIM(INDEX($A266:$AL266,MATCH(Lists!$F$2,$A$1:$AL$1,0))&amp;""),"")="",-1,IF(ISNUMBER(IFERROR(IF(TRIM(INDEX($A266:$AL266,MATCH(Lists!$F$6,$A$1:$AL$1,0))&amp;"")="","",IF(ISNUMBER(INDEX($A266:$AL266,MATCH(Lists!$F$6,$A$1:$AL$1,0))),ROUND(MOD(INDEX($A266:$AL266,MATCH(Lists!$F$6,$A$1:$AL$1,0)),1)*1440,0),VALUE(LEFT(INDEX($A266:$AL266,MATCH(Lists!$F$6,$A$1:$AL$1,0)),2))*60+VALUE(MID(INDEX($A266:$AL266,MATCH(Lists!$F$6,$A$1:$AL$1,0)),4,2)))),"")),IFERROR(IF(TRIM(INDEX($A266:$AL266,MATCH(Lists!$F$6,$A$1:$AL$1,0))&amp;"")="","",IF(ISNUMBER(INDEX($A266:$AL266,MATCH(Lists!$F$6,$A$1:$AL$1,0))),ROUND(MOD(INDEX($A266:$AL266,MATCH(Lists!$F$6,$A$1:$AL$1,0)),1)*1440,0),VALUE(LEFT(INDEX($A266:$AL266,MATCH(Lists!$F$6,$A$1:$AL$1,0)),2))*60+VALUE(MID(INDEX($A266:$AL266,MATCH(Lists!$F$6,$A$1:$AL$1,0)),4,2)))),""),-1))</f>
        <v/>
      </c>
      <c r="AV266" s="21">
        <f>IF(IFERROR(TRIM(INDEX($A266:$AL266,MATCH(Lists!$F$2,$A$1:$AL$1,0))&amp;""),"")="",-1,IF(ISNUMBER(IFERROR(IF(TRIM(INDEX($A266:$AL266,MATCH(Lists!$F$7,$A$1:$AL$1,0))&amp;"")="","",IF(ISNUMBER(INDEX($A266:$AL266,MATCH(Lists!$F$7,$A$1:$AL$1,0))),ROUND(MOD(INDEX($A266:$AL266,MATCH(Lists!$F$7,$A$1:$AL$1,0)),1)*1440,0),VALUE(LEFT(INDEX($A266:$AL266,MATCH(Lists!$F$7,$A$1:$AL$1,0)),2))*60+VALUE(MID(INDEX($A266:$AL266,MATCH(Lists!$F$7,$A$1:$AL$1,0)),4,2)))),"")),IFERROR(IF(TRIM(INDEX($A266:$AL266,MATCH(Lists!$F$7,$A$1:$AL$1,0))&amp;"")="","",IF(ISNUMBER(INDEX($A266:$AL266,MATCH(Lists!$F$7,$A$1:$AL$1,0))),ROUND(MOD(INDEX($A266:$AL266,MATCH(Lists!$F$7,$A$1:$AL$1,0)),1)*1440,0),VALUE(LEFT(INDEX($A266:$AL266,MATCH(Lists!$F$7,$A$1:$AL$1,0)),2))*60+VALUE(MID(INDEX($A266:$AL266,MATCH(Lists!$F$7,$A$1:$AL$1,0)),4,2)))),""),-1))</f>
        <v/>
      </c>
      <c r="AW266" s="21">
        <f>IF(IFERROR(TRIM(INDEX($A266:$AL266,MATCH(Lists!$F$2,$A$1:$AL$1,0))&amp;""),"")="","",IF(IFERROR(TRIM(INDEX($A266:$AL266,MATCH(Lists!$F$8,$A$1:$AL$1,0))&amp;""),"")&lt;&gt;"",IFERROR(TRIM(INDEX($A266:$AL266,MATCH(Lists!$F$8,$A$1:$AL$1,0))&amp;""),""),IFERROR(TRIM(INDEX($A266:$AL266,MATCH(Lists!$F$9,$A$1:$AL$1,0))&amp;""),"")))</f>
        <v/>
      </c>
      <c r="AX266" s="21">
        <f>IFERROR(IF(TRIM(INDEX($A266:$AL266,MATCH(Lists!$F$10,$A$1:$AL$1,0))&amp;"")="","",VALUE(TRIM(INDEX($A266:$AL266,MATCH(Lists!$F$10,$A$1:$AL$1,0))&amp;""))),"")</f>
        <v/>
      </c>
      <c r="AY266" s="21">
        <f>IF(IFERROR(TRIM(INDEX($A266:$AL266,MATCH(Lists!$F$2,$A$1:$AL$1,0))&amp;""),"")="","",IF(AN266="","New",AN266))</f>
        <v/>
      </c>
      <c r="AZ266" s="21">
        <f>IF(IFERROR(TRIM(INDEX($A266:$AL266,MATCH(Lists!$F$2,$A$1:$AL$1,0))&amp;""),"")="","",IF(OR(IFERROR(TRIM(INDEX($A266:$AL266,MATCH(Lists!$F$13,$A$1:$AL$1,0))&amp;""),"")="Paid",IFERROR(TRIM(INDEX($A266:$AL266,MATCH(Lists!$F$13,$A$1:$AL$1,0))&amp;""),"")="Partially refunded"),"Paid",IF(AP266="Yes","Paid (by hand)",IFERROR(TRIM(INDEX($A266:$AL266,MATCH(Lists!$F$13,$A$1:$AL$1,0))&amp;""),""))))</f>
        <v/>
      </c>
      <c r="BA266" s="21">
        <f>IF(AND(IFERROR(TRIM(INDEX($A266:$AL266,MATCH(Lists!$F$2,$A$1:$AL$1,0))&amp;""),"")&lt;&gt;"",AT266&gt;0,AU266&gt;=0,AV266&gt;AU266,AY266&lt;&gt;"Declined"),1,0)</f>
        <v/>
      </c>
      <c r="BB266" s="21">
        <f>IF(BA266=1,COUNTIFS($AS$2:$AS$501,AS266,$AT$2:$AT$501,AT266,$AU$2:$AU$501,"&lt;"&amp;AV266,$AV$2:$AV$501,"&gt;"&amp;AU266,$BA$2:$BA$501,1)-1,"")</f>
        <v/>
      </c>
      <c r="BC266" s="21">
        <f>IF(N(BB266)&gt;0,"Clashes with "&amp;INDEX($AW$2:$AW$501,SUMPRODUCT(MAX(($AS$2:$AS$501=AS266)*($AT$2:$AT$501=AT266)*($AU$2:$AU$501&lt;AV266)*($AV$2:$AV$501&gt;AU266)*($BA$2:$BA$501=1)*(ROW($AS$2:$AS$501)&lt;&gt;ROW())*ROW($AS$2:$AS$501)))-1)&amp;" ("&amp;INDEX($AY$2:$AY$501,SUMPRODUCT(MAX(($AS$2:$AS$501=AS266)*($AT$2:$AT$501=AT266)*($AU$2:$AU$501&lt;AV266)*($AV$2:$AV$501&gt;AU266)*($BA$2:$BA$501=1)*(ROW($AS$2:$AS$501)&lt;&gt;ROW())*ROW($AS$2:$AS$501)))-1)&amp;")"&amp;IF(BB266&gt;1," and "&amp;(BB266-1)&amp;" more",""),"")</f>
        <v/>
      </c>
      <c r="BD266" s="21">
        <f>IF(AND(BA266=1,AY266="Confirmed"),AT266*10000000+AU266*1000+ROW(),"")</f>
        <v/>
      </c>
      <c r="BE266" s="21">
        <f>IF(IFERROR(TRIM(INDEX($A266:$AL266,MATCH(Lists!$F$2,$A$1:$AL$1,0))&amp;""),"")="","",IFERROR(TRIM(INDEX($A266:$AL266,MATCH(Lists!$F$11,$A$1:$AL$1,0))&amp;""),""))</f>
        <v/>
      </c>
      <c r="BF266" s="21">
        <f>IF(IFERROR(TRIM(INDEX($A266:$AL266,MATCH(Lists!$F$2,$A$1:$AL$1,0))&amp;""),"")="","",IFERROR(TRIM(INDEX($A266:$AL266,MATCH(Lists!$F$12,$A$1:$AL$1,0))&amp;""),""))</f>
        <v/>
      </c>
    </row>
    <row r="267">
      <c r="AM267" s="19" t="n"/>
      <c r="AN267" s="23" t="n"/>
      <c r="AO267" s="23" t="n"/>
      <c r="AP267" s="23" t="n"/>
      <c r="AQ267" s="23" t="n"/>
      <c r="AR267" s="19" t="n"/>
      <c r="AS267" s="21">
        <f>IF(IFERROR(TRIM(INDEX($A267:$AL267,MATCH(Lists!$F$2,$A$1:$AL$1,0))&amp;""),"")="","",IF(AND(IFERROR(TRIM(INDEX($A267:$AL267,MATCH(Lists!$F$3,$A$1:$AL$1,0))&amp;""),"")="Other",IFERROR(TRIM(INDEX($A267:$AL267,MATCH(Lists!$F$4,$A$1:$AL$1,0))&amp;""),"")&lt;&gt;""),IFERROR(TRIM(INDEX($A267:$AL267,MATCH(Lists!$F$4,$A$1:$AL$1,0))&amp;""),""),IF(IFERROR(TRIM(INDEX($A267:$AL267,MATCH(Lists!$F$3,$A$1:$AL$1,0))&amp;""),"")="","(no space)",IFERROR(TRIM(INDEX($A267:$AL267,MATCH(Lists!$F$3,$A$1:$AL$1,0))&amp;""),""))))</f>
        <v/>
      </c>
      <c r="AT267" s="22">
        <f>IF(IFERROR(TRIM(INDEX($A267:$AL267,MATCH(Lists!$F$2,$A$1:$AL$1,0))&amp;""),"")="",0,N(IFERROR(IF(TRIM(INDEX($A267:$AL267,MATCH(Lists!$F$5,$A$1:$AL$1,0))&amp;"")="","",IF(ISNUMBER(INDEX($A267:$AL267,MATCH(Lists!$F$5,$A$1:$AL$1,0))),INT(INDEX($A267:$AL267,MATCH(Lists!$F$5,$A$1:$AL$1,0))),DATE(VALUE(LEFT(INDEX($A267:$AL267,MATCH(Lists!$F$5,$A$1:$AL$1,0)),4)),VALUE(MID(INDEX($A267:$AL267,MATCH(Lists!$F$5,$A$1:$AL$1,0)),6,2)),VALUE(MID(INDEX($A267:$AL267,MATCH(Lists!$F$5,$A$1:$AL$1,0)),9,2))))),"")))</f>
        <v/>
      </c>
      <c r="AU267" s="21">
        <f>IF(IFERROR(TRIM(INDEX($A267:$AL267,MATCH(Lists!$F$2,$A$1:$AL$1,0))&amp;""),"")="",-1,IF(ISNUMBER(IFERROR(IF(TRIM(INDEX($A267:$AL267,MATCH(Lists!$F$6,$A$1:$AL$1,0))&amp;"")="","",IF(ISNUMBER(INDEX($A267:$AL267,MATCH(Lists!$F$6,$A$1:$AL$1,0))),ROUND(MOD(INDEX($A267:$AL267,MATCH(Lists!$F$6,$A$1:$AL$1,0)),1)*1440,0),VALUE(LEFT(INDEX($A267:$AL267,MATCH(Lists!$F$6,$A$1:$AL$1,0)),2))*60+VALUE(MID(INDEX($A267:$AL267,MATCH(Lists!$F$6,$A$1:$AL$1,0)),4,2)))),"")),IFERROR(IF(TRIM(INDEX($A267:$AL267,MATCH(Lists!$F$6,$A$1:$AL$1,0))&amp;"")="","",IF(ISNUMBER(INDEX($A267:$AL267,MATCH(Lists!$F$6,$A$1:$AL$1,0))),ROUND(MOD(INDEX($A267:$AL267,MATCH(Lists!$F$6,$A$1:$AL$1,0)),1)*1440,0),VALUE(LEFT(INDEX($A267:$AL267,MATCH(Lists!$F$6,$A$1:$AL$1,0)),2))*60+VALUE(MID(INDEX($A267:$AL267,MATCH(Lists!$F$6,$A$1:$AL$1,0)),4,2)))),""),-1))</f>
        <v/>
      </c>
      <c r="AV267" s="21">
        <f>IF(IFERROR(TRIM(INDEX($A267:$AL267,MATCH(Lists!$F$2,$A$1:$AL$1,0))&amp;""),"")="",-1,IF(ISNUMBER(IFERROR(IF(TRIM(INDEX($A267:$AL267,MATCH(Lists!$F$7,$A$1:$AL$1,0))&amp;"")="","",IF(ISNUMBER(INDEX($A267:$AL267,MATCH(Lists!$F$7,$A$1:$AL$1,0))),ROUND(MOD(INDEX($A267:$AL267,MATCH(Lists!$F$7,$A$1:$AL$1,0)),1)*1440,0),VALUE(LEFT(INDEX($A267:$AL267,MATCH(Lists!$F$7,$A$1:$AL$1,0)),2))*60+VALUE(MID(INDEX($A267:$AL267,MATCH(Lists!$F$7,$A$1:$AL$1,0)),4,2)))),"")),IFERROR(IF(TRIM(INDEX($A267:$AL267,MATCH(Lists!$F$7,$A$1:$AL$1,0))&amp;"")="","",IF(ISNUMBER(INDEX($A267:$AL267,MATCH(Lists!$F$7,$A$1:$AL$1,0))),ROUND(MOD(INDEX($A267:$AL267,MATCH(Lists!$F$7,$A$1:$AL$1,0)),1)*1440,0),VALUE(LEFT(INDEX($A267:$AL267,MATCH(Lists!$F$7,$A$1:$AL$1,0)),2))*60+VALUE(MID(INDEX($A267:$AL267,MATCH(Lists!$F$7,$A$1:$AL$1,0)),4,2)))),""),-1))</f>
        <v/>
      </c>
      <c r="AW267" s="21">
        <f>IF(IFERROR(TRIM(INDEX($A267:$AL267,MATCH(Lists!$F$2,$A$1:$AL$1,0))&amp;""),"")="","",IF(IFERROR(TRIM(INDEX($A267:$AL267,MATCH(Lists!$F$8,$A$1:$AL$1,0))&amp;""),"")&lt;&gt;"",IFERROR(TRIM(INDEX($A267:$AL267,MATCH(Lists!$F$8,$A$1:$AL$1,0))&amp;""),""),IFERROR(TRIM(INDEX($A267:$AL267,MATCH(Lists!$F$9,$A$1:$AL$1,0))&amp;""),"")))</f>
        <v/>
      </c>
      <c r="AX267" s="21">
        <f>IFERROR(IF(TRIM(INDEX($A267:$AL267,MATCH(Lists!$F$10,$A$1:$AL$1,0))&amp;"")="","",VALUE(TRIM(INDEX($A267:$AL267,MATCH(Lists!$F$10,$A$1:$AL$1,0))&amp;""))),"")</f>
        <v/>
      </c>
      <c r="AY267" s="21">
        <f>IF(IFERROR(TRIM(INDEX($A267:$AL267,MATCH(Lists!$F$2,$A$1:$AL$1,0))&amp;""),"")="","",IF(AN267="","New",AN267))</f>
        <v/>
      </c>
      <c r="AZ267" s="21">
        <f>IF(IFERROR(TRIM(INDEX($A267:$AL267,MATCH(Lists!$F$2,$A$1:$AL$1,0))&amp;""),"")="","",IF(OR(IFERROR(TRIM(INDEX($A267:$AL267,MATCH(Lists!$F$13,$A$1:$AL$1,0))&amp;""),"")="Paid",IFERROR(TRIM(INDEX($A267:$AL267,MATCH(Lists!$F$13,$A$1:$AL$1,0))&amp;""),"")="Partially refunded"),"Paid",IF(AP267="Yes","Paid (by hand)",IFERROR(TRIM(INDEX($A267:$AL267,MATCH(Lists!$F$13,$A$1:$AL$1,0))&amp;""),""))))</f>
        <v/>
      </c>
      <c r="BA267" s="21">
        <f>IF(AND(IFERROR(TRIM(INDEX($A267:$AL267,MATCH(Lists!$F$2,$A$1:$AL$1,0))&amp;""),"")&lt;&gt;"",AT267&gt;0,AU267&gt;=0,AV267&gt;AU267,AY267&lt;&gt;"Declined"),1,0)</f>
        <v/>
      </c>
      <c r="BB267" s="21">
        <f>IF(BA267=1,COUNTIFS($AS$2:$AS$501,AS267,$AT$2:$AT$501,AT267,$AU$2:$AU$501,"&lt;"&amp;AV267,$AV$2:$AV$501,"&gt;"&amp;AU267,$BA$2:$BA$501,1)-1,"")</f>
        <v/>
      </c>
      <c r="BC267" s="21">
        <f>IF(N(BB267)&gt;0,"Clashes with "&amp;INDEX($AW$2:$AW$501,SUMPRODUCT(MAX(($AS$2:$AS$501=AS267)*($AT$2:$AT$501=AT267)*($AU$2:$AU$501&lt;AV267)*($AV$2:$AV$501&gt;AU267)*($BA$2:$BA$501=1)*(ROW($AS$2:$AS$501)&lt;&gt;ROW())*ROW($AS$2:$AS$501)))-1)&amp;" ("&amp;INDEX($AY$2:$AY$501,SUMPRODUCT(MAX(($AS$2:$AS$501=AS267)*($AT$2:$AT$501=AT267)*($AU$2:$AU$501&lt;AV267)*($AV$2:$AV$501&gt;AU267)*($BA$2:$BA$501=1)*(ROW($AS$2:$AS$501)&lt;&gt;ROW())*ROW($AS$2:$AS$501)))-1)&amp;")"&amp;IF(BB267&gt;1," and "&amp;(BB267-1)&amp;" more",""),"")</f>
        <v/>
      </c>
      <c r="BD267" s="21">
        <f>IF(AND(BA267=1,AY267="Confirmed"),AT267*10000000+AU267*1000+ROW(),"")</f>
        <v/>
      </c>
      <c r="BE267" s="21">
        <f>IF(IFERROR(TRIM(INDEX($A267:$AL267,MATCH(Lists!$F$2,$A$1:$AL$1,0))&amp;""),"")="","",IFERROR(TRIM(INDEX($A267:$AL267,MATCH(Lists!$F$11,$A$1:$AL$1,0))&amp;""),""))</f>
        <v/>
      </c>
      <c r="BF267" s="21">
        <f>IF(IFERROR(TRIM(INDEX($A267:$AL267,MATCH(Lists!$F$2,$A$1:$AL$1,0))&amp;""),"")="","",IFERROR(TRIM(INDEX($A267:$AL267,MATCH(Lists!$F$12,$A$1:$AL$1,0))&amp;""),""))</f>
        <v/>
      </c>
    </row>
    <row r="268">
      <c r="AM268" s="19" t="n"/>
      <c r="AN268" s="23" t="n"/>
      <c r="AO268" s="23" t="n"/>
      <c r="AP268" s="23" t="n"/>
      <c r="AQ268" s="23" t="n"/>
      <c r="AR268" s="19" t="n"/>
      <c r="AS268" s="21">
        <f>IF(IFERROR(TRIM(INDEX($A268:$AL268,MATCH(Lists!$F$2,$A$1:$AL$1,0))&amp;""),"")="","",IF(AND(IFERROR(TRIM(INDEX($A268:$AL268,MATCH(Lists!$F$3,$A$1:$AL$1,0))&amp;""),"")="Other",IFERROR(TRIM(INDEX($A268:$AL268,MATCH(Lists!$F$4,$A$1:$AL$1,0))&amp;""),"")&lt;&gt;""),IFERROR(TRIM(INDEX($A268:$AL268,MATCH(Lists!$F$4,$A$1:$AL$1,0))&amp;""),""),IF(IFERROR(TRIM(INDEX($A268:$AL268,MATCH(Lists!$F$3,$A$1:$AL$1,0))&amp;""),"")="","(no space)",IFERROR(TRIM(INDEX($A268:$AL268,MATCH(Lists!$F$3,$A$1:$AL$1,0))&amp;""),""))))</f>
        <v/>
      </c>
      <c r="AT268" s="22">
        <f>IF(IFERROR(TRIM(INDEX($A268:$AL268,MATCH(Lists!$F$2,$A$1:$AL$1,0))&amp;""),"")="",0,N(IFERROR(IF(TRIM(INDEX($A268:$AL268,MATCH(Lists!$F$5,$A$1:$AL$1,0))&amp;"")="","",IF(ISNUMBER(INDEX($A268:$AL268,MATCH(Lists!$F$5,$A$1:$AL$1,0))),INT(INDEX($A268:$AL268,MATCH(Lists!$F$5,$A$1:$AL$1,0))),DATE(VALUE(LEFT(INDEX($A268:$AL268,MATCH(Lists!$F$5,$A$1:$AL$1,0)),4)),VALUE(MID(INDEX($A268:$AL268,MATCH(Lists!$F$5,$A$1:$AL$1,0)),6,2)),VALUE(MID(INDEX($A268:$AL268,MATCH(Lists!$F$5,$A$1:$AL$1,0)),9,2))))),"")))</f>
        <v/>
      </c>
      <c r="AU268" s="21">
        <f>IF(IFERROR(TRIM(INDEX($A268:$AL268,MATCH(Lists!$F$2,$A$1:$AL$1,0))&amp;""),"")="",-1,IF(ISNUMBER(IFERROR(IF(TRIM(INDEX($A268:$AL268,MATCH(Lists!$F$6,$A$1:$AL$1,0))&amp;"")="","",IF(ISNUMBER(INDEX($A268:$AL268,MATCH(Lists!$F$6,$A$1:$AL$1,0))),ROUND(MOD(INDEX($A268:$AL268,MATCH(Lists!$F$6,$A$1:$AL$1,0)),1)*1440,0),VALUE(LEFT(INDEX($A268:$AL268,MATCH(Lists!$F$6,$A$1:$AL$1,0)),2))*60+VALUE(MID(INDEX($A268:$AL268,MATCH(Lists!$F$6,$A$1:$AL$1,0)),4,2)))),"")),IFERROR(IF(TRIM(INDEX($A268:$AL268,MATCH(Lists!$F$6,$A$1:$AL$1,0))&amp;"")="","",IF(ISNUMBER(INDEX($A268:$AL268,MATCH(Lists!$F$6,$A$1:$AL$1,0))),ROUND(MOD(INDEX($A268:$AL268,MATCH(Lists!$F$6,$A$1:$AL$1,0)),1)*1440,0),VALUE(LEFT(INDEX($A268:$AL268,MATCH(Lists!$F$6,$A$1:$AL$1,0)),2))*60+VALUE(MID(INDEX($A268:$AL268,MATCH(Lists!$F$6,$A$1:$AL$1,0)),4,2)))),""),-1))</f>
        <v/>
      </c>
      <c r="AV268" s="21">
        <f>IF(IFERROR(TRIM(INDEX($A268:$AL268,MATCH(Lists!$F$2,$A$1:$AL$1,0))&amp;""),"")="",-1,IF(ISNUMBER(IFERROR(IF(TRIM(INDEX($A268:$AL268,MATCH(Lists!$F$7,$A$1:$AL$1,0))&amp;"")="","",IF(ISNUMBER(INDEX($A268:$AL268,MATCH(Lists!$F$7,$A$1:$AL$1,0))),ROUND(MOD(INDEX($A268:$AL268,MATCH(Lists!$F$7,$A$1:$AL$1,0)),1)*1440,0),VALUE(LEFT(INDEX($A268:$AL268,MATCH(Lists!$F$7,$A$1:$AL$1,0)),2))*60+VALUE(MID(INDEX($A268:$AL268,MATCH(Lists!$F$7,$A$1:$AL$1,0)),4,2)))),"")),IFERROR(IF(TRIM(INDEX($A268:$AL268,MATCH(Lists!$F$7,$A$1:$AL$1,0))&amp;"")="","",IF(ISNUMBER(INDEX($A268:$AL268,MATCH(Lists!$F$7,$A$1:$AL$1,0))),ROUND(MOD(INDEX($A268:$AL268,MATCH(Lists!$F$7,$A$1:$AL$1,0)),1)*1440,0),VALUE(LEFT(INDEX($A268:$AL268,MATCH(Lists!$F$7,$A$1:$AL$1,0)),2))*60+VALUE(MID(INDEX($A268:$AL268,MATCH(Lists!$F$7,$A$1:$AL$1,0)),4,2)))),""),-1))</f>
        <v/>
      </c>
      <c r="AW268" s="21">
        <f>IF(IFERROR(TRIM(INDEX($A268:$AL268,MATCH(Lists!$F$2,$A$1:$AL$1,0))&amp;""),"")="","",IF(IFERROR(TRIM(INDEX($A268:$AL268,MATCH(Lists!$F$8,$A$1:$AL$1,0))&amp;""),"")&lt;&gt;"",IFERROR(TRIM(INDEX($A268:$AL268,MATCH(Lists!$F$8,$A$1:$AL$1,0))&amp;""),""),IFERROR(TRIM(INDEX($A268:$AL268,MATCH(Lists!$F$9,$A$1:$AL$1,0))&amp;""),"")))</f>
        <v/>
      </c>
      <c r="AX268" s="21">
        <f>IFERROR(IF(TRIM(INDEX($A268:$AL268,MATCH(Lists!$F$10,$A$1:$AL$1,0))&amp;"")="","",VALUE(TRIM(INDEX($A268:$AL268,MATCH(Lists!$F$10,$A$1:$AL$1,0))&amp;""))),"")</f>
        <v/>
      </c>
      <c r="AY268" s="21">
        <f>IF(IFERROR(TRIM(INDEX($A268:$AL268,MATCH(Lists!$F$2,$A$1:$AL$1,0))&amp;""),"")="","",IF(AN268="","New",AN268))</f>
        <v/>
      </c>
      <c r="AZ268" s="21">
        <f>IF(IFERROR(TRIM(INDEX($A268:$AL268,MATCH(Lists!$F$2,$A$1:$AL$1,0))&amp;""),"")="","",IF(OR(IFERROR(TRIM(INDEX($A268:$AL268,MATCH(Lists!$F$13,$A$1:$AL$1,0))&amp;""),"")="Paid",IFERROR(TRIM(INDEX($A268:$AL268,MATCH(Lists!$F$13,$A$1:$AL$1,0))&amp;""),"")="Partially refunded"),"Paid",IF(AP268="Yes","Paid (by hand)",IFERROR(TRIM(INDEX($A268:$AL268,MATCH(Lists!$F$13,$A$1:$AL$1,0))&amp;""),""))))</f>
        <v/>
      </c>
      <c r="BA268" s="21">
        <f>IF(AND(IFERROR(TRIM(INDEX($A268:$AL268,MATCH(Lists!$F$2,$A$1:$AL$1,0))&amp;""),"")&lt;&gt;"",AT268&gt;0,AU268&gt;=0,AV268&gt;AU268,AY268&lt;&gt;"Declined"),1,0)</f>
        <v/>
      </c>
      <c r="BB268" s="21">
        <f>IF(BA268=1,COUNTIFS($AS$2:$AS$501,AS268,$AT$2:$AT$501,AT268,$AU$2:$AU$501,"&lt;"&amp;AV268,$AV$2:$AV$501,"&gt;"&amp;AU268,$BA$2:$BA$501,1)-1,"")</f>
        <v/>
      </c>
      <c r="BC268" s="21">
        <f>IF(N(BB268)&gt;0,"Clashes with "&amp;INDEX($AW$2:$AW$501,SUMPRODUCT(MAX(($AS$2:$AS$501=AS268)*($AT$2:$AT$501=AT268)*($AU$2:$AU$501&lt;AV268)*($AV$2:$AV$501&gt;AU268)*($BA$2:$BA$501=1)*(ROW($AS$2:$AS$501)&lt;&gt;ROW())*ROW($AS$2:$AS$501)))-1)&amp;" ("&amp;INDEX($AY$2:$AY$501,SUMPRODUCT(MAX(($AS$2:$AS$501=AS268)*($AT$2:$AT$501=AT268)*($AU$2:$AU$501&lt;AV268)*($AV$2:$AV$501&gt;AU268)*($BA$2:$BA$501=1)*(ROW($AS$2:$AS$501)&lt;&gt;ROW())*ROW($AS$2:$AS$501)))-1)&amp;")"&amp;IF(BB268&gt;1," and "&amp;(BB268-1)&amp;" more",""),"")</f>
        <v/>
      </c>
      <c r="BD268" s="21">
        <f>IF(AND(BA268=1,AY268="Confirmed"),AT268*10000000+AU268*1000+ROW(),"")</f>
        <v/>
      </c>
      <c r="BE268" s="21">
        <f>IF(IFERROR(TRIM(INDEX($A268:$AL268,MATCH(Lists!$F$2,$A$1:$AL$1,0))&amp;""),"")="","",IFERROR(TRIM(INDEX($A268:$AL268,MATCH(Lists!$F$11,$A$1:$AL$1,0))&amp;""),""))</f>
        <v/>
      </c>
      <c r="BF268" s="21">
        <f>IF(IFERROR(TRIM(INDEX($A268:$AL268,MATCH(Lists!$F$2,$A$1:$AL$1,0))&amp;""),"")="","",IFERROR(TRIM(INDEX($A268:$AL268,MATCH(Lists!$F$12,$A$1:$AL$1,0))&amp;""),""))</f>
        <v/>
      </c>
    </row>
    <row r="269">
      <c r="AM269" s="19" t="n"/>
      <c r="AN269" s="23" t="n"/>
      <c r="AO269" s="23" t="n"/>
      <c r="AP269" s="23" t="n"/>
      <c r="AQ269" s="23" t="n"/>
      <c r="AR269" s="19" t="n"/>
      <c r="AS269" s="21">
        <f>IF(IFERROR(TRIM(INDEX($A269:$AL269,MATCH(Lists!$F$2,$A$1:$AL$1,0))&amp;""),"")="","",IF(AND(IFERROR(TRIM(INDEX($A269:$AL269,MATCH(Lists!$F$3,$A$1:$AL$1,0))&amp;""),"")="Other",IFERROR(TRIM(INDEX($A269:$AL269,MATCH(Lists!$F$4,$A$1:$AL$1,0))&amp;""),"")&lt;&gt;""),IFERROR(TRIM(INDEX($A269:$AL269,MATCH(Lists!$F$4,$A$1:$AL$1,0))&amp;""),""),IF(IFERROR(TRIM(INDEX($A269:$AL269,MATCH(Lists!$F$3,$A$1:$AL$1,0))&amp;""),"")="","(no space)",IFERROR(TRIM(INDEX($A269:$AL269,MATCH(Lists!$F$3,$A$1:$AL$1,0))&amp;""),""))))</f>
        <v/>
      </c>
      <c r="AT269" s="22">
        <f>IF(IFERROR(TRIM(INDEX($A269:$AL269,MATCH(Lists!$F$2,$A$1:$AL$1,0))&amp;""),"")="",0,N(IFERROR(IF(TRIM(INDEX($A269:$AL269,MATCH(Lists!$F$5,$A$1:$AL$1,0))&amp;"")="","",IF(ISNUMBER(INDEX($A269:$AL269,MATCH(Lists!$F$5,$A$1:$AL$1,0))),INT(INDEX($A269:$AL269,MATCH(Lists!$F$5,$A$1:$AL$1,0))),DATE(VALUE(LEFT(INDEX($A269:$AL269,MATCH(Lists!$F$5,$A$1:$AL$1,0)),4)),VALUE(MID(INDEX($A269:$AL269,MATCH(Lists!$F$5,$A$1:$AL$1,0)),6,2)),VALUE(MID(INDEX($A269:$AL269,MATCH(Lists!$F$5,$A$1:$AL$1,0)),9,2))))),"")))</f>
        <v/>
      </c>
      <c r="AU269" s="21">
        <f>IF(IFERROR(TRIM(INDEX($A269:$AL269,MATCH(Lists!$F$2,$A$1:$AL$1,0))&amp;""),"")="",-1,IF(ISNUMBER(IFERROR(IF(TRIM(INDEX($A269:$AL269,MATCH(Lists!$F$6,$A$1:$AL$1,0))&amp;"")="","",IF(ISNUMBER(INDEX($A269:$AL269,MATCH(Lists!$F$6,$A$1:$AL$1,0))),ROUND(MOD(INDEX($A269:$AL269,MATCH(Lists!$F$6,$A$1:$AL$1,0)),1)*1440,0),VALUE(LEFT(INDEX($A269:$AL269,MATCH(Lists!$F$6,$A$1:$AL$1,0)),2))*60+VALUE(MID(INDEX($A269:$AL269,MATCH(Lists!$F$6,$A$1:$AL$1,0)),4,2)))),"")),IFERROR(IF(TRIM(INDEX($A269:$AL269,MATCH(Lists!$F$6,$A$1:$AL$1,0))&amp;"")="","",IF(ISNUMBER(INDEX($A269:$AL269,MATCH(Lists!$F$6,$A$1:$AL$1,0))),ROUND(MOD(INDEX($A269:$AL269,MATCH(Lists!$F$6,$A$1:$AL$1,0)),1)*1440,0),VALUE(LEFT(INDEX($A269:$AL269,MATCH(Lists!$F$6,$A$1:$AL$1,0)),2))*60+VALUE(MID(INDEX($A269:$AL269,MATCH(Lists!$F$6,$A$1:$AL$1,0)),4,2)))),""),-1))</f>
        <v/>
      </c>
      <c r="AV269" s="21">
        <f>IF(IFERROR(TRIM(INDEX($A269:$AL269,MATCH(Lists!$F$2,$A$1:$AL$1,0))&amp;""),"")="",-1,IF(ISNUMBER(IFERROR(IF(TRIM(INDEX($A269:$AL269,MATCH(Lists!$F$7,$A$1:$AL$1,0))&amp;"")="","",IF(ISNUMBER(INDEX($A269:$AL269,MATCH(Lists!$F$7,$A$1:$AL$1,0))),ROUND(MOD(INDEX($A269:$AL269,MATCH(Lists!$F$7,$A$1:$AL$1,0)),1)*1440,0),VALUE(LEFT(INDEX($A269:$AL269,MATCH(Lists!$F$7,$A$1:$AL$1,0)),2))*60+VALUE(MID(INDEX($A269:$AL269,MATCH(Lists!$F$7,$A$1:$AL$1,0)),4,2)))),"")),IFERROR(IF(TRIM(INDEX($A269:$AL269,MATCH(Lists!$F$7,$A$1:$AL$1,0))&amp;"")="","",IF(ISNUMBER(INDEX($A269:$AL269,MATCH(Lists!$F$7,$A$1:$AL$1,0))),ROUND(MOD(INDEX($A269:$AL269,MATCH(Lists!$F$7,$A$1:$AL$1,0)),1)*1440,0),VALUE(LEFT(INDEX($A269:$AL269,MATCH(Lists!$F$7,$A$1:$AL$1,0)),2))*60+VALUE(MID(INDEX($A269:$AL269,MATCH(Lists!$F$7,$A$1:$AL$1,0)),4,2)))),""),-1))</f>
        <v/>
      </c>
      <c r="AW269" s="21">
        <f>IF(IFERROR(TRIM(INDEX($A269:$AL269,MATCH(Lists!$F$2,$A$1:$AL$1,0))&amp;""),"")="","",IF(IFERROR(TRIM(INDEX($A269:$AL269,MATCH(Lists!$F$8,$A$1:$AL$1,0))&amp;""),"")&lt;&gt;"",IFERROR(TRIM(INDEX($A269:$AL269,MATCH(Lists!$F$8,$A$1:$AL$1,0))&amp;""),""),IFERROR(TRIM(INDEX($A269:$AL269,MATCH(Lists!$F$9,$A$1:$AL$1,0))&amp;""),"")))</f>
        <v/>
      </c>
      <c r="AX269" s="21">
        <f>IFERROR(IF(TRIM(INDEX($A269:$AL269,MATCH(Lists!$F$10,$A$1:$AL$1,0))&amp;"")="","",VALUE(TRIM(INDEX($A269:$AL269,MATCH(Lists!$F$10,$A$1:$AL$1,0))&amp;""))),"")</f>
        <v/>
      </c>
      <c r="AY269" s="21">
        <f>IF(IFERROR(TRIM(INDEX($A269:$AL269,MATCH(Lists!$F$2,$A$1:$AL$1,0))&amp;""),"")="","",IF(AN269="","New",AN269))</f>
        <v/>
      </c>
      <c r="AZ269" s="21">
        <f>IF(IFERROR(TRIM(INDEX($A269:$AL269,MATCH(Lists!$F$2,$A$1:$AL$1,0))&amp;""),"")="","",IF(OR(IFERROR(TRIM(INDEX($A269:$AL269,MATCH(Lists!$F$13,$A$1:$AL$1,0))&amp;""),"")="Paid",IFERROR(TRIM(INDEX($A269:$AL269,MATCH(Lists!$F$13,$A$1:$AL$1,0))&amp;""),"")="Partially refunded"),"Paid",IF(AP269="Yes","Paid (by hand)",IFERROR(TRIM(INDEX($A269:$AL269,MATCH(Lists!$F$13,$A$1:$AL$1,0))&amp;""),""))))</f>
        <v/>
      </c>
      <c r="BA269" s="21">
        <f>IF(AND(IFERROR(TRIM(INDEX($A269:$AL269,MATCH(Lists!$F$2,$A$1:$AL$1,0))&amp;""),"")&lt;&gt;"",AT269&gt;0,AU269&gt;=0,AV269&gt;AU269,AY269&lt;&gt;"Declined"),1,0)</f>
        <v/>
      </c>
      <c r="BB269" s="21">
        <f>IF(BA269=1,COUNTIFS($AS$2:$AS$501,AS269,$AT$2:$AT$501,AT269,$AU$2:$AU$501,"&lt;"&amp;AV269,$AV$2:$AV$501,"&gt;"&amp;AU269,$BA$2:$BA$501,1)-1,"")</f>
        <v/>
      </c>
      <c r="BC269" s="21">
        <f>IF(N(BB269)&gt;0,"Clashes with "&amp;INDEX($AW$2:$AW$501,SUMPRODUCT(MAX(($AS$2:$AS$501=AS269)*($AT$2:$AT$501=AT269)*($AU$2:$AU$501&lt;AV269)*($AV$2:$AV$501&gt;AU269)*($BA$2:$BA$501=1)*(ROW($AS$2:$AS$501)&lt;&gt;ROW())*ROW($AS$2:$AS$501)))-1)&amp;" ("&amp;INDEX($AY$2:$AY$501,SUMPRODUCT(MAX(($AS$2:$AS$501=AS269)*($AT$2:$AT$501=AT269)*($AU$2:$AU$501&lt;AV269)*($AV$2:$AV$501&gt;AU269)*($BA$2:$BA$501=1)*(ROW($AS$2:$AS$501)&lt;&gt;ROW())*ROW($AS$2:$AS$501)))-1)&amp;")"&amp;IF(BB269&gt;1," and "&amp;(BB269-1)&amp;" more",""),"")</f>
        <v/>
      </c>
      <c r="BD269" s="21">
        <f>IF(AND(BA269=1,AY269="Confirmed"),AT269*10000000+AU269*1000+ROW(),"")</f>
        <v/>
      </c>
      <c r="BE269" s="21">
        <f>IF(IFERROR(TRIM(INDEX($A269:$AL269,MATCH(Lists!$F$2,$A$1:$AL$1,0))&amp;""),"")="","",IFERROR(TRIM(INDEX($A269:$AL269,MATCH(Lists!$F$11,$A$1:$AL$1,0))&amp;""),""))</f>
        <v/>
      </c>
      <c r="BF269" s="21">
        <f>IF(IFERROR(TRIM(INDEX($A269:$AL269,MATCH(Lists!$F$2,$A$1:$AL$1,0))&amp;""),"")="","",IFERROR(TRIM(INDEX($A269:$AL269,MATCH(Lists!$F$12,$A$1:$AL$1,0))&amp;""),""))</f>
        <v/>
      </c>
    </row>
    <row r="270">
      <c r="AM270" s="19" t="n"/>
      <c r="AN270" s="23" t="n"/>
      <c r="AO270" s="23" t="n"/>
      <c r="AP270" s="23" t="n"/>
      <c r="AQ270" s="23" t="n"/>
      <c r="AR270" s="19" t="n"/>
      <c r="AS270" s="21">
        <f>IF(IFERROR(TRIM(INDEX($A270:$AL270,MATCH(Lists!$F$2,$A$1:$AL$1,0))&amp;""),"")="","",IF(AND(IFERROR(TRIM(INDEX($A270:$AL270,MATCH(Lists!$F$3,$A$1:$AL$1,0))&amp;""),"")="Other",IFERROR(TRIM(INDEX($A270:$AL270,MATCH(Lists!$F$4,$A$1:$AL$1,0))&amp;""),"")&lt;&gt;""),IFERROR(TRIM(INDEX($A270:$AL270,MATCH(Lists!$F$4,$A$1:$AL$1,0))&amp;""),""),IF(IFERROR(TRIM(INDEX($A270:$AL270,MATCH(Lists!$F$3,$A$1:$AL$1,0))&amp;""),"")="","(no space)",IFERROR(TRIM(INDEX($A270:$AL270,MATCH(Lists!$F$3,$A$1:$AL$1,0))&amp;""),""))))</f>
        <v/>
      </c>
      <c r="AT270" s="22">
        <f>IF(IFERROR(TRIM(INDEX($A270:$AL270,MATCH(Lists!$F$2,$A$1:$AL$1,0))&amp;""),"")="",0,N(IFERROR(IF(TRIM(INDEX($A270:$AL270,MATCH(Lists!$F$5,$A$1:$AL$1,0))&amp;"")="","",IF(ISNUMBER(INDEX($A270:$AL270,MATCH(Lists!$F$5,$A$1:$AL$1,0))),INT(INDEX($A270:$AL270,MATCH(Lists!$F$5,$A$1:$AL$1,0))),DATE(VALUE(LEFT(INDEX($A270:$AL270,MATCH(Lists!$F$5,$A$1:$AL$1,0)),4)),VALUE(MID(INDEX($A270:$AL270,MATCH(Lists!$F$5,$A$1:$AL$1,0)),6,2)),VALUE(MID(INDEX($A270:$AL270,MATCH(Lists!$F$5,$A$1:$AL$1,0)),9,2))))),"")))</f>
        <v/>
      </c>
      <c r="AU270" s="21">
        <f>IF(IFERROR(TRIM(INDEX($A270:$AL270,MATCH(Lists!$F$2,$A$1:$AL$1,0))&amp;""),"")="",-1,IF(ISNUMBER(IFERROR(IF(TRIM(INDEX($A270:$AL270,MATCH(Lists!$F$6,$A$1:$AL$1,0))&amp;"")="","",IF(ISNUMBER(INDEX($A270:$AL270,MATCH(Lists!$F$6,$A$1:$AL$1,0))),ROUND(MOD(INDEX($A270:$AL270,MATCH(Lists!$F$6,$A$1:$AL$1,0)),1)*1440,0),VALUE(LEFT(INDEX($A270:$AL270,MATCH(Lists!$F$6,$A$1:$AL$1,0)),2))*60+VALUE(MID(INDEX($A270:$AL270,MATCH(Lists!$F$6,$A$1:$AL$1,0)),4,2)))),"")),IFERROR(IF(TRIM(INDEX($A270:$AL270,MATCH(Lists!$F$6,$A$1:$AL$1,0))&amp;"")="","",IF(ISNUMBER(INDEX($A270:$AL270,MATCH(Lists!$F$6,$A$1:$AL$1,0))),ROUND(MOD(INDEX($A270:$AL270,MATCH(Lists!$F$6,$A$1:$AL$1,0)),1)*1440,0),VALUE(LEFT(INDEX($A270:$AL270,MATCH(Lists!$F$6,$A$1:$AL$1,0)),2))*60+VALUE(MID(INDEX($A270:$AL270,MATCH(Lists!$F$6,$A$1:$AL$1,0)),4,2)))),""),-1))</f>
        <v/>
      </c>
      <c r="AV270" s="21">
        <f>IF(IFERROR(TRIM(INDEX($A270:$AL270,MATCH(Lists!$F$2,$A$1:$AL$1,0))&amp;""),"")="",-1,IF(ISNUMBER(IFERROR(IF(TRIM(INDEX($A270:$AL270,MATCH(Lists!$F$7,$A$1:$AL$1,0))&amp;"")="","",IF(ISNUMBER(INDEX($A270:$AL270,MATCH(Lists!$F$7,$A$1:$AL$1,0))),ROUND(MOD(INDEX($A270:$AL270,MATCH(Lists!$F$7,$A$1:$AL$1,0)),1)*1440,0),VALUE(LEFT(INDEX($A270:$AL270,MATCH(Lists!$F$7,$A$1:$AL$1,0)),2))*60+VALUE(MID(INDEX($A270:$AL270,MATCH(Lists!$F$7,$A$1:$AL$1,0)),4,2)))),"")),IFERROR(IF(TRIM(INDEX($A270:$AL270,MATCH(Lists!$F$7,$A$1:$AL$1,0))&amp;"")="","",IF(ISNUMBER(INDEX($A270:$AL270,MATCH(Lists!$F$7,$A$1:$AL$1,0))),ROUND(MOD(INDEX($A270:$AL270,MATCH(Lists!$F$7,$A$1:$AL$1,0)),1)*1440,0),VALUE(LEFT(INDEX($A270:$AL270,MATCH(Lists!$F$7,$A$1:$AL$1,0)),2))*60+VALUE(MID(INDEX($A270:$AL270,MATCH(Lists!$F$7,$A$1:$AL$1,0)),4,2)))),""),-1))</f>
        <v/>
      </c>
      <c r="AW270" s="21">
        <f>IF(IFERROR(TRIM(INDEX($A270:$AL270,MATCH(Lists!$F$2,$A$1:$AL$1,0))&amp;""),"")="","",IF(IFERROR(TRIM(INDEX($A270:$AL270,MATCH(Lists!$F$8,$A$1:$AL$1,0))&amp;""),"")&lt;&gt;"",IFERROR(TRIM(INDEX($A270:$AL270,MATCH(Lists!$F$8,$A$1:$AL$1,0))&amp;""),""),IFERROR(TRIM(INDEX($A270:$AL270,MATCH(Lists!$F$9,$A$1:$AL$1,0))&amp;""),"")))</f>
        <v/>
      </c>
      <c r="AX270" s="21">
        <f>IFERROR(IF(TRIM(INDEX($A270:$AL270,MATCH(Lists!$F$10,$A$1:$AL$1,0))&amp;"")="","",VALUE(TRIM(INDEX($A270:$AL270,MATCH(Lists!$F$10,$A$1:$AL$1,0))&amp;""))),"")</f>
        <v/>
      </c>
      <c r="AY270" s="21">
        <f>IF(IFERROR(TRIM(INDEX($A270:$AL270,MATCH(Lists!$F$2,$A$1:$AL$1,0))&amp;""),"")="","",IF(AN270="","New",AN270))</f>
        <v/>
      </c>
      <c r="AZ270" s="21">
        <f>IF(IFERROR(TRIM(INDEX($A270:$AL270,MATCH(Lists!$F$2,$A$1:$AL$1,0))&amp;""),"")="","",IF(OR(IFERROR(TRIM(INDEX($A270:$AL270,MATCH(Lists!$F$13,$A$1:$AL$1,0))&amp;""),"")="Paid",IFERROR(TRIM(INDEX($A270:$AL270,MATCH(Lists!$F$13,$A$1:$AL$1,0))&amp;""),"")="Partially refunded"),"Paid",IF(AP270="Yes","Paid (by hand)",IFERROR(TRIM(INDEX($A270:$AL270,MATCH(Lists!$F$13,$A$1:$AL$1,0))&amp;""),""))))</f>
        <v/>
      </c>
      <c r="BA270" s="21">
        <f>IF(AND(IFERROR(TRIM(INDEX($A270:$AL270,MATCH(Lists!$F$2,$A$1:$AL$1,0))&amp;""),"")&lt;&gt;"",AT270&gt;0,AU270&gt;=0,AV270&gt;AU270,AY270&lt;&gt;"Declined"),1,0)</f>
        <v/>
      </c>
      <c r="BB270" s="21">
        <f>IF(BA270=1,COUNTIFS($AS$2:$AS$501,AS270,$AT$2:$AT$501,AT270,$AU$2:$AU$501,"&lt;"&amp;AV270,$AV$2:$AV$501,"&gt;"&amp;AU270,$BA$2:$BA$501,1)-1,"")</f>
        <v/>
      </c>
      <c r="BC270" s="21">
        <f>IF(N(BB270)&gt;0,"Clashes with "&amp;INDEX($AW$2:$AW$501,SUMPRODUCT(MAX(($AS$2:$AS$501=AS270)*($AT$2:$AT$501=AT270)*($AU$2:$AU$501&lt;AV270)*($AV$2:$AV$501&gt;AU270)*($BA$2:$BA$501=1)*(ROW($AS$2:$AS$501)&lt;&gt;ROW())*ROW($AS$2:$AS$501)))-1)&amp;" ("&amp;INDEX($AY$2:$AY$501,SUMPRODUCT(MAX(($AS$2:$AS$501=AS270)*($AT$2:$AT$501=AT270)*($AU$2:$AU$501&lt;AV270)*($AV$2:$AV$501&gt;AU270)*($BA$2:$BA$501=1)*(ROW($AS$2:$AS$501)&lt;&gt;ROW())*ROW($AS$2:$AS$501)))-1)&amp;")"&amp;IF(BB270&gt;1," and "&amp;(BB270-1)&amp;" more",""),"")</f>
        <v/>
      </c>
      <c r="BD270" s="21">
        <f>IF(AND(BA270=1,AY270="Confirmed"),AT270*10000000+AU270*1000+ROW(),"")</f>
        <v/>
      </c>
      <c r="BE270" s="21">
        <f>IF(IFERROR(TRIM(INDEX($A270:$AL270,MATCH(Lists!$F$2,$A$1:$AL$1,0))&amp;""),"")="","",IFERROR(TRIM(INDEX($A270:$AL270,MATCH(Lists!$F$11,$A$1:$AL$1,0))&amp;""),""))</f>
        <v/>
      </c>
      <c r="BF270" s="21">
        <f>IF(IFERROR(TRIM(INDEX($A270:$AL270,MATCH(Lists!$F$2,$A$1:$AL$1,0))&amp;""),"")="","",IFERROR(TRIM(INDEX($A270:$AL270,MATCH(Lists!$F$12,$A$1:$AL$1,0))&amp;""),""))</f>
        <v/>
      </c>
    </row>
    <row r="271">
      <c r="AM271" s="19" t="n"/>
      <c r="AN271" s="23" t="n"/>
      <c r="AO271" s="23" t="n"/>
      <c r="AP271" s="23" t="n"/>
      <c r="AQ271" s="23" t="n"/>
      <c r="AR271" s="19" t="n"/>
      <c r="AS271" s="21">
        <f>IF(IFERROR(TRIM(INDEX($A271:$AL271,MATCH(Lists!$F$2,$A$1:$AL$1,0))&amp;""),"")="","",IF(AND(IFERROR(TRIM(INDEX($A271:$AL271,MATCH(Lists!$F$3,$A$1:$AL$1,0))&amp;""),"")="Other",IFERROR(TRIM(INDEX($A271:$AL271,MATCH(Lists!$F$4,$A$1:$AL$1,0))&amp;""),"")&lt;&gt;""),IFERROR(TRIM(INDEX($A271:$AL271,MATCH(Lists!$F$4,$A$1:$AL$1,0))&amp;""),""),IF(IFERROR(TRIM(INDEX($A271:$AL271,MATCH(Lists!$F$3,$A$1:$AL$1,0))&amp;""),"")="","(no space)",IFERROR(TRIM(INDEX($A271:$AL271,MATCH(Lists!$F$3,$A$1:$AL$1,0))&amp;""),""))))</f>
        <v/>
      </c>
      <c r="AT271" s="22">
        <f>IF(IFERROR(TRIM(INDEX($A271:$AL271,MATCH(Lists!$F$2,$A$1:$AL$1,0))&amp;""),"")="",0,N(IFERROR(IF(TRIM(INDEX($A271:$AL271,MATCH(Lists!$F$5,$A$1:$AL$1,0))&amp;"")="","",IF(ISNUMBER(INDEX($A271:$AL271,MATCH(Lists!$F$5,$A$1:$AL$1,0))),INT(INDEX($A271:$AL271,MATCH(Lists!$F$5,$A$1:$AL$1,0))),DATE(VALUE(LEFT(INDEX($A271:$AL271,MATCH(Lists!$F$5,$A$1:$AL$1,0)),4)),VALUE(MID(INDEX($A271:$AL271,MATCH(Lists!$F$5,$A$1:$AL$1,0)),6,2)),VALUE(MID(INDEX($A271:$AL271,MATCH(Lists!$F$5,$A$1:$AL$1,0)),9,2))))),"")))</f>
        <v/>
      </c>
      <c r="AU271" s="21">
        <f>IF(IFERROR(TRIM(INDEX($A271:$AL271,MATCH(Lists!$F$2,$A$1:$AL$1,0))&amp;""),"")="",-1,IF(ISNUMBER(IFERROR(IF(TRIM(INDEX($A271:$AL271,MATCH(Lists!$F$6,$A$1:$AL$1,0))&amp;"")="","",IF(ISNUMBER(INDEX($A271:$AL271,MATCH(Lists!$F$6,$A$1:$AL$1,0))),ROUND(MOD(INDEX($A271:$AL271,MATCH(Lists!$F$6,$A$1:$AL$1,0)),1)*1440,0),VALUE(LEFT(INDEX($A271:$AL271,MATCH(Lists!$F$6,$A$1:$AL$1,0)),2))*60+VALUE(MID(INDEX($A271:$AL271,MATCH(Lists!$F$6,$A$1:$AL$1,0)),4,2)))),"")),IFERROR(IF(TRIM(INDEX($A271:$AL271,MATCH(Lists!$F$6,$A$1:$AL$1,0))&amp;"")="","",IF(ISNUMBER(INDEX($A271:$AL271,MATCH(Lists!$F$6,$A$1:$AL$1,0))),ROUND(MOD(INDEX($A271:$AL271,MATCH(Lists!$F$6,$A$1:$AL$1,0)),1)*1440,0),VALUE(LEFT(INDEX($A271:$AL271,MATCH(Lists!$F$6,$A$1:$AL$1,0)),2))*60+VALUE(MID(INDEX($A271:$AL271,MATCH(Lists!$F$6,$A$1:$AL$1,0)),4,2)))),""),-1))</f>
        <v/>
      </c>
      <c r="AV271" s="21">
        <f>IF(IFERROR(TRIM(INDEX($A271:$AL271,MATCH(Lists!$F$2,$A$1:$AL$1,0))&amp;""),"")="",-1,IF(ISNUMBER(IFERROR(IF(TRIM(INDEX($A271:$AL271,MATCH(Lists!$F$7,$A$1:$AL$1,0))&amp;"")="","",IF(ISNUMBER(INDEX($A271:$AL271,MATCH(Lists!$F$7,$A$1:$AL$1,0))),ROUND(MOD(INDEX($A271:$AL271,MATCH(Lists!$F$7,$A$1:$AL$1,0)),1)*1440,0),VALUE(LEFT(INDEX($A271:$AL271,MATCH(Lists!$F$7,$A$1:$AL$1,0)),2))*60+VALUE(MID(INDEX($A271:$AL271,MATCH(Lists!$F$7,$A$1:$AL$1,0)),4,2)))),"")),IFERROR(IF(TRIM(INDEX($A271:$AL271,MATCH(Lists!$F$7,$A$1:$AL$1,0))&amp;"")="","",IF(ISNUMBER(INDEX($A271:$AL271,MATCH(Lists!$F$7,$A$1:$AL$1,0))),ROUND(MOD(INDEX($A271:$AL271,MATCH(Lists!$F$7,$A$1:$AL$1,0)),1)*1440,0),VALUE(LEFT(INDEX($A271:$AL271,MATCH(Lists!$F$7,$A$1:$AL$1,0)),2))*60+VALUE(MID(INDEX($A271:$AL271,MATCH(Lists!$F$7,$A$1:$AL$1,0)),4,2)))),""),-1))</f>
        <v/>
      </c>
      <c r="AW271" s="21">
        <f>IF(IFERROR(TRIM(INDEX($A271:$AL271,MATCH(Lists!$F$2,$A$1:$AL$1,0))&amp;""),"")="","",IF(IFERROR(TRIM(INDEX($A271:$AL271,MATCH(Lists!$F$8,$A$1:$AL$1,0))&amp;""),"")&lt;&gt;"",IFERROR(TRIM(INDEX($A271:$AL271,MATCH(Lists!$F$8,$A$1:$AL$1,0))&amp;""),""),IFERROR(TRIM(INDEX($A271:$AL271,MATCH(Lists!$F$9,$A$1:$AL$1,0))&amp;""),"")))</f>
        <v/>
      </c>
      <c r="AX271" s="21">
        <f>IFERROR(IF(TRIM(INDEX($A271:$AL271,MATCH(Lists!$F$10,$A$1:$AL$1,0))&amp;"")="","",VALUE(TRIM(INDEX($A271:$AL271,MATCH(Lists!$F$10,$A$1:$AL$1,0))&amp;""))),"")</f>
        <v/>
      </c>
      <c r="AY271" s="21">
        <f>IF(IFERROR(TRIM(INDEX($A271:$AL271,MATCH(Lists!$F$2,$A$1:$AL$1,0))&amp;""),"")="","",IF(AN271="","New",AN271))</f>
        <v/>
      </c>
      <c r="AZ271" s="21">
        <f>IF(IFERROR(TRIM(INDEX($A271:$AL271,MATCH(Lists!$F$2,$A$1:$AL$1,0))&amp;""),"")="","",IF(OR(IFERROR(TRIM(INDEX($A271:$AL271,MATCH(Lists!$F$13,$A$1:$AL$1,0))&amp;""),"")="Paid",IFERROR(TRIM(INDEX($A271:$AL271,MATCH(Lists!$F$13,$A$1:$AL$1,0))&amp;""),"")="Partially refunded"),"Paid",IF(AP271="Yes","Paid (by hand)",IFERROR(TRIM(INDEX($A271:$AL271,MATCH(Lists!$F$13,$A$1:$AL$1,0))&amp;""),""))))</f>
        <v/>
      </c>
      <c r="BA271" s="21">
        <f>IF(AND(IFERROR(TRIM(INDEX($A271:$AL271,MATCH(Lists!$F$2,$A$1:$AL$1,0))&amp;""),"")&lt;&gt;"",AT271&gt;0,AU271&gt;=0,AV271&gt;AU271,AY271&lt;&gt;"Declined"),1,0)</f>
        <v/>
      </c>
      <c r="BB271" s="21">
        <f>IF(BA271=1,COUNTIFS($AS$2:$AS$501,AS271,$AT$2:$AT$501,AT271,$AU$2:$AU$501,"&lt;"&amp;AV271,$AV$2:$AV$501,"&gt;"&amp;AU271,$BA$2:$BA$501,1)-1,"")</f>
        <v/>
      </c>
      <c r="BC271" s="21">
        <f>IF(N(BB271)&gt;0,"Clashes with "&amp;INDEX($AW$2:$AW$501,SUMPRODUCT(MAX(($AS$2:$AS$501=AS271)*($AT$2:$AT$501=AT271)*($AU$2:$AU$501&lt;AV271)*($AV$2:$AV$501&gt;AU271)*($BA$2:$BA$501=1)*(ROW($AS$2:$AS$501)&lt;&gt;ROW())*ROW($AS$2:$AS$501)))-1)&amp;" ("&amp;INDEX($AY$2:$AY$501,SUMPRODUCT(MAX(($AS$2:$AS$501=AS271)*($AT$2:$AT$501=AT271)*($AU$2:$AU$501&lt;AV271)*($AV$2:$AV$501&gt;AU271)*($BA$2:$BA$501=1)*(ROW($AS$2:$AS$501)&lt;&gt;ROW())*ROW($AS$2:$AS$501)))-1)&amp;")"&amp;IF(BB271&gt;1," and "&amp;(BB271-1)&amp;" more",""),"")</f>
        <v/>
      </c>
      <c r="BD271" s="21">
        <f>IF(AND(BA271=1,AY271="Confirmed"),AT271*10000000+AU271*1000+ROW(),"")</f>
        <v/>
      </c>
      <c r="BE271" s="21">
        <f>IF(IFERROR(TRIM(INDEX($A271:$AL271,MATCH(Lists!$F$2,$A$1:$AL$1,0))&amp;""),"")="","",IFERROR(TRIM(INDEX($A271:$AL271,MATCH(Lists!$F$11,$A$1:$AL$1,0))&amp;""),""))</f>
        <v/>
      </c>
      <c r="BF271" s="21">
        <f>IF(IFERROR(TRIM(INDEX($A271:$AL271,MATCH(Lists!$F$2,$A$1:$AL$1,0))&amp;""),"")="","",IFERROR(TRIM(INDEX($A271:$AL271,MATCH(Lists!$F$12,$A$1:$AL$1,0))&amp;""),""))</f>
        <v/>
      </c>
    </row>
    <row r="272">
      <c r="AM272" s="19" t="n"/>
      <c r="AN272" s="23" t="n"/>
      <c r="AO272" s="23" t="n"/>
      <c r="AP272" s="23" t="n"/>
      <c r="AQ272" s="23" t="n"/>
      <c r="AR272" s="19" t="n"/>
      <c r="AS272" s="21">
        <f>IF(IFERROR(TRIM(INDEX($A272:$AL272,MATCH(Lists!$F$2,$A$1:$AL$1,0))&amp;""),"")="","",IF(AND(IFERROR(TRIM(INDEX($A272:$AL272,MATCH(Lists!$F$3,$A$1:$AL$1,0))&amp;""),"")="Other",IFERROR(TRIM(INDEX($A272:$AL272,MATCH(Lists!$F$4,$A$1:$AL$1,0))&amp;""),"")&lt;&gt;""),IFERROR(TRIM(INDEX($A272:$AL272,MATCH(Lists!$F$4,$A$1:$AL$1,0))&amp;""),""),IF(IFERROR(TRIM(INDEX($A272:$AL272,MATCH(Lists!$F$3,$A$1:$AL$1,0))&amp;""),"")="","(no space)",IFERROR(TRIM(INDEX($A272:$AL272,MATCH(Lists!$F$3,$A$1:$AL$1,0))&amp;""),""))))</f>
        <v/>
      </c>
      <c r="AT272" s="22">
        <f>IF(IFERROR(TRIM(INDEX($A272:$AL272,MATCH(Lists!$F$2,$A$1:$AL$1,0))&amp;""),"")="",0,N(IFERROR(IF(TRIM(INDEX($A272:$AL272,MATCH(Lists!$F$5,$A$1:$AL$1,0))&amp;"")="","",IF(ISNUMBER(INDEX($A272:$AL272,MATCH(Lists!$F$5,$A$1:$AL$1,0))),INT(INDEX($A272:$AL272,MATCH(Lists!$F$5,$A$1:$AL$1,0))),DATE(VALUE(LEFT(INDEX($A272:$AL272,MATCH(Lists!$F$5,$A$1:$AL$1,0)),4)),VALUE(MID(INDEX($A272:$AL272,MATCH(Lists!$F$5,$A$1:$AL$1,0)),6,2)),VALUE(MID(INDEX($A272:$AL272,MATCH(Lists!$F$5,$A$1:$AL$1,0)),9,2))))),"")))</f>
        <v/>
      </c>
      <c r="AU272" s="21">
        <f>IF(IFERROR(TRIM(INDEX($A272:$AL272,MATCH(Lists!$F$2,$A$1:$AL$1,0))&amp;""),"")="",-1,IF(ISNUMBER(IFERROR(IF(TRIM(INDEX($A272:$AL272,MATCH(Lists!$F$6,$A$1:$AL$1,0))&amp;"")="","",IF(ISNUMBER(INDEX($A272:$AL272,MATCH(Lists!$F$6,$A$1:$AL$1,0))),ROUND(MOD(INDEX($A272:$AL272,MATCH(Lists!$F$6,$A$1:$AL$1,0)),1)*1440,0),VALUE(LEFT(INDEX($A272:$AL272,MATCH(Lists!$F$6,$A$1:$AL$1,0)),2))*60+VALUE(MID(INDEX($A272:$AL272,MATCH(Lists!$F$6,$A$1:$AL$1,0)),4,2)))),"")),IFERROR(IF(TRIM(INDEX($A272:$AL272,MATCH(Lists!$F$6,$A$1:$AL$1,0))&amp;"")="","",IF(ISNUMBER(INDEX($A272:$AL272,MATCH(Lists!$F$6,$A$1:$AL$1,0))),ROUND(MOD(INDEX($A272:$AL272,MATCH(Lists!$F$6,$A$1:$AL$1,0)),1)*1440,0),VALUE(LEFT(INDEX($A272:$AL272,MATCH(Lists!$F$6,$A$1:$AL$1,0)),2))*60+VALUE(MID(INDEX($A272:$AL272,MATCH(Lists!$F$6,$A$1:$AL$1,0)),4,2)))),""),-1))</f>
        <v/>
      </c>
      <c r="AV272" s="21">
        <f>IF(IFERROR(TRIM(INDEX($A272:$AL272,MATCH(Lists!$F$2,$A$1:$AL$1,0))&amp;""),"")="",-1,IF(ISNUMBER(IFERROR(IF(TRIM(INDEX($A272:$AL272,MATCH(Lists!$F$7,$A$1:$AL$1,0))&amp;"")="","",IF(ISNUMBER(INDEX($A272:$AL272,MATCH(Lists!$F$7,$A$1:$AL$1,0))),ROUND(MOD(INDEX($A272:$AL272,MATCH(Lists!$F$7,$A$1:$AL$1,0)),1)*1440,0),VALUE(LEFT(INDEX($A272:$AL272,MATCH(Lists!$F$7,$A$1:$AL$1,0)),2))*60+VALUE(MID(INDEX($A272:$AL272,MATCH(Lists!$F$7,$A$1:$AL$1,0)),4,2)))),"")),IFERROR(IF(TRIM(INDEX($A272:$AL272,MATCH(Lists!$F$7,$A$1:$AL$1,0))&amp;"")="","",IF(ISNUMBER(INDEX($A272:$AL272,MATCH(Lists!$F$7,$A$1:$AL$1,0))),ROUND(MOD(INDEX($A272:$AL272,MATCH(Lists!$F$7,$A$1:$AL$1,0)),1)*1440,0),VALUE(LEFT(INDEX($A272:$AL272,MATCH(Lists!$F$7,$A$1:$AL$1,0)),2))*60+VALUE(MID(INDEX($A272:$AL272,MATCH(Lists!$F$7,$A$1:$AL$1,0)),4,2)))),""),-1))</f>
        <v/>
      </c>
      <c r="AW272" s="21">
        <f>IF(IFERROR(TRIM(INDEX($A272:$AL272,MATCH(Lists!$F$2,$A$1:$AL$1,0))&amp;""),"")="","",IF(IFERROR(TRIM(INDEX($A272:$AL272,MATCH(Lists!$F$8,$A$1:$AL$1,0))&amp;""),"")&lt;&gt;"",IFERROR(TRIM(INDEX($A272:$AL272,MATCH(Lists!$F$8,$A$1:$AL$1,0))&amp;""),""),IFERROR(TRIM(INDEX($A272:$AL272,MATCH(Lists!$F$9,$A$1:$AL$1,0))&amp;""),"")))</f>
        <v/>
      </c>
      <c r="AX272" s="21">
        <f>IFERROR(IF(TRIM(INDEX($A272:$AL272,MATCH(Lists!$F$10,$A$1:$AL$1,0))&amp;"")="","",VALUE(TRIM(INDEX($A272:$AL272,MATCH(Lists!$F$10,$A$1:$AL$1,0))&amp;""))),"")</f>
        <v/>
      </c>
      <c r="AY272" s="21">
        <f>IF(IFERROR(TRIM(INDEX($A272:$AL272,MATCH(Lists!$F$2,$A$1:$AL$1,0))&amp;""),"")="","",IF(AN272="","New",AN272))</f>
        <v/>
      </c>
      <c r="AZ272" s="21">
        <f>IF(IFERROR(TRIM(INDEX($A272:$AL272,MATCH(Lists!$F$2,$A$1:$AL$1,0))&amp;""),"")="","",IF(OR(IFERROR(TRIM(INDEX($A272:$AL272,MATCH(Lists!$F$13,$A$1:$AL$1,0))&amp;""),"")="Paid",IFERROR(TRIM(INDEX($A272:$AL272,MATCH(Lists!$F$13,$A$1:$AL$1,0))&amp;""),"")="Partially refunded"),"Paid",IF(AP272="Yes","Paid (by hand)",IFERROR(TRIM(INDEX($A272:$AL272,MATCH(Lists!$F$13,$A$1:$AL$1,0))&amp;""),""))))</f>
        <v/>
      </c>
      <c r="BA272" s="21">
        <f>IF(AND(IFERROR(TRIM(INDEX($A272:$AL272,MATCH(Lists!$F$2,$A$1:$AL$1,0))&amp;""),"")&lt;&gt;"",AT272&gt;0,AU272&gt;=0,AV272&gt;AU272,AY272&lt;&gt;"Declined"),1,0)</f>
        <v/>
      </c>
      <c r="BB272" s="21">
        <f>IF(BA272=1,COUNTIFS($AS$2:$AS$501,AS272,$AT$2:$AT$501,AT272,$AU$2:$AU$501,"&lt;"&amp;AV272,$AV$2:$AV$501,"&gt;"&amp;AU272,$BA$2:$BA$501,1)-1,"")</f>
        <v/>
      </c>
      <c r="BC272" s="21">
        <f>IF(N(BB272)&gt;0,"Clashes with "&amp;INDEX($AW$2:$AW$501,SUMPRODUCT(MAX(($AS$2:$AS$501=AS272)*($AT$2:$AT$501=AT272)*($AU$2:$AU$501&lt;AV272)*($AV$2:$AV$501&gt;AU272)*($BA$2:$BA$501=1)*(ROW($AS$2:$AS$501)&lt;&gt;ROW())*ROW($AS$2:$AS$501)))-1)&amp;" ("&amp;INDEX($AY$2:$AY$501,SUMPRODUCT(MAX(($AS$2:$AS$501=AS272)*($AT$2:$AT$501=AT272)*($AU$2:$AU$501&lt;AV272)*($AV$2:$AV$501&gt;AU272)*($BA$2:$BA$501=1)*(ROW($AS$2:$AS$501)&lt;&gt;ROW())*ROW($AS$2:$AS$501)))-1)&amp;")"&amp;IF(BB272&gt;1," and "&amp;(BB272-1)&amp;" more",""),"")</f>
        <v/>
      </c>
      <c r="BD272" s="21">
        <f>IF(AND(BA272=1,AY272="Confirmed"),AT272*10000000+AU272*1000+ROW(),"")</f>
        <v/>
      </c>
      <c r="BE272" s="21">
        <f>IF(IFERROR(TRIM(INDEX($A272:$AL272,MATCH(Lists!$F$2,$A$1:$AL$1,0))&amp;""),"")="","",IFERROR(TRIM(INDEX($A272:$AL272,MATCH(Lists!$F$11,$A$1:$AL$1,0))&amp;""),""))</f>
        <v/>
      </c>
      <c r="BF272" s="21">
        <f>IF(IFERROR(TRIM(INDEX($A272:$AL272,MATCH(Lists!$F$2,$A$1:$AL$1,0))&amp;""),"")="","",IFERROR(TRIM(INDEX($A272:$AL272,MATCH(Lists!$F$12,$A$1:$AL$1,0))&amp;""),""))</f>
        <v/>
      </c>
    </row>
    <row r="273">
      <c r="AM273" s="19" t="n"/>
      <c r="AN273" s="23" t="n"/>
      <c r="AO273" s="23" t="n"/>
      <c r="AP273" s="23" t="n"/>
      <c r="AQ273" s="23" t="n"/>
      <c r="AR273" s="19" t="n"/>
      <c r="AS273" s="21">
        <f>IF(IFERROR(TRIM(INDEX($A273:$AL273,MATCH(Lists!$F$2,$A$1:$AL$1,0))&amp;""),"")="","",IF(AND(IFERROR(TRIM(INDEX($A273:$AL273,MATCH(Lists!$F$3,$A$1:$AL$1,0))&amp;""),"")="Other",IFERROR(TRIM(INDEX($A273:$AL273,MATCH(Lists!$F$4,$A$1:$AL$1,0))&amp;""),"")&lt;&gt;""),IFERROR(TRIM(INDEX($A273:$AL273,MATCH(Lists!$F$4,$A$1:$AL$1,0))&amp;""),""),IF(IFERROR(TRIM(INDEX($A273:$AL273,MATCH(Lists!$F$3,$A$1:$AL$1,0))&amp;""),"")="","(no space)",IFERROR(TRIM(INDEX($A273:$AL273,MATCH(Lists!$F$3,$A$1:$AL$1,0))&amp;""),""))))</f>
        <v/>
      </c>
      <c r="AT273" s="22">
        <f>IF(IFERROR(TRIM(INDEX($A273:$AL273,MATCH(Lists!$F$2,$A$1:$AL$1,0))&amp;""),"")="",0,N(IFERROR(IF(TRIM(INDEX($A273:$AL273,MATCH(Lists!$F$5,$A$1:$AL$1,0))&amp;"")="","",IF(ISNUMBER(INDEX($A273:$AL273,MATCH(Lists!$F$5,$A$1:$AL$1,0))),INT(INDEX($A273:$AL273,MATCH(Lists!$F$5,$A$1:$AL$1,0))),DATE(VALUE(LEFT(INDEX($A273:$AL273,MATCH(Lists!$F$5,$A$1:$AL$1,0)),4)),VALUE(MID(INDEX($A273:$AL273,MATCH(Lists!$F$5,$A$1:$AL$1,0)),6,2)),VALUE(MID(INDEX($A273:$AL273,MATCH(Lists!$F$5,$A$1:$AL$1,0)),9,2))))),"")))</f>
        <v/>
      </c>
      <c r="AU273" s="21">
        <f>IF(IFERROR(TRIM(INDEX($A273:$AL273,MATCH(Lists!$F$2,$A$1:$AL$1,0))&amp;""),"")="",-1,IF(ISNUMBER(IFERROR(IF(TRIM(INDEX($A273:$AL273,MATCH(Lists!$F$6,$A$1:$AL$1,0))&amp;"")="","",IF(ISNUMBER(INDEX($A273:$AL273,MATCH(Lists!$F$6,$A$1:$AL$1,0))),ROUND(MOD(INDEX($A273:$AL273,MATCH(Lists!$F$6,$A$1:$AL$1,0)),1)*1440,0),VALUE(LEFT(INDEX($A273:$AL273,MATCH(Lists!$F$6,$A$1:$AL$1,0)),2))*60+VALUE(MID(INDEX($A273:$AL273,MATCH(Lists!$F$6,$A$1:$AL$1,0)),4,2)))),"")),IFERROR(IF(TRIM(INDEX($A273:$AL273,MATCH(Lists!$F$6,$A$1:$AL$1,0))&amp;"")="","",IF(ISNUMBER(INDEX($A273:$AL273,MATCH(Lists!$F$6,$A$1:$AL$1,0))),ROUND(MOD(INDEX($A273:$AL273,MATCH(Lists!$F$6,$A$1:$AL$1,0)),1)*1440,0),VALUE(LEFT(INDEX($A273:$AL273,MATCH(Lists!$F$6,$A$1:$AL$1,0)),2))*60+VALUE(MID(INDEX($A273:$AL273,MATCH(Lists!$F$6,$A$1:$AL$1,0)),4,2)))),""),-1))</f>
        <v/>
      </c>
      <c r="AV273" s="21">
        <f>IF(IFERROR(TRIM(INDEX($A273:$AL273,MATCH(Lists!$F$2,$A$1:$AL$1,0))&amp;""),"")="",-1,IF(ISNUMBER(IFERROR(IF(TRIM(INDEX($A273:$AL273,MATCH(Lists!$F$7,$A$1:$AL$1,0))&amp;"")="","",IF(ISNUMBER(INDEX($A273:$AL273,MATCH(Lists!$F$7,$A$1:$AL$1,0))),ROUND(MOD(INDEX($A273:$AL273,MATCH(Lists!$F$7,$A$1:$AL$1,0)),1)*1440,0),VALUE(LEFT(INDEX($A273:$AL273,MATCH(Lists!$F$7,$A$1:$AL$1,0)),2))*60+VALUE(MID(INDEX($A273:$AL273,MATCH(Lists!$F$7,$A$1:$AL$1,0)),4,2)))),"")),IFERROR(IF(TRIM(INDEX($A273:$AL273,MATCH(Lists!$F$7,$A$1:$AL$1,0))&amp;"")="","",IF(ISNUMBER(INDEX($A273:$AL273,MATCH(Lists!$F$7,$A$1:$AL$1,0))),ROUND(MOD(INDEX($A273:$AL273,MATCH(Lists!$F$7,$A$1:$AL$1,0)),1)*1440,0),VALUE(LEFT(INDEX($A273:$AL273,MATCH(Lists!$F$7,$A$1:$AL$1,0)),2))*60+VALUE(MID(INDEX($A273:$AL273,MATCH(Lists!$F$7,$A$1:$AL$1,0)),4,2)))),""),-1))</f>
        <v/>
      </c>
      <c r="AW273" s="21">
        <f>IF(IFERROR(TRIM(INDEX($A273:$AL273,MATCH(Lists!$F$2,$A$1:$AL$1,0))&amp;""),"")="","",IF(IFERROR(TRIM(INDEX($A273:$AL273,MATCH(Lists!$F$8,$A$1:$AL$1,0))&amp;""),"")&lt;&gt;"",IFERROR(TRIM(INDEX($A273:$AL273,MATCH(Lists!$F$8,$A$1:$AL$1,0))&amp;""),""),IFERROR(TRIM(INDEX($A273:$AL273,MATCH(Lists!$F$9,$A$1:$AL$1,0))&amp;""),"")))</f>
        <v/>
      </c>
      <c r="AX273" s="21">
        <f>IFERROR(IF(TRIM(INDEX($A273:$AL273,MATCH(Lists!$F$10,$A$1:$AL$1,0))&amp;"")="","",VALUE(TRIM(INDEX($A273:$AL273,MATCH(Lists!$F$10,$A$1:$AL$1,0))&amp;""))),"")</f>
        <v/>
      </c>
      <c r="AY273" s="21">
        <f>IF(IFERROR(TRIM(INDEX($A273:$AL273,MATCH(Lists!$F$2,$A$1:$AL$1,0))&amp;""),"")="","",IF(AN273="","New",AN273))</f>
        <v/>
      </c>
      <c r="AZ273" s="21">
        <f>IF(IFERROR(TRIM(INDEX($A273:$AL273,MATCH(Lists!$F$2,$A$1:$AL$1,0))&amp;""),"")="","",IF(OR(IFERROR(TRIM(INDEX($A273:$AL273,MATCH(Lists!$F$13,$A$1:$AL$1,0))&amp;""),"")="Paid",IFERROR(TRIM(INDEX($A273:$AL273,MATCH(Lists!$F$13,$A$1:$AL$1,0))&amp;""),"")="Partially refunded"),"Paid",IF(AP273="Yes","Paid (by hand)",IFERROR(TRIM(INDEX($A273:$AL273,MATCH(Lists!$F$13,$A$1:$AL$1,0))&amp;""),""))))</f>
        <v/>
      </c>
      <c r="BA273" s="21">
        <f>IF(AND(IFERROR(TRIM(INDEX($A273:$AL273,MATCH(Lists!$F$2,$A$1:$AL$1,0))&amp;""),"")&lt;&gt;"",AT273&gt;0,AU273&gt;=0,AV273&gt;AU273,AY273&lt;&gt;"Declined"),1,0)</f>
        <v/>
      </c>
      <c r="BB273" s="21">
        <f>IF(BA273=1,COUNTIFS($AS$2:$AS$501,AS273,$AT$2:$AT$501,AT273,$AU$2:$AU$501,"&lt;"&amp;AV273,$AV$2:$AV$501,"&gt;"&amp;AU273,$BA$2:$BA$501,1)-1,"")</f>
        <v/>
      </c>
      <c r="BC273" s="21">
        <f>IF(N(BB273)&gt;0,"Clashes with "&amp;INDEX($AW$2:$AW$501,SUMPRODUCT(MAX(($AS$2:$AS$501=AS273)*($AT$2:$AT$501=AT273)*($AU$2:$AU$501&lt;AV273)*($AV$2:$AV$501&gt;AU273)*($BA$2:$BA$501=1)*(ROW($AS$2:$AS$501)&lt;&gt;ROW())*ROW($AS$2:$AS$501)))-1)&amp;" ("&amp;INDEX($AY$2:$AY$501,SUMPRODUCT(MAX(($AS$2:$AS$501=AS273)*($AT$2:$AT$501=AT273)*($AU$2:$AU$501&lt;AV273)*($AV$2:$AV$501&gt;AU273)*($BA$2:$BA$501=1)*(ROW($AS$2:$AS$501)&lt;&gt;ROW())*ROW($AS$2:$AS$501)))-1)&amp;")"&amp;IF(BB273&gt;1," and "&amp;(BB273-1)&amp;" more",""),"")</f>
        <v/>
      </c>
      <c r="BD273" s="21">
        <f>IF(AND(BA273=1,AY273="Confirmed"),AT273*10000000+AU273*1000+ROW(),"")</f>
        <v/>
      </c>
      <c r="BE273" s="21">
        <f>IF(IFERROR(TRIM(INDEX($A273:$AL273,MATCH(Lists!$F$2,$A$1:$AL$1,0))&amp;""),"")="","",IFERROR(TRIM(INDEX($A273:$AL273,MATCH(Lists!$F$11,$A$1:$AL$1,0))&amp;""),""))</f>
        <v/>
      </c>
      <c r="BF273" s="21">
        <f>IF(IFERROR(TRIM(INDEX($A273:$AL273,MATCH(Lists!$F$2,$A$1:$AL$1,0))&amp;""),"")="","",IFERROR(TRIM(INDEX($A273:$AL273,MATCH(Lists!$F$12,$A$1:$AL$1,0))&amp;""),""))</f>
        <v/>
      </c>
    </row>
    <row r="274">
      <c r="AM274" s="19" t="n"/>
      <c r="AN274" s="23" t="n"/>
      <c r="AO274" s="23" t="n"/>
      <c r="AP274" s="23" t="n"/>
      <c r="AQ274" s="23" t="n"/>
      <c r="AR274" s="19" t="n"/>
      <c r="AS274" s="21">
        <f>IF(IFERROR(TRIM(INDEX($A274:$AL274,MATCH(Lists!$F$2,$A$1:$AL$1,0))&amp;""),"")="","",IF(AND(IFERROR(TRIM(INDEX($A274:$AL274,MATCH(Lists!$F$3,$A$1:$AL$1,0))&amp;""),"")="Other",IFERROR(TRIM(INDEX($A274:$AL274,MATCH(Lists!$F$4,$A$1:$AL$1,0))&amp;""),"")&lt;&gt;""),IFERROR(TRIM(INDEX($A274:$AL274,MATCH(Lists!$F$4,$A$1:$AL$1,0))&amp;""),""),IF(IFERROR(TRIM(INDEX($A274:$AL274,MATCH(Lists!$F$3,$A$1:$AL$1,0))&amp;""),"")="","(no space)",IFERROR(TRIM(INDEX($A274:$AL274,MATCH(Lists!$F$3,$A$1:$AL$1,0))&amp;""),""))))</f>
        <v/>
      </c>
      <c r="AT274" s="22">
        <f>IF(IFERROR(TRIM(INDEX($A274:$AL274,MATCH(Lists!$F$2,$A$1:$AL$1,0))&amp;""),"")="",0,N(IFERROR(IF(TRIM(INDEX($A274:$AL274,MATCH(Lists!$F$5,$A$1:$AL$1,0))&amp;"")="","",IF(ISNUMBER(INDEX($A274:$AL274,MATCH(Lists!$F$5,$A$1:$AL$1,0))),INT(INDEX($A274:$AL274,MATCH(Lists!$F$5,$A$1:$AL$1,0))),DATE(VALUE(LEFT(INDEX($A274:$AL274,MATCH(Lists!$F$5,$A$1:$AL$1,0)),4)),VALUE(MID(INDEX($A274:$AL274,MATCH(Lists!$F$5,$A$1:$AL$1,0)),6,2)),VALUE(MID(INDEX($A274:$AL274,MATCH(Lists!$F$5,$A$1:$AL$1,0)),9,2))))),"")))</f>
        <v/>
      </c>
      <c r="AU274" s="21">
        <f>IF(IFERROR(TRIM(INDEX($A274:$AL274,MATCH(Lists!$F$2,$A$1:$AL$1,0))&amp;""),"")="",-1,IF(ISNUMBER(IFERROR(IF(TRIM(INDEX($A274:$AL274,MATCH(Lists!$F$6,$A$1:$AL$1,0))&amp;"")="","",IF(ISNUMBER(INDEX($A274:$AL274,MATCH(Lists!$F$6,$A$1:$AL$1,0))),ROUND(MOD(INDEX($A274:$AL274,MATCH(Lists!$F$6,$A$1:$AL$1,0)),1)*1440,0),VALUE(LEFT(INDEX($A274:$AL274,MATCH(Lists!$F$6,$A$1:$AL$1,0)),2))*60+VALUE(MID(INDEX($A274:$AL274,MATCH(Lists!$F$6,$A$1:$AL$1,0)),4,2)))),"")),IFERROR(IF(TRIM(INDEX($A274:$AL274,MATCH(Lists!$F$6,$A$1:$AL$1,0))&amp;"")="","",IF(ISNUMBER(INDEX($A274:$AL274,MATCH(Lists!$F$6,$A$1:$AL$1,0))),ROUND(MOD(INDEX($A274:$AL274,MATCH(Lists!$F$6,$A$1:$AL$1,0)),1)*1440,0),VALUE(LEFT(INDEX($A274:$AL274,MATCH(Lists!$F$6,$A$1:$AL$1,0)),2))*60+VALUE(MID(INDEX($A274:$AL274,MATCH(Lists!$F$6,$A$1:$AL$1,0)),4,2)))),""),-1))</f>
        <v/>
      </c>
      <c r="AV274" s="21">
        <f>IF(IFERROR(TRIM(INDEX($A274:$AL274,MATCH(Lists!$F$2,$A$1:$AL$1,0))&amp;""),"")="",-1,IF(ISNUMBER(IFERROR(IF(TRIM(INDEX($A274:$AL274,MATCH(Lists!$F$7,$A$1:$AL$1,0))&amp;"")="","",IF(ISNUMBER(INDEX($A274:$AL274,MATCH(Lists!$F$7,$A$1:$AL$1,0))),ROUND(MOD(INDEX($A274:$AL274,MATCH(Lists!$F$7,$A$1:$AL$1,0)),1)*1440,0),VALUE(LEFT(INDEX($A274:$AL274,MATCH(Lists!$F$7,$A$1:$AL$1,0)),2))*60+VALUE(MID(INDEX($A274:$AL274,MATCH(Lists!$F$7,$A$1:$AL$1,0)),4,2)))),"")),IFERROR(IF(TRIM(INDEX($A274:$AL274,MATCH(Lists!$F$7,$A$1:$AL$1,0))&amp;"")="","",IF(ISNUMBER(INDEX($A274:$AL274,MATCH(Lists!$F$7,$A$1:$AL$1,0))),ROUND(MOD(INDEX($A274:$AL274,MATCH(Lists!$F$7,$A$1:$AL$1,0)),1)*1440,0),VALUE(LEFT(INDEX($A274:$AL274,MATCH(Lists!$F$7,$A$1:$AL$1,0)),2))*60+VALUE(MID(INDEX($A274:$AL274,MATCH(Lists!$F$7,$A$1:$AL$1,0)),4,2)))),""),-1))</f>
        <v/>
      </c>
      <c r="AW274" s="21">
        <f>IF(IFERROR(TRIM(INDEX($A274:$AL274,MATCH(Lists!$F$2,$A$1:$AL$1,0))&amp;""),"")="","",IF(IFERROR(TRIM(INDEX($A274:$AL274,MATCH(Lists!$F$8,$A$1:$AL$1,0))&amp;""),"")&lt;&gt;"",IFERROR(TRIM(INDEX($A274:$AL274,MATCH(Lists!$F$8,$A$1:$AL$1,0))&amp;""),""),IFERROR(TRIM(INDEX($A274:$AL274,MATCH(Lists!$F$9,$A$1:$AL$1,0))&amp;""),"")))</f>
        <v/>
      </c>
      <c r="AX274" s="21">
        <f>IFERROR(IF(TRIM(INDEX($A274:$AL274,MATCH(Lists!$F$10,$A$1:$AL$1,0))&amp;"")="","",VALUE(TRIM(INDEX($A274:$AL274,MATCH(Lists!$F$10,$A$1:$AL$1,0))&amp;""))),"")</f>
        <v/>
      </c>
      <c r="AY274" s="21">
        <f>IF(IFERROR(TRIM(INDEX($A274:$AL274,MATCH(Lists!$F$2,$A$1:$AL$1,0))&amp;""),"")="","",IF(AN274="","New",AN274))</f>
        <v/>
      </c>
      <c r="AZ274" s="21">
        <f>IF(IFERROR(TRIM(INDEX($A274:$AL274,MATCH(Lists!$F$2,$A$1:$AL$1,0))&amp;""),"")="","",IF(OR(IFERROR(TRIM(INDEX($A274:$AL274,MATCH(Lists!$F$13,$A$1:$AL$1,0))&amp;""),"")="Paid",IFERROR(TRIM(INDEX($A274:$AL274,MATCH(Lists!$F$13,$A$1:$AL$1,0))&amp;""),"")="Partially refunded"),"Paid",IF(AP274="Yes","Paid (by hand)",IFERROR(TRIM(INDEX($A274:$AL274,MATCH(Lists!$F$13,$A$1:$AL$1,0))&amp;""),""))))</f>
        <v/>
      </c>
      <c r="BA274" s="21">
        <f>IF(AND(IFERROR(TRIM(INDEX($A274:$AL274,MATCH(Lists!$F$2,$A$1:$AL$1,0))&amp;""),"")&lt;&gt;"",AT274&gt;0,AU274&gt;=0,AV274&gt;AU274,AY274&lt;&gt;"Declined"),1,0)</f>
        <v/>
      </c>
      <c r="BB274" s="21">
        <f>IF(BA274=1,COUNTIFS($AS$2:$AS$501,AS274,$AT$2:$AT$501,AT274,$AU$2:$AU$501,"&lt;"&amp;AV274,$AV$2:$AV$501,"&gt;"&amp;AU274,$BA$2:$BA$501,1)-1,"")</f>
        <v/>
      </c>
      <c r="BC274" s="21">
        <f>IF(N(BB274)&gt;0,"Clashes with "&amp;INDEX($AW$2:$AW$501,SUMPRODUCT(MAX(($AS$2:$AS$501=AS274)*($AT$2:$AT$501=AT274)*($AU$2:$AU$501&lt;AV274)*($AV$2:$AV$501&gt;AU274)*($BA$2:$BA$501=1)*(ROW($AS$2:$AS$501)&lt;&gt;ROW())*ROW($AS$2:$AS$501)))-1)&amp;" ("&amp;INDEX($AY$2:$AY$501,SUMPRODUCT(MAX(($AS$2:$AS$501=AS274)*($AT$2:$AT$501=AT274)*($AU$2:$AU$501&lt;AV274)*($AV$2:$AV$501&gt;AU274)*($BA$2:$BA$501=1)*(ROW($AS$2:$AS$501)&lt;&gt;ROW())*ROW($AS$2:$AS$501)))-1)&amp;")"&amp;IF(BB274&gt;1," and "&amp;(BB274-1)&amp;" more",""),"")</f>
        <v/>
      </c>
      <c r="BD274" s="21">
        <f>IF(AND(BA274=1,AY274="Confirmed"),AT274*10000000+AU274*1000+ROW(),"")</f>
        <v/>
      </c>
      <c r="BE274" s="21">
        <f>IF(IFERROR(TRIM(INDEX($A274:$AL274,MATCH(Lists!$F$2,$A$1:$AL$1,0))&amp;""),"")="","",IFERROR(TRIM(INDEX($A274:$AL274,MATCH(Lists!$F$11,$A$1:$AL$1,0))&amp;""),""))</f>
        <v/>
      </c>
      <c r="BF274" s="21">
        <f>IF(IFERROR(TRIM(INDEX($A274:$AL274,MATCH(Lists!$F$2,$A$1:$AL$1,0))&amp;""),"")="","",IFERROR(TRIM(INDEX($A274:$AL274,MATCH(Lists!$F$12,$A$1:$AL$1,0))&amp;""),""))</f>
        <v/>
      </c>
    </row>
    <row r="275">
      <c r="AM275" s="19" t="n"/>
      <c r="AN275" s="23" t="n"/>
      <c r="AO275" s="23" t="n"/>
      <c r="AP275" s="23" t="n"/>
      <c r="AQ275" s="23" t="n"/>
      <c r="AR275" s="19" t="n"/>
      <c r="AS275" s="21">
        <f>IF(IFERROR(TRIM(INDEX($A275:$AL275,MATCH(Lists!$F$2,$A$1:$AL$1,0))&amp;""),"")="","",IF(AND(IFERROR(TRIM(INDEX($A275:$AL275,MATCH(Lists!$F$3,$A$1:$AL$1,0))&amp;""),"")="Other",IFERROR(TRIM(INDEX($A275:$AL275,MATCH(Lists!$F$4,$A$1:$AL$1,0))&amp;""),"")&lt;&gt;""),IFERROR(TRIM(INDEX($A275:$AL275,MATCH(Lists!$F$4,$A$1:$AL$1,0))&amp;""),""),IF(IFERROR(TRIM(INDEX($A275:$AL275,MATCH(Lists!$F$3,$A$1:$AL$1,0))&amp;""),"")="","(no space)",IFERROR(TRIM(INDEX($A275:$AL275,MATCH(Lists!$F$3,$A$1:$AL$1,0))&amp;""),""))))</f>
        <v/>
      </c>
      <c r="AT275" s="22">
        <f>IF(IFERROR(TRIM(INDEX($A275:$AL275,MATCH(Lists!$F$2,$A$1:$AL$1,0))&amp;""),"")="",0,N(IFERROR(IF(TRIM(INDEX($A275:$AL275,MATCH(Lists!$F$5,$A$1:$AL$1,0))&amp;"")="","",IF(ISNUMBER(INDEX($A275:$AL275,MATCH(Lists!$F$5,$A$1:$AL$1,0))),INT(INDEX($A275:$AL275,MATCH(Lists!$F$5,$A$1:$AL$1,0))),DATE(VALUE(LEFT(INDEX($A275:$AL275,MATCH(Lists!$F$5,$A$1:$AL$1,0)),4)),VALUE(MID(INDEX($A275:$AL275,MATCH(Lists!$F$5,$A$1:$AL$1,0)),6,2)),VALUE(MID(INDEX($A275:$AL275,MATCH(Lists!$F$5,$A$1:$AL$1,0)),9,2))))),"")))</f>
        <v/>
      </c>
      <c r="AU275" s="21">
        <f>IF(IFERROR(TRIM(INDEX($A275:$AL275,MATCH(Lists!$F$2,$A$1:$AL$1,0))&amp;""),"")="",-1,IF(ISNUMBER(IFERROR(IF(TRIM(INDEX($A275:$AL275,MATCH(Lists!$F$6,$A$1:$AL$1,0))&amp;"")="","",IF(ISNUMBER(INDEX($A275:$AL275,MATCH(Lists!$F$6,$A$1:$AL$1,0))),ROUND(MOD(INDEX($A275:$AL275,MATCH(Lists!$F$6,$A$1:$AL$1,0)),1)*1440,0),VALUE(LEFT(INDEX($A275:$AL275,MATCH(Lists!$F$6,$A$1:$AL$1,0)),2))*60+VALUE(MID(INDEX($A275:$AL275,MATCH(Lists!$F$6,$A$1:$AL$1,0)),4,2)))),"")),IFERROR(IF(TRIM(INDEX($A275:$AL275,MATCH(Lists!$F$6,$A$1:$AL$1,0))&amp;"")="","",IF(ISNUMBER(INDEX($A275:$AL275,MATCH(Lists!$F$6,$A$1:$AL$1,0))),ROUND(MOD(INDEX($A275:$AL275,MATCH(Lists!$F$6,$A$1:$AL$1,0)),1)*1440,0),VALUE(LEFT(INDEX($A275:$AL275,MATCH(Lists!$F$6,$A$1:$AL$1,0)),2))*60+VALUE(MID(INDEX($A275:$AL275,MATCH(Lists!$F$6,$A$1:$AL$1,0)),4,2)))),""),-1))</f>
        <v/>
      </c>
      <c r="AV275" s="21">
        <f>IF(IFERROR(TRIM(INDEX($A275:$AL275,MATCH(Lists!$F$2,$A$1:$AL$1,0))&amp;""),"")="",-1,IF(ISNUMBER(IFERROR(IF(TRIM(INDEX($A275:$AL275,MATCH(Lists!$F$7,$A$1:$AL$1,0))&amp;"")="","",IF(ISNUMBER(INDEX($A275:$AL275,MATCH(Lists!$F$7,$A$1:$AL$1,0))),ROUND(MOD(INDEX($A275:$AL275,MATCH(Lists!$F$7,$A$1:$AL$1,0)),1)*1440,0),VALUE(LEFT(INDEX($A275:$AL275,MATCH(Lists!$F$7,$A$1:$AL$1,0)),2))*60+VALUE(MID(INDEX($A275:$AL275,MATCH(Lists!$F$7,$A$1:$AL$1,0)),4,2)))),"")),IFERROR(IF(TRIM(INDEX($A275:$AL275,MATCH(Lists!$F$7,$A$1:$AL$1,0))&amp;"")="","",IF(ISNUMBER(INDEX($A275:$AL275,MATCH(Lists!$F$7,$A$1:$AL$1,0))),ROUND(MOD(INDEX($A275:$AL275,MATCH(Lists!$F$7,$A$1:$AL$1,0)),1)*1440,0),VALUE(LEFT(INDEX($A275:$AL275,MATCH(Lists!$F$7,$A$1:$AL$1,0)),2))*60+VALUE(MID(INDEX($A275:$AL275,MATCH(Lists!$F$7,$A$1:$AL$1,0)),4,2)))),""),-1))</f>
        <v/>
      </c>
      <c r="AW275" s="21">
        <f>IF(IFERROR(TRIM(INDEX($A275:$AL275,MATCH(Lists!$F$2,$A$1:$AL$1,0))&amp;""),"")="","",IF(IFERROR(TRIM(INDEX($A275:$AL275,MATCH(Lists!$F$8,$A$1:$AL$1,0))&amp;""),"")&lt;&gt;"",IFERROR(TRIM(INDEX($A275:$AL275,MATCH(Lists!$F$8,$A$1:$AL$1,0))&amp;""),""),IFERROR(TRIM(INDEX($A275:$AL275,MATCH(Lists!$F$9,$A$1:$AL$1,0))&amp;""),"")))</f>
        <v/>
      </c>
      <c r="AX275" s="21">
        <f>IFERROR(IF(TRIM(INDEX($A275:$AL275,MATCH(Lists!$F$10,$A$1:$AL$1,0))&amp;"")="","",VALUE(TRIM(INDEX($A275:$AL275,MATCH(Lists!$F$10,$A$1:$AL$1,0))&amp;""))),"")</f>
        <v/>
      </c>
      <c r="AY275" s="21">
        <f>IF(IFERROR(TRIM(INDEX($A275:$AL275,MATCH(Lists!$F$2,$A$1:$AL$1,0))&amp;""),"")="","",IF(AN275="","New",AN275))</f>
        <v/>
      </c>
      <c r="AZ275" s="21">
        <f>IF(IFERROR(TRIM(INDEX($A275:$AL275,MATCH(Lists!$F$2,$A$1:$AL$1,0))&amp;""),"")="","",IF(OR(IFERROR(TRIM(INDEX($A275:$AL275,MATCH(Lists!$F$13,$A$1:$AL$1,0))&amp;""),"")="Paid",IFERROR(TRIM(INDEX($A275:$AL275,MATCH(Lists!$F$13,$A$1:$AL$1,0))&amp;""),"")="Partially refunded"),"Paid",IF(AP275="Yes","Paid (by hand)",IFERROR(TRIM(INDEX($A275:$AL275,MATCH(Lists!$F$13,$A$1:$AL$1,0))&amp;""),""))))</f>
        <v/>
      </c>
      <c r="BA275" s="21">
        <f>IF(AND(IFERROR(TRIM(INDEX($A275:$AL275,MATCH(Lists!$F$2,$A$1:$AL$1,0))&amp;""),"")&lt;&gt;"",AT275&gt;0,AU275&gt;=0,AV275&gt;AU275,AY275&lt;&gt;"Declined"),1,0)</f>
        <v/>
      </c>
      <c r="BB275" s="21">
        <f>IF(BA275=1,COUNTIFS($AS$2:$AS$501,AS275,$AT$2:$AT$501,AT275,$AU$2:$AU$501,"&lt;"&amp;AV275,$AV$2:$AV$501,"&gt;"&amp;AU275,$BA$2:$BA$501,1)-1,"")</f>
        <v/>
      </c>
      <c r="BC275" s="21">
        <f>IF(N(BB275)&gt;0,"Clashes with "&amp;INDEX($AW$2:$AW$501,SUMPRODUCT(MAX(($AS$2:$AS$501=AS275)*($AT$2:$AT$501=AT275)*($AU$2:$AU$501&lt;AV275)*($AV$2:$AV$501&gt;AU275)*($BA$2:$BA$501=1)*(ROW($AS$2:$AS$501)&lt;&gt;ROW())*ROW($AS$2:$AS$501)))-1)&amp;" ("&amp;INDEX($AY$2:$AY$501,SUMPRODUCT(MAX(($AS$2:$AS$501=AS275)*($AT$2:$AT$501=AT275)*($AU$2:$AU$501&lt;AV275)*($AV$2:$AV$501&gt;AU275)*($BA$2:$BA$501=1)*(ROW($AS$2:$AS$501)&lt;&gt;ROW())*ROW($AS$2:$AS$501)))-1)&amp;")"&amp;IF(BB275&gt;1," and "&amp;(BB275-1)&amp;" more",""),"")</f>
        <v/>
      </c>
      <c r="BD275" s="21">
        <f>IF(AND(BA275=1,AY275="Confirmed"),AT275*10000000+AU275*1000+ROW(),"")</f>
        <v/>
      </c>
      <c r="BE275" s="21">
        <f>IF(IFERROR(TRIM(INDEX($A275:$AL275,MATCH(Lists!$F$2,$A$1:$AL$1,0))&amp;""),"")="","",IFERROR(TRIM(INDEX($A275:$AL275,MATCH(Lists!$F$11,$A$1:$AL$1,0))&amp;""),""))</f>
        <v/>
      </c>
      <c r="BF275" s="21">
        <f>IF(IFERROR(TRIM(INDEX($A275:$AL275,MATCH(Lists!$F$2,$A$1:$AL$1,0))&amp;""),"")="","",IFERROR(TRIM(INDEX($A275:$AL275,MATCH(Lists!$F$12,$A$1:$AL$1,0))&amp;""),""))</f>
        <v/>
      </c>
    </row>
    <row r="276">
      <c r="AM276" s="19" t="n"/>
      <c r="AN276" s="23" t="n"/>
      <c r="AO276" s="23" t="n"/>
      <c r="AP276" s="23" t="n"/>
      <c r="AQ276" s="23" t="n"/>
      <c r="AR276" s="19" t="n"/>
      <c r="AS276" s="21">
        <f>IF(IFERROR(TRIM(INDEX($A276:$AL276,MATCH(Lists!$F$2,$A$1:$AL$1,0))&amp;""),"")="","",IF(AND(IFERROR(TRIM(INDEX($A276:$AL276,MATCH(Lists!$F$3,$A$1:$AL$1,0))&amp;""),"")="Other",IFERROR(TRIM(INDEX($A276:$AL276,MATCH(Lists!$F$4,$A$1:$AL$1,0))&amp;""),"")&lt;&gt;""),IFERROR(TRIM(INDEX($A276:$AL276,MATCH(Lists!$F$4,$A$1:$AL$1,0))&amp;""),""),IF(IFERROR(TRIM(INDEX($A276:$AL276,MATCH(Lists!$F$3,$A$1:$AL$1,0))&amp;""),"")="","(no space)",IFERROR(TRIM(INDEX($A276:$AL276,MATCH(Lists!$F$3,$A$1:$AL$1,0))&amp;""),""))))</f>
        <v/>
      </c>
      <c r="AT276" s="22">
        <f>IF(IFERROR(TRIM(INDEX($A276:$AL276,MATCH(Lists!$F$2,$A$1:$AL$1,0))&amp;""),"")="",0,N(IFERROR(IF(TRIM(INDEX($A276:$AL276,MATCH(Lists!$F$5,$A$1:$AL$1,0))&amp;"")="","",IF(ISNUMBER(INDEX($A276:$AL276,MATCH(Lists!$F$5,$A$1:$AL$1,0))),INT(INDEX($A276:$AL276,MATCH(Lists!$F$5,$A$1:$AL$1,0))),DATE(VALUE(LEFT(INDEX($A276:$AL276,MATCH(Lists!$F$5,$A$1:$AL$1,0)),4)),VALUE(MID(INDEX($A276:$AL276,MATCH(Lists!$F$5,$A$1:$AL$1,0)),6,2)),VALUE(MID(INDEX($A276:$AL276,MATCH(Lists!$F$5,$A$1:$AL$1,0)),9,2))))),"")))</f>
        <v/>
      </c>
      <c r="AU276" s="21">
        <f>IF(IFERROR(TRIM(INDEX($A276:$AL276,MATCH(Lists!$F$2,$A$1:$AL$1,0))&amp;""),"")="",-1,IF(ISNUMBER(IFERROR(IF(TRIM(INDEX($A276:$AL276,MATCH(Lists!$F$6,$A$1:$AL$1,0))&amp;"")="","",IF(ISNUMBER(INDEX($A276:$AL276,MATCH(Lists!$F$6,$A$1:$AL$1,0))),ROUND(MOD(INDEX($A276:$AL276,MATCH(Lists!$F$6,$A$1:$AL$1,0)),1)*1440,0),VALUE(LEFT(INDEX($A276:$AL276,MATCH(Lists!$F$6,$A$1:$AL$1,0)),2))*60+VALUE(MID(INDEX($A276:$AL276,MATCH(Lists!$F$6,$A$1:$AL$1,0)),4,2)))),"")),IFERROR(IF(TRIM(INDEX($A276:$AL276,MATCH(Lists!$F$6,$A$1:$AL$1,0))&amp;"")="","",IF(ISNUMBER(INDEX($A276:$AL276,MATCH(Lists!$F$6,$A$1:$AL$1,0))),ROUND(MOD(INDEX($A276:$AL276,MATCH(Lists!$F$6,$A$1:$AL$1,0)),1)*1440,0),VALUE(LEFT(INDEX($A276:$AL276,MATCH(Lists!$F$6,$A$1:$AL$1,0)),2))*60+VALUE(MID(INDEX($A276:$AL276,MATCH(Lists!$F$6,$A$1:$AL$1,0)),4,2)))),""),-1))</f>
        <v/>
      </c>
      <c r="AV276" s="21">
        <f>IF(IFERROR(TRIM(INDEX($A276:$AL276,MATCH(Lists!$F$2,$A$1:$AL$1,0))&amp;""),"")="",-1,IF(ISNUMBER(IFERROR(IF(TRIM(INDEX($A276:$AL276,MATCH(Lists!$F$7,$A$1:$AL$1,0))&amp;"")="","",IF(ISNUMBER(INDEX($A276:$AL276,MATCH(Lists!$F$7,$A$1:$AL$1,0))),ROUND(MOD(INDEX($A276:$AL276,MATCH(Lists!$F$7,$A$1:$AL$1,0)),1)*1440,0),VALUE(LEFT(INDEX($A276:$AL276,MATCH(Lists!$F$7,$A$1:$AL$1,0)),2))*60+VALUE(MID(INDEX($A276:$AL276,MATCH(Lists!$F$7,$A$1:$AL$1,0)),4,2)))),"")),IFERROR(IF(TRIM(INDEX($A276:$AL276,MATCH(Lists!$F$7,$A$1:$AL$1,0))&amp;"")="","",IF(ISNUMBER(INDEX($A276:$AL276,MATCH(Lists!$F$7,$A$1:$AL$1,0))),ROUND(MOD(INDEX($A276:$AL276,MATCH(Lists!$F$7,$A$1:$AL$1,0)),1)*1440,0),VALUE(LEFT(INDEX($A276:$AL276,MATCH(Lists!$F$7,$A$1:$AL$1,0)),2))*60+VALUE(MID(INDEX($A276:$AL276,MATCH(Lists!$F$7,$A$1:$AL$1,0)),4,2)))),""),-1))</f>
        <v/>
      </c>
      <c r="AW276" s="21">
        <f>IF(IFERROR(TRIM(INDEX($A276:$AL276,MATCH(Lists!$F$2,$A$1:$AL$1,0))&amp;""),"")="","",IF(IFERROR(TRIM(INDEX($A276:$AL276,MATCH(Lists!$F$8,$A$1:$AL$1,0))&amp;""),"")&lt;&gt;"",IFERROR(TRIM(INDEX($A276:$AL276,MATCH(Lists!$F$8,$A$1:$AL$1,0))&amp;""),""),IFERROR(TRIM(INDEX($A276:$AL276,MATCH(Lists!$F$9,$A$1:$AL$1,0))&amp;""),"")))</f>
        <v/>
      </c>
      <c r="AX276" s="21">
        <f>IFERROR(IF(TRIM(INDEX($A276:$AL276,MATCH(Lists!$F$10,$A$1:$AL$1,0))&amp;"")="","",VALUE(TRIM(INDEX($A276:$AL276,MATCH(Lists!$F$10,$A$1:$AL$1,0))&amp;""))),"")</f>
        <v/>
      </c>
      <c r="AY276" s="21">
        <f>IF(IFERROR(TRIM(INDEX($A276:$AL276,MATCH(Lists!$F$2,$A$1:$AL$1,0))&amp;""),"")="","",IF(AN276="","New",AN276))</f>
        <v/>
      </c>
      <c r="AZ276" s="21">
        <f>IF(IFERROR(TRIM(INDEX($A276:$AL276,MATCH(Lists!$F$2,$A$1:$AL$1,0))&amp;""),"")="","",IF(OR(IFERROR(TRIM(INDEX($A276:$AL276,MATCH(Lists!$F$13,$A$1:$AL$1,0))&amp;""),"")="Paid",IFERROR(TRIM(INDEX($A276:$AL276,MATCH(Lists!$F$13,$A$1:$AL$1,0))&amp;""),"")="Partially refunded"),"Paid",IF(AP276="Yes","Paid (by hand)",IFERROR(TRIM(INDEX($A276:$AL276,MATCH(Lists!$F$13,$A$1:$AL$1,0))&amp;""),""))))</f>
        <v/>
      </c>
      <c r="BA276" s="21">
        <f>IF(AND(IFERROR(TRIM(INDEX($A276:$AL276,MATCH(Lists!$F$2,$A$1:$AL$1,0))&amp;""),"")&lt;&gt;"",AT276&gt;0,AU276&gt;=0,AV276&gt;AU276,AY276&lt;&gt;"Declined"),1,0)</f>
        <v/>
      </c>
      <c r="BB276" s="21">
        <f>IF(BA276=1,COUNTIFS($AS$2:$AS$501,AS276,$AT$2:$AT$501,AT276,$AU$2:$AU$501,"&lt;"&amp;AV276,$AV$2:$AV$501,"&gt;"&amp;AU276,$BA$2:$BA$501,1)-1,"")</f>
        <v/>
      </c>
      <c r="BC276" s="21">
        <f>IF(N(BB276)&gt;0,"Clashes with "&amp;INDEX($AW$2:$AW$501,SUMPRODUCT(MAX(($AS$2:$AS$501=AS276)*($AT$2:$AT$501=AT276)*($AU$2:$AU$501&lt;AV276)*($AV$2:$AV$501&gt;AU276)*($BA$2:$BA$501=1)*(ROW($AS$2:$AS$501)&lt;&gt;ROW())*ROW($AS$2:$AS$501)))-1)&amp;" ("&amp;INDEX($AY$2:$AY$501,SUMPRODUCT(MAX(($AS$2:$AS$501=AS276)*($AT$2:$AT$501=AT276)*($AU$2:$AU$501&lt;AV276)*($AV$2:$AV$501&gt;AU276)*($BA$2:$BA$501=1)*(ROW($AS$2:$AS$501)&lt;&gt;ROW())*ROW($AS$2:$AS$501)))-1)&amp;")"&amp;IF(BB276&gt;1," and "&amp;(BB276-1)&amp;" more",""),"")</f>
        <v/>
      </c>
      <c r="BD276" s="21">
        <f>IF(AND(BA276=1,AY276="Confirmed"),AT276*10000000+AU276*1000+ROW(),"")</f>
        <v/>
      </c>
      <c r="BE276" s="21">
        <f>IF(IFERROR(TRIM(INDEX($A276:$AL276,MATCH(Lists!$F$2,$A$1:$AL$1,0))&amp;""),"")="","",IFERROR(TRIM(INDEX($A276:$AL276,MATCH(Lists!$F$11,$A$1:$AL$1,0))&amp;""),""))</f>
        <v/>
      </c>
      <c r="BF276" s="21">
        <f>IF(IFERROR(TRIM(INDEX($A276:$AL276,MATCH(Lists!$F$2,$A$1:$AL$1,0))&amp;""),"")="","",IFERROR(TRIM(INDEX($A276:$AL276,MATCH(Lists!$F$12,$A$1:$AL$1,0))&amp;""),""))</f>
        <v/>
      </c>
    </row>
    <row r="277">
      <c r="AM277" s="19" t="n"/>
      <c r="AN277" s="23" t="n"/>
      <c r="AO277" s="23" t="n"/>
      <c r="AP277" s="23" t="n"/>
      <c r="AQ277" s="23" t="n"/>
      <c r="AR277" s="19" t="n"/>
      <c r="AS277" s="21">
        <f>IF(IFERROR(TRIM(INDEX($A277:$AL277,MATCH(Lists!$F$2,$A$1:$AL$1,0))&amp;""),"")="","",IF(AND(IFERROR(TRIM(INDEX($A277:$AL277,MATCH(Lists!$F$3,$A$1:$AL$1,0))&amp;""),"")="Other",IFERROR(TRIM(INDEX($A277:$AL277,MATCH(Lists!$F$4,$A$1:$AL$1,0))&amp;""),"")&lt;&gt;""),IFERROR(TRIM(INDEX($A277:$AL277,MATCH(Lists!$F$4,$A$1:$AL$1,0))&amp;""),""),IF(IFERROR(TRIM(INDEX($A277:$AL277,MATCH(Lists!$F$3,$A$1:$AL$1,0))&amp;""),"")="","(no space)",IFERROR(TRIM(INDEX($A277:$AL277,MATCH(Lists!$F$3,$A$1:$AL$1,0))&amp;""),""))))</f>
        <v/>
      </c>
      <c r="AT277" s="22">
        <f>IF(IFERROR(TRIM(INDEX($A277:$AL277,MATCH(Lists!$F$2,$A$1:$AL$1,0))&amp;""),"")="",0,N(IFERROR(IF(TRIM(INDEX($A277:$AL277,MATCH(Lists!$F$5,$A$1:$AL$1,0))&amp;"")="","",IF(ISNUMBER(INDEX($A277:$AL277,MATCH(Lists!$F$5,$A$1:$AL$1,0))),INT(INDEX($A277:$AL277,MATCH(Lists!$F$5,$A$1:$AL$1,0))),DATE(VALUE(LEFT(INDEX($A277:$AL277,MATCH(Lists!$F$5,$A$1:$AL$1,0)),4)),VALUE(MID(INDEX($A277:$AL277,MATCH(Lists!$F$5,$A$1:$AL$1,0)),6,2)),VALUE(MID(INDEX($A277:$AL277,MATCH(Lists!$F$5,$A$1:$AL$1,0)),9,2))))),"")))</f>
        <v/>
      </c>
      <c r="AU277" s="21">
        <f>IF(IFERROR(TRIM(INDEX($A277:$AL277,MATCH(Lists!$F$2,$A$1:$AL$1,0))&amp;""),"")="",-1,IF(ISNUMBER(IFERROR(IF(TRIM(INDEX($A277:$AL277,MATCH(Lists!$F$6,$A$1:$AL$1,0))&amp;"")="","",IF(ISNUMBER(INDEX($A277:$AL277,MATCH(Lists!$F$6,$A$1:$AL$1,0))),ROUND(MOD(INDEX($A277:$AL277,MATCH(Lists!$F$6,$A$1:$AL$1,0)),1)*1440,0),VALUE(LEFT(INDEX($A277:$AL277,MATCH(Lists!$F$6,$A$1:$AL$1,0)),2))*60+VALUE(MID(INDEX($A277:$AL277,MATCH(Lists!$F$6,$A$1:$AL$1,0)),4,2)))),"")),IFERROR(IF(TRIM(INDEX($A277:$AL277,MATCH(Lists!$F$6,$A$1:$AL$1,0))&amp;"")="","",IF(ISNUMBER(INDEX($A277:$AL277,MATCH(Lists!$F$6,$A$1:$AL$1,0))),ROUND(MOD(INDEX($A277:$AL277,MATCH(Lists!$F$6,$A$1:$AL$1,0)),1)*1440,0),VALUE(LEFT(INDEX($A277:$AL277,MATCH(Lists!$F$6,$A$1:$AL$1,0)),2))*60+VALUE(MID(INDEX($A277:$AL277,MATCH(Lists!$F$6,$A$1:$AL$1,0)),4,2)))),""),-1))</f>
        <v/>
      </c>
      <c r="AV277" s="21">
        <f>IF(IFERROR(TRIM(INDEX($A277:$AL277,MATCH(Lists!$F$2,$A$1:$AL$1,0))&amp;""),"")="",-1,IF(ISNUMBER(IFERROR(IF(TRIM(INDEX($A277:$AL277,MATCH(Lists!$F$7,$A$1:$AL$1,0))&amp;"")="","",IF(ISNUMBER(INDEX($A277:$AL277,MATCH(Lists!$F$7,$A$1:$AL$1,0))),ROUND(MOD(INDEX($A277:$AL277,MATCH(Lists!$F$7,$A$1:$AL$1,0)),1)*1440,0),VALUE(LEFT(INDEX($A277:$AL277,MATCH(Lists!$F$7,$A$1:$AL$1,0)),2))*60+VALUE(MID(INDEX($A277:$AL277,MATCH(Lists!$F$7,$A$1:$AL$1,0)),4,2)))),"")),IFERROR(IF(TRIM(INDEX($A277:$AL277,MATCH(Lists!$F$7,$A$1:$AL$1,0))&amp;"")="","",IF(ISNUMBER(INDEX($A277:$AL277,MATCH(Lists!$F$7,$A$1:$AL$1,0))),ROUND(MOD(INDEX($A277:$AL277,MATCH(Lists!$F$7,$A$1:$AL$1,0)),1)*1440,0),VALUE(LEFT(INDEX($A277:$AL277,MATCH(Lists!$F$7,$A$1:$AL$1,0)),2))*60+VALUE(MID(INDEX($A277:$AL277,MATCH(Lists!$F$7,$A$1:$AL$1,0)),4,2)))),""),-1))</f>
        <v/>
      </c>
      <c r="AW277" s="21">
        <f>IF(IFERROR(TRIM(INDEX($A277:$AL277,MATCH(Lists!$F$2,$A$1:$AL$1,0))&amp;""),"")="","",IF(IFERROR(TRIM(INDEX($A277:$AL277,MATCH(Lists!$F$8,$A$1:$AL$1,0))&amp;""),"")&lt;&gt;"",IFERROR(TRIM(INDEX($A277:$AL277,MATCH(Lists!$F$8,$A$1:$AL$1,0))&amp;""),""),IFERROR(TRIM(INDEX($A277:$AL277,MATCH(Lists!$F$9,$A$1:$AL$1,0))&amp;""),"")))</f>
        <v/>
      </c>
      <c r="AX277" s="21">
        <f>IFERROR(IF(TRIM(INDEX($A277:$AL277,MATCH(Lists!$F$10,$A$1:$AL$1,0))&amp;"")="","",VALUE(TRIM(INDEX($A277:$AL277,MATCH(Lists!$F$10,$A$1:$AL$1,0))&amp;""))),"")</f>
        <v/>
      </c>
      <c r="AY277" s="21">
        <f>IF(IFERROR(TRIM(INDEX($A277:$AL277,MATCH(Lists!$F$2,$A$1:$AL$1,0))&amp;""),"")="","",IF(AN277="","New",AN277))</f>
        <v/>
      </c>
      <c r="AZ277" s="21">
        <f>IF(IFERROR(TRIM(INDEX($A277:$AL277,MATCH(Lists!$F$2,$A$1:$AL$1,0))&amp;""),"")="","",IF(OR(IFERROR(TRIM(INDEX($A277:$AL277,MATCH(Lists!$F$13,$A$1:$AL$1,0))&amp;""),"")="Paid",IFERROR(TRIM(INDEX($A277:$AL277,MATCH(Lists!$F$13,$A$1:$AL$1,0))&amp;""),"")="Partially refunded"),"Paid",IF(AP277="Yes","Paid (by hand)",IFERROR(TRIM(INDEX($A277:$AL277,MATCH(Lists!$F$13,$A$1:$AL$1,0))&amp;""),""))))</f>
        <v/>
      </c>
      <c r="BA277" s="21">
        <f>IF(AND(IFERROR(TRIM(INDEX($A277:$AL277,MATCH(Lists!$F$2,$A$1:$AL$1,0))&amp;""),"")&lt;&gt;"",AT277&gt;0,AU277&gt;=0,AV277&gt;AU277,AY277&lt;&gt;"Declined"),1,0)</f>
        <v/>
      </c>
      <c r="BB277" s="21">
        <f>IF(BA277=1,COUNTIFS($AS$2:$AS$501,AS277,$AT$2:$AT$501,AT277,$AU$2:$AU$501,"&lt;"&amp;AV277,$AV$2:$AV$501,"&gt;"&amp;AU277,$BA$2:$BA$501,1)-1,"")</f>
        <v/>
      </c>
      <c r="BC277" s="21">
        <f>IF(N(BB277)&gt;0,"Clashes with "&amp;INDEX($AW$2:$AW$501,SUMPRODUCT(MAX(($AS$2:$AS$501=AS277)*($AT$2:$AT$501=AT277)*($AU$2:$AU$501&lt;AV277)*($AV$2:$AV$501&gt;AU277)*($BA$2:$BA$501=1)*(ROW($AS$2:$AS$501)&lt;&gt;ROW())*ROW($AS$2:$AS$501)))-1)&amp;" ("&amp;INDEX($AY$2:$AY$501,SUMPRODUCT(MAX(($AS$2:$AS$501=AS277)*($AT$2:$AT$501=AT277)*($AU$2:$AU$501&lt;AV277)*($AV$2:$AV$501&gt;AU277)*($BA$2:$BA$501=1)*(ROW($AS$2:$AS$501)&lt;&gt;ROW())*ROW($AS$2:$AS$501)))-1)&amp;")"&amp;IF(BB277&gt;1," and "&amp;(BB277-1)&amp;" more",""),"")</f>
        <v/>
      </c>
      <c r="BD277" s="21">
        <f>IF(AND(BA277=1,AY277="Confirmed"),AT277*10000000+AU277*1000+ROW(),"")</f>
        <v/>
      </c>
      <c r="BE277" s="21">
        <f>IF(IFERROR(TRIM(INDEX($A277:$AL277,MATCH(Lists!$F$2,$A$1:$AL$1,0))&amp;""),"")="","",IFERROR(TRIM(INDEX($A277:$AL277,MATCH(Lists!$F$11,$A$1:$AL$1,0))&amp;""),""))</f>
        <v/>
      </c>
      <c r="BF277" s="21">
        <f>IF(IFERROR(TRIM(INDEX($A277:$AL277,MATCH(Lists!$F$2,$A$1:$AL$1,0))&amp;""),"")="","",IFERROR(TRIM(INDEX($A277:$AL277,MATCH(Lists!$F$12,$A$1:$AL$1,0))&amp;""),""))</f>
        <v/>
      </c>
    </row>
    <row r="278">
      <c r="AM278" s="19" t="n"/>
      <c r="AN278" s="23" t="n"/>
      <c r="AO278" s="23" t="n"/>
      <c r="AP278" s="23" t="n"/>
      <c r="AQ278" s="23" t="n"/>
      <c r="AR278" s="19" t="n"/>
      <c r="AS278" s="21">
        <f>IF(IFERROR(TRIM(INDEX($A278:$AL278,MATCH(Lists!$F$2,$A$1:$AL$1,0))&amp;""),"")="","",IF(AND(IFERROR(TRIM(INDEX($A278:$AL278,MATCH(Lists!$F$3,$A$1:$AL$1,0))&amp;""),"")="Other",IFERROR(TRIM(INDEX($A278:$AL278,MATCH(Lists!$F$4,$A$1:$AL$1,0))&amp;""),"")&lt;&gt;""),IFERROR(TRIM(INDEX($A278:$AL278,MATCH(Lists!$F$4,$A$1:$AL$1,0))&amp;""),""),IF(IFERROR(TRIM(INDEX($A278:$AL278,MATCH(Lists!$F$3,$A$1:$AL$1,0))&amp;""),"")="","(no space)",IFERROR(TRIM(INDEX($A278:$AL278,MATCH(Lists!$F$3,$A$1:$AL$1,0))&amp;""),""))))</f>
        <v/>
      </c>
      <c r="AT278" s="22">
        <f>IF(IFERROR(TRIM(INDEX($A278:$AL278,MATCH(Lists!$F$2,$A$1:$AL$1,0))&amp;""),"")="",0,N(IFERROR(IF(TRIM(INDEX($A278:$AL278,MATCH(Lists!$F$5,$A$1:$AL$1,0))&amp;"")="","",IF(ISNUMBER(INDEX($A278:$AL278,MATCH(Lists!$F$5,$A$1:$AL$1,0))),INT(INDEX($A278:$AL278,MATCH(Lists!$F$5,$A$1:$AL$1,0))),DATE(VALUE(LEFT(INDEX($A278:$AL278,MATCH(Lists!$F$5,$A$1:$AL$1,0)),4)),VALUE(MID(INDEX($A278:$AL278,MATCH(Lists!$F$5,$A$1:$AL$1,0)),6,2)),VALUE(MID(INDEX($A278:$AL278,MATCH(Lists!$F$5,$A$1:$AL$1,0)),9,2))))),"")))</f>
        <v/>
      </c>
      <c r="AU278" s="21">
        <f>IF(IFERROR(TRIM(INDEX($A278:$AL278,MATCH(Lists!$F$2,$A$1:$AL$1,0))&amp;""),"")="",-1,IF(ISNUMBER(IFERROR(IF(TRIM(INDEX($A278:$AL278,MATCH(Lists!$F$6,$A$1:$AL$1,0))&amp;"")="","",IF(ISNUMBER(INDEX($A278:$AL278,MATCH(Lists!$F$6,$A$1:$AL$1,0))),ROUND(MOD(INDEX($A278:$AL278,MATCH(Lists!$F$6,$A$1:$AL$1,0)),1)*1440,0),VALUE(LEFT(INDEX($A278:$AL278,MATCH(Lists!$F$6,$A$1:$AL$1,0)),2))*60+VALUE(MID(INDEX($A278:$AL278,MATCH(Lists!$F$6,$A$1:$AL$1,0)),4,2)))),"")),IFERROR(IF(TRIM(INDEX($A278:$AL278,MATCH(Lists!$F$6,$A$1:$AL$1,0))&amp;"")="","",IF(ISNUMBER(INDEX($A278:$AL278,MATCH(Lists!$F$6,$A$1:$AL$1,0))),ROUND(MOD(INDEX($A278:$AL278,MATCH(Lists!$F$6,$A$1:$AL$1,0)),1)*1440,0),VALUE(LEFT(INDEX($A278:$AL278,MATCH(Lists!$F$6,$A$1:$AL$1,0)),2))*60+VALUE(MID(INDEX($A278:$AL278,MATCH(Lists!$F$6,$A$1:$AL$1,0)),4,2)))),""),-1))</f>
        <v/>
      </c>
      <c r="AV278" s="21">
        <f>IF(IFERROR(TRIM(INDEX($A278:$AL278,MATCH(Lists!$F$2,$A$1:$AL$1,0))&amp;""),"")="",-1,IF(ISNUMBER(IFERROR(IF(TRIM(INDEX($A278:$AL278,MATCH(Lists!$F$7,$A$1:$AL$1,0))&amp;"")="","",IF(ISNUMBER(INDEX($A278:$AL278,MATCH(Lists!$F$7,$A$1:$AL$1,0))),ROUND(MOD(INDEX($A278:$AL278,MATCH(Lists!$F$7,$A$1:$AL$1,0)),1)*1440,0),VALUE(LEFT(INDEX($A278:$AL278,MATCH(Lists!$F$7,$A$1:$AL$1,0)),2))*60+VALUE(MID(INDEX($A278:$AL278,MATCH(Lists!$F$7,$A$1:$AL$1,0)),4,2)))),"")),IFERROR(IF(TRIM(INDEX($A278:$AL278,MATCH(Lists!$F$7,$A$1:$AL$1,0))&amp;"")="","",IF(ISNUMBER(INDEX($A278:$AL278,MATCH(Lists!$F$7,$A$1:$AL$1,0))),ROUND(MOD(INDEX($A278:$AL278,MATCH(Lists!$F$7,$A$1:$AL$1,0)),1)*1440,0),VALUE(LEFT(INDEX($A278:$AL278,MATCH(Lists!$F$7,$A$1:$AL$1,0)),2))*60+VALUE(MID(INDEX($A278:$AL278,MATCH(Lists!$F$7,$A$1:$AL$1,0)),4,2)))),""),-1))</f>
        <v/>
      </c>
      <c r="AW278" s="21">
        <f>IF(IFERROR(TRIM(INDEX($A278:$AL278,MATCH(Lists!$F$2,$A$1:$AL$1,0))&amp;""),"")="","",IF(IFERROR(TRIM(INDEX($A278:$AL278,MATCH(Lists!$F$8,$A$1:$AL$1,0))&amp;""),"")&lt;&gt;"",IFERROR(TRIM(INDEX($A278:$AL278,MATCH(Lists!$F$8,$A$1:$AL$1,0))&amp;""),""),IFERROR(TRIM(INDEX($A278:$AL278,MATCH(Lists!$F$9,$A$1:$AL$1,0))&amp;""),"")))</f>
        <v/>
      </c>
      <c r="AX278" s="21">
        <f>IFERROR(IF(TRIM(INDEX($A278:$AL278,MATCH(Lists!$F$10,$A$1:$AL$1,0))&amp;"")="","",VALUE(TRIM(INDEX($A278:$AL278,MATCH(Lists!$F$10,$A$1:$AL$1,0))&amp;""))),"")</f>
        <v/>
      </c>
      <c r="AY278" s="21">
        <f>IF(IFERROR(TRIM(INDEX($A278:$AL278,MATCH(Lists!$F$2,$A$1:$AL$1,0))&amp;""),"")="","",IF(AN278="","New",AN278))</f>
        <v/>
      </c>
      <c r="AZ278" s="21">
        <f>IF(IFERROR(TRIM(INDEX($A278:$AL278,MATCH(Lists!$F$2,$A$1:$AL$1,0))&amp;""),"")="","",IF(OR(IFERROR(TRIM(INDEX($A278:$AL278,MATCH(Lists!$F$13,$A$1:$AL$1,0))&amp;""),"")="Paid",IFERROR(TRIM(INDEX($A278:$AL278,MATCH(Lists!$F$13,$A$1:$AL$1,0))&amp;""),"")="Partially refunded"),"Paid",IF(AP278="Yes","Paid (by hand)",IFERROR(TRIM(INDEX($A278:$AL278,MATCH(Lists!$F$13,$A$1:$AL$1,0))&amp;""),""))))</f>
        <v/>
      </c>
      <c r="BA278" s="21">
        <f>IF(AND(IFERROR(TRIM(INDEX($A278:$AL278,MATCH(Lists!$F$2,$A$1:$AL$1,0))&amp;""),"")&lt;&gt;"",AT278&gt;0,AU278&gt;=0,AV278&gt;AU278,AY278&lt;&gt;"Declined"),1,0)</f>
        <v/>
      </c>
      <c r="BB278" s="21">
        <f>IF(BA278=1,COUNTIFS($AS$2:$AS$501,AS278,$AT$2:$AT$501,AT278,$AU$2:$AU$501,"&lt;"&amp;AV278,$AV$2:$AV$501,"&gt;"&amp;AU278,$BA$2:$BA$501,1)-1,"")</f>
        <v/>
      </c>
      <c r="BC278" s="21">
        <f>IF(N(BB278)&gt;0,"Clashes with "&amp;INDEX($AW$2:$AW$501,SUMPRODUCT(MAX(($AS$2:$AS$501=AS278)*($AT$2:$AT$501=AT278)*($AU$2:$AU$501&lt;AV278)*($AV$2:$AV$501&gt;AU278)*($BA$2:$BA$501=1)*(ROW($AS$2:$AS$501)&lt;&gt;ROW())*ROW($AS$2:$AS$501)))-1)&amp;" ("&amp;INDEX($AY$2:$AY$501,SUMPRODUCT(MAX(($AS$2:$AS$501=AS278)*($AT$2:$AT$501=AT278)*($AU$2:$AU$501&lt;AV278)*($AV$2:$AV$501&gt;AU278)*($BA$2:$BA$501=1)*(ROW($AS$2:$AS$501)&lt;&gt;ROW())*ROW($AS$2:$AS$501)))-1)&amp;")"&amp;IF(BB278&gt;1," and "&amp;(BB278-1)&amp;" more",""),"")</f>
        <v/>
      </c>
      <c r="BD278" s="21">
        <f>IF(AND(BA278=1,AY278="Confirmed"),AT278*10000000+AU278*1000+ROW(),"")</f>
        <v/>
      </c>
      <c r="BE278" s="21">
        <f>IF(IFERROR(TRIM(INDEX($A278:$AL278,MATCH(Lists!$F$2,$A$1:$AL$1,0))&amp;""),"")="","",IFERROR(TRIM(INDEX($A278:$AL278,MATCH(Lists!$F$11,$A$1:$AL$1,0))&amp;""),""))</f>
        <v/>
      </c>
      <c r="BF278" s="21">
        <f>IF(IFERROR(TRIM(INDEX($A278:$AL278,MATCH(Lists!$F$2,$A$1:$AL$1,0))&amp;""),"")="","",IFERROR(TRIM(INDEX($A278:$AL278,MATCH(Lists!$F$12,$A$1:$AL$1,0))&amp;""),""))</f>
        <v/>
      </c>
    </row>
    <row r="279">
      <c r="AM279" s="19" t="n"/>
      <c r="AN279" s="23" t="n"/>
      <c r="AO279" s="23" t="n"/>
      <c r="AP279" s="23" t="n"/>
      <c r="AQ279" s="23" t="n"/>
      <c r="AR279" s="19" t="n"/>
      <c r="AS279" s="21">
        <f>IF(IFERROR(TRIM(INDEX($A279:$AL279,MATCH(Lists!$F$2,$A$1:$AL$1,0))&amp;""),"")="","",IF(AND(IFERROR(TRIM(INDEX($A279:$AL279,MATCH(Lists!$F$3,$A$1:$AL$1,0))&amp;""),"")="Other",IFERROR(TRIM(INDEX($A279:$AL279,MATCH(Lists!$F$4,$A$1:$AL$1,0))&amp;""),"")&lt;&gt;""),IFERROR(TRIM(INDEX($A279:$AL279,MATCH(Lists!$F$4,$A$1:$AL$1,0))&amp;""),""),IF(IFERROR(TRIM(INDEX($A279:$AL279,MATCH(Lists!$F$3,$A$1:$AL$1,0))&amp;""),"")="","(no space)",IFERROR(TRIM(INDEX($A279:$AL279,MATCH(Lists!$F$3,$A$1:$AL$1,0))&amp;""),""))))</f>
        <v/>
      </c>
      <c r="AT279" s="22">
        <f>IF(IFERROR(TRIM(INDEX($A279:$AL279,MATCH(Lists!$F$2,$A$1:$AL$1,0))&amp;""),"")="",0,N(IFERROR(IF(TRIM(INDEX($A279:$AL279,MATCH(Lists!$F$5,$A$1:$AL$1,0))&amp;"")="","",IF(ISNUMBER(INDEX($A279:$AL279,MATCH(Lists!$F$5,$A$1:$AL$1,0))),INT(INDEX($A279:$AL279,MATCH(Lists!$F$5,$A$1:$AL$1,0))),DATE(VALUE(LEFT(INDEX($A279:$AL279,MATCH(Lists!$F$5,$A$1:$AL$1,0)),4)),VALUE(MID(INDEX($A279:$AL279,MATCH(Lists!$F$5,$A$1:$AL$1,0)),6,2)),VALUE(MID(INDEX($A279:$AL279,MATCH(Lists!$F$5,$A$1:$AL$1,0)),9,2))))),"")))</f>
        <v/>
      </c>
      <c r="AU279" s="21">
        <f>IF(IFERROR(TRIM(INDEX($A279:$AL279,MATCH(Lists!$F$2,$A$1:$AL$1,0))&amp;""),"")="",-1,IF(ISNUMBER(IFERROR(IF(TRIM(INDEX($A279:$AL279,MATCH(Lists!$F$6,$A$1:$AL$1,0))&amp;"")="","",IF(ISNUMBER(INDEX($A279:$AL279,MATCH(Lists!$F$6,$A$1:$AL$1,0))),ROUND(MOD(INDEX($A279:$AL279,MATCH(Lists!$F$6,$A$1:$AL$1,0)),1)*1440,0),VALUE(LEFT(INDEX($A279:$AL279,MATCH(Lists!$F$6,$A$1:$AL$1,0)),2))*60+VALUE(MID(INDEX($A279:$AL279,MATCH(Lists!$F$6,$A$1:$AL$1,0)),4,2)))),"")),IFERROR(IF(TRIM(INDEX($A279:$AL279,MATCH(Lists!$F$6,$A$1:$AL$1,0))&amp;"")="","",IF(ISNUMBER(INDEX($A279:$AL279,MATCH(Lists!$F$6,$A$1:$AL$1,0))),ROUND(MOD(INDEX($A279:$AL279,MATCH(Lists!$F$6,$A$1:$AL$1,0)),1)*1440,0),VALUE(LEFT(INDEX($A279:$AL279,MATCH(Lists!$F$6,$A$1:$AL$1,0)),2))*60+VALUE(MID(INDEX($A279:$AL279,MATCH(Lists!$F$6,$A$1:$AL$1,0)),4,2)))),""),-1))</f>
        <v/>
      </c>
      <c r="AV279" s="21">
        <f>IF(IFERROR(TRIM(INDEX($A279:$AL279,MATCH(Lists!$F$2,$A$1:$AL$1,0))&amp;""),"")="",-1,IF(ISNUMBER(IFERROR(IF(TRIM(INDEX($A279:$AL279,MATCH(Lists!$F$7,$A$1:$AL$1,0))&amp;"")="","",IF(ISNUMBER(INDEX($A279:$AL279,MATCH(Lists!$F$7,$A$1:$AL$1,0))),ROUND(MOD(INDEX($A279:$AL279,MATCH(Lists!$F$7,$A$1:$AL$1,0)),1)*1440,0),VALUE(LEFT(INDEX($A279:$AL279,MATCH(Lists!$F$7,$A$1:$AL$1,0)),2))*60+VALUE(MID(INDEX($A279:$AL279,MATCH(Lists!$F$7,$A$1:$AL$1,0)),4,2)))),"")),IFERROR(IF(TRIM(INDEX($A279:$AL279,MATCH(Lists!$F$7,$A$1:$AL$1,0))&amp;"")="","",IF(ISNUMBER(INDEX($A279:$AL279,MATCH(Lists!$F$7,$A$1:$AL$1,0))),ROUND(MOD(INDEX($A279:$AL279,MATCH(Lists!$F$7,$A$1:$AL$1,0)),1)*1440,0),VALUE(LEFT(INDEX($A279:$AL279,MATCH(Lists!$F$7,$A$1:$AL$1,0)),2))*60+VALUE(MID(INDEX($A279:$AL279,MATCH(Lists!$F$7,$A$1:$AL$1,0)),4,2)))),""),-1))</f>
        <v/>
      </c>
      <c r="AW279" s="21">
        <f>IF(IFERROR(TRIM(INDEX($A279:$AL279,MATCH(Lists!$F$2,$A$1:$AL$1,0))&amp;""),"")="","",IF(IFERROR(TRIM(INDEX($A279:$AL279,MATCH(Lists!$F$8,$A$1:$AL$1,0))&amp;""),"")&lt;&gt;"",IFERROR(TRIM(INDEX($A279:$AL279,MATCH(Lists!$F$8,$A$1:$AL$1,0))&amp;""),""),IFERROR(TRIM(INDEX($A279:$AL279,MATCH(Lists!$F$9,$A$1:$AL$1,0))&amp;""),"")))</f>
        <v/>
      </c>
      <c r="AX279" s="21">
        <f>IFERROR(IF(TRIM(INDEX($A279:$AL279,MATCH(Lists!$F$10,$A$1:$AL$1,0))&amp;"")="","",VALUE(TRIM(INDEX($A279:$AL279,MATCH(Lists!$F$10,$A$1:$AL$1,0))&amp;""))),"")</f>
        <v/>
      </c>
      <c r="AY279" s="21">
        <f>IF(IFERROR(TRIM(INDEX($A279:$AL279,MATCH(Lists!$F$2,$A$1:$AL$1,0))&amp;""),"")="","",IF(AN279="","New",AN279))</f>
        <v/>
      </c>
      <c r="AZ279" s="21">
        <f>IF(IFERROR(TRIM(INDEX($A279:$AL279,MATCH(Lists!$F$2,$A$1:$AL$1,0))&amp;""),"")="","",IF(OR(IFERROR(TRIM(INDEX($A279:$AL279,MATCH(Lists!$F$13,$A$1:$AL$1,0))&amp;""),"")="Paid",IFERROR(TRIM(INDEX($A279:$AL279,MATCH(Lists!$F$13,$A$1:$AL$1,0))&amp;""),"")="Partially refunded"),"Paid",IF(AP279="Yes","Paid (by hand)",IFERROR(TRIM(INDEX($A279:$AL279,MATCH(Lists!$F$13,$A$1:$AL$1,0))&amp;""),""))))</f>
        <v/>
      </c>
      <c r="BA279" s="21">
        <f>IF(AND(IFERROR(TRIM(INDEX($A279:$AL279,MATCH(Lists!$F$2,$A$1:$AL$1,0))&amp;""),"")&lt;&gt;"",AT279&gt;0,AU279&gt;=0,AV279&gt;AU279,AY279&lt;&gt;"Declined"),1,0)</f>
        <v/>
      </c>
      <c r="BB279" s="21">
        <f>IF(BA279=1,COUNTIFS($AS$2:$AS$501,AS279,$AT$2:$AT$501,AT279,$AU$2:$AU$501,"&lt;"&amp;AV279,$AV$2:$AV$501,"&gt;"&amp;AU279,$BA$2:$BA$501,1)-1,"")</f>
        <v/>
      </c>
      <c r="BC279" s="21">
        <f>IF(N(BB279)&gt;0,"Clashes with "&amp;INDEX($AW$2:$AW$501,SUMPRODUCT(MAX(($AS$2:$AS$501=AS279)*($AT$2:$AT$501=AT279)*($AU$2:$AU$501&lt;AV279)*($AV$2:$AV$501&gt;AU279)*($BA$2:$BA$501=1)*(ROW($AS$2:$AS$501)&lt;&gt;ROW())*ROW($AS$2:$AS$501)))-1)&amp;" ("&amp;INDEX($AY$2:$AY$501,SUMPRODUCT(MAX(($AS$2:$AS$501=AS279)*($AT$2:$AT$501=AT279)*($AU$2:$AU$501&lt;AV279)*($AV$2:$AV$501&gt;AU279)*($BA$2:$BA$501=1)*(ROW($AS$2:$AS$501)&lt;&gt;ROW())*ROW($AS$2:$AS$501)))-1)&amp;")"&amp;IF(BB279&gt;1," and "&amp;(BB279-1)&amp;" more",""),"")</f>
        <v/>
      </c>
      <c r="BD279" s="21">
        <f>IF(AND(BA279=1,AY279="Confirmed"),AT279*10000000+AU279*1000+ROW(),"")</f>
        <v/>
      </c>
      <c r="BE279" s="21">
        <f>IF(IFERROR(TRIM(INDEX($A279:$AL279,MATCH(Lists!$F$2,$A$1:$AL$1,0))&amp;""),"")="","",IFERROR(TRIM(INDEX($A279:$AL279,MATCH(Lists!$F$11,$A$1:$AL$1,0))&amp;""),""))</f>
        <v/>
      </c>
      <c r="BF279" s="21">
        <f>IF(IFERROR(TRIM(INDEX($A279:$AL279,MATCH(Lists!$F$2,$A$1:$AL$1,0))&amp;""),"")="","",IFERROR(TRIM(INDEX($A279:$AL279,MATCH(Lists!$F$12,$A$1:$AL$1,0))&amp;""),""))</f>
        <v/>
      </c>
    </row>
    <row r="280">
      <c r="AM280" s="19" t="n"/>
      <c r="AN280" s="23" t="n"/>
      <c r="AO280" s="23" t="n"/>
      <c r="AP280" s="23" t="n"/>
      <c r="AQ280" s="23" t="n"/>
      <c r="AR280" s="19" t="n"/>
      <c r="AS280" s="21">
        <f>IF(IFERROR(TRIM(INDEX($A280:$AL280,MATCH(Lists!$F$2,$A$1:$AL$1,0))&amp;""),"")="","",IF(AND(IFERROR(TRIM(INDEX($A280:$AL280,MATCH(Lists!$F$3,$A$1:$AL$1,0))&amp;""),"")="Other",IFERROR(TRIM(INDEX($A280:$AL280,MATCH(Lists!$F$4,$A$1:$AL$1,0))&amp;""),"")&lt;&gt;""),IFERROR(TRIM(INDEX($A280:$AL280,MATCH(Lists!$F$4,$A$1:$AL$1,0))&amp;""),""),IF(IFERROR(TRIM(INDEX($A280:$AL280,MATCH(Lists!$F$3,$A$1:$AL$1,0))&amp;""),"")="","(no space)",IFERROR(TRIM(INDEX($A280:$AL280,MATCH(Lists!$F$3,$A$1:$AL$1,0))&amp;""),""))))</f>
        <v/>
      </c>
      <c r="AT280" s="22">
        <f>IF(IFERROR(TRIM(INDEX($A280:$AL280,MATCH(Lists!$F$2,$A$1:$AL$1,0))&amp;""),"")="",0,N(IFERROR(IF(TRIM(INDEX($A280:$AL280,MATCH(Lists!$F$5,$A$1:$AL$1,0))&amp;"")="","",IF(ISNUMBER(INDEX($A280:$AL280,MATCH(Lists!$F$5,$A$1:$AL$1,0))),INT(INDEX($A280:$AL280,MATCH(Lists!$F$5,$A$1:$AL$1,0))),DATE(VALUE(LEFT(INDEX($A280:$AL280,MATCH(Lists!$F$5,$A$1:$AL$1,0)),4)),VALUE(MID(INDEX($A280:$AL280,MATCH(Lists!$F$5,$A$1:$AL$1,0)),6,2)),VALUE(MID(INDEX($A280:$AL280,MATCH(Lists!$F$5,$A$1:$AL$1,0)),9,2))))),"")))</f>
        <v/>
      </c>
      <c r="AU280" s="21">
        <f>IF(IFERROR(TRIM(INDEX($A280:$AL280,MATCH(Lists!$F$2,$A$1:$AL$1,0))&amp;""),"")="",-1,IF(ISNUMBER(IFERROR(IF(TRIM(INDEX($A280:$AL280,MATCH(Lists!$F$6,$A$1:$AL$1,0))&amp;"")="","",IF(ISNUMBER(INDEX($A280:$AL280,MATCH(Lists!$F$6,$A$1:$AL$1,0))),ROUND(MOD(INDEX($A280:$AL280,MATCH(Lists!$F$6,$A$1:$AL$1,0)),1)*1440,0),VALUE(LEFT(INDEX($A280:$AL280,MATCH(Lists!$F$6,$A$1:$AL$1,0)),2))*60+VALUE(MID(INDEX($A280:$AL280,MATCH(Lists!$F$6,$A$1:$AL$1,0)),4,2)))),"")),IFERROR(IF(TRIM(INDEX($A280:$AL280,MATCH(Lists!$F$6,$A$1:$AL$1,0))&amp;"")="","",IF(ISNUMBER(INDEX($A280:$AL280,MATCH(Lists!$F$6,$A$1:$AL$1,0))),ROUND(MOD(INDEX($A280:$AL280,MATCH(Lists!$F$6,$A$1:$AL$1,0)),1)*1440,0),VALUE(LEFT(INDEX($A280:$AL280,MATCH(Lists!$F$6,$A$1:$AL$1,0)),2))*60+VALUE(MID(INDEX($A280:$AL280,MATCH(Lists!$F$6,$A$1:$AL$1,0)),4,2)))),""),-1))</f>
        <v/>
      </c>
      <c r="AV280" s="21">
        <f>IF(IFERROR(TRIM(INDEX($A280:$AL280,MATCH(Lists!$F$2,$A$1:$AL$1,0))&amp;""),"")="",-1,IF(ISNUMBER(IFERROR(IF(TRIM(INDEX($A280:$AL280,MATCH(Lists!$F$7,$A$1:$AL$1,0))&amp;"")="","",IF(ISNUMBER(INDEX($A280:$AL280,MATCH(Lists!$F$7,$A$1:$AL$1,0))),ROUND(MOD(INDEX($A280:$AL280,MATCH(Lists!$F$7,$A$1:$AL$1,0)),1)*1440,0),VALUE(LEFT(INDEX($A280:$AL280,MATCH(Lists!$F$7,$A$1:$AL$1,0)),2))*60+VALUE(MID(INDEX($A280:$AL280,MATCH(Lists!$F$7,$A$1:$AL$1,0)),4,2)))),"")),IFERROR(IF(TRIM(INDEX($A280:$AL280,MATCH(Lists!$F$7,$A$1:$AL$1,0))&amp;"")="","",IF(ISNUMBER(INDEX($A280:$AL280,MATCH(Lists!$F$7,$A$1:$AL$1,0))),ROUND(MOD(INDEX($A280:$AL280,MATCH(Lists!$F$7,$A$1:$AL$1,0)),1)*1440,0),VALUE(LEFT(INDEX($A280:$AL280,MATCH(Lists!$F$7,$A$1:$AL$1,0)),2))*60+VALUE(MID(INDEX($A280:$AL280,MATCH(Lists!$F$7,$A$1:$AL$1,0)),4,2)))),""),-1))</f>
        <v/>
      </c>
      <c r="AW280" s="21">
        <f>IF(IFERROR(TRIM(INDEX($A280:$AL280,MATCH(Lists!$F$2,$A$1:$AL$1,0))&amp;""),"")="","",IF(IFERROR(TRIM(INDEX($A280:$AL280,MATCH(Lists!$F$8,$A$1:$AL$1,0))&amp;""),"")&lt;&gt;"",IFERROR(TRIM(INDEX($A280:$AL280,MATCH(Lists!$F$8,$A$1:$AL$1,0))&amp;""),""),IFERROR(TRIM(INDEX($A280:$AL280,MATCH(Lists!$F$9,$A$1:$AL$1,0))&amp;""),"")))</f>
        <v/>
      </c>
      <c r="AX280" s="21">
        <f>IFERROR(IF(TRIM(INDEX($A280:$AL280,MATCH(Lists!$F$10,$A$1:$AL$1,0))&amp;"")="","",VALUE(TRIM(INDEX($A280:$AL280,MATCH(Lists!$F$10,$A$1:$AL$1,0))&amp;""))),"")</f>
        <v/>
      </c>
      <c r="AY280" s="21">
        <f>IF(IFERROR(TRIM(INDEX($A280:$AL280,MATCH(Lists!$F$2,$A$1:$AL$1,0))&amp;""),"")="","",IF(AN280="","New",AN280))</f>
        <v/>
      </c>
      <c r="AZ280" s="21">
        <f>IF(IFERROR(TRIM(INDEX($A280:$AL280,MATCH(Lists!$F$2,$A$1:$AL$1,0))&amp;""),"")="","",IF(OR(IFERROR(TRIM(INDEX($A280:$AL280,MATCH(Lists!$F$13,$A$1:$AL$1,0))&amp;""),"")="Paid",IFERROR(TRIM(INDEX($A280:$AL280,MATCH(Lists!$F$13,$A$1:$AL$1,0))&amp;""),"")="Partially refunded"),"Paid",IF(AP280="Yes","Paid (by hand)",IFERROR(TRIM(INDEX($A280:$AL280,MATCH(Lists!$F$13,$A$1:$AL$1,0))&amp;""),""))))</f>
        <v/>
      </c>
      <c r="BA280" s="21">
        <f>IF(AND(IFERROR(TRIM(INDEX($A280:$AL280,MATCH(Lists!$F$2,$A$1:$AL$1,0))&amp;""),"")&lt;&gt;"",AT280&gt;0,AU280&gt;=0,AV280&gt;AU280,AY280&lt;&gt;"Declined"),1,0)</f>
        <v/>
      </c>
      <c r="BB280" s="21">
        <f>IF(BA280=1,COUNTIFS($AS$2:$AS$501,AS280,$AT$2:$AT$501,AT280,$AU$2:$AU$501,"&lt;"&amp;AV280,$AV$2:$AV$501,"&gt;"&amp;AU280,$BA$2:$BA$501,1)-1,"")</f>
        <v/>
      </c>
      <c r="BC280" s="21">
        <f>IF(N(BB280)&gt;0,"Clashes with "&amp;INDEX($AW$2:$AW$501,SUMPRODUCT(MAX(($AS$2:$AS$501=AS280)*($AT$2:$AT$501=AT280)*($AU$2:$AU$501&lt;AV280)*($AV$2:$AV$501&gt;AU280)*($BA$2:$BA$501=1)*(ROW($AS$2:$AS$501)&lt;&gt;ROW())*ROW($AS$2:$AS$501)))-1)&amp;" ("&amp;INDEX($AY$2:$AY$501,SUMPRODUCT(MAX(($AS$2:$AS$501=AS280)*($AT$2:$AT$501=AT280)*($AU$2:$AU$501&lt;AV280)*($AV$2:$AV$501&gt;AU280)*($BA$2:$BA$501=1)*(ROW($AS$2:$AS$501)&lt;&gt;ROW())*ROW($AS$2:$AS$501)))-1)&amp;")"&amp;IF(BB280&gt;1," and "&amp;(BB280-1)&amp;" more",""),"")</f>
        <v/>
      </c>
      <c r="BD280" s="21">
        <f>IF(AND(BA280=1,AY280="Confirmed"),AT280*10000000+AU280*1000+ROW(),"")</f>
        <v/>
      </c>
      <c r="BE280" s="21">
        <f>IF(IFERROR(TRIM(INDEX($A280:$AL280,MATCH(Lists!$F$2,$A$1:$AL$1,0))&amp;""),"")="","",IFERROR(TRIM(INDEX($A280:$AL280,MATCH(Lists!$F$11,$A$1:$AL$1,0))&amp;""),""))</f>
        <v/>
      </c>
      <c r="BF280" s="21">
        <f>IF(IFERROR(TRIM(INDEX($A280:$AL280,MATCH(Lists!$F$2,$A$1:$AL$1,0))&amp;""),"")="","",IFERROR(TRIM(INDEX($A280:$AL280,MATCH(Lists!$F$12,$A$1:$AL$1,0))&amp;""),""))</f>
        <v/>
      </c>
    </row>
    <row r="281">
      <c r="AM281" s="19" t="n"/>
      <c r="AN281" s="23" t="n"/>
      <c r="AO281" s="23" t="n"/>
      <c r="AP281" s="23" t="n"/>
      <c r="AQ281" s="23" t="n"/>
      <c r="AR281" s="19" t="n"/>
      <c r="AS281" s="21">
        <f>IF(IFERROR(TRIM(INDEX($A281:$AL281,MATCH(Lists!$F$2,$A$1:$AL$1,0))&amp;""),"")="","",IF(AND(IFERROR(TRIM(INDEX($A281:$AL281,MATCH(Lists!$F$3,$A$1:$AL$1,0))&amp;""),"")="Other",IFERROR(TRIM(INDEX($A281:$AL281,MATCH(Lists!$F$4,$A$1:$AL$1,0))&amp;""),"")&lt;&gt;""),IFERROR(TRIM(INDEX($A281:$AL281,MATCH(Lists!$F$4,$A$1:$AL$1,0))&amp;""),""),IF(IFERROR(TRIM(INDEX($A281:$AL281,MATCH(Lists!$F$3,$A$1:$AL$1,0))&amp;""),"")="","(no space)",IFERROR(TRIM(INDEX($A281:$AL281,MATCH(Lists!$F$3,$A$1:$AL$1,0))&amp;""),""))))</f>
        <v/>
      </c>
      <c r="AT281" s="22">
        <f>IF(IFERROR(TRIM(INDEX($A281:$AL281,MATCH(Lists!$F$2,$A$1:$AL$1,0))&amp;""),"")="",0,N(IFERROR(IF(TRIM(INDEX($A281:$AL281,MATCH(Lists!$F$5,$A$1:$AL$1,0))&amp;"")="","",IF(ISNUMBER(INDEX($A281:$AL281,MATCH(Lists!$F$5,$A$1:$AL$1,0))),INT(INDEX($A281:$AL281,MATCH(Lists!$F$5,$A$1:$AL$1,0))),DATE(VALUE(LEFT(INDEX($A281:$AL281,MATCH(Lists!$F$5,$A$1:$AL$1,0)),4)),VALUE(MID(INDEX($A281:$AL281,MATCH(Lists!$F$5,$A$1:$AL$1,0)),6,2)),VALUE(MID(INDEX($A281:$AL281,MATCH(Lists!$F$5,$A$1:$AL$1,0)),9,2))))),"")))</f>
        <v/>
      </c>
      <c r="AU281" s="21">
        <f>IF(IFERROR(TRIM(INDEX($A281:$AL281,MATCH(Lists!$F$2,$A$1:$AL$1,0))&amp;""),"")="",-1,IF(ISNUMBER(IFERROR(IF(TRIM(INDEX($A281:$AL281,MATCH(Lists!$F$6,$A$1:$AL$1,0))&amp;"")="","",IF(ISNUMBER(INDEX($A281:$AL281,MATCH(Lists!$F$6,$A$1:$AL$1,0))),ROUND(MOD(INDEX($A281:$AL281,MATCH(Lists!$F$6,$A$1:$AL$1,0)),1)*1440,0),VALUE(LEFT(INDEX($A281:$AL281,MATCH(Lists!$F$6,$A$1:$AL$1,0)),2))*60+VALUE(MID(INDEX($A281:$AL281,MATCH(Lists!$F$6,$A$1:$AL$1,0)),4,2)))),"")),IFERROR(IF(TRIM(INDEX($A281:$AL281,MATCH(Lists!$F$6,$A$1:$AL$1,0))&amp;"")="","",IF(ISNUMBER(INDEX($A281:$AL281,MATCH(Lists!$F$6,$A$1:$AL$1,0))),ROUND(MOD(INDEX($A281:$AL281,MATCH(Lists!$F$6,$A$1:$AL$1,0)),1)*1440,0),VALUE(LEFT(INDEX($A281:$AL281,MATCH(Lists!$F$6,$A$1:$AL$1,0)),2))*60+VALUE(MID(INDEX($A281:$AL281,MATCH(Lists!$F$6,$A$1:$AL$1,0)),4,2)))),""),-1))</f>
        <v/>
      </c>
      <c r="AV281" s="21">
        <f>IF(IFERROR(TRIM(INDEX($A281:$AL281,MATCH(Lists!$F$2,$A$1:$AL$1,0))&amp;""),"")="",-1,IF(ISNUMBER(IFERROR(IF(TRIM(INDEX($A281:$AL281,MATCH(Lists!$F$7,$A$1:$AL$1,0))&amp;"")="","",IF(ISNUMBER(INDEX($A281:$AL281,MATCH(Lists!$F$7,$A$1:$AL$1,0))),ROUND(MOD(INDEX($A281:$AL281,MATCH(Lists!$F$7,$A$1:$AL$1,0)),1)*1440,0),VALUE(LEFT(INDEX($A281:$AL281,MATCH(Lists!$F$7,$A$1:$AL$1,0)),2))*60+VALUE(MID(INDEX($A281:$AL281,MATCH(Lists!$F$7,$A$1:$AL$1,0)),4,2)))),"")),IFERROR(IF(TRIM(INDEX($A281:$AL281,MATCH(Lists!$F$7,$A$1:$AL$1,0))&amp;"")="","",IF(ISNUMBER(INDEX($A281:$AL281,MATCH(Lists!$F$7,$A$1:$AL$1,0))),ROUND(MOD(INDEX($A281:$AL281,MATCH(Lists!$F$7,$A$1:$AL$1,0)),1)*1440,0),VALUE(LEFT(INDEX($A281:$AL281,MATCH(Lists!$F$7,$A$1:$AL$1,0)),2))*60+VALUE(MID(INDEX($A281:$AL281,MATCH(Lists!$F$7,$A$1:$AL$1,0)),4,2)))),""),-1))</f>
        <v/>
      </c>
      <c r="AW281" s="21">
        <f>IF(IFERROR(TRIM(INDEX($A281:$AL281,MATCH(Lists!$F$2,$A$1:$AL$1,0))&amp;""),"")="","",IF(IFERROR(TRIM(INDEX($A281:$AL281,MATCH(Lists!$F$8,$A$1:$AL$1,0))&amp;""),"")&lt;&gt;"",IFERROR(TRIM(INDEX($A281:$AL281,MATCH(Lists!$F$8,$A$1:$AL$1,0))&amp;""),""),IFERROR(TRIM(INDEX($A281:$AL281,MATCH(Lists!$F$9,$A$1:$AL$1,0))&amp;""),"")))</f>
        <v/>
      </c>
      <c r="AX281" s="21">
        <f>IFERROR(IF(TRIM(INDEX($A281:$AL281,MATCH(Lists!$F$10,$A$1:$AL$1,0))&amp;"")="","",VALUE(TRIM(INDEX($A281:$AL281,MATCH(Lists!$F$10,$A$1:$AL$1,0))&amp;""))),"")</f>
        <v/>
      </c>
      <c r="AY281" s="21">
        <f>IF(IFERROR(TRIM(INDEX($A281:$AL281,MATCH(Lists!$F$2,$A$1:$AL$1,0))&amp;""),"")="","",IF(AN281="","New",AN281))</f>
        <v/>
      </c>
      <c r="AZ281" s="21">
        <f>IF(IFERROR(TRIM(INDEX($A281:$AL281,MATCH(Lists!$F$2,$A$1:$AL$1,0))&amp;""),"")="","",IF(OR(IFERROR(TRIM(INDEX($A281:$AL281,MATCH(Lists!$F$13,$A$1:$AL$1,0))&amp;""),"")="Paid",IFERROR(TRIM(INDEX($A281:$AL281,MATCH(Lists!$F$13,$A$1:$AL$1,0))&amp;""),"")="Partially refunded"),"Paid",IF(AP281="Yes","Paid (by hand)",IFERROR(TRIM(INDEX($A281:$AL281,MATCH(Lists!$F$13,$A$1:$AL$1,0))&amp;""),""))))</f>
        <v/>
      </c>
      <c r="BA281" s="21">
        <f>IF(AND(IFERROR(TRIM(INDEX($A281:$AL281,MATCH(Lists!$F$2,$A$1:$AL$1,0))&amp;""),"")&lt;&gt;"",AT281&gt;0,AU281&gt;=0,AV281&gt;AU281,AY281&lt;&gt;"Declined"),1,0)</f>
        <v/>
      </c>
      <c r="BB281" s="21">
        <f>IF(BA281=1,COUNTIFS($AS$2:$AS$501,AS281,$AT$2:$AT$501,AT281,$AU$2:$AU$501,"&lt;"&amp;AV281,$AV$2:$AV$501,"&gt;"&amp;AU281,$BA$2:$BA$501,1)-1,"")</f>
        <v/>
      </c>
      <c r="BC281" s="21">
        <f>IF(N(BB281)&gt;0,"Clashes with "&amp;INDEX($AW$2:$AW$501,SUMPRODUCT(MAX(($AS$2:$AS$501=AS281)*($AT$2:$AT$501=AT281)*($AU$2:$AU$501&lt;AV281)*($AV$2:$AV$501&gt;AU281)*($BA$2:$BA$501=1)*(ROW($AS$2:$AS$501)&lt;&gt;ROW())*ROW($AS$2:$AS$501)))-1)&amp;" ("&amp;INDEX($AY$2:$AY$501,SUMPRODUCT(MAX(($AS$2:$AS$501=AS281)*($AT$2:$AT$501=AT281)*($AU$2:$AU$501&lt;AV281)*($AV$2:$AV$501&gt;AU281)*($BA$2:$BA$501=1)*(ROW($AS$2:$AS$501)&lt;&gt;ROW())*ROW($AS$2:$AS$501)))-1)&amp;")"&amp;IF(BB281&gt;1," and "&amp;(BB281-1)&amp;" more",""),"")</f>
        <v/>
      </c>
      <c r="BD281" s="21">
        <f>IF(AND(BA281=1,AY281="Confirmed"),AT281*10000000+AU281*1000+ROW(),"")</f>
        <v/>
      </c>
      <c r="BE281" s="21">
        <f>IF(IFERROR(TRIM(INDEX($A281:$AL281,MATCH(Lists!$F$2,$A$1:$AL$1,0))&amp;""),"")="","",IFERROR(TRIM(INDEX($A281:$AL281,MATCH(Lists!$F$11,$A$1:$AL$1,0))&amp;""),""))</f>
        <v/>
      </c>
      <c r="BF281" s="21">
        <f>IF(IFERROR(TRIM(INDEX($A281:$AL281,MATCH(Lists!$F$2,$A$1:$AL$1,0))&amp;""),"")="","",IFERROR(TRIM(INDEX($A281:$AL281,MATCH(Lists!$F$12,$A$1:$AL$1,0))&amp;""),""))</f>
        <v/>
      </c>
    </row>
    <row r="282">
      <c r="AM282" s="19" t="n"/>
      <c r="AN282" s="23" t="n"/>
      <c r="AO282" s="23" t="n"/>
      <c r="AP282" s="23" t="n"/>
      <c r="AQ282" s="23" t="n"/>
      <c r="AR282" s="19" t="n"/>
      <c r="AS282" s="21">
        <f>IF(IFERROR(TRIM(INDEX($A282:$AL282,MATCH(Lists!$F$2,$A$1:$AL$1,0))&amp;""),"")="","",IF(AND(IFERROR(TRIM(INDEX($A282:$AL282,MATCH(Lists!$F$3,$A$1:$AL$1,0))&amp;""),"")="Other",IFERROR(TRIM(INDEX($A282:$AL282,MATCH(Lists!$F$4,$A$1:$AL$1,0))&amp;""),"")&lt;&gt;""),IFERROR(TRIM(INDEX($A282:$AL282,MATCH(Lists!$F$4,$A$1:$AL$1,0))&amp;""),""),IF(IFERROR(TRIM(INDEX($A282:$AL282,MATCH(Lists!$F$3,$A$1:$AL$1,0))&amp;""),"")="","(no space)",IFERROR(TRIM(INDEX($A282:$AL282,MATCH(Lists!$F$3,$A$1:$AL$1,0))&amp;""),""))))</f>
        <v/>
      </c>
      <c r="AT282" s="22">
        <f>IF(IFERROR(TRIM(INDEX($A282:$AL282,MATCH(Lists!$F$2,$A$1:$AL$1,0))&amp;""),"")="",0,N(IFERROR(IF(TRIM(INDEX($A282:$AL282,MATCH(Lists!$F$5,$A$1:$AL$1,0))&amp;"")="","",IF(ISNUMBER(INDEX($A282:$AL282,MATCH(Lists!$F$5,$A$1:$AL$1,0))),INT(INDEX($A282:$AL282,MATCH(Lists!$F$5,$A$1:$AL$1,0))),DATE(VALUE(LEFT(INDEX($A282:$AL282,MATCH(Lists!$F$5,$A$1:$AL$1,0)),4)),VALUE(MID(INDEX($A282:$AL282,MATCH(Lists!$F$5,$A$1:$AL$1,0)),6,2)),VALUE(MID(INDEX($A282:$AL282,MATCH(Lists!$F$5,$A$1:$AL$1,0)),9,2))))),"")))</f>
        <v/>
      </c>
      <c r="AU282" s="21">
        <f>IF(IFERROR(TRIM(INDEX($A282:$AL282,MATCH(Lists!$F$2,$A$1:$AL$1,0))&amp;""),"")="",-1,IF(ISNUMBER(IFERROR(IF(TRIM(INDEX($A282:$AL282,MATCH(Lists!$F$6,$A$1:$AL$1,0))&amp;"")="","",IF(ISNUMBER(INDEX($A282:$AL282,MATCH(Lists!$F$6,$A$1:$AL$1,0))),ROUND(MOD(INDEX($A282:$AL282,MATCH(Lists!$F$6,$A$1:$AL$1,0)),1)*1440,0),VALUE(LEFT(INDEX($A282:$AL282,MATCH(Lists!$F$6,$A$1:$AL$1,0)),2))*60+VALUE(MID(INDEX($A282:$AL282,MATCH(Lists!$F$6,$A$1:$AL$1,0)),4,2)))),"")),IFERROR(IF(TRIM(INDEX($A282:$AL282,MATCH(Lists!$F$6,$A$1:$AL$1,0))&amp;"")="","",IF(ISNUMBER(INDEX($A282:$AL282,MATCH(Lists!$F$6,$A$1:$AL$1,0))),ROUND(MOD(INDEX($A282:$AL282,MATCH(Lists!$F$6,$A$1:$AL$1,0)),1)*1440,0),VALUE(LEFT(INDEX($A282:$AL282,MATCH(Lists!$F$6,$A$1:$AL$1,0)),2))*60+VALUE(MID(INDEX($A282:$AL282,MATCH(Lists!$F$6,$A$1:$AL$1,0)),4,2)))),""),-1))</f>
        <v/>
      </c>
      <c r="AV282" s="21">
        <f>IF(IFERROR(TRIM(INDEX($A282:$AL282,MATCH(Lists!$F$2,$A$1:$AL$1,0))&amp;""),"")="",-1,IF(ISNUMBER(IFERROR(IF(TRIM(INDEX($A282:$AL282,MATCH(Lists!$F$7,$A$1:$AL$1,0))&amp;"")="","",IF(ISNUMBER(INDEX($A282:$AL282,MATCH(Lists!$F$7,$A$1:$AL$1,0))),ROUND(MOD(INDEX($A282:$AL282,MATCH(Lists!$F$7,$A$1:$AL$1,0)),1)*1440,0),VALUE(LEFT(INDEX($A282:$AL282,MATCH(Lists!$F$7,$A$1:$AL$1,0)),2))*60+VALUE(MID(INDEX($A282:$AL282,MATCH(Lists!$F$7,$A$1:$AL$1,0)),4,2)))),"")),IFERROR(IF(TRIM(INDEX($A282:$AL282,MATCH(Lists!$F$7,$A$1:$AL$1,0))&amp;"")="","",IF(ISNUMBER(INDEX($A282:$AL282,MATCH(Lists!$F$7,$A$1:$AL$1,0))),ROUND(MOD(INDEX($A282:$AL282,MATCH(Lists!$F$7,$A$1:$AL$1,0)),1)*1440,0),VALUE(LEFT(INDEX($A282:$AL282,MATCH(Lists!$F$7,$A$1:$AL$1,0)),2))*60+VALUE(MID(INDEX($A282:$AL282,MATCH(Lists!$F$7,$A$1:$AL$1,0)),4,2)))),""),-1))</f>
        <v/>
      </c>
      <c r="AW282" s="21">
        <f>IF(IFERROR(TRIM(INDEX($A282:$AL282,MATCH(Lists!$F$2,$A$1:$AL$1,0))&amp;""),"")="","",IF(IFERROR(TRIM(INDEX($A282:$AL282,MATCH(Lists!$F$8,$A$1:$AL$1,0))&amp;""),"")&lt;&gt;"",IFERROR(TRIM(INDEX($A282:$AL282,MATCH(Lists!$F$8,$A$1:$AL$1,0))&amp;""),""),IFERROR(TRIM(INDEX($A282:$AL282,MATCH(Lists!$F$9,$A$1:$AL$1,0))&amp;""),"")))</f>
        <v/>
      </c>
      <c r="AX282" s="21">
        <f>IFERROR(IF(TRIM(INDEX($A282:$AL282,MATCH(Lists!$F$10,$A$1:$AL$1,0))&amp;"")="","",VALUE(TRIM(INDEX($A282:$AL282,MATCH(Lists!$F$10,$A$1:$AL$1,0))&amp;""))),"")</f>
        <v/>
      </c>
      <c r="AY282" s="21">
        <f>IF(IFERROR(TRIM(INDEX($A282:$AL282,MATCH(Lists!$F$2,$A$1:$AL$1,0))&amp;""),"")="","",IF(AN282="","New",AN282))</f>
        <v/>
      </c>
      <c r="AZ282" s="21">
        <f>IF(IFERROR(TRIM(INDEX($A282:$AL282,MATCH(Lists!$F$2,$A$1:$AL$1,0))&amp;""),"")="","",IF(OR(IFERROR(TRIM(INDEX($A282:$AL282,MATCH(Lists!$F$13,$A$1:$AL$1,0))&amp;""),"")="Paid",IFERROR(TRIM(INDEX($A282:$AL282,MATCH(Lists!$F$13,$A$1:$AL$1,0))&amp;""),"")="Partially refunded"),"Paid",IF(AP282="Yes","Paid (by hand)",IFERROR(TRIM(INDEX($A282:$AL282,MATCH(Lists!$F$13,$A$1:$AL$1,0))&amp;""),""))))</f>
        <v/>
      </c>
      <c r="BA282" s="21">
        <f>IF(AND(IFERROR(TRIM(INDEX($A282:$AL282,MATCH(Lists!$F$2,$A$1:$AL$1,0))&amp;""),"")&lt;&gt;"",AT282&gt;0,AU282&gt;=0,AV282&gt;AU282,AY282&lt;&gt;"Declined"),1,0)</f>
        <v/>
      </c>
      <c r="BB282" s="21">
        <f>IF(BA282=1,COUNTIFS($AS$2:$AS$501,AS282,$AT$2:$AT$501,AT282,$AU$2:$AU$501,"&lt;"&amp;AV282,$AV$2:$AV$501,"&gt;"&amp;AU282,$BA$2:$BA$501,1)-1,"")</f>
        <v/>
      </c>
      <c r="BC282" s="21">
        <f>IF(N(BB282)&gt;0,"Clashes with "&amp;INDEX($AW$2:$AW$501,SUMPRODUCT(MAX(($AS$2:$AS$501=AS282)*($AT$2:$AT$501=AT282)*($AU$2:$AU$501&lt;AV282)*($AV$2:$AV$501&gt;AU282)*($BA$2:$BA$501=1)*(ROW($AS$2:$AS$501)&lt;&gt;ROW())*ROW($AS$2:$AS$501)))-1)&amp;" ("&amp;INDEX($AY$2:$AY$501,SUMPRODUCT(MAX(($AS$2:$AS$501=AS282)*($AT$2:$AT$501=AT282)*($AU$2:$AU$501&lt;AV282)*($AV$2:$AV$501&gt;AU282)*($BA$2:$BA$501=1)*(ROW($AS$2:$AS$501)&lt;&gt;ROW())*ROW($AS$2:$AS$501)))-1)&amp;")"&amp;IF(BB282&gt;1," and "&amp;(BB282-1)&amp;" more",""),"")</f>
        <v/>
      </c>
      <c r="BD282" s="21">
        <f>IF(AND(BA282=1,AY282="Confirmed"),AT282*10000000+AU282*1000+ROW(),"")</f>
        <v/>
      </c>
      <c r="BE282" s="21">
        <f>IF(IFERROR(TRIM(INDEX($A282:$AL282,MATCH(Lists!$F$2,$A$1:$AL$1,0))&amp;""),"")="","",IFERROR(TRIM(INDEX($A282:$AL282,MATCH(Lists!$F$11,$A$1:$AL$1,0))&amp;""),""))</f>
        <v/>
      </c>
      <c r="BF282" s="21">
        <f>IF(IFERROR(TRIM(INDEX($A282:$AL282,MATCH(Lists!$F$2,$A$1:$AL$1,0))&amp;""),"")="","",IFERROR(TRIM(INDEX($A282:$AL282,MATCH(Lists!$F$12,$A$1:$AL$1,0))&amp;""),""))</f>
        <v/>
      </c>
    </row>
    <row r="283">
      <c r="AM283" s="19" t="n"/>
      <c r="AN283" s="23" t="n"/>
      <c r="AO283" s="23" t="n"/>
      <c r="AP283" s="23" t="n"/>
      <c r="AQ283" s="23" t="n"/>
      <c r="AR283" s="19" t="n"/>
      <c r="AS283" s="21">
        <f>IF(IFERROR(TRIM(INDEX($A283:$AL283,MATCH(Lists!$F$2,$A$1:$AL$1,0))&amp;""),"")="","",IF(AND(IFERROR(TRIM(INDEX($A283:$AL283,MATCH(Lists!$F$3,$A$1:$AL$1,0))&amp;""),"")="Other",IFERROR(TRIM(INDEX($A283:$AL283,MATCH(Lists!$F$4,$A$1:$AL$1,0))&amp;""),"")&lt;&gt;""),IFERROR(TRIM(INDEX($A283:$AL283,MATCH(Lists!$F$4,$A$1:$AL$1,0))&amp;""),""),IF(IFERROR(TRIM(INDEX($A283:$AL283,MATCH(Lists!$F$3,$A$1:$AL$1,0))&amp;""),"")="","(no space)",IFERROR(TRIM(INDEX($A283:$AL283,MATCH(Lists!$F$3,$A$1:$AL$1,0))&amp;""),""))))</f>
        <v/>
      </c>
      <c r="AT283" s="22">
        <f>IF(IFERROR(TRIM(INDEX($A283:$AL283,MATCH(Lists!$F$2,$A$1:$AL$1,0))&amp;""),"")="",0,N(IFERROR(IF(TRIM(INDEX($A283:$AL283,MATCH(Lists!$F$5,$A$1:$AL$1,0))&amp;"")="","",IF(ISNUMBER(INDEX($A283:$AL283,MATCH(Lists!$F$5,$A$1:$AL$1,0))),INT(INDEX($A283:$AL283,MATCH(Lists!$F$5,$A$1:$AL$1,0))),DATE(VALUE(LEFT(INDEX($A283:$AL283,MATCH(Lists!$F$5,$A$1:$AL$1,0)),4)),VALUE(MID(INDEX($A283:$AL283,MATCH(Lists!$F$5,$A$1:$AL$1,0)),6,2)),VALUE(MID(INDEX($A283:$AL283,MATCH(Lists!$F$5,$A$1:$AL$1,0)),9,2))))),"")))</f>
        <v/>
      </c>
      <c r="AU283" s="21">
        <f>IF(IFERROR(TRIM(INDEX($A283:$AL283,MATCH(Lists!$F$2,$A$1:$AL$1,0))&amp;""),"")="",-1,IF(ISNUMBER(IFERROR(IF(TRIM(INDEX($A283:$AL283,MATCH(Lists!$F$6,$A$1:$AL$1,0))&amp;"")="","",IF(ISNUMBER(INDEX($A283:$AL283,MATCH(Lists!$F$6,$A$1:$AL$1,0))),ROUND(MOD(INDEX($A283:$AL283,MATCH(Lists!$F$6,$A$1:$AL$1,0)),1)*1440,0),VALUE(LEFT(INDEX($A283:$AL283,MATCH(Lists!$F$6,$A$1:$AL$1,0)),2))*60+VALUE(MID(INDEX($A283:$AL283,MATCH(Lists!$F$6,$A$1:$AL$1,0)),4,2)))),"")),IFERROR(IF(TRIM(INDEX($A283:$AL283,MATCH(Lists!$F$6,$A$1:$AL$1,0))&amp;"")="","",IF(ISNUMBER(INDEX($A283:$AL283,MATCH(Lists!$F$6,$A$1:$AL$1,0))),ROUND(MOD(INDEX($A283:$AL283,MATCH(Lists!$F$6,$A$1:$AL$1,0)),1)*1440,0),VALUE(LEFT(INDEX($A283:$AL283,MATCH(Lists!$F$6,$A$1:$AL$1,0)),2))*60+VALUE(MID(INDEX($A283:$AL283,MATCH(Lists!$F$6,$A$1:$AL$1,0)),4,2)))),""),-1))</f>
        <v/>
      </c>
      <c r="AV283" s="21">
        <f>IF(IFERROR(TRIM(INDEX($A283:$AL283,MATCH(Lists!$F$2,$A$1:$AL$1,0))&amp;""),"")="",-1,IF(ISNUMBER(IFERROR(IF(TRIM(INDEX($A283:$AL283,MATCH(Lists!$F$7,$A$1:$AL$1,0))&amp;"")="","",IF(ISNUMBER(INDEX($A283:$AL283,MATCH(Lists!$F$7,$A$1:$AL$1,0))),ROUND(MOD(INDEX($A283:$AL283,MATCH(Lists!$F$7,$A$1:$AL$1,0)),1)*1440,0),VALUE(LEFT(INDEX($A283:$AL283,MATCH(Lists!$F$7,$A$1:$AL$1,0)),2))*60+VALUE(MID(INDEX($A283:$AL283,MATCH(Lists!$F$7,$A$1:$AL$1,0)),4,2)))),"")),IFERROR(IF(TRIM(INDEX($A283:$AL283,MATCH(Lists!$F$7,$A$1:$AL$1,0))&amp;"")="","",IF(ISNUMBER(INDEX($A283:$AL283,MATCH(Lists!$F$7,$A$1:$AL$1,0))),ROUND(MOD(INDEX($A283:$AL283,MATCH(Lists!$F$7,$A$1:$AL$1,0)),1)*1440,0),VALUE(LEFT(INDEX($A283:$AL283,MATCH(Lists!$F$7,$A$1:$AL$1,0)),2))*60+VALUE(MID(INDEX($A283:$AL283,MATCH(Lists!$F$7,$A$1:$AL$1,0)),4,2)))),""),-1))</f>
        <v/>
      </c>
      <c r="AW283" s="21">
        <f>IF(IFERROR(TRIM(INDEX($A283:$AL283,MATCH(Lists!$F$2,$A$1:$AL$1,0))&amp;""),"")="","",IF(IFERROR(TRIM(INDEX($A283:$AL283,MATCH(Lists!$F$8,$A$1:$AL$1,0))&amp;""),"")&lt;&gt;"",IFERROR(TRIM(INDEX($A283:$AL283,MATCH(Lists!$F$8,$A$1:$AL$1,0))&amp;""),""),IFERROR(TRIM(INDEX($A283:$AL283,MATCH(Lists!$F$9,$A$1:$AL$1,0))&amp;""),"")))</f>
        <v/>
      </c>
      <c r="AX283" s="21">
        <f>IFERROR(IF(TRIM(INDEX($A283:$AL283,MATCH(Lists!$F$10,$A$1:$AL$1,0))&amp;"")="","",VALUE(TRIM(INDEX($A283:$AL283,MATCH(Lists!$F$10,$A$1:$AL$1,0))&amp;""))),"")</f>
        <v/>
      </c>
      <c r="AY283" s="21">
        <f>IF(IFERROR(TRIM(INDEX($A283:$AL283,MATCH(Lists!$F$2,$A$1:$AL$1,0))&amp;""),"")="","",IF(AN283="","New",AN283))</f>
        <v/>
      </c>
      <c r="AZ283" s="21">
        <f>IF(IFERROR(TRIM(INDEX($A283:$AL283,MATCH(Lists!$F$2,$A$1:$AL$1,0))&amp;""),"")="","",IF(OR(IFERROR(TRIM(INDEX($A283:$AL283,MATCH(Lists!$F$13,$A$1:$AL$1,0))&amp;""),"")="Paid",IFERROR(TRIM(INDEX($A283:$AL283,MATCH(Lists!$F$13,$A$1:$AL$1,0))&amp;""),"")="Partially refunded"),"Paid",IF(AP283="Yes","Paid (by hand)",IFERROR(TRIM(INDEX($A283:$AL283,MATCH(Lists!$F$13,$A$1:$AL$1,0))&amp;""),""))))</f>
        <v/>
      </c>
      <c r="BA283" s="21">
        <f>IF(AND(IFERROR(TRIM(INDEX($A283:$AL283,MATCH(Lists!$F$2,$A$1:$AL$1,0))&amp;""),"")&lt;&gt;"",AT283&gt;0,AU283&gt;=0,AV283&gt;AU283,AY283&lt;&gt;"Declined"),1,0)</f>
        <v/>
      </c>
      <c r="BB283" s="21">
        <f>IF(BA283=1,COUNTIFS($AS$2:$AS$501,AS283,$AT$2:$AT$501,AT283,$AU$2:$AU$501,"&lt;"&amp;AV283,$AV$2:$AV$501,"&gt;"&amp;AU283,$BA$2:$BA$501,1)-1,"")</f>
        <v/>
      </c>
      <c r="BC283" s="21">
        <f>IF(N(BB283)&gt;0,"Clashes with "&amp;INDEX($AW$2:$AW$501,SUMPRODUCT(MAX(($AS$2:$AS$501=AS283)*($AT$2:$AT$501=AT283)*($AU$2:$AU$501&lt;AV283)*($AV$2:$AV$501&gt;AU283)*($BA$2:$BA$501=1)*(ROW($AS$2:$AS$501)&lt;&gt;ROW())*ROW($AS$2:$AS$501)))-1)&amp;" ("&amp;INDEX($AY$2:$AY$501,SUMPRODUCT(MAX(($AS$2:$AS$501=AS283)*($AT$2:$AT$501=AT283)*($AU$2:$AU$501&lt;AV283)*($AV$2:$AV$501&gt;AU283)*($BA$2:$BA$501=1)*(ROW($AS$2:$AS$501)&lt;&gt;ROW())*ROW($AS$2:$AS$501)))-1)&amp;")"&amp;IF(BB283&gt;1," and "&amp;(BB283-1)&amp;" more",""),"")</f>
        <v/>
      </c>
      <c r="BD283" s="21">
        <f>IF(AND(BA283=1,AY283="Confirmed"),AT283*10000000+AU283*1000+ROW(),"")</f>
        <v/>
      </c>
      <c r="BE283" s="21">
        <f>IF(IFERROR(TRIM(INDEX($A283:$AL283,MATCH(Lists!$F$2,$A$1:$AL$1,0))&amp;""),"")="","",IFERROR(TRIM(INDEX($A283:$AL283,MATCH(Lists!$F$11,$A$1:$AL$1,0))&amp;""),""))</f>
        <v/>
      </c>
      <c r="BF283" s="21">
        <f>IF(IFERROR(TRIM(INDEX($A283:$AL283,MATCH(Lists!$F$2,$A$1:$AL$1,0))&amp;""),"")="","",IFERROR(TRIM(INDEX($A283:$AL283,MATCH(Lists!$F$12,$A$1:$AL$1,0))&amp;""),""))</f>
        <v/>
      </c>
    </row>
    <row r="284">
      <c r="AM284" s="19" t="n"/>
      <c r="AN284" s="23" t="n"/>
      <c r="AO284" s="23" t="n"/>
      <c r="AP284" s="23" t="n"/>
      <c r="AQ284" s="23" t="n"/>
      <c r="AR284" s="19" t="n"/>
      <c r="AS284" s="21">
        <f>IF(IFERROR(TRIM(INDEX($A284:$AL284,MATCH(Lists!$F$2,$A$1:$AL$1,0))&amp;""),"")="","",IF(AND(IFERROR(TRIM(INDEX($A284:$AL284,MATCH(Lists!$F$3,$A$1:$AL$1,0))&amp;""),"")="Other",IFERROR(TRIM(INDEX($A284:$AL284,MATCH(Lists!$F$4,$A$1:$AL$1,0))&amp;""),"")&lt;&gt;""),IFERROR(TRIM(INDEX($A284:$AL284,MATCH(Lists!$F$4,$A$1:$AL$1,0))&amp;""),""),IF(IFERROR(TRIM(INDEX($A284:$AL284,MATCH(Lists!$F$3,$A$1:$AL$1,0))&amp;""),"")="","(no space)",IFERROR(TRIM(INDEX($A284:$AL284,MATCH(Lists!$F$3,$A$1:$AL$1,0))&amp;""),""))))</f>
        <v/>
      </c>
      <c r="AT284" s="22">
        <f>IF(IFERROR(TRIM(INDEX($A284:$AL284,MATCH(Lists!$F$2,$A$1:$AL$1,0))&amp;""),"")="",0,N(IFERROR(IF(TRIM(INDEX($A284:$AL284,MATCH(Lists!$F$5,$A$1:$AL$1,0))&amp;"")="","",IF(ISNUMBER(INDEX($A284:$AL284,MATCH(Lists!$F$5,$A$1:$AL$1,0))),INT(INDEX($A284:$AL284,MATCH(Lists!$F$5,$A$1:$AL$1,0))),DATE(VALUE(LEFT(INDEX($A284:$AL284,MATCH(Lists!$F$5,$A$1:$AL$1,0)),4)),VALUE(MID(INDEX($A284:$AL284,MATCH(Lists!$F$5,$A$1:$AL$1,0)),6,2)),VALUE(MID(INDEX($A284:$AL284,MATCH(Lists!$F$5,$A$1:$AL$1,0)),9,2))))),"")))</f>
        <v/>
      </c>
      <c r="AU284" s="21">
        <f>IF(IFERROR(TRIM(INDEX($A284:$AL284,MATCH(Lists!$F$2,$A$1:$AL$1,0))&amp;""),"")="",-1,IF(ISNUMBER(IFERROR(IF(TRIM(INDEX($A284:$AL284,MATCH(Lists!$F$6,$A$1:$AL$1,0))&amp;"")="","",IF(ISNUMBER(INDEX($A284:$AL284,MATCH(Lists!$F$6,$A$1:$AL$1,0))),ROUND(MOD(INDEX($A284:$AL284,MATCH(Lists!$F$6,$A$1:$AL$1,0)),1)*1440,0),VALUE(LEFT(INDEX($A284:$AL284,MATCH(Lists!$F$6,$A$1:$AL$1,0)),2))*60+VALUE(MID(INDEX($A284:$AL284,MATCH(Lists!$F$6,$A$1:$AL$1,0)),4,2)))),"")),IFERROR(IF(TRIM(INDEX($A284:$AL284,MATCH(Lists!$F$6,$A$1:$AL$1,0))&amp;"")="","",IF(ISNUMBER(INDEX($A284:$AL284,MATCH(Lists!$F$6,$A$1:$AL$1,0))),ROUND(MOD(INDEX($A284:$AL284,MATCH(Lists!$F$6,$A$1:$AL$1,0)),1)*1440,0),VALUE(LEFT(INDEX($A284:$AL284,MATCH(Lists!$F$6,$A$1:$AL$1,0)),2))*60+VALUE(MID(INDEX($A284:$AL284,MATCH(Lists!$F$6,$A$1:$AL$1,0)),4,2)))),""),-1))</f>
        <v/>
      </c>
      <c r="AV284" s="21">
        <f>IF(IFERROR(TRIM(INDEX($A284:$AL284,MATCH(Lists!$F$2,$A$1:$AL$1,0))&amp;""),"")="",-1,IF(ISNUMBER(IFERROR(IF(TRIM(INDEX($A284:$AL284,MATCH(Lists!$F$7,$A$1:$AL$1,0))&amp;"")="","",IF(ISNUMBER(INDEX($A284:$AL284,MATCH(Lists!$F$7,$A$1:$AL$1,0))),ROUND(MOD(INDEX($A284:$AL284,MATCH(Lists!$F$7,$A$1:$AL$1,0)),1)*1440,0),VALUE(LEFT(INDEX($A284:$AL284,MATCH(Lists!$F$7,$A$1:$AL$1,0)),2))*60+VALUE(MID(INDEX($A284:$AL284,MATCH(Lists!$F$7,$A$1:$AL$1,0)),4,2)))),"")),IFERROR(IF(TRIM(INDEX($A284:$AL284,MATCH(Lists!$F$7,$A$1:$AL$1,0))&amp;"")="","",IF(ISNUMBER(INDEX($A284:$AL284,MATCH(Lists!$F$7,$A$1:$AL$1,0))),ROUND(MOD(INDEX($A284:$AL284,MATCH(Lists!$F$7,$A$1:$AL$1,0)),1)*1440,0),VALUE(LEFT(INDEX($A284:$AL284,MATCH(Lists!$F$7,$A$1:$AL$1,0)),2))*60+VALUE(MID(INDEX($A284:$AL284,MATCH(Lists!$F$7,$A$1:$AL$1,0)),4,2)))),""),-1))</f>
        <v/>
      </c>
      <c r="AW284" s="21">
        <f>IF(IFERROR(TRIM(INDEX($A284:$AL284,MATCH(Lists!$F$2,$A$1:$AL$1,0))&amp;""),"")="","",IF(IFERROR(TRIM(INDEX($A284:$AL284,MATCH(Lists!$F$8,$A$1:$AL$1,0))&amp;""),"")&lt;&gt;"",IFERROR(TRIM(INDEX($A284:$AL284,MATCH(Lists!$F$8,$A$1:$AL$1,0))&amp;""),""),IFERROR(TRIM(INDEX($A284:$AL284,MATCH(Lists!$F$9,$A$1:$AL$1,0))&amp;""),"")))</f>
        <v/>
      </c>
      <c r="AX284" s="21">
        <f>IFERROR(IF(TRIM(INDEX($A284:$AL284,MATCH(Lists!$F$10,$A$1:$AL$1,0))&amp;"")="","",VALUE(TRIM(INDEX($A284:$AL284,MATCH(Lists!$F$10,$A$1:$AL$1,0))&amp;""))),"")</f>
        <v/>
      </c>
      <c r="AY284" s="21">
        <f>IF(IFERROR(TRIM(INDEX($A284:$AL284,MATCH(Lists!$F$2,$A$1:$AL$1,0))&amp;""),"")="","",IF(AN284="","New",AN284))</f>
        <v/>
      </c>
      <c r="AZ284" s="21">
        <f>IF(IFERROR(TRIM(INDEX($A284:$AL284,MATCH(Lists!$F$2,$A$1:$AL$1,0))&amp;""),"")="","",IF(OR(IFERROR(TRIM(INDEX($A284:$AL284,MATCH(Lists!$F$13,$A$1:$AL$1,0))&amp;""),"")="Paid",IFERROR(TRIM(INDEX($A284:$AL284,MATCH(Lists!$F$13,$A$1:$AL$1,0))&amp;""),"")="Partially refunded"),"Paid",IF(AP284="Yes","Paid (by hand)",IFERROR(TRIM(INDEX($A284:$AL284,MATCH(Lists!$F$13,$A$1:$AL$1,0))&amp;""),""))))</f>
        <v/>
      </c>
      <c r="BA284" s="21">
        <f>IF(AND(IFERROR(TRIM(INDEX($A284:$AL284,MATCH(Lists!$F$2,$A$1:$AL$1,0))&amp;""),"")&lt;&gt;"",AT284&gt;0,AU284&gt;=0,AV284&gt;AU284,AY284&lt;&gt;"Declined"),1,0)</f>
        <v/>
      </c>
      <c r="BB284" s="21">
        <f>IF(BA284=1,COUNTIFS($AS$2:$AS$501,AS284,$AT$2:$AT$501,AT284,$AU$2:$AU$501,"&lt;"&amp;AV284,$AV$2:$AV$501,"&gt;"&amp;AU284,$BA$2:$BA$501,1)-1,"")</f>
        <v/>
      </c>
      <c r="BC284" s="21">
        <f>IF(N(BB284)&gt;0,"Clashes with "&amp;INDEX($AW$2:$AW$501,SUMPRODUCT(MAX(($AS$2:$AS$501=AS284)*($AT$2:$AT$501=AT284)*($AU$2:$AU$501&lt;AV284)*($AV$2:$AV$501&gt;AU284)*($BA$2:$BA$501=1)*(ROW($AS$2:$AS$501)&lt;&gt;ROW())*ROW($AS$2:$AS$501)))-1)&amp;" ("&amp;INDEX($AY$2:$AY$501,SUMPRODUCT(MAX(($AS$2:$AS$501=AS284)*($AT$2:$AT$501=AT284)*($AU$2:$AU$501&lt;AV284)*($AV$2:$AV$501&gt;AU284)*($BA$2:$BA$501=1)*(ROW($AS$2:$AS$501)&lt;&gt;ROW())*ROW($AS$2:$AS$501)))-1)&amp;")"&amp;IF(BB284&gt;1," and "&amp;(BB284-1)&amp;" more",""),"")</f>
        <v/>
      </c>
      <c r="BD284" s="21">
        <f>IF(AND(BA284=1,AY284="Confirmed"),AT284*10000000+AU284*1000+ROW(),"")</f>
        <v/>
      </c>
      <c r="BE284" s="21">
        <f>IF(IFERROR(TRIM(INDEX($A284:$AL284,MATCH(Lists!$F$2,$A$1:$AL$1,0))&amp;""),"")="","",IFERROR(TRIM(INDEX($A284:$AL284,MATCH(Lists!$F$11,$A$1:$AL$1,0))&amp;""),""))</f>
        <v/>
      </c>
      <c r="BF284" s="21">
        <f>IF(IFERROR(TRIM(INDEX($A284:$AL284,MATCH(Lists!$F$2,$A$1:$AL$1,0))&amp;""),"")="","",IFERROR(TRIM(INDEX($A284:$AL284,MATCH(Lists!$F$12,$A$1:$AL$1,0))&amp;""),""))</f>
        <v/>
      </c>
    </row>
    <row r="285">
      <c r="AM285" s="19" t="n"/>
      <c r="AN285" s="23" t="n"/>
      <c r="AO285" s="23" t="n"/>
      <c r="AP285" s="23" t="n"/>
      <c r="AQ285" s="23" t="n"/>
      <c r="AR285" s="19" t="n"/>
      <c r="AS285" s="21">
        <f>IF(IFERROR(TRIM(INDEX($A285:$AL285,MATCH(Lists!$F$2,$A$1:$AL$1,0))&amp;""),"")="","",IF(AND(IFERROR(TRIM(INDEX($A285:$AL285,MATCH(Lists!$F$3,$A$1:$AL$1,0))&amp;""),"")="Other",IFERROR(TRIM(INDEX($A285:$AL285,MATCH(Lists!$F$4,$A$1:$AL$1,0))&amp;""),"")&lt;&gt;""),IFERROR(TRIM(INDEX($A285:$AL285,MATCH(Lists!$F$4,$A$1:$AL$1,0))&amp;""),""),IF(IFERROR(TRIM(INDEX($A285:$AL285,MATCH(Lists!$F$3,$A$1:$AL$1,0))&amp;""),"")="","(no space)",IFERROR(TRIM(INDEX($A285:$AL285,MATCH(Lists!$F$3,$A$1:$AL$1,0))&amp;""),""))))</f>
        <v/>
      </c>
      <c r="AT285" s="22">
        <f>IF(IFERROR(TRIM(INDEX($A285:$AL285,MATCH(Lists!$F$2,$A$1:$AL$1,0))&amp;""),"")="",0,N(IFERROR(IF(TRIM(INDEX($A285:$AL285,MATCH(Lists!$F$5,$A$1:$AL$1,0))&amp;"")="","",IF(ISNUMBER(INDEX($A285:$AL285,MATCH(Lists!$F$5,$A$1:$AL$1,0))),INT(INDEX($A285:$AL285,MATCH(Lists!$F$5,$A$1:$AL$1,0))),DATE(VALUE(LEFT(INDEX($A285:$AL285,MATCH(Lists!$F$5,$A$1:$AL$1,0)),4)),VALUE(MID(INDEX($A285:$AL285,MATCH(Lists!$F$5,$A$1:$AL$1,0)),6,2)),VALUE(MID(INDEX($A285:$AL285,MATCH(Lists!$F$5,$A$1:$AL$1,0)),9,2))))),"")))</f>
        <v/>
      </c>
      <c r="AU285" s="21">
        <f>IF(IFERROR(TRIM(INDEX($A285:$AL285,MATCH(Lists!$F$2,$A$1:$AL$1,0))&amp;""),"")="",-1,IF(ISNUMBER(IFERROR(IF(TRIM(INDEX($A285:$AL285,MATCH(Lists!$F$6,$A$1:$AL$1,0))&amp;"")="","",IF(ISNUMBER(INDEX($A285:$AL285,MATCH(Lists!$F$6,$A$1:$AL$1,0))),ROUND(MOD(INDEX($A285:$AL285,MATCH(Lists!$F$6,$A$1:$AL$1,0)),1)*1440,0),VALUE(LEFT(INDEX($A285:$AL285,MATCH(Lists!$F$6,$A$1:$AL$1,0)),2))*60+VALUE(MID(INDEX($A285:$AL285,MATCH(Lists!$F$6,$A$1:$AL$1,0)),4,2)))),"")),IFERROR(IF(TRIM(INDEX($A285:$AL285,MATCH(Lists!$F$6,$A$1:$AL$1,0))&amp;"")="","",IF(ISNUMBER(INDEX($A285:$AL285,MATCH(Lists!$F$6,$A$1:$AL$1,0))),ROUND(MOD(INDEX($A285:$AL285,MATCH(Lists!$F$6,$A$1:$AL$1,0)),1)*1440,0),VALUE(LEFT(INDEX($A285:$AL285,MATCH(Lists!$F$6,$A$1:$AL$1,0)),2))*60+VALUE(MID(INDEX($A285:$AL285,MATCH(Lists!$F$6,$A$1:$AL$1,0)),4,2)))),""),-1))</f>
        <v/>
      </c>
      <c r="AV285" s="21">
        <f>IF(IFERROR(TRIM(INDEX($A285:$AL285,MATCH(Lists!$F$2,$A$1:$AL$1,0))&amp;""),"")="",-1,IF(ISNUMBER(IFERROR(IF(TRIM(INDEX($A285:$AL285,MATCH(Lists!$F$7,$A$1:$AL$1,0))&amp;"")="","",IF(ISNUMBER(INDEX($A285:$AL285,MATCH(Lists!$F$7,$A$1:$AL$1,0))),ROUND(MOD(INDEX($A285:$AL285,MATCH(Lists!$F$7,$A$1:$AL$1,0)),1)*1440,0),VALUE(LEFT(INDEX($A285:$AL285,MATCH(Lists!$F$7,$A$1:$AL$1,0)),2))*60+VALUE(MID(INDEX($A285:$AL285,MATCH(Lists!$F$7,$A$1:$AL$1,0)),4,2)))),"")),IFERROR(IF(TRIM(INDEX($A285:$AL285,MATCH(Lists!$F$7,$A$1:$AL$1,0))&amp;"")="","",IF(ISNUMBER(INDEX($A285:$AL285,MATCH(Lists!$F$7,$A$1:$AL$1,0))),ROUND(MOD(INDEX($A285:$AL285,MATCH(Lists!$F$7,$A$1:$AL$1,0)),1)*1440,0),VALUE(LEFT(INDEX($A285:$AL285,MATCH(Lists!$F$7,$A$1:$AL$1,0)),2))*60+VALUE(MID(INDEX($A285:$AL285,MATCH(Lists!$F$7,$A$1:$AL$1,0)),4,2)))),""),-1))</f>
        <v/>
      </c>
      <c r="AW285" s="21">
        <f>IF(IFERROR(TRIM(INDEX($A285:$AL285,MATCH(Lists!$F$2,$A$1:$AL$1,0))&amp;""),"")="","",IF(IFERROR(TRIM(INDEX($A285:$AL285,MATCH(Lists!$F$8,$A$1:$AL$1,0))&amp;""),"")&lt;&gt;"",IFERROR(TRIM(INDEX($A285:$AL285,MATCH(Lists!$F$8,$A$1:$AL$1,0))&amp;""),""),IFERROR(TRIM(INDEX($A285:$AL285,MATCH(Lists!$F$9,$A$1:$AL$1,0))&amp;""),"")))</f>
        <v/>
      </c>
      <c r="AX285" s="21">
        <f>IFERROR(IF(TRIM(INDEX($A285:$AL285,MATCH(Lists!$F$10,$A$1:$AL$1,0))&amp;"")="","",VALUE(TRIM(INDEX($A285:$AL285,MATCH(Lists!$F$10,$A$1:$AL$1,0))&amp;""))),"")</f>
        <v/>
      </c>
      <c r="AY285" s="21">
        <f>IF(IFERROR(TRIM(INDEX($A285:$AL285,MATCH(Lists!$F$2,$A$1:$AL$1,0))&amp;""),"")="","",IF(AN285="","New",AN285))</f>
        <v/>
      </c>
      <c r="AZ285" s="21">
        <f>IF(IFERROR(TRIM(INDEX($A285:$AL285,MATCH(Lists!$F$2,$A$1:$AL$1,0))&amp;""),"")="","",IF(OR(IFERROR(TRIM(INDEX($A285:$AL285,MATCH(Lists!$F$13,$A$1:$AL$1,0))&amp;""),"")="Paid",IFERROR(TRIM(INDEX($A285:$AL285,MATCH(Lists!$F$13,$A$1:$AL$1,0))&amp;""),"")="Partially refunded"),"Paid",IF(AP285="Yes","Paid (by hand)",IFERROR(TRIM(INDEX($A285:$AL285,MATCH(Lists!$F$13,$A$1:$AL$1,0))&amp;""),""))))</f>
        <v/>
      </c>
      <c r="BA285" s="21">
        <f>IF(AND(IFERROR(TRIM(INDEX($A285:$AL285,MATCH(Lists!$F$2,$A$1:$AL$1,0))&amp;""),"")&lt;&gt;"",AT285&gt;0,AU285&gt;=0,AV285&gt;AU285,AY285&lt;&gt;"Declined"),1,0)</f>
        <v/>
      </c>
      <c r="BB285" s="21">
        <f>IF(BA285=1,COUNTIFS($AS$2:$AS$501,AS285,$AT$2:$AT$501,AT285,$AU$2:$AU$501,"&lt;"&amp;AV285,$AV$2:$AV$501,"&gt;"&amp;AU285,$BA$2:$BA$501,1)-1,"")</f>
        <v/>
      </c>
      <c r="BC285" s="21">
        <f>IF(N(BB285)&gt;0,"Clashes with "&amp;INDEX($AW$2:$AW$501,SUMPRODUCT(MAX(($AS$2:$AS$501=AS285)*($AT$2:$AT$501=AT285)*($AU$2:$AU$501&lt;AV285)*($AV$2:$AV$501&gt;AU285)*($BA$2:$BA$501=1)*(ROW($AS$2:$AS$501)&lt;&gt;ROW())*ROW($AS$2:$AS$501)))-1)&amp;" ("&amp;INDEX($AY$2:$AY$501,SUMPRODUCT(MAX(($AS$2:$AS$501=AS285)*($AT$2:$AT$501=AT285)*($AU$2:$AU$501&lt;AV285)*($AV$2:$AV$501&gt;AU285)*($BA$2:$BA$501=1)*(ROW($AS$2:$AS$501)&lt;&gt;ROW())*ROW($AS$2:$AS$501)))-1)&amp;")"&amp;IF(BB285&gt;1," and "&amp;(BB285-1)&amp;" more",""),"")</f>
        <v/>
      </c>
      <c r="BD285" s="21">
        <f>IF(AND(BA285=1,AY285="Confirmed"),AT285*10000000+AU285*1000+ROW(),"")</f>
        <v/>
      </c>
      <c r="BE285" s="21">
        <f>IF(IFERROR(TRIM(INDEX($A285:$AL285,MATCH(Lists!$F$2,$A$1:$AL$1,0))&amp;""),"")="","",IFERROR(TRIM(INDEX($A285:$AL285,MATCH(Lists!$F$11,$A$1:$AL$1,0))&amp;""),""))</f>
        <v/>
      </c>
      <c r="BF285" s="21">
        <f>IF(IFERROR(TRIM(INDEX($A285:$AL285,MATCH(Lists!$F$2,$A$1:$AL$1,0))&amp;""),"")="","",IFERROR(TRIM(INDEX($A285:$AL285,MATCH(Lists!$F$12,$A$1:$AL$1,0))&amp;""),""))</f>
        <v/>
      </c>
    </row>
    <row r="286">
      <c r="AM286" s="19" t="n"/>
      <c r="AN286" s="23" t="n"/>
      <c r="AO286" s="23" t="n"/>
      <c r="AP286" s="23" t="n"/>
      <c r="AQ286" s="23" t="n"/>
      <c r="AR286" s="19" t="n"/>
      <c r="AS286" s="21">
        <f>IF(IFERROR(TRIM(INDEX($A286:$AL286,MATCH(Lists!$F$2,$A$1:$AL$1,0))&amp;""),"")="","",IF(AND(IFERROR(TRIM(INDEX($A286:$AL286,MATCH(Lists!$F$3,$A$1:$AL$1,0))&amp;""),"")="Other",IFERROR(TRIM(INDEX($A286:$AL286,MATCH(Lists!$F$4,$A$1:$AL$1,0))&amp;""),"")&lt;&gt;""),IFERROR(TRIM(INDEX($A286:$AL286,MATCH(Lists!$F$4,$A$1:$AL$1,0))&amp;""),""),IF(IFERROR(TRIM(INDEX($A286:$AL286,MATCH(Lists!$F$3,$A$1:$AL$1,0))&amp;""),"")="","(no space)",IFERROR(TRIM(INDEX($A286:$AL286,MATCH(Lists!$F$3,$A$1:$AL$1,0))&amp;""),""))))</f>
        <v/>
      </c>
      <c r="AT286" s="22">
        <f>IF(IFERROR(TRIM(INDEX($A286:$AL286,MATCH(Lists!$F$2,$A$1:$AL$1,0))&amp;""),"")="",0,N(IFERROR(IF(TRIM(INDEX($A286:$AL286,MATCH(Lists!$F$5,$A$1:$AL$1,0))&amp;"")="","",IF(ISNUMBER(INDEX($A286:$AL286,MATCH(Lists!$F$5,$A$1:$AL$1,0))),INT(INDEX($A286:$AL286,MATCH(Lists!$F$5,$A$1:$AL$1,0))),DATE(VALUE(LEFT(INDEX($A286:$AL286,MATCH(Lists!$F$5,$A$1:$AL$1,0)),4)),VALUE(MID(INDEX($A286:$AL286,MATCH(Lists!$F$5,$A$1:$AL$1,0)),6,2)),VALUE(MID(INDEX($A286:$AL286,MATCH(Lists!$F$5,$A$1:$AL$1,0)),9,2))))),"")))</f>
        <v/>
      </c>
      <c r="AU286" s="21">
        <f>IF(IFERROR(TRIM(INDEX($A286:$AL286,MATCH(Lists!$F$2,$A$1:$AL$1,0))&amp;""),"")="",-1,IF(ISNUMBER(IFERROR(IF(TRIM(INDEX($A286:$AL286,MATCH(Lists!$F$6,$A$1:$AL$1,0))&amp;"")="","",IF(ISNUMBER(INDEX($A286:$AL286,MATCH(Lists!$F$6,$A$1:$AL$1,0))),ROUND(MOD(INDEX($A286:$AL286,MATCH(Lists!$F$6,$A$1:$AL$1,0)),1)*1440,0),VALUE(LEFT(INDEX($A286:$AL286,MATCH(Lists!$F$6,$A$1:$AL$1,0)),2))*60+VALUE(MID(INDEX($A286:$AL286,MATCH(Lists!$F$6,$A$1:$AL$1,0)),4,2)))),"")),IFERROR(IF(TRIM(INDEX($A286:$AL286,MATCH(Lists!$F$6,$A$1:$AL$1,0))&amp;"")="","",IF(ISNUMBER(INDEX($A286:$AL286,MATCH(Lists!$F$6,$A$1:$AL$1,0))),ROUND(MOD(INDEX($A286:$AL286,MATCH(Lists!$F$6,$A$1:$AL$1,0)),1)*1440,0),VALUE(LEFT(INDEX($A286:$AL286,MATCH(Lists!$F$6,$A$1:$AL$1,0)),2))*60+VALUE(MID(INDEX($A286:$AL286,MATCH(Lists!$F$6,$A$1:$AL$1,0)),4,2)))),""),-1))</f>
        <v/>
      </c>
      <c r="AV286" s="21">
        <f>IF(IFERROR(TRIM(INDEX($A286:$AL286,MATCH(Lists!$F$2,$A$1:$AL$1,0))&amp;""),"")="",-1,IF(ISNUMBER(IFERROR(IF(TRIM(INDEX($A286:$AL286,MATCH(Lists!$F$7,$A$1:$AL$1,0))&amp;"")="","",IF(ISNUMBER(INDEX($A286:$AL286,MATCH(Lists!$F$7,$A$1:$AL$1,0))),ROUND(MOD(INDEX($A286:$AL286,MATCH(Lists!$F$7,$A$1:$AL$1,0)),1)*1440,0),VALUE(LEFT(INDEX($A286:$AL286,MATCH(Lists!$F$7,$A$1:$AL$1,0)),2))*60+VALUE(MID(INDEX($A286:$AL286,MATCH(Lists!$F$7,$A$1:$AL$1,0)),4,2)))),"")),IFERROR(IF(TRIM(INDEX($A286:$AL286,MATCH(Lists!$F$7,$A$1:$AL$1,0))&amp;"")="","",IF(ISNUMBER(INDEX($A286:$AL286,MATCH(Lists!$F$7,$A$1:$AL$1,0))),ROUND(MOD(INDEX($A286:$AL286,MATCH(Lists!$F$7,$A$1:$AL$1,0)),1)*1440,0),VALUE(LEFT(INDEX($A286:$AL286,MATCH(Lists!$F$7,$A$1:$AL$1,0)),2))*60+VALUE(MID(INDEX($A286:$AL286,MATCH(Lists!$F$7,$A$1:$AL$1,0)),4,2)))),""),-1))</f>
        <v/>
      </c>
      <c r="AW286" s="21">
        <f>IF(IFERROR(TRIM(INDEX($A286:$AL286,MATCH(Lists!$F$2,$A$1:$AL$1,0))&amp;""),"")="","",IF(IFERROR(TRIM(INDEX($A286:$AL286,MATCH(Lists!$F$8,$A$1:$AL$1,0))&amp;""),"")&lt;&gt;"",IFERROR(TRIM(INDEX($A286:$AL286,MATCH(Lists!$F$8,$A$1:$AL$1,0))&amp;""),""),IFERROR(TRIM(INDEX($A286:$AL286,MATCH(Lists!$F$9,$A$1:$AL$1,0))&amp;""),"")))</f>
        <v/>
      </c>
      <c r="AX286" s="21">
        <f>IFERROR(IF(TRIM(INDEX($A286:$AL286,MATCH(Lists!$F$10,$A$1:$AL$1,0))&amp;"")="","",VALUE(TRIM(INDEX($A286:$AL286,MATCH(Lists!$F$10,$A$1:$AL$1,0))&amp;""))),"")</f>
        <v/>
      </c>
      <c r="AY286" s="21">
        <f>IF(IFERROR(TRIM(INDEX($A286:$AL286,MATCH(Lists!$F$2,$A$1:$AL$1,0))&amp;""),"")="","",IF(AN286="","New",AN286))</f>
        <v/>
      </c>
      <c r="AZ286" s="21">
        <f>IF(IFERROR(TRIM(INDEX($A286:$AL286,MATCH(Lists!$F$2,$A$1:$AL$1,0))&amp;""),"")="","",IF(OR(IFERROR(TRIM(INDEX($A286:$AL286,MATCH(Lists!$F$13,$A$1:$AL$1,0))&amp;""),"")="Paid",IFERROR(TRIM(INDEX($A286:$AL286,MATCH(Lists!$F$13,$A$1:$AL$1,0))&amp;""),"")="Partially refunded"),"Paid",IF(AP286="Yes","Paid (by hand)",IFERROR(TRIM(INDEX($A286:$AL286,MATCH(Lists!$F$13,$A$1:$AL$1,0))&amp;""),""))))</f>
        <v/>
      </c>
      <c r="BA286" s="21">
        <f>IF(AND(IFERROR(TRIM(INDEX($A286:$AL286,MATCH(Lists!$F$2,$A$1:$AL$1,0))&amp;""),"")&lt;&gt;"",AT286&gt;0,AU286&gt;=0,AV286&gt;AU286,AY286&lt;&gt;"Declined"),1,0)</f>
        <v/>
      </c>
      <c r="BB286" s="21">
        <f>IF(BA286=1,COUNTIFS($AS$2:$AS$501,AS286,$AT$2:$AT$501,AT286,$AU$2:$AU$501,"&lt;"&amp;AV286,$AV$2:$AV$501,"&gt;"&amp;AU286,$BA$2:$BA$501,1)-1,"")</f>
        <v/>
      </c>
      <c r="BC286" s="21">
        <f>IF(N(BB286)&gt;0,"Clashes with "&amp;INDEX($AW$2:$AW$501,SUMPRODUCT(MAX(($AS$2:$AS$501=AS286)*($AT$2:$AT$501=AT286)*($AU$2:$AU$501&lt;AV286)*($AV$2:$AV$501&gt;AU286)*($BA$2:$BA$501=1)*(ROW($AS$2:$AS$501)&lt;&gt;ROW())*ROW($AS$2:$AS$501)))-1)&amp;" ("&amp;INDEX($AY$2:$AY$501,SUMPRODUCT(MAX(($AS$2:$AS$501=AS286)*($AT$2:$AT$501=AT286)*($AU$2:$AU$501&lt;AV286)*($AV$2:$AV$501&gt;AU286)*($BA$2:$BA$501=1)*(ROW($AS$2:$AS$501)&lt;&gt;ROW())*ROW($AS$2:$AS$501)))-1)&amp;")"&amp;IF(BB286&gt;1," and "&amp;(BB286-1)&amp;" more",""),"")</f>
        <v/>
      </c>
      <c r="BD286" s="21">
        <f>IF(AND(BA286=1,AY286="Confirmed"),AT286*10000000+AU286*1000+ROW(),"")</f>
        <v/>
      </c>
      <c r="BE286" s="21">
        <f>IF(IFERROR(TRIM(INDEX($A286:$AL286,MATCH(Lists!$F$2,$A$1:$AL$1,0))&amp;""),"")="","",IFERROR(TRIM(INDEX($A286:$AL286,MATCH(Lists!$F$11,$A$1:$AL$1,0))&amp;""),""))</f>
        <v/>
      </c>
      <c r="BF286" s="21">
        <f>IF(IFERROR(TRIM(INDEX($A286:$AL286,MATCH(Lists!$F$2,$A$1:$AL$1,0))&amp;""),"")="","",IFERROR(TRIM(INDEX($A286:$AL286,MATCH(Lists!$F$12,$A$1:$AL$1,0))&amp;""),""))</f>
        <v/>
      </c>
    </row>
    <row r="287">
      <c r="AM287" s="19" t="n"/>
      <c r="AN287" s="23" t="n"/>
      <c r="AO287" s="23" t="n"/>
      <c r="AP287" s="23" t="n"/>
      <c r="AQ287" s="23" t="n"/>
      <c r="AR287" s="19" t="n"/>
      <c r="AS287" s="21">
        <f>IF(IFERROR(TRIM(INDEX($A287:$AL287,MATCH(Lists!$F$2,$A$1:$AL$1,0))&amp;""),"")="","",IF(AND(IFERROR(TRIM(INDEX($A287:$AL287,MATCH(Lists!$F$3,$A$1:$AL$1,0))&amp;""),"")="Other",IFERROR(TRIM(INDEX($A287:$AL287,MATCH(Lists!$F$4,$A$1:$AL$1,0))&amp;""),"")&lt;&gt;""),IFERROR(TRIM(INDEX($A287:$AL287,MATCH(Lists!$F$4,$A$1:$AL$1,0))&amp;""),""),IF(IFERROR(TRIM(INDEX($A287:$AL287,MATCH(Lists!$F$3,$A$1:$AL$1,0))&amp;""),"")="","(no space)",IFERROR(TRIM(INDEX($A287:$AL287,MATCH(Lists!$F$3,$A$1:$AL$1,0))&amp;""),""))))</f>
        <v/>
      </c>
      <c r="AT287" s="22">
        <f>IF(IFERROR(TRIM(INDEX($A287:$AL287,MATCH(Lists!$F$2,$A$1:$AL$1,0))&amp;""),"")="",0,N(IFERROR(IF(TRIM(INDEX($A287:$AL287,MATCH(Lists!$F$5,$A$1:$AL$1,0))&amp;"")="","",IF(ISNUMBER(INDEX($A287:$AL287,MATCH(Lists!$F$5,$A$1:$AL$1,0))),INT(INDEX($A287:$AL287,MATCH(Lists!$F$5,$A$1:$AL$1,0))),DATE(VALUE(LEFT(INDEX($A287:$AL287,MATCH(Lists!$F$5,$A$1:$AL$1,0)),4)),VALUE(MID(INDEX($A287:$AL287,MATCH(Lists!$F$5,$A$1:$AL$1,0)),6,2)),VALUE(MID(INDEX($A287:$AL287,MATCH(Lists!$F$5,$A$1:$AL$1,0)),9,2))))),"")))</f>
        <v/>
      </c>
      <c r="AU287" s="21">
        <f>IF(IFERROR(TRIM(INDEX($A287:$AL287,MATCH(Lists!$F$2,$A$1:$AL$1,0))&amp;""),"")="",-1,IF(ISNUMBER(IFERROR(IF(TRIM(INDEX($A287:$AL287,MATCH(Lists!$F$6,$A$1:$AL$1,0))&amp;"")="","",IF(ISNUMBER(INDEX($A287:$AL287,MATCH(Lists!$F$6,$A$1:$AL$1,0))),ROUND(MOD(INDEX($A287:$AL287,MATCH(Lists!$F$6,$A$1:$AL$1,0)),1)*1440,0),VALUE(LEFT(INDEX($A287:$AL287,MATCH(Lists!$F$6,$A$1:$AL$1,0)),2))*60+VALUE(MID(INDEX($A287:$AL287,MATCH(Lists!$F$6,$A$1:$AL$1,0)),4,2)))),"")),IFERROR(IF(TRIM(INDEX($A287:$AL287,MATCH(Lists!$F$6,$A$1:$AL$1,0))&amp;"")="","",IF(ISNUMBER(INDEX($A287:$AL287,MATCH(Lists!$F$6,$A$1:$AL$1,0))),ROUND(MOD(INDEX($A287:$AL287,MATCH(Lists!$F$6,$A$1:$AL$1,0)),1)*1440,0),VALUE(LEFT(INDEX($A287:$AL287,MATCH(Lists!$F$6,$A$1:$AL$1,0)),2))*60+VALUE(MID(INDEX($A287:$AL287,MATCH(Lists!$F$6,$A$1:$AL$1,0)),4,2)))),""),-1))</f>
        <v/>
      </c>
      <c r="AV287" s="21">
        <f>IF(IFERROR(TRIM(INDEX($A287:$AL287,MATCH(Lists!$F$2,$A$1:$AL$1,0))&amp;""),"")="",-1,IF(ISNUMBER(IFERROR(IF(TRIM(INDEX($A287:$AL287,MATCH(Lists!$F$7,$A$1:$AL$1,0))&amp;"")="","",IF(ISNUMBER(INDEX($A287:$AL287,MATCH(Lists!$F$7,$A$1:$AL$1,0))),ROUND(MOD(INDEX($A287:$AL287,MATCH(Lists!$F$7,$A$1:$AL$1,0)),1)*1440,0),VALUE(LEFT(INDEX($A287:$AL287,MATCH(Lists!$F$7,$A$1:$AL$1,0)),2))*60+VALUE(MID(INDEX($A287:$AL287,MATCH(Lists!$F$7,$A$1:$AL$1,0)),4,2)))),"")),IFERROR(IF(TRIM(INDEX($A287:$AL287,MATCH(Lists!$F$7,$A$1:$AL$1,0))&amp;"")="","",IF(ISNUMBER(INDEX($A287:$AL287,MATCH(Lists!$F$7,$A$1:$AL$1,0))),ROUND(MOD(INDEX($A287:$AL287,MATCH(Lists!$F$7,$A$1:$AL$1,0)),1)*1440,0),VALUE(LEFT(INDEX($A287:$AL287,MATCH(Lists!$F$7,$A$1:$AL$1,0)),2))*60+VALUE(MID(INDEX($A287:$AL287,MATCH(Lists!$F$7,$A$1:$AL$1,0)),4,2)))),""),-1))</f>
        <v/>
      </c>
      <c r="AW287" s="21">
        <f>IF(IFERROR(TRIM(INDEX($A287:$AL287,MATCH(Lists!$F$2,$A$1:$AL$1,0))&amp;""),"")="","",IF(IFERROR(TRIM(INDEX($A287:$AL287,MATCH(Lists!$F$8,$A$1:$AL$1,0))&amp;""),"")&lt;&gt;"",IFERROR(TRIM(INDEX($A287:$AL287,MATCH(Lists!$F$8,$A$1:$AL$1,0))&amp;""),""),IFERROR(TRIM(INDEX($A287:$AL287,MATCH(Lists!$F$9,$A$1:$AL$1,0))&amp;""),"")))</f>
        <v/>
      </c>
      <c r="AX287" s="21">
        <f>IFERROR(IF(TRIM(INDEX($A287:$AL287,MATCH(Lists!$F$10,$A$1:$AL$1,0))&amp;"")="","",VALUE(TRIM(INDEX($A287:$AL287,MATCH(Lists!$F$10,$A$1:$AL$1,0))&amp;""))),"")</f>
        <v/>
      </c>
      <c r="AY287" s="21">
        <f>IF(IFERROR(TRIM(INDEX($A287:$AL287,MATCH(Lists!$F$2,$A$1:$AL$1,0))&amp;""),"")="","",IF(AN287="","New",AN287))</f>
        <v/>
      </c>
      <c r="AZ287" s="21">
        <f>IF(IFERROR(TRIM(INDEX($A287:$AL287,MATCH(Lists!$F$2,$A$1:$AL$1,0))&amp;""),"")="","",IF(OR(IFERROR(TRIM(INDEX($A287:$AL287,MATCH(Lists!$F$13,$A$1:$AL$1,0))&amp;""),"")="Paid",IFERROR(TRIM(INDEX($A287:$AL287,MATCH(Lists!$F$13,$A$1:$AL$1,0))&amp;""),"")="Partially refunded"),"Paid",IF(AP287="Yes","Paid (by hand)",IFERROR(TRIM(INDEX($A287:$AL287,MATCH(Lists!$F$13,$A$1:$AL$1,0))&amp;""),""))))</f>
        <v/>
      </c>
      <c r="BA287" s="21">
        <f>IF(AND(IFERROR(TRIM(INDEX($A287:$AL287,MATCH(Lists!$F$2,$A$1:$AL$1,0))&amp;""),"")&lt;&gt;"",AT287&gt;0,AU287&gt;=0,AV287&gt;AU287,AY287&lt;&gt;"Declined"),1,0)</f>
        <v/>
      </c>
      <c r="BB287" s="21">
        <f>IF(BA287=1,COUNTIFS($AS$2:$AS$501,AS287,$AT$2:$AT$501,AT287,$AU$2:$AU$501,"&lt;"&amp;AV287,$AV$2:$AV$501,"&gt;"&amp;AU287,$BA$2:$BA$501,1)-1,"")</f>
        <v/>
      </c>
      <c r="BC287" s="21">
        <f>IF(N(BB287)&gt;0,"Clashes with "&amp;INDEX($AW$2:$AW$501,SUMPRODUCT(MAX(($AS$2:$AS$501=AS287)*($AT$2:$AT$501=AT287)*($AU$2:$AU$501&lt;AV287)*($AV$2:$AV$501&gt;AU287)*($BA$2:$BA$501=1)*(ROW($AS$2:$AS$501)&lt;&gt;ROW())*ROW($AS$2:$AS$501)))-1)&amp;" ("&amp;INDEX($AY$2:$AY$501,SUMPRODUCT(MAX(($AS$2:$AS$501=AS287)*($AT$2:$AT$501=AT287)*($AU$2:$AU$501&lt;AV287)*($AV$2:$AV$501&gt;AU287)*($BA$2:$BA$501=1)*(ROW($AS$2:$AS$501)&lt;&gt;ROW())*ROW($AS$2:$AS$501)))-1)&amp;")"&amp;IF(BB287&gt;1," and "&amp;(BB287-1)&amp;" more",""),"")</f>
        <v/>
      </c>
      <c r="BD287" s="21">
        <f>IF(AND(BA287=1,AY287="Confirmed"),AT287*10000000+AU287*1000+ROW(),"")</f>
        <v/>
      </c>
      <c r="BE287" s="21">
        <f>IF(IFERROR(TRIM(INDEX($A287:$AL287,MATCH(Lists!$F$2,$A$1:$AL$1,0))&amp;""),"")="","",IFERROR(TRIM(INDEX($A287:$AL287,MATCH(Lists!$F$11,$A$1:$AL$1,0))&amp;""),""))</f>
        <v/>
      </c>
      <c r="BF287" s="21">
        <f>IF(IFERROR(TRIM(INDEX($A287:$AL287,MATCH(Lists!$F$2,$A$1:$AL$1,0))&amp;""),"")="","",IFERROR(TRIM(INDEX($A287:$AL287,MATCH(Lists!$F$12,$A$1:$AL$1,0))&amp;""),""))</f>
        <v/>
      </c>
    </row>
    <row r="288">
      <c r="AM288" s="19" t="n"/>
      <c r="AN288" s="23" t="n"/>
      <c r="AO288" s="23" t="n"/>
      <c r="AP288" s="23" t="n"/>
      <c r="AQ288" s="23" t="n"/>
      <c r="AR288" s="19" t="n"/>
      <c r="AS288" s="21">
        <f>IF(IFERROR(TRIM(INDEX($A288:$AL288,MATCH(Lists!$F$2,$A$1:$AL$1,0))&amp;""),"")="","",IF(AND(IFERROR(TRIM(INDEX($A288:$AL288,MATCH(Lists!$F$3,$A$1:$AL$1,0))&amp;""),"")="Other",IFERROR(TRIM(INDEX($A288:$AL288,MATCH(Lists!$F$4,$A$1:$AL$1,0))&amp;""),"")&lt;&gt;""),IFERROR(TRIM(INDEX($A288:$AL288,MATCH(Lists!$F$4,$A$1:$AL$1,0))&amp;""),""),IF(IFERROR(TRIM(INDEX($A288:$AL288,MATCH(Lists!$F$3,$A$1:$AL$1,0))&amp;""),"")="","(no space)",IFERROR(TRIM(INDEX($A288:$AL288,MATCH(Lists!$F$3,$A$1:$AL$1,0))&amp;""),""))))</f>
        <v/>
      </c>
      <c r="AT288" s="22">
        <f>IF(IFERROR(TRIM(INDEX($A288:$AL288,MATCH(Lists!$F$2,$A$1:$AL$1,0))&amp;""),"")="",0,N(IFERROR(IF(TRIM(INDEX($A288:$AL288,MATCH(Lists!$F$5,$A$1:$AL$1,0))&amp;"")="","",IF(ISNUMBER(INDEX($A288:$AL288,MATCH(Lists!$F$5,$A$1:$AL$1,0))),INT(INDEX($A288:$AL288,MATCH(Lists!$F$5,$A$1:$AL$1,0))),DATE(VALUE(LEFT(INDEX($A288:$AL288,MATCH(Lists!$F$5,$A$1:$AL$1,0)),4)),VALUE(MID(INDEX($A288:$AL288,MATCH(Lists!$F$5,$A$1:$AL$1,0)),6,2)),VALUE(MID(INDEX($A288:$AL288,MATCH(Lists!$F$5,$A$1:$AL$1,0)),9,2))))),"")))</f>
        <v/>
      </c>
      <c r="AU288" s="21">
        <f>IF(IFERROR(TRIM(INDEX($A288:$AL288,MATCH(Lists!$F$2,$A$1:$AL$1,0))&amp;""),"")="",-1,IF(ISNUMBER(IFERROR(IF(TRIM(INDEX($A288:$AL288,MATCH(Lists!$F$6,$A$1:$AL$1,0))&amp;"")="","",IF(ISNUMBER(INDEX($A288:$AL288,MATCH(Lists!$F$6,$A$1:$AL$1,0))),ROUND(MOD(INDEX($A288:$AL288,MATCH(Lists!$F$6,$A$1:$AL$1,0)),1)*1440,0),VALUE(LEFT(INDEX($A288:$AL288,MATCH(Lists!$F$6,$A$1:$AL$1,0)),2))*60+VALUE(MID(INDEX($A288:$AL288,MATCH(Lists!$F$6,$A$1:$AL$1,0)),4,2)))),"")),IFERROR(IF(TRIM(INDEX($A288:$AL288,MATCH(Lists!$F$6,$A$1:$AL$1,0))&amp;"")="","",IF(ISNUMBER(INDEX($A288:$AL288,MATCH(Lists!$F$6,$A$1:$AL$1,0))),ROUND(MOD(INDEX($A288:$AL288,MATCH(Lists!$F$6,$A$1:$AL$1,0)),1)*1440,0),VALUE(LEFT(INDEX($A288:$AL288,MATCH(Lists!$F$6,$A$1:$AL$1,0)),2))*60+VALUE(MID(INDEX($A288:$AL288,MATCH(Lists!$F$6,$A$1:$AL$1,0)),4,2)))),""),-1))</f>
        <v/>
      </c>
      <c r="AV288" s="21">
        <f>IF(IFERROR(TRIM(INDEX($A288:$AL288,MATCH(Lists!$F$2,$A$1:$AL$1,0))&amp;""),"")="",-1,IF(ISNUMBER(IFERROR(IF(TRIM(INDEX($A288:$AL288,MATCH(Lists!$F$7,$A$1:$AL$1,0))&amp;"")="","",IF(ISNUMBER(INDEX($A288:$AL288,MATCH(Lists!$F$7,$A$1:$AL$1,0))),ROUND(MOD(INDEX($A288:$AL288,MATCH(Lists!$F$7,$A$1:$AL$1,0)),1)*1440,0),VALUE(LEFT(INDEX($A288:$AL288,MATCH(Lists!$F$7,$A$1:$AL$1,0)),2))*60+VALUE(MID(INDEX($A288:$AL288,MATCH(Lists!$F$7,$A$1:$AL$1,0)),4,2)))),"")),IFERROR(IF(TRIM(INDEX($A288:$AL288,MATCH(Lists!$F$7,$A$1:$AL$1,0))&amp;"")="","",IF(ISNUMBER(INDEX($A288:$AL288,MATCH(Lists!$F$7,$A$1:$AL$1,0))),ROUND(MOD(INDEX($A288:$AL288,MATCH(Lists!$F$7,$A$1:$AL$1,0)),1)*1440,0),VALUE(LEFT(INDEX($A288:$AL288,MATCH(Lists!$F$7,$A$1:$AL$1,0)),2))*60+VALUE(MID(INDEX($A288:$AL288,MATCH(Lists!$F$7,$A$1:$AL$1,0)),4,2)))),""),-1))</f>
        <v/>
      </c>
      <c r="AW288" s="21">
        <f>IF(IFERROR(TRIM(INDEX($A288:$AL288,MATCH(Lists!$F$2,$A$1:$AL$1,0))&amp;""),"")="","",IF(IFERROR(TRIM(INDEX($A288:$AL288,MATCH(Lists!$F$8,$A$1:$AL$1,0))&amp;""),"")&lt;&gt;"",IFERROR(TRIM(INDEX($A288:$AL288,MATCH(Lists!$F$8,$A$1:$AL$1,0))&amp;""),""),IFERROR(TRIM(INDEX($A288:$AL288,MATCH(Lists!$F$9,$A$1:$AL$1,0))&amp;""),"")))</f>
        <v/>
      </c>
      <c r="AX288" s="21">
        <f>IFERROR(IF(TRIM(INDEX($A288:$AL288,MATCH(Lists!$F$10,$A$1:$AL$1,0))&amp;"")="","",VALUE(TRIM(INDEX($A288:$AL288,MATCH(Lists!$F$10,$A$1:$AL$1,0))&amp;""))),"")</f>
        <v/>
      </c>
      <c r="AY288" s="21">
        <f>IF(IFERROR(TRIM(INDEX($A288:$AL288,MATCH(Lists!$F$2,$A$1:$AL$1,0))&amp;""),"")="","",IF(AN288="","New",AN288))</f>
        <v/>
      </c>
      <c r="AZ288" s="21">
        <f>IF(IFERROR(TRIM(INDEX($A288:$AL288,MATCH(Lists!$F$2,$A$1:$AL$1,0))&amp;""),"")="","",IF(OR(IFERROR(TRIM(INDEX($A288:$AL288,MATCH(Lists!$F$13,$A$1:$AL$1,0))&amp;""),"")="Paid",IFERROR(TRIM(INDEX($A288:$AL288,MATCH(Lists!$F$13,$A$1:$AL$1,0))&amp;""),"")="Partially refunded"),"Paid",IF(AP288="Yes","Paid (by hand)",IFERROR(TRIM(INDEX($A288:$AL288,MATCH(Lists!$F$13,$A$1:$AL$1,0))&amp;""),""))))</f>
        <v/>
      </c>
      <c r="BA288" s="21">
        <f>IF(AND(IFERROR(TRIM(INDEX($A288:$AL288,MATCH(Lists!$F$2,$A$1:$AL$1,0))&amp;""),"")&lt;&gt;"",AT288&gt;0,AU288&gt;=0,AV288&gt;AU288,AY288&lt;&gt;"Declined"),1,0)</f>
        <v/>
      </c>
      <c r="BB288" s="21">
        <f>IF(BA288=1,COUNTIFS($AS$2:$AS$501,AS288,$AT$2:$AT$501,AT288,$AU$2:$AU$501,"&lt;"&amp;AV288,$AV$2:$AV$501,"&gt;"&amp;AU288,$BA$2:$BA$501,1)-1,"")</f>
        <v/>
      </c>
      <c r="BC288" s="21">
        <f>IF(N(BB288)&gt;0,"Clashes with "&amp;INDEX($AW$2:$AW$501,SUMPRODUCT(MAX(($AS$2:$AS$501=AS288)*($AT$2:$AT$501=AT288)*($AU$2:$AU$501&lt;AV288)*($AV$2:$AV$501&gt;AU288)*($BA$2:$BA$501=1)*(ROW($AS$2:$AS$501)&lt;&gt;ROW())*ROW($AS$2:$AS$501)))-1)&amp;" ("&amp;INDEX($AY$2:$AY$501,SUMPRODUCT(MAX(($AS$2:$AS$501=AS288)*($AT$2:$AT$501=AT288)*($AU$2:$AU$501&lt;AV288)*($AV$2:$AV$501&gt;AU288)*($BA$2:$BA$501=1)*(ROW($AS$2:$AS$501)&lt;&gt;ROW())*ROW($AS$2:$AS$501)))-1)&amp;")"&amp;IF(BB288&gt;1," and "&amp;(BB288-1)&amp;" more",""),"")</f>
        <v/>
      </c>
      <c r="BD288" s="21">
        <f>IF(AND(BA288=1,AY288="Confirmed"),AT288*10000000+AU288*1000+ROW(),"")</f>
        <v/>
      </c>
      <c r="BE288" s="21">
        <f>IF(IFERROR(TRIM(INDEX($A288:$AL288,MATCH(Lists!$F$2,$A$1:$AL$1,0))&amp;""),"")="","",IFERROR(TRIM(INDEX($A288:$AL288,MATCH(Lists!$F$11,$A$1:$AL$1,0))&amp;""),""))</f>
        <v/>
      </c>
      <c r="BF288" s="21">
        <f>IF(IFERROR(TRIM(INDEX($A288:$AL288,MATCH(Lists!$F$2,$A$1:$AL$1,0))&amp;""),"")="","",IFERROR(TRIM(INDEX($A288:$AL288,MATCH(Lists!$F$12,$A$1:$AL$1,0))&amp;""),""))</f>
        <v/>
      </c>
    </row>
    <row r="289">
      <c r="AM289" s="19" t="n"/>
      <c r="AN289" s="23" t="n"/>
      <c r="AO289" s="23" t="n"/>
      <c r="AP289" s="23" t="n"/>
      <c r="AQ289" s="23" t="n"/>
      <c r="AR289" s="19" t="n"/>
      <c r="AS289" s="21">
        <f>IF(IFERROR(TRIM(INDEX($A289:$AL289,MATCH(Lists!$F$2,$A$1:$AL$1,0))&amp;""),"")="","",IF(AND(IFERROR(TRIM(INDEX($A289:$AL289,MATCH(Lists!$F$3,$A$1:$AL$1,0))&amp;""),"")="Other",IFERROR(TRIM(INDEX($A289:$AL289,MATCH(Lists!$F$4,$A$1:$AL$1,0))&amp;""),"")&lt;&gt;""),IFERROR(TRIM(INDEX($A289:$AL289,MATCH(Lists!$F$4,$A$1:$AL$1,0))&amp;""),""),IF(IFERROR(TRIM(INDEX($A289:$AL289,MATCH(Lists!$F$3,$A$1:$AL$1,0))&amp;""),"")="","(no space)",IFERROR(TRIM(INDEX($A289:$AL289,MATCH(Lists!$F$3,$A$1:$AL$1,0))&amp;""),""))))</f>
        <v/>
      </c>
      <c r="AT289" s="22">
        <f>IF(IFERROR(TRIM(INDEX($A289:$AL289,MATCH(Lists!$F$2,$A$1:$AL$1,0))&amp;""),"")="",0,N(IFERROR(IF(TRIM(INDEX($A289:$AL289,MATCH(Lists!$F$5,$A$1:$AL$1,0))&amp;"")="","",IF(ISNUMBER(INDEX($A289:$AL289,MATCH(Lists!$F$5,$A$1:$AL$1,0))),INT(INDEX($A289:$AL289,MATCH(Lists!$F$5,$A$1:$AL$1,0))),DATE(VALUE(LEFT(INDEX($A289:$AL289,MATCH(Lists!$F$5,$A$1:$AL$1,0)),4)),VALUE(MID(INDEX($A289:$AL289,MATCH(Lists!$F$5,$A$1:$AL$1,0)),6,2)),VALUE(MID(INDEX($A289:$AL289,MATCH(Lists!$F$5,$A$1:$AL$1,0)),9,2))))),"")))</f>
        <v/>
      </c>
      <c r="AU289" s="21">
        <f>IF(IFERROR(TRIM(INDEX($A289:$AL289,MATCH(Lists!$F$2,$A$1:$AL$1,0))&amp;""),"")="",-1,IF(ISNUMBER(IFERROR(IF(TRIM(INDEX($A289:$AL289,MATCH(Lists!$F$6,$A$1:$AL$1,0))&amp;"")="","",IF(ISNUMBER(INDEX($A289:$AL289,MATCH(Lists!$F$6,$A$1:$AL$1,0))),ROUND(MOD(INDEX($A289:$AL289,MATCH(Lists!$F$6,$A$1:$AL$1,0)),1)*1440,0),VALUE(LEFT(INDEX($A289:$AL289,MATCH(Lists!$F$6,$A$1:$AL$1,0)),2))*60+VALUE(MID(INDEX($A289:$AL289,MATCH(Lists!$F$6,$A$1:$AL$1,0)),4,2)))),"")),IFERROR(IF(TRIM(INDEX($A289:$AL289,MATCH(Lists!$F$6,$A$1:$AL$1,0))&amp;"")="","",IF(ISNUMBER(INDEX($A289:$AL289,MATCH(Lists!$F$6,$A$1:$AL$1,0))),ROUND(MOD(INDEX($A289:$AL289,MATCH(Lists!$F$6,$A$1:$AL$1,0)),1)*1440,0),VALUE(LEFT(INDEX($A289:$AL289,MATCH(Lists!$F$6,$A$1:$AL$1,0)),2))*60+VALUE(MID(INDEX($A289:$AL289,MATCH(Lists!$F$6,$A$1:$AL$1,0)),4,2)))),""),-1))</f>
        <v/>
      </c>
      <c r="AV289" s="21">
        <f>IF(IFERROR(TRIM(INDEX($A289:$AL289,MATCH(Lists!$F$2,$A$1:$AL$1,0))&amp;""),"")="",-1,IF(ISNUMBER(IFERROR(IF(TRIM(INDEX($A289:$AL289,MATCH(Lists!$F$7,$A$1:$AL$1,0))&amp;"")="","",IF(ISNUMBER(INDEX($A289:$AL289,MATCH(Lists!$F$7,$A$1:$AL$1,0))),ROUND(MOD(INDEX($A289:$AL289,MATCH(Lists!$F$7,$A$1:$AL$1,0)),1)*1440,0),VALUE(LEFT(INDEX($A289:$AL289,MATCH(Lists!$F$7,$A$1:$AL$1,0)),2))*60+VALUE(MID(INDEX($A289:$AL289,MATCH(Lists!$F$7,$A$1:$AL$1,0)),4,2)))),"")),IFERROR(IF(TRIM(INDEX($A289:$AL289,MATCH(Lists!$F$7,$A$1:$AL$1,0))&amp;"")="","",IF(ISNUMBER(INDEX($A289:$AL289,MATCH(Lists!$F$7,$A$1:$AL$1,0))),ROUND(MOD(INDEX($A289:$AL289,MATCH(Lists!$F$7,$A$1:$AL$1,0)),1)*1440,0),VALUE(LEFT(INDEX($A289:$AL289,MATCH(Lists!$F$7,$A$1:$AL$1,0)),2))*60+VALUE(MID(INDEX($A289:$AL289,MATCH(Lists!$F$7,$A$1:$AL$1,0)),4,2)))),""),-1))</f>
        <v/>
      </c>
      <c r="AW289" s="21">
        <f>IF(IFERROR(TRIM(INDEX($A289:$AL289,MATCH(Lists!$F$2,$A$1:$AL$1,0))&amp;""),"")="","",IF(IFERROR(TRIM(INDEX($A289:$AL289,MATCH(Lists!$F$8,$A$1:$AL$1,0))&amp;""),"")&lt;&gt;"",IFERROR(TRIM(INDEX($A289:$AL289,MATCH(Lists!$F$8,$A$1:$AL$1,0))&amp;""),""),IFERROR(TRIM(INDEX($A289:$AL289,MATCH(Lists!$F$9,$A$1:$AL$1,0))&amp;""),"")))</f>
        <v/>
      </c>
      <c r="AX289" s="21">
        <f>IFERROR(IF(TRIM(INDEX($A289:$AL289,MATCH(Lists!$F$10,$A$1:$AL$1,0))&amp;"")="","",VALUE(TRIM(INDEX($A289:$AL289,MATCH(Lists!$F$10,$A$1:$AL$1,0))&amp;""))),"")</f>
        <v/>
      </c>
      <c r="AY289" s="21">
        <f>IF(IFERROR(TRIM(INDEX($A289:$AL289,MATCH(Lists!$F$2,$A$1:$AL$1,0))&amp;""),"")="","",IF(AN289="","New",AN289))</f>
        <v/>
      </c>
      <c r="AZ289" s="21">
        <f>IF(IFERROR(TRIM(INDEX($A289:$AL289,MATCH(Lists!$F$2,$A$1:$AL$1,0))&amp;""),"")="","",IF(OR(IFERROR(TRIM(INDEX($A289:$AL289,MATCH(Lists!$F$13,$A$1:$AL$1,0))&amp;""),"")="Paid",IFERROR(TRIM(INDEX($A289:$AL289,MATCH(Lists!$F$13,$A$1:$AL$1,0))&amp;""),"")="Partially refunded"),"Paid",IF(AP289="Yes","Paid (by hand)",IFERROR(TRIM(INDEX($A289:$AL289,MATCH(Lists!$F$13,$A$1:$AL$1,0))&amp;""),""))))</f>
        <v/>
      </c>
      <c r="BA289" s="21">
        <f>IF(AND(IFERROR(TRIM(INDEX($A289:$AL289,MATCH(Lists!$F$2,$A$1:$AL$1,0))&amp;""),"")&lt;&gt;"",AT289&gt;0,AU289&gt;=0,AV289&gt;AU289,AY289&lt;&gt;"Declined"),1,0)</f>
        <v/>
      </c>
      <c r="BB289" s="21">
        <f>IF(BA289=1,COUNTIFS($AS$2:$AS$501,AS289,$AT$2:$AT$501,AT289,$AU$2:$AU$501,"&lt;"&amp;AV289,$AV$2:$AV$501,"&gt;"&amp;AU289,$BA$2:$BA$501,1)-1,"")</f>
        <v/>
      </c>
      <c r="BC289" s="21">
        <f>IF(N(BB289)&gt;0,"Clashes with "&amp;INDEX($AW$2:$AW$501,SUMPRODUCT(MAX(($AS$2:$AS$501=AS289)*($AT$2:$AT$501=AT289)*($AU$2:$AU$501&lt;AV289)*($AV$2:$AV$501&gt;AU289)*($BA$2:$BA$501=1)*(ROW($AS$2:$AS$501)&lt;&gt;ROW())*ROW($AS$2:$AS$501)))-1)&amp;" ("&amp;INDEX($AY$2:$AY$501,SUMPRODUCT(MAX(($AS$2:$AS$501=AS289)*($AT$2:$AT$501=AT289)*($AU$2:$AU$501&lt;AV289)*($AV$2:$AV$501&gt;AU289)*($BA$2:$BA$501=1)*(ROW($AS$2:$AS$501)&lt;&gt;ROW())*ROW($AS$2:$AS$501)))-1)&amp;")"&amp;IF(BB289&gt;1," and "&amp;(BB289-1)&amp;" more",""),"")</f>
        <v/>
      </c>
      <c r="BD289" s="21">
        <f>IF(AND(BA289=1,AY289="Confirmed"),AT289*10000000+AU289*1000+ROW(),"")</f>
        <v/>
      </c>
      <c r="BE289" s="21">
        <f>IF(IFERROR(TRIM(INDEX($A289:$AL289,MATCH(Lists!$F$2,$A$1:$AL$1,0))&amp;""),"")="","",IFERROR(TRIM(INDEX($A289:$AL289,MATCH(Lists!$F$11,$A$1:$AL$1,0))&amp;""),""))</f>
        <v/>
      </c>
      <c r="BF289" s="21">
        <f>IF(IFERROR(TRIM(INDEX($A289:$AL289,MATCH(Lists!$F$2,$A$1:$AL$1,0))&amp;""),"")="","",IFERROR(TRIM(INDEX($A289:$AL289,MATCH(Lists!$F$12,$A$1:$AL$1,0))&amp;""),""))</f>
        <v/>
      </c>
    </row>
    <row r="290">
      <c r="AM290" s="19" t="n"/>
      <c r="AN290" s="23" t="n"/>
      <c r="AO290" s="23" t="n"/>
      <c r="AP290" s="23" t="n"/>
      <c r="AQ290" s="23" t="n"/>
      <c r="AR290" s="19" t="n"/>
      <c r="AS290" s="21">
        <f>IF(IFERROR(TRIM(INDEX($A290:$AL290,MATCH(Lists!$F$2,$A$1:$AL$1,0))&amp;""),"")="","",IF(AND(IFERROR(TRIM(INDEX($A290:$AL290,MATCH(Lists!$F$3,$A$1:$AL$1,0))&amp;""),"")="Other",IFERROR(TRIM(INDEX($A290:$AL290,MATCH(Lists!$F$4,$A$1:$AL$1,0))&amp;""),"")&lt;&gt;""),IFERROR(TRIM(INDEX($A290:$AL290,MATCH(Lists!$F$4,$A$1:$AL$1,0))&amp;""),""),IF(IFERROR(TRIM(INDEX($A290:$AL290,MATCH(Lists!$F$3,$A$1:$AL$1,0))&amp;""),"")="","(no space)",IFERROR(TRIM(INDEX($A290:$AL290,MATCH(Lists!$F$3,$A$1:$AL$1,0))&amp;""),""))))</f>
        <v/>
      </c>
      <c r="AT290" s="22">
        <f>IF(IFERROR(TRIM(INDEX($A290:$AL290,MATCH(Lists!$F$2,$A$1:$AL$1,0))&amp;""),"")="",0,N(IFERROR(IF(TRIM(INDEX($A290:$AL290,MATCH(Lists!$F$5,$A$1:$AL$1,0))&amp;"")="","",IF(ISNUMBER(INDEX($A290:$AL290,MATCH(Lists!$F$5,$A$1:$AL$1,0))),INT(INDEX($A290:$AL290,MATCH(Lists!$F$5,$A$1:$AL$1,0))),DATE(VALUE(LEFT(INDEX($A290:$AL290,MATCH(Lists!$F$5,$A$1:$AL$1,0)),4)),VALUE(MID(INDEX($A290:$AL290,MATCH(Lists!$F$5,$A$1:$AL$1,0)),6,2)),VALUE(MID(INDEX($A290:$AL290,MATCH(Lists!$F$5,$A$1:$AL$1,0)),9,2))))),"")))</f>
        <v/>
      </c>
      <c r="AU290" s="21">
        <f>IF(IFERROR(TRIM(INDEX($A290:$AL290,MATCH(Lists!$F$2,$A$1:$AL$1,0))&amp;""),"")="",-1,IF(ISNUMBER(IFERROR(IF(TRIM(INDEX($A290:$AL290,MATCH(Lists!$F$6,$A$1:$AL$1,0))&amp;"")="","",IF(ISNUMBER(INDEX($A290:$AL290,MATCH(Lists!$F$6,$A$1:$AL$1,0))),ROUND(MOD(INDEX($A290:$AL290,MATCH(Lists!$F$6,$A$1:$AL$1,0)),1)*1440,0),VALUE(LEFT(INDEX($A290:$AL290,MATCH(Lists!$F$6,$A$1:$AL$1,0)),2))*60+VALUE(MID(INDEX($A290:$AL290,MATCH(Lists!$F$6,$A$1:$AL$1,0)),4,2)))),"")),IFERROR(IF(TRIM(INDEX($A290:$AL290,MATCH(Lists!$F$6,$A$1:$AL$1,0))&amp;"")="","",IF(ISNUMBER(INDEX($A290:$AL290,MATCH(Lists!$F$6,$A$1:$AL$1,0))),ROUND(MOD(INDEX($A290:$AL290,MATCH(Lists!$F$6,$A$1:$AL$1,0)),1)*1440,0),VALUE(LEFT(INDEX($A290:$AL290,MATCH(Lists!$F$6,$A$1:$AL$1,0)),2))*60+VALUE(MID(INDEX($A290:$AL290,MATCH(Lists!$F$6,$A$1:$AL$1,0)),4,2)))),""),-1))</f>
        <v/>
      </c>
      <c r="AV290" s="21">
        <f>IF(IFERROR(TRIM(INDEX($A290:$AL290,MATCH(Lists!$F$2,$A$1:$AL$1,0))&amp;""),"")="",-1,IF(ISNUMBER(IFERROR(IF(TRIM(INDEX($A290:$AL290,MATCH(Lists!$F$7,$A$1:$AL$1,0))&amp;"")="","",IF(ISNUMBER(INDEX($A290:$AL290,MATCH(Lists!$F$7,$A$1:$AL$1,0))),ROUND(MOD(INDEX($A290:$AL290,MATCH(Lists!$F$7,$A$1:$AL$1,0)),1)*1440,0),VALUE(LEFT(INDEX($A290:$AL290,MATCH(Lists!$F$7,$A$1:$AL$1,0)),2))*60+VALUE(MID(INDEX($A290:$AL290,MATCH(Lists!$F$7,$A$1:$AL$1,0)),4,2)))),"")),IFERROR(IF(TRIM(INDEX($A290:$AL290,MATCH(Lists!$F$7,$A$1:$AL$1,0))&amp;"")="","",IF(ISNUMBER(INDEX($A290:$AL290,MATCH(Lists!$F$7,$A$1:$AL$1,0))),ROUND(MOD(INDEX($A290:$AL290,MATCH(Lists!$F$7,$A$1:$AL$1,0)),1)*1440,0),VALUE(LEFT(INDEX($A290:$AL290,MATCH(Lists!$F$7,$A$1:$AL$1,0)),2))*60+VALUE(MID(INDEX($A290:$AL290,MATCH(Lists!$F$7,$A$1:$AL$1,0)),4,2)))),""),-1))</f>
        <v/>
      </c>
      <c r="AW290" s="21">
        <f>IF(IFERROR(TRIM(INDEX($A290:$AL290,MATCH(Lists!$F$2,$A$1:$AL$1,0))&amp;""),"")="","",IF(IFERROR(TRIM(INDEX($A290:$AL290,MATCH(Lists!$F$8,$A$1:$AL$1,0))&amp;""),"")&lt;&gt;"",IFERROR(TRIM(INDEX($A290:$AL290,MATCH(Lists!$F$8,$A$1:$AL$1,0))&amp;""),""),IFERROR(TRIM(INDEX($A290:$AL290,MATCH(Lists!$F$9,$A$1:$AL$1,0))&amp;""),"")))</f>
        <v/>
      </c>
      <c r="AX290" s="21">
        <f>IFERROR(IF(TRIM(INDEX($A290:$AL290,MATCH(Lists!$F$10,$A$1:$AL$1,0))&amp;"")="","",VALUE(TRIM(INDEX($A290:$AL290,MATCH(Lists!$F$10,$A$1:$AL$1,0))&amp;""))),"")</f>
        <v/>
      </c>
      <c r="AY290" s="21">
        <f>IF(IFERROR(TRIM(INDEX($A290:$AL290,MATCH(Lists!$F$2,$A$1:$AL$1,0))&amp;""),"")="","",IF(AN290="","New",AN290))</f>
        <v/>
      </c>
      <c r="AZ290" s="21">
        <f>IF(IFERROR(TRIM(INDEX($A290:$AL290,MATCH(Lists!$F$2,$A$1:$AL$1,0))&amp;""),"")="","",IF(OR(IFERROR(TRIM(INDEX($A290:$AL290,MATCH(Lists!$F$13,$A$1:$AL$1,0))&amp;""),"")="Paid",IFERROR(TRIM(INDEX($A290:$AL290,MATCH(Lists!$F$13,$A$1:$AL$1,0))&amp;""),"")="Partially refunded"),"Paid",IF(AP290="Yes","Paid (by hand)",IFERROR(TRIM(INDEX($A290:$AL290,MATCH(Lists!$F$13,$A$1:$AL$1,0))&amp;""),""))))</f>
        <v/>
      </c>
      <c r="BA290" s="21">
        <f>IF(AND(IFERROR(TRIM(INDEX($A290:$AL290,MATCH(Lists!$F$2,$A$1:$AL$1,0))&amp;""),"")&lt;&gt;"",AT290&gt;0,AU290&gt;=0,AV290&gt;AU290,AY290&lt;&gt;"Declined"),1,0)</f>
        <v/>
      </c>
      <c r="BB290" s="21">
        <f>IF(BA290=1,COUNTIFS($AS$2:$AS$501,AS290,$AT$2:$AT$501,AT290,$AU$2:$AU$501,"&lt;"&amp;AV290,$AV$2:$AV$501,"&gt;"&amp;AU290,$BA$2:$BA$501,1)-1,"")</f>
        <v/>
      </c>
      <c r="BC290" s="21">
        <f>IF(N(BB290)&gt;0,"Clashes with "&amp;INDEX($AW$2:$AW$501,SUMPRODUCT(MAX(($AS$2:$AS$501=AS290)*($AT$2:$AT$501=AT290)*($AU$2:$AU$501&lt;AV290)*($AV$2:$AV$501&gt;AU290)*($BA$2:$BA$501=1)*(ROW($AS$2:$AS$501)&lt;&gt;ROW())*ROW($AS$2:$AS$501)))-1)&amp;" ("&amp;INDEX($AY$2:$AY$501,SUMPRODUCT(MAX(($AS$2:$AS$501=AS290)*($AT$2:$AT$501=AT290)*($AU$2:$AU$501&lt;AV290)*($AV$2:$AV$501&gt;AU290)*($BA$2:$BA$501=1)*(ROW($AS$2:$AS$501)&lt;&gt;ROW())*ROW($AS$2:$AS$501)))-1)&amp;")"&amp;IF(BB290&gt;1," and "&amp;(BB290-1)&amp;" more",""),"")</f>
        <v/>
      </c>
      <c r="BD290" s="21">
        <f>IF(AND(BA290=1,AY290="Confirmed"),AT290*10000000+AU290*1000+ROW(),"")</f>
        <v/>
      </c>
      <c r="BE290" s="21">
        <f>IF(IFERROR(TRIM(INDEX($A290:$AL290,MATCH(Lists!$F$2,$A$1:$AL$1,0))&amp;""),"")="","",IFERROR(TRIM(INDEX($A290:$AL290,MATCH(Lists!$F$11,$A$1:$AL$1,0))&amp;""),""))</f>
        <v/>
      </c>
      <c r="BF290" s="21">
        <f>IF(IFERROR(TRIM(INDEX($A290:$AL290,MATCH(Lists!$F$2,$A$1:$AL$1,0))&amp;""),"")="","",IFERROR(TRIM(INDEX($A290:$AL290,MATCH(Lists!$F$12,$A$1:$AL$1,0))&amp;""),""))</f>
        <v/>
      </c>
    </row>
    <row r="291">
      <c r="AM291" s="19" t="n"/>
      <c r="AN291" s="23" t="n"/>
      <c r="AO291" s="23" t="n"/>
      <c r="AP291" s="23" t="n"/>
      <c r="AQ291" s="23" t="n"/>
      <c r="AR291" s="19" t="n"/>
      <c r="AS291" s="21">
        <f>IF(IFERROR(TRIM(INDEX($A291:$AL291,MATCH(Lists!$F$2,$A$1:$AL$1,0))&amp;""),"")="","",IF(AND(IFERROR(TRIM(INDEX($A291:$AL291,MATCH(Lists!$F$3,$A$1:$AL$1,0))&amp;""),"")="Other",IFERROR(TRIM(INDEX($A291:$AL291,MATCH(Lists!$F$4,$A$1:$AL$1,0))&amp;""),"")&lt;&gt;""),IFERROR(TRIM(INDEX($A291:$AL291,MATCH(Lists!$F$4,$A$1:$AL$1,0))&amp;""),""),IF(IFERROR(TRIM(INDEX($A291:$AL291,MATCH(Lists!$F$3,$A$1:$AL$1,0))&amp;""),"")="","(no space)",IFERROR(TRIM(INDEX($A291:$AL291,MATCH(Lists!$F$3,$A$1:$AL$1,0))&amp;""),""))))</f>
        <v/>
      </c>
      <c r="AT291" s="22">
        <f>IF(IFERROR(TRIM(INDEX($A291:$AL291,MATCH(Lists!$F$2,$A$1:$AL$1,0))&amp;""),"")="",0,N(IFERROR(IF(TRIM(INDEX($A291:$AL291,MATCH(Lists!$F$5,$A$1:$AL$1,0))&amp;"")="","",IF(ISNUMBER(INDEX($A291:$AL291,MATCH(Lists!$F$5,$A$1:$AL$1,0))),INT(INDEX($A291:$AL291,MATCH(Lists!$F$5,$A$1:$AL$1,0))),DATE(VALUE(LEFT(INDEX($A291:$AL291,MATCH(Lists!$F$5,$A$1:$AL$1,0)),4)),VALUE(MID(INDEX($A291:$AL291,MATCH(Lists!$F$5,$A$1:$AL$1,0)),6,2)),VALUE(MID(INDEX($A291:$AL291,MATCH(Lists!$F$5,$A$1:$AL$1,0)),9,2))))),"")))</f>
        <v/>
      </c>
      <c r="AU291" s="21">
        <f>IF(IFERROR(TRIM(INDEX($A291:$AL291,MATCH(Lists!$F$2,$A$1:$AL$1,0))&amp;""),"")="",-1,IF(ISNUMBER(IFERROR(IF(TRIM(INDEX($A291:$AL291,MATCH(Lists!$F$6,$A$1:$AL$1,0))&amp;"")="","",IF(ISNUMBER(INDEX($A291:$AL291,MATCH(Lists!$F$6,$A$1:$AL$1,0))),ROUND(MOD(INDEX($A291:$AL291,MATCH(Lists!$F$6,$A$1:$AL$1,0)),1)*1440,0),VALUE(LEFT(INDEX($A291:$AL291,MATCH(Lists!$F$6,$A$1:$AL$1,0)),2))*60+VALUE(MID(INDEX($A291:$AL291,MATCH(Lists!$F$6,$A$1:$AL$1,0)),4,2)))),"")),IFERROR(IF(TRIM(INDEX($A291:$AL291,MATCH(Lists!$F$6,$A$1:$AL$1,0))&amp;"")="","",IF(ISNUMBER(INDEX($A291:$AL291,MATCH(Lists!$F$6,$A$1:$AL$1,0))),ROUND(MOD(INDEX($A291:$AL291,MATCH(Lists!$F$6,$A$1:$AL$1,0)),1)*1440,0),VALUE(LEFT(INDEX($A291:$AL291,MATCH(Lists!$F$6,$A$1:$AL$1,0)),2))*60+VALUE(MID(INDEX($A291:$AL291,MATCH(Lists!$F$6,$A$1:$AL$1,0)),4,2)))),""),-1))</f>
        <v/>
      </c>
      <c r="AV291" s="21">
        <f>IF(IFERROR(TRIM(INDEX($A291:$AL291,MATCH(Lists!$F$2,$A$1:$AL$1,0))&amp;""),"")="",-1,IF(ISNUMBER(IFERROR(IF(TRIM(INDEX($A291:$AL291,MATCH(Lists!$F$7,$A$1:$AL$1,0))&amp;"")="","",IF(ISNUMBER(INDEX($A291:$AL291,MATCH(Lists!$F$7,$A$1:$AL$1,0))),ROUND(MOD(INDEX($A291:$AL291,MATCH(Lists!$F$7,$A$1:$AL$1,0)),1)*1440,0),VALUE(LEFT(INDEX($A291:$AL291,MATCH(Lists!$F$7,$A$1:$AL$1,0)),2))*60+VALUE(MID(INDEX($A291:$AL291,MATCH(Lists!$F$7,$A$1:$AL$1,0)),4,2)))),"")),IFERROR(IF(TRIM(INDEX($A291:$AL291,MATCH(Lists!$F$7,$A$1:$AL$1,0))&amp;"")="","",IF(ISNUMBER(INDEX($A291:$AL291,MATCH(Lists!$F$7,$A$1:$AL$1,0))),ROUND(MOD(INDEX($A291:$AL291,MATCH(Lists!$F$7,$A$1:$AL$1,0)),1)*1440,0),VALUE(LEFT(INDEX($A291:$AL291,MATCH(Lists!$F$7,$A$1:$AL$1,0)),2))*60+VALUE(MID(INDEX($A291:$AL291,MATCH(Lists!$F$7,$A$1:$AL$1,0)),4,2)))),""),-1))</f>
        <v/>
      </c>
      <c r="AW291" s="21">
        <f>IF(IFERROR(TRIM(INDEX($A291:$AL291,MATCH(Lists!$F$2,$A$1:$AL$1,0))&amp;""),"")="","",IF(IFERROR(TRIM(INDEX($A291:$AL291,MATCH(Lists!$F$8,$A$1:$AL$1,0))&amp;""),"")&lt;&gt;"",IFERROR(TRIM(INDEX($A291:$AL291,MATCH(Lists!$F$8,$A$1:$AL$1,0))&amp;""),""),IFERROR(TRIM(INDEX($A291:$AL291,MATCH(Lists!$F$9,$A$1:$AL$1,0))&amp;""),"")))</f>
        <v/>
      </c>
      <c r="AX291" s="21">
        <f>IFERROR(IF(TRIM(INDEX($A291:$AL291,MATCH(Lists!$F$10,$A$1:$AL$1,0))&amp;"")="","",VALUE(TRIM(INDEX($A291:$AL291,MATCH(Lists!$F$10,$A$1:$AL$1,0))&amp;""))),"")</f>
        <v/>
      </c>
      <c r="AY291" s="21">
        <f>IF(IFERROR(TRIM(INDEX($A291:$AL291,MATCH(Lists!$F$2,$A$1:$AL$1,0))&amp;""),"")="","",IF(AN291="","New",AN291))</f>
        <v/>
      </c>
      <c r="AZ291" s="21">
        <f>IF(IFERROR(TRIM(INDEX($A291:$AL291,MATCH(Lists!$F$2,$A$1:$AL$1,0))&amp;""),"")="","",IF(OR(IFERROR(TRIM(INDEX($A291:$AL291,MATCH(Lists!$F$13,$A$1:$AL$1,0))&amp;""),"")="Paid",IFERROR(TRIM(INDEX($A291:$AL291,MATCH(Lists!$F$13,$A$1:$AL$1,0))&amp;""),"")="Partially refunded"),"Paid",IF(AP291="Yes","Paid (by hand)",IFERROR(TRIM(INDEX($A291:$AL291,MATCH(Lists!$F$13,$A$1:$AL$1,0))&amp;""),""))))</f>
        <v/>
      </c>
      <c r="BA291" s="21">
        <f>IF(AND(IFERROR(TRIM(INDEX($A291:$AL291,MATCH(Lists!$F$2,$A$1:$AL$1,0))&amp;""),"")&lt;&gt;"",AT291&gt;0,AU291&gt;=0,AV291&gt;AU291,AY291&lt;&gt;"Declined"),1,0)</f>
        <v/>
      </c>
      <c r="BB291" s="21">
        <f>IF(BA291=1,COUNTIFS($AS$2:$AS$501,AS291,$AT$2:$AT$501,AT291,$AU$2:$AU$501,"&lt;"&amp;AV291,$AV$2:$AV$501,"&gt;"&amp;AU291,$BA$2:$BA$501,1)-1,"")</f>
        <v/>
      </c>
      <c r="BC291" s="21">
        <f>IF(N(BB291)&gt;0,"Clashes with "&amp;INDEX($AW$2:$AW$501,SUMPRODUCT(MAX(($AS$2:$AS$501=AS291)*($AT$2:$AT$501=AT291)*($AU$2:$AU$501&lt;AV291)*($AV$2:$AV$501&gt;AU291)*($BA$2:$BA$501=1)*(ROW($AS$2:$AS$501)&lt;&gt;ROW())*ROW($AS$2:$AS$501)))-1)&amp;" ("&amp;INDEX($AY$2:$AY$501,SUMPRODUCT(MAX(($AS$2:$AS$501=AS291)*($AT$2:$AT$501=AT291)*($AU$2:$AU$501&lt;AV291)*($AV$2:$AV$501&gt;AU291)*($BA$2:$BA$501=1)*(ROW($AS$2:$AS$501)&lt;&gt;ROW())*ROW($AS$2:$AS$501)))-1)&amp;")"&amp;IF(BB291&gt;1," and "&amp;(BB291-1)&amp;" more",""),"")</f>
        <v/>
      </c>
      <c r="BD291" s="21">
        <f>IF(AND(BA291=1,AY291="Confirmed"),AT291*10000000+AU291*1000+ROW(),"")</f>
        <v/>
      </c>
      <c r="BE291" s="21">
        <f>IF(IFERROR(TRIM(INDEX($A291:$AL291,MATCH(Lists!$F$2,$A$1:$AL$1,0))&amp;""),"")="","",IFERROR(TRIM(INDEX($A291:$AL291,MATCH(Lists!$F$11,$A$1:$AL$1,0))&amp;""),""))</f>
        <v/>
      </c>
      <c r="BF291" s="21">
        <f>IF(IFERROR(TRIM(INDEX($A291:$AL291,MATCH(Lists!$F$2,$A$1:$AL$1,0))&amp;""),"")="","",IFERROR(TRIM(INDEX($A291:$AL291,MATCH(Lists!$F$12,$A$1:$AL$1,0))&amp;""),""))</f>
        <v/>
      </c>
    </row>
    <row r="292">
      <c r="AM292" s="19" t="n"/>
      <c r="AN292" s="23" t="n"/>
      <c r="AO292" s="23" t="n"/>
      <c r="AP292" s="23" t="n"/>
      <c r="AQ292" s="23" t="n"/>
      <c r="AR292" s="19" t="n"/>
      <c r="AS292" s="21">
        <f>IF(IFERROR(TRIM(INDEX($A292:$AL292,MATCH(Lists!$F$2,$A$1:$AL$1,0))&amp;""),"")="","",IF(AND(IFERROR(TRIM(INDEX($A292:$AL292,MATCH(Lists!$F$3,$A$1:$AL$1,0))&amp;""),"")="Other",IFERROR(TRIM(INDEX($A292:$AL292,MATCH(Lists!$F$4,$A$1:$AL$1,0))&amp;""),"")&lt;&gt;""),IFERROR(TRIM(INDEX($A292:$AL292,MATCH(Lists!$F$4,$A$1:$AL$1,0))&amp;""),""),IF(IFERROR(TRIM(INDEX($A292:$AL292,MATCH(Lists!$F$3,$A$1:$AL$1,0))&amp;""),"")="","(no space)",IFERROR(TRIM(INDEX($A292:$AL292,MATCH(Lists!$F$3,$A$1:$AL$1,0))&amp;""),""))))</f>
        <v/>
      </c>
      <c r="AT292" s="22">
        <f>IF(IFERROR(TRIM(INDEX($A292:$AL292,MATCH(Lists!$F$2,$A$1:$AL$1,0))&amp;""),"")="",0,N(IFERROR(IF(TRIM(INDEX($A292:$AL292,MATCH(Lists!$F$5,$A$1:$AL$1,0))&amp;"")="","",IF(ISNUMBER(INDEX($A292:$AL292,MATCH(Lists!$F$5,$A$1:$AL$1,0))),INT(INDEX($A292:$AL292,MATCH(Lists!$F$5,$A$1:$AL$1,0))),DATE(VALUE(LEFT(INDEX($A292:$AL292,MATCH(Lists!$F$5,$A$1:$AL$1,0)),4)),VALUE(MID(INDEX($A292:$AL292,MATCH(Lists!$F$5,$A$1:$AL$1,0)),6,2)),VALUE(MID(INDEX($A292:$AL292,MATCH(Lists!$F$5,$A$1:$AL$1,0)),9,2))))),"")))</f>
        <v/>
      </c>
      <c r="AU292" s="21">
        <f>IF(IFERROR(TRIM(INDEX($A292:$AL292,MATCH(Lists!$F$2,$A$1:$AL$1,0))&amp;""),"")="",-1,IF(ISNUMBER(IFERROR(IF(TRIM(INDEX($A292:$AL292,MATCH(Lists!$F$6,$A$1:$AL$1,0))&amp;"")="","",IF(ISNUMBER(INDEX($A292:$AL292,MATCH(Lists!$F$6,$A$1:$AL$1,0))),ROUND(MOD(INDEX($A292:$AL292,MATCH(Lists!$F$6,$A$1:$AL$1,0)),1)*1440,0),VALUE(LEFT(INDEX($A292:$AL292,MATCH(Lists!$F$6,$A$1:$AL$1,0)),2))*60+VALUE(MID(INDEX($A292:$AL292,MATCH(Lists!$F$6,$A$1:$AL$1,0)),4,2)))),"")),IFERROR(IF(TRIM(INDEX($A292:$AL292,MATCH(Lists!$F$6,$A$1:$AL$1,0))&amp;"")="","",IF(ISNUMBER(INDEX($A292:$AL292,MATCH(Lists!$F$6,$A$1:$AL$1,0))),ROUND(MOD(INDEX($A292:$AL292,MATCH(Lists!$F$6,$A$1:$AL$1,0)),1)*1440,0),VALUE(LEFT(INDEX($A292:$AL292,MATCH(Lists!$F$6,$A$1:$AL$1,0)),2))*60+VALUE(MID(INDEX($A292:$AL292,MATCH(Lists!$F$6,$A$1:$AL$1,0)),4,2)))),""),-1))</f>
        <v/>
      </c>
      <c r="AV292" s="21">
        <f>IF(IFERROR(TRIM(INDEX($A292:$AL292,MATCH(Lists!$F$2,$A$1:$AL$1,0))&amp;""),"")="",-1,IF(ISNUMBER(IFERROR(IF(TRIM(INDEX($A292:$AL292,MATCH(Lists!$F$7,$A$1:$AL$1,0))&amp;"")="","",IF(ISNUMBER(INDEX($A292:$AL292,MATCH(Lists!$F$7,$A$1:$AL$1,0))),ROUND(MOD(INDEX($A292:$AL292,MATCH(Lists!$F$7,$A$1:$AL$1,0)),1)*1440,0),VALUE(LEFT(INDEX($A292:$AL292,MATCH(Lists!$F$7,$A$1:$AL$1,0)),2))*60+VALUE(MID(INDEX($A292:$AL292,MATCH(Lists!$F$7,$A$1:$AL$1,0)),4,2)))),"")),IFERROR(IF(TRIM(INDEX($A292:$AL292,MATCH(Lists!$F$7,$A$1:$AL$1,0))&amp;"")="","",IF(ISNUMBER(INDEX($A292:$AL292,MATCH(Lists!$F$7,$A$1:$AL$1,0))),ROUND(MOD(INDEX($A292:$AL292,MATCH(Lists!$F$7,$A$1:$AL$1,0)),1)*1440,0),VALUE(LEFT(INDEX($A292:$AL292,MATCH(Lists!$F$7,$A$1:$AL$1,0)),2))*60+VALUE(MID(INDEX($A292:$AL292,MATCH(Lists!$F$7,$A$1:$AL$1,0)),4,2)))),""),-1))</f>
        <v/>
      </c>
      <c r="AW292" s="21">
        <f>IF(IFERROR(TRIM(INDEX($A292:$AL292,MATCH(Lists!$F$2,$A$1:$AL$1,0))&amp;""),"")="","",IF(IFERROR(TRIM(INDEX($A292:$AL292,MATCH(Lists!$F$8,$A$1:$AL$1,0))&amp;""),"")&lt;&gt;"",IFERROR(TRIM(INDEX($A292:$AL292,MATCH(Lists!$F$8,$A$1:$AL$1,0))&amp;""),""),IFERROR(TRIM(INDEX($A292:$AL292,MATCH(Lists!$F$9,$A$1:$AL$1,0))&amp;""),"")))</f>
        <v/>
      </c>
      <c r="AX292" s="21">
        <f>IFERROR(IF(TRIM(INDEX($A292:$AL292,MATCH(Lists!$F$10,$A$1:$AL$1,0))&amp;"")="","",VALUE(TRIM(INDEX($A292:$AL292,MATCH(Lists!$F$10,$A$1:$AL$1,0))&amp;""))),"")</f>
        <v/>
      </c>
      <c r="AY292" s="21">
        <f>IF(IFERROR(TRIM(INDEX($A292:$AL292,MATCH(Lists!$F$2,$A$1:$AL$1,0))&amp;""),"")="","",IF(AN292="","New",AN292))</f>
        <v/>
      </c>
      <c r="AZ292" s="21">
        <f>IF(IFERROR(TRIM(INDEX($A292:$AL292,MATCH(Lists!$F$2,$A$1:$AL$1,0))&amp;""),"")="","",IF(OR(IFERROR(TRIM(INDEX($A292:$AL292,MATCH(Lists!$F$13,$A$1:$AL$1,0))&amp;""),"")="Paid",IFERROR(TRIM(INDEX($A292:$AL292,MATCH(Lists!$F$13,$A$1:$AL$1,0))&amp;""),"")="Partially refunded"),"Paid",IF(AP292="Yes","Paid (by hand)",IFERROR(TRIM(INDEX($A292:$AL292,MATCH(Lists!$F$13,$A$1:$AL$1,0))&amp;""),""))))</f>
        <v/>
      </c>
      <c r="BA292" s="21">
        <f>IF(AND(IFERROR(TRIM(INDEX($A292:$AL292,MATCH(Lists!$F$2,$A$1:$AL$1,0))&amp;""),"")&lt;&gt;"",AT292&gt;0,AU292&gt;=0,AV292&gt;AU292,AY292&lt;&gt;"Declined"),1,0)</f>
        <v/>
      </c>
      <c r="BB292" s="21">
        <f>IF(BA292=1,COUNTIFS($AS$2:$AS$501,AS292,$AT$2:$AT$501,AT292,$AU$2:$AU$501,"&lt;"&amp;AV292,$AV$2:$AV$501,"&gt;"&amp;AU292,$BA$2:$BA$501,1)-1,"")</f>
        <v/>
      </c>
      <c r="BC292" s="21">
        <f>IF(N(BB292)&gt;0,"Clashes with "&amp;INDEX($AW$2:$AW$501,SUMPRODUCT(MAX(($AS$2:$AS$501=AS292)*($AT$2:$AT$501=AT292)*($AU$2:$AU$501&lt;AV292)*($AV$2:$AV$501&gt;AU292)*($BA$2:$BA$501=1)*(ROW($AS$2:$AS$501)&lt;&gt;ROW())*ROW($AS$2:$AS$501)))-1)&amp;" ("&amp;INDEX($AY$2:$AY$501,SUMPRODUCT(MAX(($AS$2:$AS$501=AS292)*($AT$2:$AT$501=AT292)*($AU$2:$AU$501&lt;AV292)*($AV$2:$AV$501&gt;AU292)*($BA$2:$BA$501=1)*(ROW($AS$2:$AS$501)&lt;&gt;ROW())*ROW($AS$2:$AS$501)))-1)&amp;")"&amp;IF(BB292&gt;1," and "&amp;(BB292-1)&amp;" more",""),"")</f>
        <v/>
      </c>
      <c r="BD292" s="21">
        <f>IF(AND(BA292=1,AY292="Confirmed"),AT292*10000000+AU292*1000+ROW(),"")</f>
        <v/>
      </c>
      <c r="BE292" s="21">
        <f>IF(IFERROR(TRIM(INDEX($A292:$AL292,MATCH(Lists!$F$2,$A$1:$AL$1,0))&amp;""),"")="","",IFERROR(TRIM(INDEX($A292:$AL292,MATCH(Lists!$F$11,$A$1:$AL$1,0))&amp;""),""))</f>
        <v/>
      </c>
      <c r="BF292" s="21">
        <f>IF(IFERROR(TRIM(INDEX($A292:$AL292,MATCH(Lists!$F$2,$A$1:$AL$1,0))&amp;""),"")="","",IFERROR(TRIM(INDEX($A292:$AL292,MATCH(Lists!$F$12,$A$1:$AL$1,0))&amp;""),""))</f>
        <v/>
      </c>
    </row>
    <row r="293">
      <c r="AM293" s="19" t="n"/>
      <c r="AN293" s="23" t="n"/>
      <c r="AO293" s="23" t="n"/>
      <c r="AP293" s="23" t="n"/>
      <c r="AQ293" s="23" t="n"/>
      <c r="AR293" s="19" t="n"/>
      <c r="AS293" s="21">
        <f>IF(IFERROR(TRIM(INDEX($A293:$AL293,MATCH(Lists!$F$2,$A$1:$AL$1,0))&amp;""),"")="","",IF(AND(IFERROR(TRIM(INDEX($A293:$AL293,MATCH(Lists!$F$3,$A$1:$AL$1,0))&amp;""),"")="Other",IFERROR(TRIM(INDEX($A293:$AL293,MATCH(Lists!$F$4,$A$1:$AL$1,0))&amp;""),"")&lt;&gt;""),IFERROR(TRIM(INDEX($A293:$AL293,MATCH(Lists!$F$4,$A$1:$AL$1,0))&amp;""),""),IF(IFERROR(TRIM(INDEX($A293:$AL293,MATCH(Lists!$F$3,$A$1:$AL$1,0))&amp;""),"")="","(no space)",IFERROR(TRIM(INDEX($A293:$AL293,MATCH(Lists!$F$3,$A$1:$AL$1,0))&amp;""),""))))</f>
        <v/>
      </c>
      <c r="AT293" s="22">
        <f>IF(IFERROR(TRIM(INDEX($A293:$AL293,MATCH(Lists!$F$2,$A$1:$AL$1,0))&amp;""),"")="",0,N(IFERROR(IF(TRIM(INDEX($A293:$AL293,MATCH(Lists!$F$5,$A$1:$AL$1,0))&amp;"")="","",IF(ISNUMBER(INDEX($A293:$AL293,MATCH(Lists!$F$5,$A$1:$AL$1,0))),INT(INDEX($A293:$AL293,MATCH(Lists!$F$5,$A$1:$AL$1,0))),DATE(VALUE(LEFT(INDEX($A293:$AL293,MATCH(Lists!$F$5,$A$1:$AL$1,0)),4)),VALUE(MID(INDEX($A293:$AL293,MATCH(Lists!$F$5,$A$1:$AL$1,0)),6,2)),VALUE(MID(INDEX($A293:$AL293,MATCH(Lists!$F$5,$A$1:$AL$1,0)),9,2))))),"")))</f>
        <v/>
      </c>
      <c r="AU293" s="21">
        <f>IF(IFERROR(TRIM(INDEX($A293:$AL293,MATCH(Lists!$F$2,$A$1:$AL$1,0))&amp;""),"")="",-1,IF(ISNUMBER(IFERROR(IF(TRIM(INDEX($A293:$AL293,MATCH(Lists!$F$6,$A$1:$AL$1,0))&amp;"")="","",IF(ISNUMBER(INDEX($A293:$AL293,MATCH(Lists!$F$6,$A$1:$AL$1,0))),ROUND(MOD(INDEX($A293:$AL293,MATCH(Lists!$F$6,$A$1:$AL$1,0)),1)*1440,0),VALUE(LEFT(INDEX($A293:$AL293,MATCH(Lists!$F$6,$A$1:$AL$1,0)),2))*60+VALUE(MID(INDEX($A293:$AL293,MATCH(Lists!$F$6,$A$1:$AL$1,0)),4,2)))),"")),IFERROR(IF(TRIM(INDEX($A293:$AL293,MATCH(Lists!$F$6,$A$1:$AL$1,0))&amp;"")="","",IF(ISNUMBER(INDEX($A293:$AL293,MATCH(Lists!$F$6,$A$1:$AL$1,0))),ROUND(MOD(INDEX($A293:$AL293,MATCH(Lists!$F$6,$A$1:$AL$1,0)),1)*1440,0),VALUE(LEFT(INDEX($A293:$AL293,MATCH(Lists!$F$6,$A$1:$AL$1,0)),2))*60+VALUE(MID(INDEX($A293:$AL293,MATCH(Lists!$F$6,$A$1:$AL$1,0)),4,2)))),""),-1))</f>
        <v/>
      </c>
      <c r="AV293" s="21">
        <f>IF(IFERROR(TRIM(INDEX($A293:$AL293,MATCH(Lists!$F$2,$A$1:$AL$1,0))&amp;""),"")="",-1,IF(ISNUMBER(IFERROR(IF(TRIM(INDEX($A293:$AL293,MATCH(Lists!$F$7,$A$1:$AL$1,0))&amp;"")="","",IF(ISNUMBER(INDEX($A293:$AL293,MATCH(Lists!$F$7,$A$1:$AL$1,0))),ROUND(MOD(INDEX($A293:$AL293,MATCH(Lists!$F$7,$A$1:$AL$1,0)),1)*1440,0),VALUE(LEFT(INDEX($A293:$AL293,MATCH(Lists!$F$7,$A$1:$AL$1,0)),2))*60+VALUE(MID(INDEX($A293:$AL293,MATCH(Lists!$F$7,$A$1:$AL$1,0)),4,2)))),"")),IFERROR(IF(TRIM(INDEX($A293:$AL293,MATCH(Lists!$F$7,$A$1:$AL$1,0))&amp;"")="","",IF(ISNUMBER(INDEX($A293:$AL293,MATCH(Lists!$F$7,$A$1:$AL$1,0))),ROUND(MOD(INDEX($A293:$AL293,MATCH(Lists!$F$7,$A$1:$AL$1,0)),1)*1440,0),VALUE(LEFT(INDEX($A293:$AL293,MATCH(Lists!$F$7,$A$1:$AL$1,0)),2))*60+VALUE(MID(INDEX($A293:$AL293,MATCH(Lists!$F$7,$A$1:$AL$1,0)),4,2)))),""),-1))</f>
        <v/>
      </c>
      <c r="AW293" s="21">
        <f>IF(IFERROR(TRIM(INDEX($A293:$AL293,MATCH(Lists!$F$2,$A$1:$AL$1,0))&amp;""),"")="","",IF(IFERROR(TRIM(INDEX($A293:$AL293,MATCH(Lists!$F$8,$A$1:$AL$1,0))&amp;""),"")&lt;&gt;"",IFERROR(TRIM(INDEX($A293:$AL293,MATCH(Lists!$F$8,$A$1:$AL$1,0))&amp;""),""),IFERROR(TRIM(INDEX($A293:$AL293,MATCH(Lists!$F$9,$A$1:$AL$1,0))&amp;""),"")))</f>
        <v/>
      </c>
      <c r="AX293" s="21">
        <f>IFERROR(IF(TRIM(INDEX($A293:$AL293,MATCH(Lists!$F$10,$A$1:$AL$1,0))&amp;"")="","",VALUE(TRIM(INDEX($A293:$AL293,MATCH(Lists!$F$10,$A$1:$AL$1,0))&amp;""))),"")</f>
        <v/>
      </c>
      <c r="AY293" s="21">
        <f>IF(IFERROR(TRIM(INDEX($A293:$AL293,MATCH(Lists!$F$2,$A$1:$AL$1,0))&amp;""),"")="","",IF(AN293="","New",AN293))</f>
        <v/>
      </c>
      <c r="AZ293" s="21">
        <f>IF(IFERROR(TRIM(INDEX($A293:$AL293,MATCH(Lists!$F$2,$A$1:$AL$1,0))&amp;""),"")="","",IF(OR(IFERROR(TRIM(INDEX($A293:$AL293,MATCH(Lists!$F$13,$A$1:$AL$1,0))&amp;""),"")="Paid",IFERROR(TRIM(INDEX($A293:$AL293,MATCH(Lists!$F$13,$A$1:$AL$1,0))&amp;""),"")="Partially refunded"),"Paid",IF(AP293="Yes","Paid (by hand)",IFERROR(TRIM(INDEX($A293:$AL293,MATCH(Lists!$F$13,$A$1:$AL$1,0))&amp;""),""))))</f>
        <v/>
      </c>
      <c r="BA293" s="21">
        <f>IF(AND(IFERROR(TRIM(INDEX($A293:$AL293,MATCH(Lists!$F$2,$A$1:$AL$1,0))&amp;""),"")&lt;&gt;"",AT293&gt;0,AU293&gt;=0,AV293&gt;AU293,AY293&lt;&gt;"Declined"),1,0)</f>
        <v/>
      </c>
      <c r="BB293" s="21">
        <f>IF(BA293=1,COUNTIFS($AS$2:$AS$501,AS293,$AT$2:$AT$501,AT293,$AU$2:$AU$501,"&lt;"&amp;AV293,$AV$2:$AV$501,"&gt;"&amp;AU293,$BA$2:$BA$501,1)-1,"")</f>
        <v/>
      </c>
      <c r="BC293" s="21">
        <f>IF(N(BB293)&gt;0,"Clashes with "&amp;INDEX($AW$2:$AW$501,SUMPRODUCT(MAX(($AS$2:$AS$501=AS293)*($AT$2:$AT$501=AT293)*($AU$2:$AU$501&lt;AV293)*($AV$2:$AV$501&gt;AU293)*($BA$2:$BA$501=1)*(ROW($AS$2:$AS$501)&lt;&gt;ROW())*ROW($AS$2:$AS$501)))-1)&amp;" ("&amp;INDEX($AY$2:$AY$501,SUMPRODUCT(MAX(($AS$2:$AS$501=AS293)*($AT$2:$AT$501=AT293)*($AU$2:$AU$501&lt;AV293)*($AV$2:$AV$501&gt;AU293)*($BA$2:$BA$501=1)*(ROW($AS$2:$AS$501)&lt;&gt;ROW())*ROW($AS$2:$AS$501)))-1)&amp;")"&amp;IF(BB293&gt;1," and "&amp;(BB293-1)&amp;" more",""),"")</f>
        <v/>
      </c>
      <c r="BD293" s="21">
        <f>IF(AND(BA293=1,AY293="Confirmed"),AT293*10000000+AU293*1000+ROW(),"")</f>
        <v/>
      </c>
      <c r="BE293" s="21">
        <f>IF(IFERROR(TRIM(INDEX($A293:$AL293,MATCH(Lists!$F$2,$A$1:$AL$1,0))&amp;""),"")="","",IFERROR(TRIM(INDEX($A293:$AL293,MATCH(Lists!$F$11,$A$1:$AL$1,0))&amp;""),""))</f>
        <v/>
      </c>
      <c r="BF293" s="21">
        <f>IF(IFERROR(TRIM(INDEX($A293:$AL293,MATCH(Lists!$F$2,$A$1:$AL$1,0))&amp;""),"")="","",IFERROR(TRIM(INDEX($A293:$AL293,MATCH(Lists!$F$12,$A$1:$AL$1,0))&amp;""),""))</f>
        <v/>
      </c>
    </row>
    <row r="294">
      <c r="AM294" s="19" t="n"/>
      <c r="AN294" s="23" t="n"/>
      <c r="AO294" s="23" t="n"/>
      <c r="AP294" s="23" t="n"/>
      <c r="AQ294" s="23" t="n"/>
      <c r="AR294" s="19" t="n"/>
      <c r="AS294" s="21">
        <f>IF(IFERROR(TRIM(INDEX($A294:$AL294,MATCH(Lists!$F$2,$A$1:$AL$1,0))&amp;""),"")="","",IF(AND(IFERROR(TRIM(INDEX($A294:$AL294,MATCH(Lists!$F$3,$A$1:$AL$1,0))&amp;""),"")="Other",IFERROR(TRIM(INDEX($A294:$AL294,MATCH(Lists!$F$4,$A$1:$AL$1,0))&amp;""),"")&lt;&gt;""),IFERROR(TRIM(INDEX($A294:$AL294,MATCH(Lists!$F$4,$A$1:$AL$1,0))&amp;""),""),IF(IFERROR(TRIM(INDEX($A294:$AL294,MATCH(Lists!$F$3,$A$1:$AL$1,0))&amp;""),"")="","(no space)",IFERROR(TRIM(INDEX($A294:$AL294,MATCH(Lists!$F$3,$A$1:$AL$1,0))&amp;""),""))))</f>
        <v/>
      </c>
      <c r="AT294" s="22">
        <f>IF(IFERROR(TRIM(INDEX($A294:$AL294,MATCH(Lists!$F$2,$A$1:$AL$1,0))&amp;""),"")="",0,N(IFERROR(IF(TRIM(INDEX($A294:$AL294,MATCH(Lists!$F$5,$A$1:$AL$1,0))&amp;"")="","",IF(ISNUMBER(INDEX($A294:$AL294,MATCH(Lists!$F$5,$A$1:$AL$1,0))),INT(INDEX($A294:$AL294,MATCH(Lists!$F$5,$A$1:$AL$1,0))),DATE(VALUE(LEFT(INDEX($A294:$AL294,MATCH(Lists!$F$5,$A$1:$AL$1,0)),4)),VALUE(MID(INDEX($A294:$AL294,MATCH(Lists!$F$5,$A$1:$AL$1,0)),6,2)),VALUE(MID(INDEX($A294:$AL294,MATCH(Lists!$F$5,$A$1:$AL$1,0)),9,2))))),"")))</f>
        <v/>
      </c>
      <c r="AU294" s="21">
        <f>IF(IFERROR(TRIM(INDEX($A294:$AL294,MATCH(Lists!$F$2,$A$1:$AL$1,0))&amp;""),"")="",-1,IF(ISNUMBER(IFERROR(IF(TRIM(INDEX($A294:$AL294,MATCH(Lists!$F$6,$A$1:$AL$1,0))&amp;"")="","",IF(ISNUMBER(INDEX($A294:$AL294,MATCH(Lists!$F$6,$A$1:$AL$1,0))),ROUND(MOD(INDEX($A294:$AL294,MATCH(Lists!$F$6,$A$1:$AL$1,0)),1)*1440,0),VALUE(LEFT(INDEX($A294:$AL294,MATCH(Lists!$F$6,$A$1:$AL$1,0)),2))*60+VALUE(MID(INDEX($A294:$AL294,MATCH(Lists!$F$6,$A$1:$AL$1,0)),4,2)))),"")),IFERROR(IF(TRIM(INDEX($A294:$AL294,MATCH(Lists!$F$6,$A$1:$AL$1,0))&amp;"")="","",IF(ISNUMBER(INDEX($A294:$AL294,MATCH(Lists!$F$6,$A$1:$AL$1,0))),ROUND(MOD(INDEX($A294:$AL294,MATCH(Lists!$F$6,$A$1:$AL$1,0)),1)*1440,0),VALUE(LEFT(INDEX($A294:$AL294,MATCH(Lists!$F$6,$A$1:$AL$1,0)),2))*60+VALUE(MID(INDEX($A294:$AL294,MATCH(Lists!$F$6,$A$1:$AL$1,0)),4,2)))),""),-1))</f>
        <v/>
      </c>
      <c r="AV294" s="21">
        <f>IF(IFERROR(TRIM(INDEX($A294:$AL294,MATCH(Lists!$F$2,$A$1:$AL$1,0))&amp;""),"")="",-1,IF(ISNUMBER(IFERROR(IF(TRIM(INDEX($A294:$AL294,MATCH(Lists!$F$7,$A$1:$AL$1,0))&amp;"")="","",IF(ISNUMBER(INDEX($A294:$AL294,MATCH(Lists!$F$7,$A$1:$AL$1,0))),ROUND(MOD(INDEX($A294:$AL294,MATCH(Lists!$F$7,$A$1:$AL$1,0)),1)*1440,0),VALUE(LEFT(INDEX($A294:$AL294,MATCH(Lists!$F$7,$A$1:$AL$1,0)),2))*60+VALUE(MID(INDEX($A294:$AL294,MATCH(Lists!$F$7,$A$1:$AL$1,0)),4,2)))),"")),IFERROR(IF(TRIM(INDEX($A294:$AL294,MATCH(Lists!$F$7,$A$1:$AL$1,0))&amp;"")="","",IF(ISNUMBER(INDEX($A294:$AL294,MATCH(Lists!$F$7,$A$1:$AL$1,0))),ROUND(MOD(INDEX($A294:$AL294,MATCH(Lists!$F$7,$A$1:$AL$1,0)),1)*1440,0),VALUE(LEFT(INDEX($A294:$AL294,MATCH(Lists!$F$7,$A$1:$AL$1,0)),2))*60+VALUE(MID(INDEX($A294:$AL294,MATCH(Lists!$F$7,$A$1:$AL$1,0)),4,2)))),""),-1))</f>
        <v/>
      </c>
      <c r="AW294" s="21">
        <f>IF(IFERROR(TRIM(INDEX($A294:$AL294,MATCH(Lists!$F$2,$A$1:$AL$1,0))&amp;""),"")="","",IF(IFERROR(TRIM(INDEX($A294:$AL294,MATCH(Lists!$F$8,$A$1:$AL$1,0))&amp;""),"")&lt;&gt;"",IFERROR(TRIM(INDEX($A294:$AL294,MATCH(Lists!$F$8,$A$1:$AL$1,0))&amp;""),""),IFERROR(TRIM(INDEX($A294:$AL294,MATCH(Lists!$F$9,$A$1:$AL$1,0))&amp;""),"")))</f>
        <v/>
      </c>
      <c r="AX294" s="21">
        <f>IFERROR(IF(TRIM(INDEX($A294:$AL294,MATCH(Lists!$F$10,$A$1:$AL$1,0))&amp;"")="","",VALUE(TRIM(INDEX($A294:$AL294,MATCH(Lists!$F$10,$A$1:$AL$1,0))&amp;""))),"")</f>
        <v/>
      </c>
      <c r="AY294" s="21">
        <f>IF(IFERROR(TRIM(INDEX($A294:$AL294,MATCH(Lists!$F$2,$A$1:$AL$1,0))&amp;""),"")="","",IF(AN294="","New",AN294))</f>
        <v/>
      </c>
      <c r="AZ294" s="21">
        <f>IF(IFERROR(TRIM(INDEX($A294:$AL294,MATCH(Lists!$F$2,$A$1:$AL$1,0))&amp;""),"")="","",IF(OR(IFERROR(TRIM(INDEX($A294:$AL294,MATCH(Lists!$F$13,$A$1:$AL$1,0))&amp;""),"")="Paid",IFERROR(TRIM(INDEX($A294:$AL294,MATCH(Lists!$F$13,$A$1:$AL$1,0))&amp;""),"")="Partially refunded"),"Paid",IF(AP294="Yes","Paid (by hand)",IFERROR(TRIM(INDEX($A294:$AL294,MATCH(Lists!$F$13,$A$1:$AL$1,0))&amp;""),""))))</f>
        <v/>
      </c>
      <c r="BA294" s="21">
        <f>IF(AND(IFERROR(TRIM(INDEX($A294:$AL294,MATCH(Lists!$F$2,$A$1:$AL$1,0))&amp;""),"")&lt;&gt;"",AT294&gt;0,AU294&gt;=0,AV294&gt;AU294,AY294&lt;&gt;"Declined"),1,0)</f>
        <v/>
      </c>
      <c r="BB294" s="21">
        <f>IF(BA294=1,COUNTIFS($AS$2:$AS$501,AS294,$AT$2:$AT$501,AT294,$AU$2:$AU$501,"&lt;"&amp;AV294,$AV$2:$AV$501,"&gt;"&amp;AU294,$BA$2:$BA$501,1)-1,"")</f>
        <v/>
      </c>
      <c r="BC294" s="21">
        <f>IF(N(BB294)&gt;0,"Clashes with "&amp;INDEX($AW$2:$AW$501,SUMPRODUCT(MAX(($AS$2:$AS$501=AS294)*($AT$2:$AT$501=AT294)*($AU$2:$AU$501&lt;AV294)*($AV$2:$AV$501&gt;AU294)*($BA$2:$BA$501=1)*(ROW($AS$2:$AS$501)&lt;&gt;ROW())*ROW($AS$2:$AS$501)))-1)&amp;" ("&amp;INDEX($AY$2:$AY$501,SUMPRODUCT(MAX(($AS$2:$AS$501=AS294)*($AT$2:$AT$501=AT294)*($AU$2:$AU$501&lt;AV294)*($AV$2:$AV$501&gt;AU294)*($BA$2:$BA$501=1)*(ROW($AS$2:$AS$501)&lt;&gt;ROW())*ROW($AS$2:$AS$501)))-1)&amp;")"&amp;IF(BB294&gt;1," and "&amp;(BB294-1)&amp;" more",""),"")</f>
        <v/>
      </c>
      <c r="BD294" s="21">
        <f>IF(AND(BA294=1,AY294="Confirmed"),AT294*10000000+AU294*1000+ROW(),"")</f>
        <v/>
      </c>
      <c r="BE294" s="21">
        <f>IF(IFERROR(TRIM(INDEX($A294:$AL294,MATCH(Lists!$F$2,$A$1:$AL$1,0))&amp;""),"")="","",IFERROR(TRIM(INDEX($A294:$AL294,MATCH(Lists!$F$11,$A$1:$AL$1,0))&amp;""),""))</f>
        <v/>
      </c>
      <c r="BF294" s="21">
        <f>IF(IFERROR(TRIM(INDEX($A294:$AL294,MATCH(Lists!$F$2,$A$1:$AL$1,0))&amp;""),"")="","",IFERROR(TRIM(INDEX($A294:$AL294,MATCH(Lists!$F$12,$A$1:$AL$1,0))&amp;""),""))</f>
        <v/>
      </c>
    </row>
    <row r="295">
      <c r="AM295" s="19" t="n"/>
      <c r="AN295" s="23" t="n"/>
      <c r="AO295" s="23" t="n"/>
      <c r="AP295" s="23" t="n"/>
      <c r="AQ295" s="23" t="n"/>
      <c r="AR295" s="19" t="n"/>
      <c r="AS295" s="21">
        <f>IF(IFERROR(TRIM(INDEX($A295:$AL295,MATCH(Lists!$F$2,$A$1:$AL$1,0))&amp;""),"")="","",IF(AND(IFERROR(TRIM(INDEX($A295:$AL295,MATCH(Lists!$F$3,$A$1:$AL$1,0))&amp;""),"")="Other",IFERROR(TRIM(INDEX($A295:$AL295,MATCH(Lists!$F$4,$A$1:$AL$1,0))&amp;""),"")&lt;&gt;""),IFERROR(TRIM(INDEX($A295:$AL295,MATCH(Lists!$F$4,$A$1:$AL$1,0))&amp;""),""),IF(IFERROR(TRIM(INDEX($A295:$AL295,MATCH(Lists!$F$3,$A$1:$AL$1,0))&amp;""),"")="","(no space)",IFERROR(TRIM(INDEX($A295:$AL295,MATCH(Lists!$F$3,$A$1:$AL$1,0))&amp;""),""))))</f>
        <v/>
      </c>
      <c r="AT295" s="22">
        <f>IF(IFERROR(TRIM(INDEX($A295:$AL295,MATCH(Lists!$F$2,$A$1:$AL$1,0))&amp;""),"")="",0,N(IFERROR(IF(TRIM(INDEX($A295:$AL295,MATCH(Lists!$F$5,$A$1:$AL$1,0))&amp;"")="","",IF(ISNUMBER(INDEX($A295:$AL295,MATCH(Lists!$F$5,$A$1:$AL$1,0))),INT(INDEX($A295:$AL295,MATCH(Lists!$F$5,$A$1:$AL$1,0))),DATE(VALUE(LEFT(INDEX($A295:$AL295,MATCH(Lists!$F$5,$A$1:$AL$1,0)),4)),VALUE(MID(INDEX($A295:$AL295,MATCH(Lists!$F$5,$A$1:$AL$1,0)),6,2)),VALUE(MID(INDEX($A295:$AL295,MATCH(Lists!$F$5,$A$1:$AL$1,0)),9,2))))),"")))</f>
        <v/>
      </c>
      <c r="AU295" s="21">
        <f>IF(IFERROR(TRIM(INDEX($A295:$AL295,MATCH(Lists!$F$2,$A$1:$AL$1,0))&amp;""),"")="",-1,IF(ISNUMBER(IFERROR(IF(TRIM(INDEX($A295:$AL295,MATCH(Lists!$F$6,$A$1:$AL$1,0))&amp;"")="","",IF(ISNUMBER(INDEX($A295:$AL295,MATCH(Lists!$F$6,$A$1:$AL$1,0))),ROUND(MOD(INDEX($A295:$AL295,MATCH(Lists!$F$6,$A$1:$AL$1,0)),1)*1440,0),VALUE(LEFT(INDEX($A295:$AL295,MATCH(Lists!$F$6,$A$1:$AL$1,0)),2))*60+VALUE(MID(INDEX($A295:$AL295,MATCH(Lists!$F$6,$A$1:$AL$1,0)),4,2)))),"")),IFERROR(IF(TRIM(INDEX($A295:$AL295,MATCH(Lists!$F$6,$A$1:$AL$1,0))&amp;"")="","",IF(ISNUMBER(INDEX($A295:$AL295,MATCH(Lists!$F$6,$A$1:$AL$1,0))),ROUND(MOD(INDEX($A295:$AL295,MATCH(Lists!$F$6,$A$1:$AL$1,0)),1)*1440,0),VALUE(LEFT(INDEX($A295:$AL295,MATCH(Lists!$F$6,$A$1:$AL$1,0)),2))*60+VALUE(MID(INDEX($A295:$AL295,MATCH(Lists!$F$6,$A$1:$AL$1,0)),4,2)))),""),-1))</f>
        <v/>
      </c>
      <c r="AV295" s="21">
        <f>IF(IFERROR(TRIM(INDEX($A295:$AL295,MATCH(Lists!$F$2,$A$1:$AL$1,0))&amp;""),"")="",-1,IF(ISNUMBER(IFERROR(IF(TRIM(INDEX($A295:$AL295,MATCH(Lists!$F$7,$A$1:$AL$1,0))&amp;"")="","",IF(ISNUMBER(INDEX($A295:$AL295,MATCH(Lists!$F$7,$A$1:$AL$1,0))),ROUND(MOD(INDEX($A295:$AL295,MATCH(Lists!$F$7,$A$1:$AL$1,0)),1)*1440,0),VALUE(LEFT(INDEX($A295:$AL295,MATCH(Lists!$F$7,$A$1:$AL$1,0)),2))*60+VALUE(MID(INDEX($A295:$AL295,MATCH(Lists!$F$7,$A$1:$AL$1,0)),4,2)))),"")),IFERROR(IF(TRIM(INDEX($A295:$AL295,MATCH(Lists!$F$7,$A$1:$AL$1,0))&amp;"")="","",IF(ISNUMBER(INDEX($A295:$AL295,MATCH(Lists!$F$7,$A$1:$AL$1,0))),ROUND(MOD(INDEX($A295:$AL295,MATCH(Lists!$F$7,$A$1:$AL$1,0)),1)*1440,0),VALUE(LEFT(INDEX($A295:$AL295,MATCH(Lists!$F$7,$A$1:$AL$1,0)),2))*60+VALUE(MID(INDEX($A295:$AL295,MATCH(Lists!$F$7,$A$1:$AL$1,0)),4,2)))),""),-1))</f>
        <v/>
      </c>
      <c r="AW295" s="21">
        <f>IF(IFERROR(TRIM(INDEX($A295:$AL295,MATCH(Lists!$F$2,$A$1:$AL$1,0))&amp;""),"")="","",IF(IFERROR(TRIM(INDEX($A295:$AL295,MATCH(Lists!$F$8,$A$1:$AL$1,0))&amp;""),"")&lt;&gt;"",IFERROR(TRIM(INDEX($A295:$AL295,MATCH(Lists!$F$8,$A$1:$AL$1,0))&amp;""),""),IFERROR(TRIM(INDEX($A295:$AL295,MATCH(Lists!$F$9,$A$1:$AL$1,0))&amp;""),"")))</f>
        <v/>
      </c>
      <c r="AX295" s="21">
        <f>IFERROR(IF(TRIM(INDEX($A295:$AL295,MATCH(Lists!$F$10,$A$1:$AL$1,0))&amp;"")="","",VALUE(TRIM(INDEX($A295:$AL295,MATCH(Lists!$F$10,$A$1:$AL$1,0))&amp;""))),"")</f>
        <v/>
      </c>
      <c r="AY295" s="21">
        <f>IF(IFERROR(TRIM(INDEX($A295:$AL295,MATCH(Lists!$F$2,$A$1:$AL$1,0))&amp;""),"")="","",IF(AN295="","New",AN295))</f>
        <v/>
      </c>
      <c r="AZ295" s="21">
        <f>IF(IFERROR(TRIM(INDEX($A295:$AL295,MATCH(Lists!$F$2,$A$1:$AL$1,0))&amp;""),"")="","",IF(OR(IFERROR(TRIM(INDEX($A295:$AL295,MATCH(Lists!$F$13,$A$1:$AL$1,0))&amp;""),"")="Paid",IFERROR(TRIM(INDEX($A295:$AL295,MATCH(Lists!$F$13,$A$1:$AL$1,0))&amp;""),"")="Partially refunded"),"Paid",IF(AP295="Yes","Paid (by hand)",IFERROR(TRIM(INDEX($A295:$AL295,MATCH(Lists!$F$13,$A$1:$AL$1,0))&amp;""),""))))</f>
        <v/>
      </c>
      <c r="BA295" s="21">
        <f>IF(AND(IFERROR(TRIM(INDEX($A295:$AL295,MATCH(Lists!$F$2,$A$1:$AL$1,0))&amp;""),"")&lt;&gt;"",AT295&gt;0,AU295&gt;=0,AV295&gt;AU295,AY295&lt;&gt;"Declined"),1,0)</f>
        <v/>
      </c>
      <c r="BB295" s="21">
        <f>IF(BA295=1,COUNTIFS($AS$2:$AS$501,AS295,$AT$2:$AT$501,AT295,$AU$2:$AU$501,"&lt;"&amp;AV295,$AV$2:$AV$501,"&gt;"&amp;AU295,$BA$2:$BA$501,1)-1,"")</f>
        <v/>
      </c>
      <c r="BC295" s="21">
        <f>IF(N(BB295)&gt;0,"Clashes with "&amp;INDEX($AW$2:$AW$501,SUMPRODUCT(MAX(($AS$2:$AS$501=AS295)*($AT$2:$AT$501=AT295)*($AU$2:$AU$501&lt;AV295)*($AV$2:$AV$501&gt;AU295)*($BA$2:$BA$501=1)*(ROW($AS$2:$AS$501)&lt;&gt;ROW())*ROW($AS$2:$AS$501)))-1)&amp;" ("&amp;INDEX($AY$2:$AY$501,SUMPRODUCT(MAX(($AS$2:$AS$501=AS295)*($AT$2:$AT$501=AT295)*($AU$2:$AU$501&lt;AV295)*($AV$2:$AV$501&gt;AU295)*($BA$2:$BA$501=1)*(ROW($AS$2:$AS$501)&lt;&gt;ROW())*ROW($AS$2:$AS$501)))-1)&amp;")"&amp;IF(BB295&gt;1," and "&amp;(BB295-1)&amp;" more",""),"")</f>
        <v/>
      </c>
      <c r="BD295" s="21">
        <f>IF(AND(BA295=1,AY295="Confirmed"),AT295*10000000+AU295*1000+ROW(),"")</f>
        <v/>
      </c>
      <c r="BE295" s="21">
        <f>IF(IFERROR(TRIM(INDEX($A295:$AL295,MATCH(Lists!$F$2,$A$1:$AL$1,0))&amp;""),"")="","",IFERROR(TRIM(INDEX($A295:$AL295,MATCH(Lists!$F$11,$A$1:$AL$1,0))&amp;""),""))</f>
        <v/>
      </c>
      <c r="BF295" s="21">
        <f>IF(IFERROR(TRIM(INDEX($A295:$AL295,MATCH(Lists!$F$2,$A$1:$AL$1,0))&amp;""),"")="","",IFERROR(TRIM(INDEX($A295:$AL295,MATCH(Lists!$F$12,$A$1:$AL$1,0))&amp;""),""))</f>
        <v/>
      </c>
    </row>
    <row r="296">
      <c r="AM296" s="19" t="n"/>
      <c r="AN296" s="23" t="n"/>
      <c r="AO296" s="23" t="n"/>
      <c r="AP296" s="23" t="n"/>
      <c r="AQ296" s="23" t="n"/>
      <c r="AR296" s="19" t="n"/>
      <c r="AS296" s="21">
        <f>IF(IFERROR(TRIM(INDEX($A296:$AL296,MATCH(Lists!$F$2,$A$1:$AL$1,0))&amp;""),"")="","",IF(AND(IFERROR(TRIM(INDEX($A296:$AL296,MATCH(Lists!$F$3,$A$1:$AL$1,0))&amp;""),"")="Other",IFERROR(TRIM(INDEX($A296:$AL296,MATCH(Lists!$F$4,$A$1:$AL$1,0))&amp;""),"")&lt;&gt;""),IFERROR(TRIM(INDEX($A296:$AL296,MATCH(Lists!$F$4,$A$1:$AL$1,0))&amp;""),""),IF(IFERROR(TRIM(INDEX($A296:$AL296,MATCH(Lists!$F$3,$A$1:$AL$1,0))&amp;""),"")="","(no space)",IFERROR(TRIM(INDEX($A296:$AL296,MATCH(Lists!$F$3,$A$1:$AL$1,0))&amp;""),""))))</f>
        <v/>
      </c>
      <c r="AT296" s="22">
        <f>IF(IFERROR(TRIM(INDEX($A296:$AL296,MATCH(Lists!$F$2,$A$1:$AL$1,0))&amp;""),"")="",0,N(IFERROR(IF(TRIM(INDEX($A296:$AL296,MATCH(Lists!$F$5,$A$1:$AL$1,0))&amp;"")="","",IF(ISNUMBER(INDEX($A296:$AL296,MATCH(Lists!$F$5,$A$1:$AL$1,0))),INT(INDEX($A296:$AL296,MATCH(Lists!$F$5,$A$1:$AL$1,0))),DATE(VALUE(LEFT(INDEX($A296:$AL296,MATCH(Lists!$F$5,$A$1:$AL$1,0)),4)),VALUE(MID(INDEX($A296:$AL296,MATCH(Lists!$F$5,$A$1:$AL$1,0)),6,2)),VALUE(MID(INDEX($A296:$AL296,MATCH(Lists!$F$5,$A$1:$AL$1,0)),9,2))))),"")))</f>
        <v/>
      </c>
      <c r="AU296" s="21">
        <f>IF(IFERROR(TRIM(INDEX($A296:$AL296,MATCH(Lists!$F$2,$A$1:$AL$1,0))&amp;""),"")="",-1,IF(ISNUMBER(IFERROR(IF(TRIM(INDEX($A296:$AL296,MATCH(Lists!$F$6,$A$1:$AL$1,0))&amp;"")="","",IF(ISNUMBER(INDEX($A296:$AL296,MATCH(Lists!$F$6,$A$1:$AL$1,0))),ROUND(MOD(INDEX($A296:$AL296,MATCH(Lists!$F$6,$A$1:$AL$1,0)),1)*1440,0),VALUE(LEFT(INDEX($A296:$AL296,MATCH(Lists!$F$6,$A$1:$AL$1,0)),2))*60+VALUE(MID(INDEX($A296:$AL296,MATCH(Lists!$F$6,$A$1:$AL$1,0)),4,2)))),"")),IFERROR(IF(TRIM(INDEX($A296:$AL296,MATCH(Lists!$F$6,$A$1:$AL$1,0))&amp;"")="","",IF(ISNUMBER(INDEX($A296:$AL296,MATCH(Lists!$F$6,$A$1:$AL$1,0))),ROUND(MOD(INDEX($A296:$AL296,MATCH(Lists!$F$6,$A$1:$AL$1,0)),1)*1440,0),VALUE(LEFT(INDEX($A296:$AL296,MATCH(Lists!$F$6,$A$1:$AL$1,0)),2))*60+VALUE(MID(INDEX($A296:$AL296,MATCH(Lists!$F$6,$A$1:$AL$1,0)),4,2)))),""),-1))</f>
        <v/>
      </c>
      <c r="AV296" s="21">
        <f>IF(IFERROR(TRIM(INDEX($A296:$AL296,MATCH(Lists!$F$2,$A$1:$AL$1,0))&amp;""),"")="",-1,IF(ISNUMBER(IFERROR(IF(TRIM(INDEX($A296:$AL296,MATCH(Lists!$F$7,$A$1:$AL$1,0))&amp;"")="","",IF(ISNUMBER(INDEX($A296:$AL296,MATCH(Lists!$F$7,$A$1:$AL$1,0))),ROUND(MOD(INDEX($A296:$AL296,MATCH(Lists!$F$7,$A$1:$AL$1,0)),1)*1440,0),VALUE(LEFT(INDEX($A296:$AL296,MATCH(Lists!$F$7,$A$1:$AL$1,0)),2))*60+VALUE(MID(INDEX($A296:$AL296,MATCH(Lists!$F$7,$A$1:$AL$1,0)),4,2)))),"")),IFERROR(IF(TRIM(INDEX($A296:$AL296,MATCH(Lists!$F$7,$A$1:$AL$1,0))&amp;"")="","",IF(ISNUMBER(INDEX($A296:$AL296,MATCH(Lists!$F$7,$A$1:$AL$1,0))),ROUND(MOD(INDEX($A296:$AL296,MATCH(Lists!$F$7,$A$1:$AL$1,0)),1)*1440,0),VALUE(LEFT(INDEX($A296:$AL296,MATCH(Lists!$F$7,$A$1:$AL$1,0)),2))*60+VALUE(MID(INDEX($A296:$AL296,MATCH(Lists!$F$7,$A$1:$AL$1,0)),4,2)))),""),-1))</f>
        <v/>
      </c>
      <c r="AW296" s="21">
        <f>IF(IFERROR(TRIM(INDEX($A296:$AL296,MATCH(Lists!$F$2,$A$1:$AL$1,0))&amp;""),"")="","",IF(IFERROR(TRIM(INDEX($A296:$AL296,MATCH(Lists!$F$8,$A$1:$AL$1,0))&amp;""),"")&lt;&gt;"",IFERROR(TRIM(INDEX($A296:$AL296,MATCH(Lists!$F$8,$A$1:$AL$1,0))&amp;""),""),IFERROR(TRIM(INDEX($A296:$AL296,MATCH(Lists!$F$9,$A$1:$AL$1,0))&amp;""),"")))</f>
        <v/>
      </c>
      <c r="AX296" s="21">
        <f>IFERROR(IF(TRIM(INDEX($A296:$AL296,MATCH(Lists!$F$10,$A$1:$AL$1,0))&amp;"")="","",VALUE(TRIM(INDEX($A296:$AL296,MATCH(Lists!$F$10,$A$1:$AL$1,0))&amp;""))),"")</f>
        <v/>
      </c>
      <c r="AY296" s="21">
        <f>IF(IFERROR(TRIM(INDEX($A296:$AL296,MATCH(Lists!$F$2,$A$1:$AL$1,0))&amp;""),"")="","",IF(AN296="","New",AN296))</f>
        <v/>
      </c>
      <c r="AZ296" s="21">
        <f>IF(IFERROR(TRIM(INDEX($A296:$AL296,MATCH(Lists!$F$2,$A$1:$AL$1,0))&amp;""),"")="","",IF(OR(IFERROR(TRIM(INDEX($A296:$AL296,MATCH(Lists!$F$13,$A$1:$AL$1,0))&amp;""),"")="Paid",IFERROR(TRIM(INDEX($A296:$AL296,MATCH(Lists!$F$13,$A$1:$AL$1,0))&amp;""),"")="Partially refunded"),"Paid",IF(AP296="Yes","Paid (by hand)",IFERROR(TRIM(INDEX($A296:$AL296,MATCH(Lists!$F$13,$A$1:$AL$1,0))&amp;""),""))))</f>
        <v/>
      </c>
      <c r="BA296" s="21">
        <f>IF(AND(IFERROR(TRIM(INDEX($A296:$AL296,MATCH(Lists!$F$2,$A$1:$AL$1,0))&amp;""),"")&lt;&gt;"",AT296&gt;0,AU296&gt;=0,AV296&gt;AU296,AY296&lt;&gt;"Declined"),1,0)</f>
        <v/>
      </c>
      <c r="BB296" s="21">
        <f>IF(BA296=1,COUNTIFS($AS$2:$AS$501,AS296,$AT$2:$AT$501,AT296,$AU$2:$AU$501,"&lt;"&amp;AV296,$AV$2:$AV$501,"&gt;"&amp;AU296,$BA$2:$BA$501,1)-1,"")</f>
        <v/>
      </c>
      <c r="BC296" s="21">
        <f>IF(N(BB296)&gt;0,"Clashes with "&amp;INDEX($AW$2:$AW$501,SUMPRODUCT(MAX(($AS$2:$AS$501=AS296)*($AT$2:$AT$501=AT296)*($AU$2:$AU$501&lt;AV296)*($AV$2:$AV$501&gt;AU296)*($BA$2:$BA$501=1)*(ROW($AS$2:$AS$501)&lt;&gt;ROW())*ROW($AS$2:$AS$501)))-1)&amp;" ("&amp;INDEX($AY$2:$AY$501,SUMPRODUCT(MAX(($AS$2:$AS$501=AS296)*($AT$2:$AT$501=AT296)*($AU$2:$AU$501&lt;AV296)*($AV$2:$AV$501&gt;AU296)*($BA$2:$BA$501=1)*(ROW($AS$2:$AS$501)&lt;&gt;ROW())*ROW($AS$2:$AS$501)))-1)&amp;")"&amp;IF(BB296&gt;1," and "&amp;(BB296-1)&amp;" more",""),"")</f>
        <v/>
      </c>
      <c r="BD296" s="21">
        <f>IF(AND(BA296=1,AY296="Confirmed"),AT296*10000000+AU296*1000+ROW(),"")</f>
        <v/>
      </c>
      <c r="BE296" s="21">
        <f>IF(IFERROR(TRIM(INDEX($A296:$AL296,MATCH(Lists!$F$2,$A$1:$AL$1,0))&amp;""),"")="","",IFERROR(TRIM(INDEX($A296:$AL296,MATCH(Lists!$F$11,$A$1:$AL$1,0))&amp;""),""))</f>
        <v/>
      </c>
      <c r="BF296" s="21">
        <f>IF(IFERROR(TRIM(INDEX($A296:$AL296,MATCH(Lists!$F$2,$A$1:$AL$1,0))&amp;""),"")="","",IFERROR(TRIM(INDEX($A296:$AL296,MATCH(Lists!$F$12,$A$1:$AL$1,0))&amp;""),""))</f>
        <v/>
      </c>
    </row>
    <row r="297">
      <c r="AM297" s="19" t="n"/>
      <c r="AN297" s="23" t="n"/>
      <c r="AO297" s="23" t="n"/>
      <c r="AP297" s="23" t="n"/>
      <c r="AQ297" s="23" t="n"/>
      <c r="AR297" s="19" t="n"/>
      <c r="AS297" s="21">
        <f>IF(IFERROR(TRIM(INDEX($A297:$AL297,MATCH(Lists!$F$2,$A$1:$AL$1,0))&amp;""),"")="","",IF(AND(IFERROR(TRIM(INDEX($A297:$AL297,MATCH(Lists!$F$3,$A$1:$AL$1,0))&amp;""),"")="Other",IFERROR(TRIM(INDEX($A297:$AL297,MATCH(Lists!$F$4,$A$1:$AL$1,0))&amp;""),"")&lt;&gt;""),IFERROR(TRIM(INDEX($A297:$AL297,MATCH(Lists!$F$4,$A$1:$AL$1,0))&amp;""),""),IF(IFERROR(TRIM(INDEX($A297:$AL297,MATCH(Lists!$F$3,$A$1:$AL$1,0))&amp;""),"")="","(no space)",IFERROR(TRIM(INDEX($A297:$AL297,MATCH(Lists!$F$3,$A$1:$AL$1,0))&amp;""),""))))</f>
        <v/>
      </c>
      <c r="AT297" s="22">
        <f>IF(IFERROR(TRIM(INDEX($A297:$AL297,MATCH(Lists!$F$2,$A$1:$AL$1,0))&amp;""),"")="",0,N(IFERROR(IF(TRIM(INDEX($A297:$AL297,MATCH(Lists!$F$5,$A$1:$AL$1,0))&amp;"")="","",IF(ISNUMBER(INDEX($A297:$AL297,MATCH(Lists!$F$5,$A$1:$AL$1,0))),INT(INDEX($A297:$AL297,MATCH(Lists!$F$5,$A$1:$AL$1,0))),DATE(VALUE(LEFT(INDEX($A297:$AL297,MATCH(Lists!$F$5,$A$1:$AL$1,0)),4)),VALUE(MID(INDEX($A297:$AL297,MATCH(Lists!$F$5,$A$1:$AL$1,0)),6,2)),VALUE(MID(INDEX($A297:$AL297,MATCH(Lists!$F$5,$A$1:$AL$1,0)),9,2))))),"")))</f>
        <v/>
      </c>
      <c r="AU297" s="21">
        <f>IF(IFERROR(TRIM(INDEX($A297:$AL297,MATCH(Lists!$F$2,$A$1:$AL$1,0))&amp;""),"")="",-1,IF(ISNUMBER(IFERROR(IF(TRIM(INDEX($A297:$AL297,MATCH(Lists!$F$6,$A$1:$AL$1,0))&amp;"")="","",IF(ISNUMBER(INDEX($A297:$AL297,MATCH(Lists!$F$6,$A$1:$AL$1,0))),ROUND(MOD(INDEX($A297:$AL297,MATCH(Lists!$F$6,$A$1:$AL$1,0)),1)*1440,0),VALUE(LEFT(INDEX($A297:$AL297,MATCH(Lists!$F$6,$A$1:$AL$1,0)),2))*60+VALUE(MID(INDEX($A297:$AL297,MATCH(Lists!$F$6,$A$1:$AL$1,0)),4,2)))),"")),IFERROR(IF(TRIM(INDEX($A297:$AL297,MATCH(Lists!$F$6,$A$1:$AL$1,0))&amp;"")="","",IF(ISNUMBER(INDEX($A297:$AL297,MATCH(Lists!$F$6,$A$1:$AL$1,0))),ROUND(MOD(INDEX($A297:$AL297,MATCH(Lists!$F$6,$A$1:$AL$1,0)),1)*1440,0),VALUE(LEFT(INDEX($A297:$AL297,MATCH(Lists!$F$6,$A$1:$AL$1,0)),2))*60+VALUE(MID(INDEX($A297:$AL297,MATCH(Lists!$F$6,$A$1:$AL$1,0)),4,2)))),""),-1))</f>
        <v/>
      </c>
      <c r="AV297" s="21">
        <f>IF(IFERROR(TRIM(INDEX($A297:$AL297,MATCH(Lists!$F$2,$A$1:$AL$1,0))&amp;""),"")="",-1,IF(ISNUMBER(IFERROR(IF(TRIM(INDEX($A297:$AL297,MATCH(Lists!$F$7,$A$1:$AL$1,0))&amp;"")="","",IF(ISNUMBER(INDEX($A297:$AL297,MATCH(Lists!$F$7,$A$1:$AL$1,0))),ROUND(MOD(INDEX($A297:$AL297,MATCH(Lists!$F$7,$A$1:$AL$1,0)),1)*1440,0),VALUE(LEFT(INDEX($A297:$AL297,MATCH(Lists!$F$7,$A$1:$AL$1,0)),2))*60+VALUE(MID(INDEX($A297:$AL297,MATCH(Lists!$F$7,$A$1:$AL$1,0)),4,2)))),"")),IFERROR(IF(TRIM(INDEX($A297:$AL297,MATCH(Lists!$F$7,$A$1:$AL$1,0))&amp;"")="","",IF(ISNUMBER(INDEX($A297:$AL297,MATCH(Lists!$F$7,$A$1:$AL$1,0))),ROUND(MOD(INDEX($A297:$AL297,MATCH(Lists!$F$7,$A$1:$AL$1,0)),1)*1440,0),VALUE(LEFT(INDEX($A297:$AL297,MATCH(Lists!$F$7,$A$1:$AL$1,0)),2))*60+VALUE(MID(INDEX($A297:$AL297,MATCH(Lists!$F$7,$A$1:$AL$1,0)),4,2)))),""),-1))</f>
        <v/>
      </c>
      <c r="AW297" s="21">
        <f>IF(IFERROR(TRIM(INDEX($A297:$AL297,MATCH(Lists!$F$2,$A$1:$AL$1,0))&amp;""),"")="","",IF(IFERROR(TRIM(INDEX($A297:$AL297,MATCH(Lists!$F$8,$A$1:$AL$1,0))&amp;""),"")&lt;&gt;"",IFERROR(TRIM(INDEX($A297:$AL297,MATCH(Lists!$F$8,$A$1:$AL$1,0))&amp;""),""),IFERROR(TRIM(INDEX($A297:$AL297,MATCH(Lists!$F$9,$A$1:$AL$1,0))&amp;""),"")))</f>
        <v/>
      </c>
      <c r="AX297" s="21">
        <f>IFERROR(IF(TRIM(INDEX($A297:$AL297,MATCH(Lists!$F$10,$A$1:$AL$1,0))&amp;"")="","",VALUE(TRIM(INDEX($A297:$AL297,MATCH(Lists!$F$10,$A$1:$AL$1,0))&amp;""))),"")</f>
        <v/>
      </c>
      <c r="AY297" s="21">
        <f>IF(IFERROR(TRIM(INDEX($A297:$AL297,MATCH(Lists!$F$2,$A$1:$AL$1,0))&amp;""),"")="","",IF(AN297="","New",AN297))</f>
        <v/>
      </c>
      <c r="AZ297" s="21">
        <f>IF(IFERROR(TRIM(INDEX($A297:$AL297,MATCH(Lists!$F$2,$A$1:$AL$1,0))&amp;""),"")="","",IF(OR(IFERROR(TRIM(INDEX($A297:$AL297,MATCH(Lists!$F$13,$A$1:$AL$1,0))&amp;""),"")="Paid",IFERROR(TRIM(INDEX($A297:$AL297,MATCH(Lists!$F$13,$A$1:$AL$1,0))&amp;""),"")="Partially refunded"),"Paid",IF(AP297="Yes","Paid (by hand)",IFERROR(TRIM(INDEX($A297:$AL297,MATCH(Lists!$F$13,$A$1:$AL$1,0))&amp;""),""))))</f>
        <v/>
      </c>
      <c r="BA297" s="21">
        <f>IF(AND(IFERROR(TRIM(INDEX($A297:$AL297,MATCH(Lists!$F$2,$A$1:$AL$1,0))&amp;""),"")&lt;&gt;"",AT297&gt;0,AU297&gt;=0,AV297&gt;AU297,AY297&lt;&gt;"Declined"),1,0)</f>
        <v/>
      </c>
      <c r="BB297" s="21">
        <f>IF(BA297=1,COUNTIFS($AS$2:$AS$501,AS297,$AT$2:$AT$501,AT297,$AU$2:$AU$501,"&lt;"&amp;AV297,$AV$2:$AV$501,"&gt;"&amp;AU297,$BA$2:$BA$501,1)-1,"")</f>
        <v/>
      </c>
      <c r="BC297" s="21">
        <f>IF(N(BB297)&gt;0,"Clashes with "&amp;INDEX($AW$2:$AW$501,SUMPRODUCT(MAX(($AS$2:$AS$501=AS297)*($AT$2:$AT$501=AT297)*($AU$2:$AU$501&lt;AV297)*($AV$2:$AV$501&gt;AU297)*($BA$2:$BA$501=1)*(ROW($AS$2:$AS$501)&lt;&gt;ROW())*ROW($AS$2:$AS$501)))-1)&amp;" ("&amp;INDEX($AY$2:$AY$501,SUMPRODUCT(MAX(($AS$2:$AS$501=AS297)*($AT$2:$AT$501=AT297)*($AU$2:$AU$501&lt;AV297)*($AV$2:$AV$501&gt;AU297)*($BA$2:$BA$501=1)*(ROW($AS$2:$AS$501)&lt;&gt;ROW())*ROW($AS$2:$AS$501)))-1)&amp;")"&amp;IF(BB297&gt;1," and "&amp;(BB297-1)&amp;" more",""),"")</f>
        <v/>
      </c>
      <c r="BD297" s="21">
        <f>IF(AND(BA297=1,AY297="Confirmed"),AT297*10000000+AU297*1000+ROW(),"")</f>
        <v/>
      </c>
      <c r="BE297" s="21">
        <f>IF(IFERROR(TRIM(INDEX($A297:$AL297,MATCH(Lists!$F$2,$A$1:$AL$1,0))&amp;""),"")="","",IFERROR(TRIM(INDEX($A297:$AL297,MATCH(Lists!$F$11,$A$1:$AL$1,0))&amp;""),""))</f>
        <v/>
      </c>
      <c r="BF297" s="21">
        <f>IF(IFERROR(TRIM(INDEX($A297:$AL297,MATCH(Lists!$F$2,$A$1:$AL$1,0))&amp;""),"")="","",IFERROR(TRIM(INDEX($A297:$AL297,MATCH(Lists!$F$12,$A$1:$AL$1,0))&amp;""),""))</f>
        <v/>
      </c>
    </row>
    <row r="298">
      <c r="AM298" s="19" t="n"/>
      <c r="AN298" s="23" t="n"/>
      <c r="AO298" s="23" t="n"/>
      <c r="AP298" s="23" t="n"/>
      <c r="AQ298" s="23" t="n"/>
      <c r="AR298" s="19" t="n"/>
      <c r="AS298" s="21">
        <f>IF(IFERROR(TRIM(INDEX($A298:$AL298,MATCH(Lists!$F$2,$A$1:$AL$1,0))&amp;""),"")="","",IF(AND(IFERROR(TRIM(INDEX($A298:$AL298,MATCH(Lists!$F$3,$A$1:$AL$1,0))&amp;""),"")="Other",IFERROR(TRIM(INDEX($A298:$AL298,MATCH(Lists!$F$4,$A$1:$AL$1,0))&amp;""),"")&lt;&gt;""),IFERROR(TRIM(INDEX($A298:$AL298,MATCH(Lists!$F$4,$A$1:$AL$1,0))&amp;""),""),IF(IFERROR(TRIM(INDEX($A298:$AL298,MATCH(Lists!$F$3,$A$1:$AL$1,0))&amp;""),"")="","(no space)",IFERROR(TRIM(INDEX($A298:$AL298,MATCH(Lists!$F$3,$A$1:$AL$1,0))&amp;""),""))))</f>
        <v/>
      </c>
      <c r="AT298" s="22">
        <f>IF(IFERROR(TRIM(INDEX($A298:$AL298,MATCH(Lists!$F$2,$A$1:$AL$1,0))&amp;""),"")="",0,N(IFERROR(IF(TRIM(INDEX($A298:$AL298,MATCH(Lists!$F$5,$A$1:$AL$1,0))&amp;"")="","",IF(ISNUMBER(INDEX($A298:$AL298,MATCH(Lists!$F$5,$A$1:$AL$1,0))),INT(INDEX($A298:$AL298,MATCH(Lists!$F$5,$A$1:$AL$1,0))),DATE(VALUE(LEFT(INDEX($A298:$AL298,MATCH(Lists!$F$5,$A$1:$AL$1,0)),4)),VALUE(MID(INDEX($A298:$AL298,MATCH(Lists!$F$5,$A$1:$AL$1,0)),6,2)),VALUE(MID(INDEX($A298:$AL298,MATCH(Lists!$F$5,$A$1:$AL$1,0)),9,2))))),"")))</f>
        <v/>
      </c>
      <c r="AU298" s="21">
        <f>IF(IFERROR(TRIM(INDEX($A298:$AL298,MATCH(Lists!$F$2,$A$1:$AL$1,0))&amp;""),"")="",-1,IF(ISNUMBER(IFERROR(IF(TRIM(INDEX($A298:$AL298,MATCH(Lists!$F$6,$A$1:$AL$1,0))&amp;"")="","",IF(ISNUMBER(INDEX($A298:$AL298,MATCH(Lists!$F$6,$A$1:$AL$1,0))),ROUND(MOD(INDEX($A298:$AL298,MATCH(Lists!$F$6,$A$1:$AL$1,0)),1)*1440,0),VALUE(LEFT(INDEX($A298:$AL298,MATCH(Lists!$F$6,$A$1:$AL$1,0)),2))*60+VALUE(MID(INDEX($A298:$AL298,MATCH(Lists!$F$6,$A$1:$AL$1,0)),4,2)))),"")),IFERROR(IF(TRIM(INDEX($A298:$AL298,MATCH(Lists!$F$6,$A$1:$AL$1,0))&amp;"")="","",IF(ISNUMBER(INDEX($A298:$AL298,MATCH(Lists!$F$6,$A$1:$AL$1,0))),ROUND(MOD(INDEX($A298:$AL298,MATCH(Lists!$F$6,$A$1:$AL$1,0)),1)*1440,0),VALUE(LEFT(INDEX($A298:$AL298,MATCH(Lists!$F$6,$A$1:$AL$1,0)),2))*60+VALUE(MID(INDEX($A298:$AL298,MATCH(Lists!$F$6,$A$1:$AL$1,0)),4,2)))),""),-1))</f>
        <v/>
      </c>
      <c r="AV298" s="21">
        <f>IF(IFERROR(TRIM(INDEX($A298:$AL298,MATCH(Lists!$F$2,$A$1:$AL$1,0))&amp;""),"")="",-1,IF(ISNUMBER(IFERROR(IF(TRIM(INDEX($A298:$AL298,MATCH(Lists!$F$7,$A$1:$AL$1,0))&amp;"")="","",IF(ISNUMBER(INDEX($A298:$AL298,MATCH(Lists!$F$7,$A$1:$AL$1,0))),ROUND(MOD(INDEX($A298:$AL298,MATCH(Lists!$F$7,$A$1:$AL$1,0)),1)*1440,0),VALUE(LEFT(INDEX($A298:$AL298,MATCH(Lists!$F$7,$A$1:$AL$1,0)),2))*60+VALUE(MID(INDEX($A298:$AL298,MATCH(Lists!$F$7,$A$1:$AL$1,0)),4,2)))),"")),IFERROR(IF(TRIM(INDEX($A298:$AL298,MATCH(Lists!$F$7,$A$1:$AL$1,0))&amp;"")="","",IF(ISNUMBER(INDEX($A298:$AL298,MATCH(Lists!$F$7,$A$1:$AL$1,0))),ROUND(MOD(INDEX($A298:$AL298,MATCH(Lists!$F$7,$A$1:$AL$1,0)),1)*1440,0),VALUE(LEFT(INDEX($A298:$AL298,MATCH(Lists!$F$7,$A$1:$AL$1,0)),2))*60+VALUE(MID(INDEX($A298:$AL298,MATCH(Lists!$F$7,$A$1:$AL$1,0)),4,2)))),""),-1))</f>
        <v/>
      </c>
      <c r="AW298" s="21">
        <f>IF(IFERROR(TRIM(INDEX($A298:$AL298,MATCH(Lists!$F$2,$A$1:$AL$1,0))&amp;""),"")="","",IF(IFERROR(TRIM(INDEX($A298:$AL298,MATCH(Lists!$F$8,$A$1:$AL$1,0))&amp;""),"")&lt;&gt;"",IFERROR(TRIM(INDEX($A298:$AL298,MATCH(Lists!$F$8,$A$1:$AL$1,0))&amp;""),""),IFERROR(TRIM(INDEX($A298:$AL298,MATCH(Lists!$F$9,$A$1:$AL$1,0))&amp;""),"")))</f>
        <v/>
      </c>
      <c r="AX298" s="21">
        <f>IFERROR(IF(TRIM(INDEX($A298:$AL298,MATCH(Lists!$F$10,$A$1:$AL$1,0))&amp;"")="","",VALUE(TRIM(INDEX($A298:$AL298,MATCH(Lists!$F$10,$A$1:$AL$1,0))&amp;""))),"")</f>
        <v/>
      </c>
      <c r="AY298" s="21">
        <f>IF(IFERROR(TRIM(INDEX($A298:$AL298,MATCH(Lists!$F$2,$A$1:$AL$1,0))&amp;""),"")="","",IF(AN298="","New",AN298))</f>
        <v/>
      </c>
      <c r="AZ298" s="21">
        <f>IF(IFERROR(TRIM(INDEX($A298:$AL298,MATCH(Lists!$F$2,$A$1:$AL$1,0))&amp;""),"")="","",IF(OR(IFERROR(TRIM(INDEX($A298:$AL298,MATCH(Lists!$F$13,$A$1:$AL$1,0))&amp;""),"")="Paid",IFERROR(TRIM(INDEX($A298:$AL298,MATCH(Lists!$F$13,$A$1:$AL$1,0))&amp;""),"")="Partially refunded"),"Paid",IF(AP298="Yes","Paid (by hand)",IFERROR(TRIM(INDEX($A298:$AL298,MATCH(Lists!$F$13,$A$1:$AL$1,0))&amp;""),""))))</f>
        <v/>
      </c>
      <c r="BA298" s="21">
        <f>IF(AND(IFERROR(TRIM(INDEX($A298:$AL298,MATCH(Lists!$F$2,$A$1:$AL$1,0))&amp;""),"")&lt;&gt;"",AT298&gt;0,AU298&gt;=0,AV298&gt;AU298,AY298&lt;&gt;"Declined"),1,0)</f>
        <v/>
      </c>
      <c r="BB298" s="21">
        <f>IF(BA298=1,COUNTIFS($AS$2:$AS$501,AS298,$AT$2:$AT$501,AT298,$AU$2:$AU$501,"&lt;"&amp;AV298,$AV$2:$AV$501,"&gt;"&amp;AU298,$BA$2:$BA$501,1)-1,"")</f>
        <v/>
      </c>
      <c r="BC298" s="21">
        <f>IF(N(BB298)&gt;0,"Clashes with "&amp;INDEX($AW$2:$AW$501,SUMPRODUCT(MAX(($AS$2:$AS$501=AS298)*($AT$2:$AT$501=AT298)*($AU$2:$AU$501&lt;AV298)*($AV$2:$AV$501&gt;AU298)*($BA$2:$BA$501=1)*(ROW($AS$2:$AS$501)&lt;&gt;ROW())*ROW($AS$2:$AS$501)))-1)&amp;" ("&amp;INDEX($AY$2:$AY$501,SUMPRODUCT(MAX(($AS$2:$AS$501=AS298)*($AT$2:$AT$501=AT298)*($AU$2:$AU$501&lt;AV298)*($AV$2:$AV$501&gt;AU298)*($BA$2:$BA$501=1)*(ROW($AS$2:$AS$501)&lt;&gt;ROW())*ROW($AS$2:$AS$501)))-1)&amp;")"&amp;IF(BB298&gt;1," and "&amp;(BB298-1)&amp;" more",""),"")</f>
        <v/>
      </c>
      <c r="BD298" s="21">
        <f>IF(AND(BA298=1,AY298="Confirmed"),AT298*10000000+AU298*1000+ROW(),"")</f>
        <v/>
      </c>
      <c r="BE298" s="21">
        <f>IF(IFERROR(TRIM(INDEX($A298:$AL298,MATCH(Lists!$F$2,$A$1:$AL$1,0))&amp;""),"")="","",IFERROR(TRIM(INDEX($A298:$AL298,MATCH(Lists!$F$11,$A$1:$AL$1,0))&amp;""),""))</f>
        <v/>
      </c>
      <c r="BF298" s="21">
        <f>IF(IFERROR(TRIM(INDEX($A298:$AL298,MATCH(Lists!$F$2,$A$1:$AL$1,0))&amp;""),"")="","",IFERROR(TRIM(INDEX($A298:$AL298,MATCH(Lists!$F$12,$A$1:$AL$1,0))&amp;""),""))</f>
        <v/>
      </c>
    </row>
    <row r="299">
      <c r="AM299" s="19" t="n"/>
      <c r="AN299" s="23" t="n"/>
      <c r="AO299" s="23" t="n"/>
      <c r="AP299" s="23" t="n"/>
      <c r="AQ299" s="23" t="n"/>
      <c r="AR299" s="19" t="n"/>
      <c r="AS299" s="21">
        <f>IF(IFERROR(TRIM(INDEX($A299:$AL299,MATCH(Lists!$F$2,$A$1:$AL$1,0))&amp;""),"")="","",IF(AND(IFERROR(TRIM(INDEX($A299:$AL299,MATCH(Lists!$F$3,$A$1:$AL$1,0))&amp;""),"")="Other",IFERROR(TRIM(INDEX($A299:$AL299,MATCH(Lists!$F$4,$A$1:$AL$1,0))&amp;""),"")&lt;&gt;""),IFERROR(TRIM(INDEX($A299:$AL299,MATCH(Lists!$F$4,$A$1:$AL$1,0))&amp;""),""),IF(IFERROR(TRIM(INDEX($A299:$AL299,MATCH(Lists!$F$3,$A$1:$AL$1,0))&amp;""),"")="","(no space)",IFERROR(TRIM(INDEX($A299:$AL299,MATCH(Lists!$F$3,$A$1:$AL$1,0))&amp;""),""))))</f>
        <v/>
      </c>
      <c r="AT299" s="22">
        <f>IF(IFERROR(TRIM(INDEX($A299:$AL299,MATCH(Lists!$F$2,$A$1:$AL$1,0))&amp;""),"")="",0,N(IFERROR(IF(TRIM(INDEX($A299:$AL299,MATCH(Lists!$F$5,$A$1:$AL$1,0))&amp;"")="","",IF(ISNUMBER(INDEX($A299:$AL299,MATCH(Lists!$F$5,$A$1:$AL$1,0))),INT(INDEX($A299:$AL299,MATCH(Lists!$F$5,$A$1:$AL$1,0))),DATE(VALUE(LEFT(INDEX($A299:$AL299,MATCH(Lists!$F$5,$A$1:$AL$1,0)),4)),VALUE(MID(INDEX($A299:$AL299,MATCH(Lists!$F$5,$A$1:$AL$1,0)),6,2)),VALUE(MID(INDEX($A299:$AL299,MATCH(Lists!$F$5,$A$1:$AL$1,0)),9,2))))),"")))</f>
        <v/>
      </c>
      <c r="AU299" s="21">
        <f>IF(IFERROR(TRIM(INDEX($A299:$AL299,MATCH(Lists!$F$2,$A$1:$AL$1,0))&amp;""),"")="",-1,IF(ISNUMBER(IFERROR(IF(TRIM(INDEX($A299:$AL299,MATCH(Lists!$F$6,$A$1:$AL$1,0))&amp;"")="","",IF(ISNUMBER(INDEX($A299:$AL299,MATCH(Lists!$F$6,$A$1:$AL$1,0))),ROUND(MOD(INDEX($A299:$AL299,MATCH(Lists!$F$6,$A$1:$AL$1,0)),1)*1440,0),VALUE(LEFT(INDEX($A299:$AL299,MATCH(Lists!$F$6,$A$1:$AL$1,0)),2))*60+VALUE(MID(INDEX($A299:$AL299,MATCH(Lists!$F$6,$A$1:$AL$1,0)),4,2)))),"")),IFERROR(IF(TRIM(INDEX($A299:$AL299,MATCH(Lists!$F$6,$A$1:$AL$1,0))&amp;"")="","",IF(ISNUMBER(INDEX($A299:$AL299,MATCH(Lists!$F$6,$A$1:$AL$1,0))),ROUND(MOD(INDEX($A299:$AL299,MATCH(Lists!$F$6,$A$1:$AL$1,0)),1)*1440,0),VALUE(LEFT(INDEX($A299:$AL299,MATCH(Lists!$F$6,$A$1:$AL$1,0)),2))*60+VALUE(MID(INDEX($A299:$AL299,MATCH(Lists!$F$6,$A$1:$AL$1,0)),4,2)))),""),-1))</f>
        <v/>
      </c>
      <c r="AV299" s="21">
        <f>IF(IFERROR(TRIM(INDEX($A299:$AL299,MATCH(Lists!$F$2,$A$1:$AL$1,0))&amp;""),"")="",-1,IF(ISNUMBER(IFERROR(IF(TRIM(INDEX($A299:$AL299,MATCH(Lists!$F$7,$A$1:$AL$1,0))&amp;"")="","",IF(ISNUMBER(INDEX($A299:$AL299,MATCH(Lists!$F$7,$A$1:$AL$1,0))),ROUND(MOD(INDEX($A299:$AL299,MATCH(Lists!$F$7,$A$1:$AL$1,0)),1)*1440,0),VALUE(LEFT(INDEX($A299:$AL299,MATCH(Lists!$F$7,$A$1:$AL$1,0)),2))*60+VALUE(MID(INDEX($A299:$AL299,MATCH(Lists!$F$7,$A$1:$AL$1,0)),4,2)))),"")),IFERROR(IF(TRIM(INDEX($A299:$AL299,MATCH(Lists!$F$7,$A$1:$AL$1,0))&amp;"")="","",IF(ISNUMBER(INDEX($A299:$AL299,MATCH(Lists!$F$7,$A$1:$AL$1,0))),ROUND(MOD(INDEX($A299:$AL299,MATCH(Lists!$F$7,$A$1:$AL$1,0)),1)*1440,0),VALUE(LEFT(INDEX($A299:$AL299,MATCH(Lists!$F$7,$A$1:$AL$1,0)),2))*60+VALUE(MID(INDEX($A299:$AL299,MATCH(Lists!$F$7,$A$1:$AL$1,0)),4,2)))),""),-1))</f>
        <v/>
      </c>
      <c r="AW299" s="21">
        <f>IF(IFERROR(TRIM(INDEX($A299:$AL299,MATCH(Lists!$F$2,$A$1:$AL$1,0))&amp;""),"")="","",IF(IFERROR(TRIM(INDEX($A299:$AL299,MATCH(Lists!$F$8,$A$1:$AL$1,0))&amp;""),"")&lt;&gt;"",IFERROR(TRIM(INDEX($A299:$AL299,MATCH(Lists!$F$8,$A$1:$AL$1,0))&amp;""),""),IFERROR(TRIM(INDEX($A299:$AL299,MATCH(Lists!$F$9,$A$1:$AL$1,0))&amp;""),"")))</f>
        <v/>
      </c>
      <c r="AX299" s="21">
        <f>IFERROR(IF(TRIM(INDEX($A299:$AL299,MATCH(Lists!$F$10,$A$1:$AL$1,0))&amp;"")="","",VALUE(TRIM(INDEX($A299:$AL299,MATCH(Lists!$F$10,$A$1:$AL$1,0))&amp;""))),"")</f>
        <v/>
      </c>
      <c r="AY299" s="21">
        <f>IF(IFERROR(TRIM(INDEX($A299:$AL299,MATCH(Lists!$F$2,$A$1:$AL$1,0))&amp;""),"")="","",IF(AN299="","New",AN299))</f>
        <v/>
      </c>
      <c r="AZ299" s="21">
        <f>IF(IFERROR(TRIM(INDEX($A299:$AL299,MATCH(Lists!$F$2,$A$1:$AL$1,0))&amp;""),"")="","",IF(OR(IFERROR(TRIM(INDEX($A299:$AL299,MATCH(Lists!$F$13,$A$1:$AL$1,0))&amp;""),"")="Paid",IFERROR(TRIM(INDEX($A299:$AL299,MATCH(Lists!$F$13,$A$1:$AL$1,0))&amp;""),"")="Partially refunded"),"Paid",IF(AP299="Yes","Paid (by hand)",IFERROR(TRIM(INDEX($A299:$AL299,MATCH(Lists!$F$13,$A$1:$AL$1,0))&amp;""),""))))</f>
        <v/>
      </c>
      <c r="BA299" s="21">
        <f>IF(AND(IFERROR(TRIM(INDEX($A299:$AL299,MATCH(Lists!$F$2,$A$1:$AL$1,0))&amp;""),"")&lt;&gt;"",AT299&gt;0,AU299&gt;=0,AV299&gt;AU299,AY299&lt;&gt;"Declined"),1,0)</f>
        <v/>
      </c>
      <c r="BB299" s="21">
        <f>IF(BA299=1,COUNTIFS($AS$2:$AS$501,AS299,$AT$2:$AT$501,AT299,$AU$2:$AU$501,"&lt;"&amp;AV299,$AV$2:$AV$501,"&gt;"&amp;AU299,$BA$2:$BA$501,1)-1,"")</f>
        <v/>
      </c>
      <c r="BC299" s="21">
        <f>IF(N(BB299)&gt;0,"Clashes with "&amp;INDEX($AW$2:$AW$501,SUMPRODUCT(MAX(($AS$2:$AS$501=AS299)*($AT$2:$AT$501=AT299)*($AU$2:$AU$501&lt;AV299)*($AV$2:$AV$501&gt;AU299)*($BA$2:$BA$501=1)*(ROW($AS$2:$AS$501)&lt;&gt;ROW())*ROW($AS$2:$AS$501)))-1)&amp;" ("&amp;INDEX($AY$2:$AY$501,SUMPRODUCT(MAX(($AS$2:$AS$501=AS299)*($AT$2:$AT$501=AT299)*($AU$2:$AU$501&lt;AV299)*($AV$2:$AV$501&gt;AU299)*($BA$2:$BA$501=1)*(ROW($AS$2:$AS$501)&lt;&gt;ROW())*ROW($AS$2:$AS$501)))-1)&amp;")"&amp;IF(BB299&gt;1," and "&amp;(BB299-1)&amp;" more",""),"")</f>
        <v/>
      </c>
      <c r="BD299" s="21">
        <f>IF(AND(BA299=1,AY299="Confirmed"),AT299*10000000+AU299*1000+ROW(),"")</f>
        <v/>
      </c>
      <c r="BE299" s="21">
        <f>IF(IFERROR(TRIM(INDEX($A299:$AL299,MATCH(Lists!$F$2,$A$1:$AL$1,0))&amp;""),"")="","",IFERROR(TRIM(INDEX($A299:$AL299,MATCH(Lists!$F$11,$A$1:$AL$1,0))&amp;""),""))</f>
        <v/>
      </c>
      <c r="BF299" s="21">
        <f>IF(IFERROR(TRIM(INDEX($A299:$AL299,MATCH(Lists!$F$2,$A$1:$AL$1,0))&amp;""),"")="","",IFERROR(TRIM(INDEX($A299:$AL299,MATCH(Lists!$F$12,$A$1:$AL$1,0))&amp;""),""))</f>
        <v/>
      </c>
    </row>
    <row r="300">
      <c r="AM300" s="19" t="n"/>
      <c r="AN300" s="23" t="n"/>
      <c r="AO300" s="23" t="n"/>
      <c r="AP300" s="23" t="n"/>
      <c r="AQ300" s="23" t="n"/>
      <c r="AR300" s="19" t="n"/>
      <c r="AS300" s="21">
        <f>IF(IFERROR(TRIM(INDEX($A300:$AL300,MATCH(Lists!$F$2,$A$1:$AL$1,0))&amp;""),"")="","",IF(AND(IFERROR(TRIM(INDEX($A300:$AL300,MATCH(Lists!$F$3,$A$1:$AL$1,0))&amp;""),"")="Other",IFERROR(TRIM(INDEX($A300:$AL300,MATCH(Lists!$F$4,$A$1:$AL$1,0))&amp;""),"")&lt;&gt;""),IFERROR(TRIM(INDEX($A300:$AL300,MATCH(Lists!$F$4,$A$1:$AL$1,0))&amp;""),""),IF(IFERROR(TRIM(INDEX($A300:$AL300,MATCH(Lists!$F$3,$A$1:$AL$1,0))&amp;""),"")="","(no space)",IFERROR(TRIM(INDEX($A300:$AL300,MATCH(Lists!$F$3,$A$1:$AL$1,0))&amp;""),""))))</f>
        <v/>
      </c>
      <c r="AT300" s="22">
        <f>IF(IFERROR(TRIM(INDEX($A300:$AL300,MATCH(Lists!$F$2,$A$1:$AL$1,0))&amp;""),"")="",0,N(IFERROR(IF(TRIM(INDEX($A300:$AL300,MATCH(Lists!$F$5,$A$1:$AL$1,0))&amp;"")="","",IF(ISNUMBER(INDEX($A300:$AL300,MATCH(Lists!$F$5,$A$1:$AL$1,0))),INT(INDEX($A300:$AL300,MATCH(Lists!$F$5,$A$1:$AL$1,0))),DATE(VALUE(LEFT(INDEX($A300:$AL300,MATCH(Lists!$F$5,$A$1:$AL$1,0)),4)),VALUE(MID(INDEX($A300:$AL300,MATCH(Lists!$F$5,$A$1:$AL$1,0)),6,2)),VALUE(MID(INDEX($A300:$AL300,MATCH(Lists!$F$5,$A$1:$AL$1,0)),9,2))))),"")))</f>
        <v/>
      </c>
      <c r="AU300" s="21">
        <f>IF(IFERROR(TRIM(INDEX($A300:$AL300,MATCH(Lists!$F$2,$A$1:$AL$1,0))&amp;""),"")="",-1,IF(ISNUMBER(IFERROR(IF(TRIM(INDEX($A300:$AL300,MATCH(Lists!$F$6,$A$1:$AL$1,0))&amp;"")="","",IF(ISNUMBER(INDEX($A300:$AL300,MATCH(Lists!$F$6,$A$1:$AL$1,0))),ROUND(MOD(INDEX($A300:$AL300,MATCH(Lists!$F$6,$A$1:$AL$1,0)),1)*1440,0),VALUE(LEFT(INDEX($A300:$AL300,MATCH(Lists!$F$6,$A$1:$AL$1,0)),2))*60+VALUE(MID(INDEX($A300:$AL300,MATCH(Lists!$F$6,$A$1:$AL$1,0)),4,2)))),"")),IFERROR(IF(TRIM(INDEX($A300:$AL300,MATCH(Lists!$F$6,$A$1:$AL$1,0))&amp;"")="","",IF(ISNUMBER(INDEX($A300:$AL300,MATCH(Lists!$F$6,$A$1:$AL$1,0))),ROUND(MOD(INDEX($A300:$AL300,MATCH(Lists!$F$6,$A$1:$AL$1,0)),1)*1440,0),VALUE(LEFT(INDEX($A300:$AL300,MATCH(Lists!$F$6,$A$1:$AL$1,0)),2))*60+VALUE(MID(INDEX($A300:$AL300,MATCH(Lists!$F$6,$A$1:$AL$1,0)),4,2)))),""),-1))</f>
        <v/>
      </c>
      <c r="AV300" s="21">
        <f>IF(IFERROR(TRIM(INDEX($A300:$AL300,MATCH(Lists!$F$2,$A$1:$AL$1,0))&amp;""),"")="",-1,IF(ISNUMBER(IFERROR(IF(TRIM(INDEX($A300:$AL300,MATCH(Lists!$F$7,$A$1:$AL$1,0))&amp;"")="","",IF(ISNUMBER(INDEX($A300:$AL300,MATCH(Lists!$F$7,$A$1:$AL$1,0))),ROUND(MOD(INDEX($A300:$AL300,MATCH(Lists!$F$7,$A$1:$AL$1,0)),1)*1440,0),VALUE(LEFT(INDEX($A300:$AL300,MATCH(Lists!$F$7,$A$1:$AL$1,0)),2))*60+VALUE(MID(INDEX($A300:$AL300,MATCH(Lists!$F$7,$A$1:$AL$1,0)),4,2)))),"")),IFERROR(IF(TRIM(INDEX($A300:$AL300,MATCH(Lists!$F$7,$A$1:$AL$1,0))&amp;"")="","",IF(ISNUMBER(INDEX($A300:$AL300,MATCH(Lists!$F$7,$A$1:$AL$1,0))),ROUND(MOD(INDEX($A300:$AL300,MATCH(Lists!$F$7,$A$1:$AL$1,0)),1)*1440,0),VALUE(LEFT(INDEX($A300:$AL300,MATCH(Lists!$F$7,$A$1:$AL$1,0)),2))*60+VALUE(MID(INDEX($A300:$AL300,MATCH(Lists!$F$7,$A$1:$AL$1,0)),4,2)))),""),-1))</f>
        <v/>
      </c>
      <c r="AW300" s="21">
        <f>IF(IFERROR(TRIM(INDEX($A300:$AL300,MATCH(Lists!$F$2,$A$1:$AL$1,0))&amp;""),"")="","",IF(IFERROR(TRIM(INDEX($A300:$AL300,MATCH(Lists!$F$8,$A$1:$AL$1,0))&amp;""),"")&lt;&gt;"",IFERROR(TRIM(INDEX($A300:$AL300,MATCH(Lists!$F$8,$A$1:$AL$1,0))&amp;""),""),IFERROR(TRIM(INDEX($A300:$AL300,MATCH(Lists!$F$9,$A$1:$AL$1,0))&amp;""),"")))</f>
        <v/>
      </c>
      <c r="AX300" s="21">
        <f>IFERROR(IF(TRIM(INDEX($A300:$AL300,MATCH(Lists!$F$10,$A$1:$AL$1,0))&amp;"")="","",VALUE(TRIM(INDEX($A300:$AL300,MATCH(Lists!$F$10,$A$1:$AL$1,0))&amp;""))),"")</f>
        <v/>
      </c>
      <c r="AY300" s="21">
        <f>IF(IFERROR(TRIM(INDEX($A300:$AL300,MATCH(Lists!$F$2,$A$1:$AL$1,0))&amp;""),"")="","",IF(AN300="","New",AN300))</f>
        <v/>
      </c>
      <c r="AZ300" s="21">
        <f>IF(IFERROR(TRIM(INDEX($A300:$AL300,MATCH(Lists!$F$2,$A$1:$AL$1,0))&amp;""),"")="","",IF(OR(IFERROR(TRIM(INDEX($A300:$AL300,MATCH(Lists!$F$13,$A$1:$AL$1,0))&amp;""),"")="Paid",IFERROR(TRIM(INDEX($A300:$AL300,MATCH(Lists!$F$13,$A$1:$AL$1,0))&amp;""),"")="Partially refunded"),"Paid",IF(AP300="Yes","Paid (by hand)",IFERROR(TRIM(INDEX($A300:$AL300,MATCH(Lists!$F$13,$A$1:$AL$1,0))&amp;""),""))))</f>
        <v/>
      </c>
      <c r="BA300" s="21">
        <f>IF(AND(IFERROR(TRIM(INDEX($A300:$AL300,MATCH(Lists!$F$2,$A$1:$AL$1,0))&amp;""),"")&lt;&gt;"",AT300&gt;0,AU300&gt;=0,AV300&gt;AU300,AY300&lt;&gt;"Declined"),1,0)</f>
        <v/>
      </c>
      <c r="BB300" s="21">
        <f>IF(BA300=1,COUNTIFS($AS$2:$AS$501,AS300,$AT$2:$AT$501,AT300,$AU$2:$AU$501,"&lt;"&amp;AV300,$AV$2:$AV$501,"&gt;"&amp;AU300,$BA$2:$BA$501,1)-1,"")</f>
        <v/>
      </c>
      <c r="BC300" s="21">
        <f>IF(N(BB300)&gt;0,"Clashes with "&amp;INDEX($AW$2:$AW$501,SUMPRODUCT(MAX(($AS$2:$AS$501=AS300)*($AT$2:$AT$501=AT300)*($AU$2:$AU$501&lt;AV300)*($AV$2:$AV$501&gt;AU300)*($BA$2:$BA$501=1)*(ROW($AS$2:$AS$501)&lt;&gt;ROW())*ROW($AS$2:$AS$501)))-1)&amp;" ("&amp;INDEX($AY$2:$AY$501,SUMPRODUCT(MAX(($AS$2:$AS$501=AS300)*($AT$2:$AT$501=AT300)*($AU$2:$AU$501&lt;AV300)*($AV$2:$AV$501&gt;AU300)*($BA$2:$BA$501=1)*(ROW($AS$2:$AS$501)&lt;&gt;ROW())*ROW($AS$2:$AS$501)))-1)&amp;")"&amp;IF(BB300&gt;1," and "&amp;(BB300-1)&amp;" more",""),"")</f>
        <v/>
      </c>
      <c r="BD300" s="21">
        <f>IF(AND(BA300=1,AY300="Confirmed"),AT300*10000000+AU300*1000+ROW(),"")</f>
        <v/>
      </c>
      <c r="BE300" s="21">
        <f>IF(IFERROR(TRIM(INDEX($A300:$AL300,MATCH(Lists!$F$2,$A$1:$AL$1,0))&amp;""),"")="","",IFERROR(TRIM(INDEX($A300:$AL300,MATCH(Lists!$F$11,$A$1:$AL$1,0))&amp;""),""))</f>
        <v/>
      </c>
      <c r="BF300" s="21">
        <f>IF(IFERROR(TRIM(INDEX($A300:$AL300,MATCH(Lists!$F$2,$A$1:$AL$1,0))&amp;""),"")="","",IFERROR(TRIM(INDEX($A300:$AL300,MATCH(Lists!$F$12,$A$1:$AL$1,0))&amp;""),""))</f>
        <v/>
      </c>
    </row>
    <row r="301">
      <c r="AM301" s="19" t="n"/>
      <c r="AN301" s="23" t="n"/>
      <c r="AO301" s="23" t="n"/>
      <c r="AP301" s="23" t="n"/>
      <c r="AQ301" s="23" t="n"/>
      <c r="AR301" s="19" t="n"/>
      <c r="AS301" s="21">
        <f>IF(IFERROR(TRIM(INDEX($A301:$AL301,MATCH(Lists!$F$2,$A$1:$AL$1,0))&amp;""),"")="","",IF(AND(IFERROR(TRIM(INDEX($A301:$AL301,MATCH(Lists!$F$3,$A$1:$AL$1,0))&amp;""),"")="Other",IFERROR(TRIM(INDEX($A301:$AL301,MATCH(Lists!$F$4,$A$1:$AL$1,0))&amp;""),"")&lt;&gt;""),IFERROR(TRIM(INDEX($A301:$AL301,MATCH(Lists!$F$4,$A$1:$AL$1,0))&amp;""),""),IF(IFERROR(TRIM(INDEX($A301:$AL301,MATCH(Lists!$F$3,$A$1:$AL$1,0))&amp;""),"")="","(no space)",IFERROR(TRIM(INDEX($A301:$AL301,MATCH(Lists!$F$3,$A$1:$AL$1,0))&amp;""),""))))</f>
        <v/>
      </c>
      <c r="AT301" s="22">
        <f>IF(IFERROR(TRIM(INDEX($A301:$AL301,MATCH(Lists!$F$2,$A$1:$AL$1,0))&amp;""),"")="",0,N(IFERROR(IF(TRIM(INDEX($A301:$AL301,MATCH(Lists!$F$5,$A$1:$AL$1,0))&amp;"")="","",IF(ISNUMBER(INDEX($A301:$AL301,MATCH(Lists!$F$5,$A$1:$AL$1,0))),INT(INDEX($A301:$AL301,MATCH(Lists!$F$5,$A$1:$AL$1,0))),DATE(VALUE(LEFT(INDEX($A301:$AL301,MATCH(Lists!$F$5,$A$1:$AL$1,0)),4)),VALUE(MID(INDEX($A301:$AL301,MATCH(Lists!$F$5,$A$1:$AL$1,0)),6,2)),VALUE(MID(INDEX($A301:$AL301,MATCH(Lists!$F$5,$A$1:$AL$1,0)),9,2))))),"")))</f>
        <v/>
      </c>
      <c r="AU301" s="21">
        <f>IF(IFERROR(TRIM(INDEX($A301:$AL301,MATCH(Lists!$F$2,$A$1:$AL$1,0))&amp;""),"")="",-1,IF(ISNUMBER(IFERROR(IF(TRIM(INDEX($A301:$AL301,MATCH(Lists!$F$6,$A$1:$AL$1,0))&amp;"")="","",IF(ISNUMBER(INDEX($A301:$AL301,MATCH(Lists!$F$6,$A$1:$AL$1,0))),ROUND(MOD(INDEX($A301:$AL301,MATCH(Lists!$F$6,$A$1:$AL$1,0)),1)*1440,0),VALUE(LEFT(INDEX($A301:$AL301,MATCH(Lists!$F$6,$A$1:$AL$1,0)),2))*60+VALUE(MID(INDEX($A301:$AL301,MATCH(Lists!$F$6,$A$1:$AL$1,0)),4,2)))),"")),IFERROR(IF(TRIM(INDEX($A301:$AL301,MATCH(Lists!$F$6,$A$1:$AL$1,0))&amp;"")="","",IF(ISNUMBER(INDEX($A301:$AL301,MATCH(Lists!$F$6,$A$1:$AL$1,0))),ROUND(MOD(INDEX($A301:$AL301,MATCH(Lists!$F$6,$A$1:$AL$1,0)),1)*1440,0),VALUE(LEFT(INDEX($A301:$AL301,MATCH(Lists!$F$6,$A$1:$AL$1,0)),2))*60+VALUE(MID(INDEX($A301:$AL301,MATCH(Lists!$F$6,$A$1:$AL$1,0)),4,2)))),""),-1))</f>
        <v/>
      </c>
      <c r="AV301" s="21">
        <f>IF(IFERROR(TRIM(INDEX($A301:$AL301,MATCH(Lists!$F$2,$A$1:$AL$1,0))&amp;""),"")="",-1,IF(ISNUMBER(IFERROR(IF(TRIM(INDEX($A301:$AL301,MATCH(Lists!$F$7,$A$1:$AL$1,0))&amp;"")="","",IF(ISNUMBER(INDEX($A301:$AL301,MATCH(Lists!$F$7,$A$1:$AL$1,0))),ROUND(MOD(INDEX($A301:$AL301,MATCH(Lists!$F$7,$A$1:$AL$1,0)),1)*1440,0),VALUE(LEFT(INDEX($A301:$AL301,MATCH(Lists!$F$7,$A$1:$AL$1,0)),2))*60+VALUE(MID(INDEX($A301:$AL301,MATCH(Lists!$F$7,$A$1:$AL$1,0)),4,2)))),"")),IFERROR(IF(TRIM(INDEX($A301:$AL301,MATCH(Lists!$F$7,$A$1:$AL$1,0))&amp;"")="","",IF(ISNUMBER(INDEX($A301:$AL301,MATCH(Lists!$F$7,$A$1:$AL$1,0))),ROUND(MOD(INDEX($A301:$AL301,MATCH(Lists!$F$7,$A$1:$AL$1,0)),1)*1440,0),VALUE(LEFT(INDEX($A301:$AL301,MATCH(Lists!$F$7,$A$1:$AL$1,0)),2))*60+VALUE(MID(INDEX($A301:$AL301,MATCH(Lists!$F$7,$A$1:$AL$1,0)),4,2)))),""),-1))</f>
        <v/>
      </c>
      <c r="AW301" s="21">
        <f>IF(IFERROR(TRIM(INDEX($A301:$AL301,MATCH(Lists!$F$2,$A$1:$AL$1,0))&amp;""),"")="","",IF(IFERROR(TRIM(INDEX($A301:$AL301,MATCH(Lists!$F$8,$A$1:$AL$1,0))&amp;""),"")&lt;&gt;"",IFERROR(TRIM(INDEX($A301:$AL301,MATCH(Lists!$F$8,$A$1:$AL$1,0))&amp;""),""),IFERROR(TRIM(INDEX($A301:$AL301,MATCH(Lists!$F$9,$A$1:$AL$1,0))&amp;""),"")))</f>
        <v/>
      </c>
      <c r="AX301" s="21">
        <f>IFERROR(IF(TRIM(INDEX($A301:$AL301,MATCH(Lists!$F$10,$A$1:$AL$1,0))&amp;"")="","",VALUE(TRIM(INDEX($A301:$AL301,MATCH(Lists!$F$10,$A$1:$AL$1,0))&amp;""))),"")</f>
        <v/>
      </c>
      <c r="AY301" s="21">
        <f>IF(IFERROR(TRIM(INDEX($A301:$AL301,MATCH(Lists!$F$2,$A$1:$AL$1,0))&amp;""),"")="","",IF(AN301="","New",AN301))</f>
        <v/>
      </c>
      <c r="AZ301" s="21">
        <f>IF(IFERROR(TRIM(INDEX($A301:$AL301,MATCH(Lists!$F$2,$A$1:$AL$1,0))&amp;""),"")="","",IF(OR(IFERROR(TRIM(INDEX($A301:$AL301,MATCH(Lists!$F$13,$A$1:$AL$1,0))&amp;""),"")="Paid",IFERROR(TRIM(INDEX($A301:$AL301,MATCH(Lists!$F$13,$A$1:$AL$1,0))&amp;""),"")="Partially refunded"),"Paid",IF(AP301="Yes","Paid (by hand)",IFERROR(TRIM(INDEX($A301:$AL301,MATCH(Lists!$F$13,$A$1:$AL$1,0))&amp;""),""))))</f>
        <v/>
      </c>
      <c r="BA301" s="21">
        <f>IF(AND(IFERROR(TRIM(INDEX($A301:$AL301,MATCH(Lists!$F$2,$A$1:$AL$1,0))&amp;""),"")&lt;&gt;"",AT301&gt;0,AU301&gt;=0,AV301&gt;AU301,AY301&lt;&gt;"Declined"),1,0)</f>
        <v/>
      </c>
      <c r="BB301" s="21">
        <f>IF(BA301=1,COUNTIFS($AS$2:$AS$501,AS301,$AT$2:$AT$501,AT301,$AU$2:$AU$501,"&lt;"&amp;AV301,$AV$2:$AV$501,"&gt;"&amp;AU301,$BA$2:$BA$501,1)-1,"")</f>
        <v/>
      </c>
      <c r="BC301" s="21">
        <f>IF(N(BB301)&gt;0,"Clashes with "&amp;INDEX($AW$2:$AW$501,SUMPRODUCT(MAX(($AS$2:$AS$501=AS301)*($AT$2:$AT$501=AT301)*($AU$2:$AU$501&lt;AV301)*($AV$2:$AV$501&gt;AU301)*($BA$2:$BA$501=1)*(ROW($AS$2:$AS$501)&lt;&gt;ROW())*ROW($AS$2:$AS$501)))-1)&amp;" ("&amp;INDEX($AY$2:$AY$501,SUMPRODUCT(MAX(($AS$2:$AS$501=AS301)*($AT$2:$AT$501=AT301)*($AU$2:$AU$501&lt;AV301)*($AV$2:$AV$501&gt;AU301)*($BA$2:$BA$501=1)*(ROW($AS$2:$AS$501)&lt;&gt;ROW())*ROW($AS$2:$AS$501)))-1)&amp;")"&amp;IF(BB301&gt;1," and "&amp;(BB301-1)&amp;" more",""),"")</f>
        <v/>
      </c>
      <c r="BD301" s="21">
        <f>IF(AND(BA301=1,AY301="Confirmed"),AT301*10000000+AU301*1000+ROW(),"")</f>
        <v/>
      </c>
      <c r="BE301" s="21">
        <f>IF(IFERROR(TRIM(INDEX($A301:$AL301,MATCH(Lists!$F$2,$A$1:$AL$1,0))&amp;""),"")="","",IFERROR(TRIM(INDEX($A301:$AL301,MATCH(Lists!$F$11,$A$1:$AL$1,0))&amp;""),""))</f>
        <v/>
      </c>
      <c r="BF301" s="21">
        <f>IF(IFERROR(TRIM(INDEX($A301:$AL301,MATCH(Lists!$F$2,$A$1:$AL$1,0))&amp;""),"")="","",IFERROR(TRIM(INDEX($A301:$AL301,MATCH(Lists!$F$12,$A$1:$AL$1,0))&amp;""),""))</f>
        <v/>
      </c>
    </row>
    <row r="302">
      <c r="AM302" s="19" t="n"/>
      <c r="AN302" s="23" t="n"/>
      <c r="AO302" s="23" t="n"/>
      <c r="AP302" s="23" t="n"/>
      <c r="AQ302" s="23" t="n"/>
      <c r="AR302" s="19" t="n"/>
      <c r="AS302" s="21">
        <f>IF(IFERROR(TRIM(INDEX($A302:$AL302,MATCH(Lists!$F$2,$A$1:$AL$1,0))&amp;""),"")="","",IF(AND(IFERROR(TRIM(INDEX($A302:$AL302,MATCH(Lists!$F$3,$A$1:$AL$1,0))&amp;""),"")="Other",IFERROR(TRIM(INDEX($A302:$AL302,MATCH(Lists!$F$4,$A$1:$AL$1,0))&amp;""),"")&lt;&gt;""),IFERROR(TRIM(INDEX($A302:$AL302,MATCH(Lists!$F$4,$A$1:$AL$1,0))&amp;""),""),IF(IFERROR(TRIM(INDEX($A302:$AL302,MATCH(Lists!$F$3,$A$1:$AL$1,0))&amp;""),"")="","(no space)",IFERROR(TRIM(INDEX($A302:$AL302,MATCH(Lists!$F$3,$A$1:$AL$1,0))&amp;""),""))))</f>
        <v/>
      </c>
      <c r="AT302" s="22">
        <f>IF(IFERROR(TRIM(INDEX($A302:$AL302,MATCH(Lists!$F$2,$A$1:$AL$1,0))&amp;""),"")="",0,N(IFERROR(IF(TRIM(INDEX($A302:$AL302,MATCH(Lists!$F$5,$A$1:$AL$1,0))&amp;"")="","",IF(ISNUMBER(INDEX($A302:$AL302,MATCH(Lists!$F$5,$A$1:$AL$1,0))),INT(INDEX($A302:$AL302,MATCH(Lists!$F$5,$A$1:$AL$1,0))),DATE(VALUE(LEFT(INDEX($A302:$AL302,MATCH(Lists!$F$5,$A$1:$AL$1,0)),4)),VALUE(MID(INDEX($A302:$AL302,MATCH(Lists!$F$5,$A$1:$AL$1,0)),6,2)),VALUE(MID(INDEX($A302:$AL302,MATCH(Lists!$F$5,$A$1:$AL$1,0)),9,2))))),"")))</f>
        <v/>
      </c>
      <c r="AU302" s="21">
        <f>IF(IFERROR(TRIM(INDEX($A302:$AL302,MATCH(Lists!$F$2,$A$1:$AL$1,0))&amp;""),"")="",-1,IF(ISNUMBER(IFERROR(IF(TRIM(INDEX($A302:$AL302,MATCH(Lists!$F$6,$A$1:$AL$1,0))&amp;"")="","",IF(ISNUMBER(INDEX($A302:$AL302,MATCH(Lists!$F$6,$A$1:$AL$1,0))),ROUND(MOD(INDEX($A302:$AL302,MATCH(Lists!$F$6,$A$1:$AL$1,0)),1)*1440,0),VALUE(LEFT(INDEX($A302:$AL302,MATCH(Lists!$F$6,$A$1:$AL$1,0)),2))*60+VALUE(MID(INDEX($A302:$AL302,MATCH(Lists!$F$6,$A$1:$AL$1,0)),4,2)))),"")),IFERROR(IF(TRIM(INDEX($A302:$AL302,MATCH(Lists!$F$6,$A$1:$AL$1,0))&amp;"")="","",IF(ISNUMBER(INDEX($A302:$AL302,MATCH(Lists!$F$6,$A$1:$AL$1,0))),ROUND(MOD(INDEX($A302:$AL302,MATCH(Lists!$F$6,$A$1:$AL$1,0)),1)*1440,0),VALUE(LEFT(INDEX($A302:$AL302,MATCH(Lists!$F$6,$A$1:$AL$1,0)),2))*60+VALUE(MID(INDEX($A302:$AL302,MATCH(Lists!$F$6,$A$1:$AL$1,0)),4,2)))),""),-1))</f>
        <v/>
      </c>
      <c r="AV302" s="21">
        <f>IF(IFERROR(TRIM(INDEX($A302:$AL302,MATCH(Lists!$F$2,$A$1:$AL$1,0))&amp;""),"")="",-1,IF(ISNUMBER(IFERROR(IF(TRIM(INDEX($A302:$AL302,MATCH(Lists!$F$7,$A$1:$AL$1,0))&amp;"")="","",IF(ISNUMBER(INDEX($A302:$AL302,MATCH(Lists!$F$7,$A$1:$AL$1,0))),ROUND(MOD(INDEX($A302:$AL302,MATCH(Lists!$F$7,$A$1:$AL$1,0)),1)*1440,0),VALUE(LEFT(INDEX($A302:$AL302,MATCH(Lists!$F$7,$A$1:$AL$1,0)),2))*60+VALUE(MID(INDEX($A302:$AL302,MATCH(Lists!$F$7,$A$1:$AL$1,0)),4,2)))),"")),IFERROR(IF(TRIM(INDEX($A302:$AL302,MATCH(Lists!$F$7,$A$1:$AL$1,0))&amp;"")="","",IF(ISNUMBER(INDEX($A302:$AL302,MATCH(Lists!$F$7,$A$1:$AL$1,0))),ROUND(MOD(INDEX($A302:$AL302,MATCH(Lists!$F$7,$A$1:$AL$1,0)),1)*1440,0),VALUE(LEFT(INDEX($A302:$AL302,MATCH(Lists!$F$7,$A$1:$AL$1,0)),2))*60+VALUE(MID(INDEX($A302:$AL302,MATCH(Lists!$F$7,$A$1:$AL$1,0)),4,2)))),""),-1))</f>
        <v/>
      </c>
      <c r="AW302" s="21">
        <f>IF(IFERROR(TRIM(INDEX($A302:$AL302,MATCH(Lists!$F$2,$A$1:$AL$1,0))&amp;""),"")="","",IF(IFERROR(TRIM(INDEX($A302:$AL302,MATCH(Lists!$F$8,$A$1:$AL$1,0))&amp;""),"")&lt;&gt;"",IFERROR(TRIM(INDEX($A302:$AL302,MATCH(Lists!$F$8,$A$1:$AL$1,0))&amp;""),""),IFERROR(TRIM(INDEX($A302:$AL302,MATCH(Lists!$F$9,$A$1:$AL$1,0))&amp;""),"")))</f>
        <v/>
      </c>
      <c r="AX302" s="21">
        <f>IFERROR(IF(TRIM(INDEX($A302:$AL302,MATCH(Lists!$F$10,$A$1:$AL$1,0))&amp;"")="","",VALUE(TRIM(INDEX($A302:$AL302,MATCH(Lists!$F$10,$A$1:$AL$1,0))&amp;""))),"")</f>
        <v/>
      </c>
      <c r="AY302" s="21">
        <f>IF(IFERROR(TRIM(INDEX($A302:$AL302,MATCH(Lists!$F$2,$A$1:$AL$1,0))&amp;""),"")="","",IF(AN302="","New",AN302))</f>
        <v/>
      </c>
      <c r="AZ302" s="21">
        <f>IF(IFERROR(TRIM(INDEX($A302:$AL302,MATCH(Lists!$F$2,$A$1:$AL$1,0))&amp;""),"")="","",IF(OR(IFERROR(TRIM(INDEX($A302:$AL302,MATCH(Lists!$F$13,$A$1:$AL$1,0))&amp;""),"")="Paid",IFERROR(TRIM(INDEX($A302:$AL302,MATCH(Lists!$F$13,$A$1:$AL$1,0))&amp;""),"")="Partially refunded"),"Paid",IF(AP302="Yes","Paid (by hand)",IFERROR(TRIM(INDEX($A302:$AL302,MATCH(Lists!$F$13,$A$1:$AL$1,0))&amp;""),""))))</f>
        <v/>
      </c>
      <c r="BA302" s="21">
        <f>IF(AND(IFERROR(TRIM(INDEX($A302:$AL302,MATCH(Lists!$F$2,$A$1:$AL$1,0))&amp;""),"")&lt;&gt;"",AT302&gt;0,AU302&gt;=0,AV302&gt;AU302,AY302&lt;&gt;"Declined"),1,0)</f>
        <v/>
      </c>
      <c r="BB302" s="21">
        <f>IF(BA302=1,COUNTIFS($AS$2:$AS$501,AS302,$AT$2:$AT$501,AT302,$AU$2:$AU$501,"&lt;"&amp;AV302,$AV$2:$AV$501,"&gt;"&amp;AU302,$BA$2:$BA$501,1)-1,"")</f>
        <v/>
      </c>
      <c r="BC302" s="21">
        <f>IF(N(BB302)&gt;0,"Clashes with "&amp;INDEX($AW$2:$AW$501,SUMPRODUCT(MAX(($AS$2:$AS$501=AS302)*($AT$2:$AT$501=AT302)*($AU$2:$AU$501&lt;AV302)*($AV$2:$AV$501&gt;AU302)*($BA$2:$BA$501=1)*(ROW($AS$2:$AS$501)&lt;&gt;ROW())*ROW($AS$2:$AS$501)))-1)&amp;" ("&amp;INDEX($AY$2:$AY$501,SUMPRODUCT(MAX(($AS$2:$AS$501=AS302)*($AT$2:$AT$501=AT302)*($AU$2:$AU$501&lt;AV302)*($AV$2:$AV$501&gt;AU302)*($BA$2:$BA$501=1)*(ROW($AS$2:$AS$501)&lt;&gt;ROW())*ROW($AS$2:$AS$501)))-1)&amp;")"&amp;IF(BB302&gt;1," and "&amp;(BB302-1)&amp;" more",""),"")</f>
        <v/>
      </c>
      <c r="BD302" s="21">
        <f>IF(AND(BA302=1,AY302="Confirmed"),AT302*10000000+AU302*1000+ROW(),"")</f>
        <v/>
      </c>
      <c r="BE302" s="21">
        <f>IF(IFERROR(TRIM(INDEX($A302:$AL302,MATCH(Lists!$F$2,$A$1:$AL$1,0))&amp;""),"")="","",IFERROR(TRIM(INDEX($A302:$AL302,MATCH(Lists!$F$11,$A$1:$AL$1,0))&amp;""),""))</f>
        <v/>
      </c>
      <c r="BF302" s="21">
        <f>IF(IFERROR(TRIM(INDEX($A302:$AL302,MATCH(Lists!$F$2,$A$1:$AL$1,0))&amp;""),"")="","",IFERROR(TRIM(INDEX($A302:$AL302,MATCH(Lists!$F$12,$A$1:$AL$1,0))&amp;""),""))</f>
        <v/>
      </c>
    </row>
    <row r="303">
      <c r="AM303" s="19" t="n"/>
      <c r="AN303" s="23" t="n"/>
      <c r="AO303" s="23" t="n"/>
      <c r="AP303" s="23" t="n"/>
      <c r="AQ303" s="23" t="n"/>
      <c r="AR303" s="19" t="n"/>
      <c r="AS303" s="21">
        <f>IF(IFERROR(TRIM(INDEX($A303:$AL303,MATCH(Lists!$F$2,$A$1:$AL$1,0))&amp;""),"")="","",IF(AND(IFERROR(TRIM(INDEX($A303:$AL303,MATCH(Lists!$F$3,$A$1:$AL$1,0))&amp;""),"")="Other",IFERROR(TRIM(INDEX($A303:$AL303,MATCH(Lists!$F$4,$A$1:$AL$1,0))&amp;""),"")&lt;&gt;""),IFERROR(TRIM(INDEX($A303:$AL303,MATCH(Lists!$F$4,$A$1:$AL$1,0))&amp;""),""),IF(IFERROR(TRIM(INDEX($A303:$AL303,MATCH(Lists!$F$3,$A$1:$AL$1,0))&amp;""),"")="","(no space)",IFERROR(TRIM(INDEX($A303:$AL303,MATCH(Lists!$F$3,$A$1:$AL$1,0))&amp;""),""))))</f>
        <v/>
      </c>
      <c r="AT303" s="22">
        <f>IF(IFERROR(TRIM(INDEX($A303:$AL303,MATCH(Lists!$F$2,$A$1:$AL$1,0))&amp;""),"")="",0,N(IFERROR(IF(TRIM(INDEX($A303:$AL303,MATCH(Lists!$F$5,$A$1:$AL$1,0))&amp;"")="","",IF(ISNUMBER(INDEX($A303:$AL303,MATCH(Lists!$F$5,$A$1:$AL$1,0))),INT(INDEX($A303:$AL303,MATCH(Lists!$F$5,$A$1:$AL$1,0))),DATE(VALUE(LEFT(INDEX($A303:$AL303,MATCH(Lists!$F$5,$A$1:$AL$1,0)),4)),VALUE(MID(INDEX($A303:$AL303,MATCH(Lists!$F$5,$A$1:$AL$1,0)),6,2)),VALUE(MID(INDEX($A303:$AL303,MATCH(Lists!$F$5,$A$1:$AL$1,0)),9,2))))),"")))</f>
        <v/>
      </c>
      <c r="AU303" s="21">
        <f>IF(IFERROR(TRIM(INDEX($A303:$AL303,MATCH(Lists!$F$2,$A$1:$AL$1,0))&amp;""),"")="",-1,IF(ISNUMBER(IFERROR(IF(TRIM(INDEX($A303:$AL303,MATCH(Lists!$F$6,$A$1:$AL$1,0))&amp;"")="","",IF(ISNUMBER(INDEX($A303:$AL303,MATCH(Lists!$F$6,$A$1:$AL$1,0))),ROUND(MOD(INDEX($A303:$AL303,MATCH(Lists!$F$6,$A$1:$AL$1,0)),1)*1440,0),VALUE(LEFT(INDEX($A303:$AL303,MATCH(Lists!$F$6,$A$1:$AL$1,0)),2))*60+VALUE(MID(INDEX($A303:$AL303,MATCH(Lists!$F$6,$A$1:$AL$1,0)),4,2)))),"")),IFERROR(IF(TRIM(INDEX($A303:$AL303,MATCH(Lists!$F$6,$A$1:$AL$1,0))&amp;"")="","",IF(ISNUMBER(INDEX($A303:$AL303,MATCH(Lists!$F$6,$A$1:$AL$1,0))),ROUND(MOD(INDEX($A303:$AL303,MATCH(Lists!$F$6,$A$1:$AL$1,0)),1)*1440,0),VALUE(LEFT(INDEX($A303:$AL303,MATCH(Lists!$F$6,$A$1:$AL$1,0)),2))*60+VALUE(MID(INDEX($A303:$AL303,MATCH(Lists!$F$6,$A$1:$AL$1,0)),4,2)))),""),-1))</f>
        <v/>
      </c>
      <c r="AV303" s="21">
        <f>IF(IFERROR(TRIM(INDEX($A303:$AL303,MATCH(Lists!$F$2,$A$1:$AL$1,0))&amp;""),"")="",-1,IF(ISNUMBER(IFERROR(IF(TRIM(INDEX($A303:$AL303,MATCH(Lists!$F$7,$A$1:$AL$1,0))&amp;"")="","",IF(ISNUMBER(INDEX($A303:$AL303,MATCH(Lists!$F$7,$A$1:$AL$1,0))),ROUND(MOD(INDEX($A303:$AL303,MATCH(Lists!$F$7,$A$1:$AL$1,0)),1)*1440,0),VALUE(LEFT(INDEX($A303:$AL303,MATCH(Lists!$F$7,$A$1:$AL$1,0)),2))*60+VALUE(MID(INDEX($A303:$AL303,MATCH(Lists!$F$7,$A$1:$AL$1,0)),4,2)))),"")),IFERROR(IF(TRIM(INDEX($A303:$AL303,MATCH(Lists!$F$7,$A$1:$AL$1,0))&amp;"")="","",IF(ISNUMBER(INDEX($A303:$AL303,MATCH(Lists!$F$7,$A$1:$AL$1,0))),ROUND(MOD(INDEX($A303:$AL303,MATCH(Lists!$F$7,$A$1:$AL$1,0)),1)*1440,0),VALUE(LEFT(INDEX($A303:$AL303,MATCH(Lists!$F$7,$A$1:$AL$1,0)),2))*60+VALUE(MID(INDEX($A303:$AL303,MATCH(Lists!$F$7,$A$1:$AL$1,0)),4,2)))),""),-1))</f>
        <v/>
      </c>
      <c r="AW303" s="21">
        <f>IF(IFERROR(TRIM(INDEX($A303:$AL303,MATCH(Lists!$F$2,$A$1:$AL$1,0))&amp;""),"")="","",IF(IFERROR(TRIM(INDEX($A303:$AL303,MATCH(Lists!$F$8,$A$1:$AL$1,0))&amp;""),"")&lt;&gt;"",IFERROR(TRIM(INDEX($A303:$AL303,MATCH(Lists!$F$8,$A$1:$AL$1,0))&amp;""),""),IFERROR(TRIM(INDEX($A303:$AL303,MATCH(Lists!$F$9,$A$1:$AL$1,0))&amp;""),"")))</f>
        <v/>
      </c>
      <c r="AX303" s="21">
        <f>IFERROR(IF(TRIM(INDEX($A303:$AL303,MATCH(Lists!$F$10,$A$1:$AL$1,0))&amp;"")="","",VALUE(TRIM(INDEX($A303:$AL303,MATCH(Lists!$F$10,$A$1:$AL$1,0))&amp;""))),"")</f>
        <v/>
      </c>
      <c r="AY303" s="21">
        <f>IF(IFERROR(TRIM(INDEX($A303:$AL303,MATCH(Lists!$F$2,$A$1:$AL$1,0))&amp;""),"")="","",IF(AN303="","New",AN303))</f>
        <v/>
      </c>
      <c r="AZ303" s="21">
        <f>IF(IFERROR(TRIM(INDEX($A303:$AL303,MATCH(Lists!$F$2,$A$1:$AL$1,0))&amp;""),"")="","",IF(OR(IFERROR(TRIM(INDEX($A303:$AL303,MATCH(Lists!$F$13,$A$1:$AL$1,0))&amp;""),"")="Paid",IFERROR(TRIM(INDEX($A303:$AL303,MATCH(Lists!$F$13,$A$1:$AL$1,0))&amp;""),"")="Partially refunded"),"Paid",IF(AP303="Yes","Paid (by hand)",IFERROR(TRIM(INDEX($A303:$AL303,MATCH(Lists!$F$13,$A$1:$AL$1,0))&amp;""),""))))</f>
        <v/>
      </c>
      <c r="BA303" s="21">
        <f>IF(AND(IFERROR(TRIM(INDEX($A303:$AL303,MATCH(Lists!$F$2,$A$1:$AL$1,0))&amp;""),"")&lt;&gt;"",AT303&gt;0,AU303&gt;=0,AV303&gt;AU303,AY303&lt;&gt;"Declined"),1,0)</f>
        <v/>
      </c>
      <c r="BB303" s="21">
        <f>IF(BA303=1,COUNTIFS($AS$2:$AS$501,AS303,$AT$2:$AT$501,AT303,$AU$2:$AU$501,"&lt;"&amp;AV303,$AV$2:$AV$501,"&gt;"&amp;AU303,$BA$2:$BA$501,1)-1,"")</f>
        <v/>
      </c>
      <c r="BC303" s="21">
        <f>IF(N(BB303)&gt;0,"Clashes with "&amp;INDEX($AW$2:$AW$501,SUMPRODUCT(MAX(($AS$2:$AS$501=AS303)*($AT$2:$AT$501=AT303)*($AU$2:$AU$501&lt;AV303)*($AV$2:$AV$501&gt;AU303)*($BA$2:$BA$501=1)*(ROW($AS$2:$AS$501)&lt;&gt;ROW())*ROW($AS$2:$AS$501)))-1)&amp;" ("&amp;INDEX($AY$2:$AY$501,SUMPRODUCT(MAX(($AS$2:$AS$501=AS303)*($AT$2:$AT$501=AT303)*($AU$2:$AU$501&lt;AV303)*($AV$2:$AV$501&gt;AU303)*($BA$2:$BA$501=1)*(ROW($AS$2:$AS$501)&lt;&gt;ROW())*ROW($AS$2:$AS$501)))-1)&amp;")"&amp;IF(BB303&gt;1," and "&amp;(BB303-1)&amp;" more",""),"")</f>
        <v/>
      </c>
      <c r="BD303" s="21">
        <f>IF(AND(BA303=1,AY303="Confirmed"),AT303*10000000+AU303*1000+ROW(),"")</f>
        <v/>
      </c>
      <c r="BE303" s="21">
        <f>IF(IFERROR(TRIM(INDEX($A303:$AL303,MATCH(Lists!$F$2,$A$1:$AL$1,0))&amp;""),"")="","",IFERROR(TRIM(INDEX($A303:$AL303,MATCH(Lists!$F$11,$A$1:$AL$1,0))&amp;""),""))</f>
        <v/>
      </c>
      <c r="BF303" s="21">
        <f>IF(IFERROR(TRIM(INDEX($A303:$AL303,MATCH(Lists!$F$2,$A$1:$AL$1,0))&amp;""),"")="","",IFERROR(TRIM(INDEX($A303:$AL303,MATCH(Lists!$F$12,$A$1:$AL$1,0))&amp;""),""))</f>
        <v/>
      </c>
    </row>
    <row r="304">
      <c r="AM304" s="19" t="n"/>
      <c r="AN304" s="23" t="n"/>
      <c r="AO304" s="23" t="n"/>
      <c r="AP304" s="23" t="n"/>
      <c r="AQ304" s="23" t="n"/>
      <c r="AR304" s="19" t="n"/>
      <c r="AS304" s="21">
        <f>IF(IFERROR(TRIM(INDEX($A304:$AL304,MATCH(Lists!$F$2,$A$1:$AL$1,0))&amp;""),"")="","",IF(AND(IFERROR(TRIM(INDEX($A304:$AL304,MATCH(Lists!$F$3,$A$1:$AL$1,0))&amp;""),"")="Other",IFERROR(TRIM(INDEX($A304:$AL304,MATCH(Lists!$F$4,$A$1:$AL$1,0))&amp;""),"")&lt;&gt;""),IFERROR(TRIM(INDEX($A304:$AL304,MATCH(Lists!$F$4,$A$1:$AL$1,0))&amp;""),""),IF(IFERROR(TRIM(INDEX($A304:$AL304,MATCH(Lists!$F$3,$A$1:$AL$1,0))&amp;""),"")="","(no space)",IFERROR(TRIM(INDEX($A304:$AL304,MATCH(Lists!$F$3,$A$1:$AL$1,0))&amp;""),""))))</f>
        <v/>
      </c>
      <c r="AT304" s="22">
        <f>IF(IFERROR(TRIM(INDEX($A304:$AL304,MATCH(Lists!$F$2,$A$1:$AL$1,0))&amp;""),"")="",0,N(IFERROR(IF(TRIM(INDEX($A304:$AL304,MATCH(Lists!$F$5,$A$1:$AL$1,0))&amp;"")="","",IF(ISNUMBER(INDEX($A304:$AL304,MATCH(Lists!$F$5,$A$1:$AL$1,0))),INT(INDEX($A304:$AL304,MATCH(Lists!$F$5,$A$1:$AL$1,0))),DATE(VALUE(LEFT(INDEX($A304:$AL304,MATCH(Lists!$F$5,$A$1:$AL$1,0)),4)),VALUE(MID(INDEX($A304:$AL304,MATCH(Lists!$F$5,$A$1:$AL$1,0)),6,2)),VALUE(MID(INDEX($A304:$AL304,MATCH(Lists!$F$5,$A$1:$AL$1,0)),9,2))))),"")))</f>
        <v/>
      </c>
      <c r="AU304" s="21">
        <f>IF(IFERROR(TRIM(INDEX($A304:$AL304,MATCH(Lists!$F$2,$A$1:$AL$1,0))&amp;""),"")="",-1,IF(ISNUMBER(IFERROR(IF(TRIM(INDEX($A304:$AL304,MATCH(Lists!$F$6,$A$1:$AL$1,0))&amp;"")="","",IF(ISNUMBER(INDEX($A304:$AL304,MATCH(Lists!$F$6,$A$1:$AL$1,0))),ROUND(MOD(INDEX($A304:$AL304,MATCH(Lists!$F$6,$A$1:$AL$1,0)),1)*1440,0),VALUE(LEFT(INDEX($A304:$AL304,MATCH(Lists!$F$6,$A$1:$AL$1,0)),2))*60+VALUE(MID(INDEX($A304:$AL304,MATCH(Lists!$F$6,$A$1:$AL$1,0)),4,2)))),"")),IFERROR(IF(TRIM(INDEX($A304:$AL304,MATCH(Lists!$F$6,$A$1:$AL$1,0))&amp;"")="","",IF(ISNUMBER(INDEX($A304:$AL304,MATCH(Lists!$F$6,$A$1:$AL$1,0))),ROUND(MOD(INDEX($A304:$AL304,MATCH(Lists!$F$6,$A$1:$AL$1,0)),1)*1440,0),VALUE(LEFT(INDEX($A304:$AL304,MATCH(Lists!$F$6,$A$1:$AL$1,0)),2))*60+VALUE(MID(INDEX($A304:$AL304,MATCH(Lists!$F$6,$A$1:$AL$1,0)),4,2)))),""),-1))</f>
        <v/>
      </c>
      <c r="AV304" s="21">
        <f>IF(IFERROR(TRIM(INDEX($A304:$AL304,MATCH(Lists!$F$2,$A$1:$AL$1,0))&amp;""),"")="",-1,IF(ISNUMBER(IFERROR(IF(TRIM(INDEX($A304:$AL304,MATCH(Lists!$F$7,$A$1:$AL$1,0))&amp;"")="","",IF(ISNUMBER(INDEX($A304:$AL304,MATCH(Lists!$F$7,$A$1:$AL$1,0))),ROUND(MOD(INDEX($A304:$AL304,MATCH(Lists!$F$7,$A$1:$AL$1,0)),1)*1440,0),VALUE(LEFT(INDEX($A304:$AL304,MATCH(Lists!$F$7,$A$1:$AL$1,0)),2))*60+VALUE(MID(INDEX($A304:$AL304,MATCH(Lists!$F$7,$A$1:$AL$1,0)),4,2)))),"")),IFERROR(IF(TRIM(INDEX($A304:$AL304,MATCH(Lists!$F$7,$A$1:$AL$1,0))&amp;"")="","",IF(ISNUMBER(INDEX($A304:$AL304,MATCH(Lists!$F$7,$A$1:$AL$1,0))),ROUND(MOD(INDEX($A304:$AL304,MATCH(Lists!$F$7,$A$1:$AL$1,0)),1)*1440,0),VALUE(LEFT(INDEX($A304:$AL304,MATCH(Lists!$F$7,$A$1:$AL$1,0)),2))*60+VALUE(MID(INDEX($A304:$AL304,MATCH(Lists!$F$7,$A$1:$AL$1,0)),4,2)))),""),-1))</f>
        <v/>
      </c>
      <c r="AW304" s="21">
        <f>IF(IFERROR(TRIM(INDEX($A304:$AL304,MATCH(Lists!$F$2,$A$1:$AL$1,0))&amp;""),"")="","",IF(IFERROR(TRIM(INDEX($A304:$AL304,MATCH(Lists!$F$8,$A$1:$AL$1,0))&amp;""),"")&lt;&gt;"",IFERROR(TRIM(INDEX($A304:$AL304,MATCH(Lists!$F$8,$A$1:$AL$1,0))&amp;""),""),IFERROR(TRIM(INDEX($A304:$AL304,MATCH(Lists!$F$9,$A$1:$AL$1,0))&amp;""),"")))</f>
        <v/>
      </c>
      <c r="AX304" s="21">
        <f>IFERROR(IF(TRIM(INDEX($A304:$AL304,MATCH(Lists!$F$10,$A$1:$AL$1,0))&amp;"")="","",VALUE(TRIM(INDEX($A304:$AL304,MATCH(Lists!$F$10,$A$1:$AL$1,0))&amp;""))),"")</f>
        <v/>
      </c>
      <c r="AY304" s="21">
        <f>IF(IFERROR(TRIM(INDEX($A304:$AL304,MATCH(Lists!$F$2,$A$1:$AL$1,0))&amp;""),"")="","",IF(AN304="","New",AN304))</f>
        <v/>
      </c>
      <c r="AZ304" s="21">
        <f>IF(IFERROR(TRIM(INDEX($A304:$AL304,MATCH(Lists!$F$2,$A$1:$AL$1,0))&amp;""),"")="","",IF(OR(IFERROR(TRIM(INDEX($A304:$AL304,MATCH(Lists!$F$13,$A$1:$AL$1,0))&amp;""),"")="Paid",IFERROR(TRIM(INDEX($A304:$AL304,MATCH(Lists!$F$13,$A$1:$AL$1,0))&amp;""),"")="Partially refunded"),"Paid",IF(AP304="Yes","Paid (by hand)",IFERROR(TRIM(INDEX($A304:$AL304,MATCH(Lists!$F$13,$A$1:$AL$1,0))&amp;""),""))))</f>
        <v/>
      </c>
      <c r="BA304" s="21">
        <f>IF(AND(IFERROR(TRIM(INDEX($A304:$AL304,MATCH(Lists!$F$2,$A$1:$AL$1,0))&amp;""),"")&lt;&gt;"",AT304&gt;0,AU304&gt;=0,AV304&gt;AU304,AY304&lt;&gt;"Declined"),1,0)</f>
        <v/>
      </c>
      <c r="BB304" s="21">
        <f>IF(BA304=1,COUNTIFS($AS$2:$AS$501,AS304,$AT$2:$AT$501,AT304,$AU$2:$AU$501,"&lt;"&amp;AV304,$AV$2:$AV$501,"&gt;"&amp;AU304,$BA$2:$BA$501,1)-1,"")</f>
        <v/>
      </c>
      <c r="BC304" s="21">
        <f>IF(N(BB304)&gt;0,"Clashes with "&amp;INDEX($AW$2:$AW$501,SUMPRODUCT(MAX(($AS$2:$AS$501=AS304)*($AT$2:$AT$501=AT304)*($AU$2:$AU$501&lt;AV304)*($AV$2:$AV$501&gt;AU304)*($BA$2:$BA$501=1)*(ROW($AS$2:$AS$501)&lt;&gt;ROW())*ROW($AS$2:$AS$501)))-1)&amp;" ("&amp;INDEX($AY$2:$AY$501,SUMPRODUCT(MAX(($AS$2:$AS$501=AS304)*($AT$2:$AT$501=AT304)*($AU$2:$AU$501&lt;AV304)*($AV$2:$AV$501&gt;AU304)*($BA$2:$BA$501=1)*(ROW($AS$2:$AS$501)&lt;&gt;ROW())*ROW($AS$2:$AS$501)))-1)&amp;")"&amp;IF(BB304&gt;1," and "&amp;(BB304-1)&amp;" more",""),"")</f>
        <v/>
      </c>
      <c r="BD304" s="21">
        <f>IF(AND(BA304=1,AY304="Confirmed"),AT304*10000000+AU304*1000+ROW(),"")</f>
        <v/>
      </c>
      <c r="BE304" s="21">
        <f>IF(IFERROR(TRIM(INDEX($A304:$AL304,MATCH(Lists!$F$2,$A$1:$AL$1,0))&amp;""),"")="","",IFERROR(TRIM(INDEX($A304:$AL304,MATCH(Lists!$F$11,$A$1:$AL$1,0))&amp;""),""))</f>
        <v/>
      </c>
      <c r="BF304" s="21">
        <f>IF(IFERROR(TRIM(INDEX($A304:$AL304,MATCH(Lists!$F$2,$A$1:$AL$1,0))&amp;""),"")="","",IFERROR(TRIM(INDEX($A304:$AL304,MATCH(Lists!$F$12,$A$1:$AL$1,0))&amp;""),""))</f>
        <v/>
      </c>
    </row>
    <row r="305">
      <c r="AM305" s="19" t="n"/>
      <c r="AN305" s="23" t="n"/>
      <c r="AO305" s="23" t="n"/>
      <c r="AP305" s="23" t="n"/>
      <c r="AQ305" s="23" t="n"/>
      <c r="AR305" s="19" t="n"/>
      <c r="AS305" s="21">
        <f>IF(IFERROR(TRIM(INDEX($A305:$AL305,MATCH(Lists!$F$2,$A$1:$AL$1,0))&amp;""),"")="","",IF(AND(IFERROR(TRIM(INDEX($A305:$AL305,MATCH(Lists!$F$3,$A$1:$AL$1,0))&amp;""),"")="Other",IFERROR(TRIM(INDEX($A305:$AL305,MATCH(Lists!$F$4,$A$1:$AL$1,0))&amp;""),"")&lt;&gt;""),IFERROR(TRIM(INDEX($A305:$AL305,MATCH(Lists!$F$4,$A$1:$AL$1,0))&amp;""),""),IF(IFERROR(TRIM(INDEX($A305:$AL305,MATCH(Lists!$F$3,$A$1:$AL$1,0))&amp;""),"")="","(no space)",IFERROR(TRIM(INDEX($A305:$AL305,MATCH(Lists!$F$3,$A$1:$AL$1,0))&amp;""),""))))</f>
        <v/>
      </c>
      <c r="AT305" s="22">
        <f>IF(IFERROR(TRIM(INDEX($A305:$AL305,MATCH(Lists!$F$2,$A$1:$AL$1,0))&amp;""),"")="",0,N(IFERROR(IF(TRIM(INDEX($A305:$AL305,MATCH(Lists!$F$5,$A$1:$AL$1,0))&amp;"")="","",IF(ISNUMBER(INDEX($A305:$AL305,MATCH(Lists!$F$5,$A$1:$AL$1,0))),INT(INDEX($A305:$AL305,MATCH(Lists!$F$5,$A$1:$AL$1,0))),DATE(VALUE(LEFT(INDEX($A305:$AL305,MATCH(Lists!$F$5,$A$1:$AL$1,0)),4)),VALUE(MID(INDEX($A305:$AL305,MATCH(Lists!$F$5,$A$1:$AL$1,0)),6,2)),VALUE(MID(INDEX($A305:$AL305,MATCH(Lists!$F$5,$A$1:$AL$1,0)),9,2))))),"")))</f>
        <v/>
      </c>
      <c r="AU305" s="21">
        <f>IF(IFERROR(TRIM(INDEX($A305:$AL305,MATCH(Lists!$F$2,$A$1:$AL$1,0))&amp;""),"")="",-1,IF(ISNUMBER(IFERROR(IF(TRIM(INDEX($A305:$AL305,MATCH(Lists!$F$6,$A$1:$AL$1,0))&amp;"")="","",IF(ISNUMBER(INDEX($A305:$AL305,MATCH(Lists!$F$6,$A$1:$AL$1,0))),ROUND(MOD(INDEX($A305:$AL305,MATCH(Lists!$F$6,$A$1:$AL$1,0)),1)*1440,0),VALUE(LEFT(INDEX($A305:$AL305,MATCH(Lists!$F$6,$A$1:$AL$1,0)),2))*60+VALUE(MID(INDEX($A305:$AL305,MATCH(Lists!$F$6,$A$1:$AL$1,0)),4,2)))),"")),IFERROR(IF(TRIM(INDEX($A305:$AL305,MATCH(Lists!$F$6,$A$1:$AL$1,0))&amp;"")="","",IF(ISNUMBER(INDEX($A305:$AL305,MATCH(Lists!$F$6,$A$1:$AL$1,0))),ROUND(MOD(INDEX($A305:$AL305,MATCH(Lists!$F$6,$A$1:$AL$1,0)),1)*1440,0),VALUE(LEFT(INDEX($A305:$AL305,MATCH(Lists!$F$6,$A$1:$AL$1,0)),2))*60+VALUE(MID(INDEX($A305:$AL305,MATCH(Lists!$F$6,$A$1:$AL$1,0)),4,2)))),""),-1))</f>
        <v/>
      </c>
      <c r="AV305" s="21">
        <f>IF(IFERROR(TRIM(INDEX($A305:$AL305,MATCH(Lists!$F$2,$A$1:$AL$1,0))&amp;""),"")="",-1,IF(ISNUMBER(IFERROR(IF(TRIM(INDEX($A305:$AL305,MATCH(Lists!$F$7,$A$1:$AL$1,0))&amp;"")="","",IF(ISNUMBER(INDEX($A305:$AL305,MATCH(Lists!$F$7,$A$1:$AL$1,0))),ROUND(MOD(INDEX($A305:$AL305,MATCH(Lists!$F$7,$A$1:$AL$1,0)),1)*1440,0),VALUE(LEFT(INDEX($A305:$AL305,MATCH(Lists!$F$7,$A$1:$AL$1,0)),2))*60+VALUE(MID(INDEX($A305:$AL305,MATCH(Lists!$F$7,$A$1:$AL$1,0)),4,2)))),"")),IFERROR(IF(TRIM(INDEX($A305:$AL305,MATCH(Lists!$F$7,$A$1:$AL$1,0))&amp;"")="","",IF(ISNUMBER(INDEX($A305:$AL305,MATCH(Lists!$F$7,$A$1:$AL$1,0))),ROUND(MOD(INDEX($A305:$AL305,MATCH(Lists!$F$7,$A$1:$AL$1,0)),1)*1440,0),VALUE(LEFT(INDEX($A305:$AL305,MATCH(Lists!$F$7,$A$1:$AL$1,0)),2))*60+VALUE(MID(INDEX($A305:$AL305,MATCH(Lists!$F$7,$A$1:$AL$1,0)),4,2)))),""),-1))</f>
        <v/>
      </c>
      <c r="AW305" s="21">
        <f>IF(IFERROR(TRIM(INDEX($A305:$AL305,MATCH(Lists!$F$2,$A$1:$AL$1,0))&amp;""),"")="","",IF(IFERROR(TRIM(INDEX($A305:$AL305,MATCH(Lists!$F$8,$A$1:$AL$1,0))&amp;""),"")&lt;&gt;"",IFERROR(TRIM(INDEX($A305:$AL305,MATCH(Lists!$F$8,$A$1:$AL$1,0))&amp;""),""),IFERROR(TRIM(INDEX($A305:$AL305,MATCH(Lists!$F$9,$A$1:$AL$1,0))&amp;""),"")))</f>
        <v/>
      </c>
      <c r="AX305" s="21">
        <f>IFERROR(IF(TRIM(INDEX($A305:$AL305,MATCH(Lists!$F$10,$A$1:$AL$1,0))&amp;"")="","",VALUE(TRIM(INDEX($A305:$AL305,MATCH(Lists!$F$10,$A$1:$AL$1,0))&amp;""))),"")</f>
        <v/>
      </c>
      <c r="AY305" s="21">
        <f>IF(IFERROR(TRIM(INDEX($A305:$AL305,MATCH(Lists!$F$2,$A$1:$AL$1,0))&amp;""),"")="","",IF(AN305="","New",AN305))</f>
        <v/>
      </c>
      <c r="AZ305" s="21">
        <f>IF(IFERROR(TRIM(INDEX($A305:$AL305,MATCH(Lists!$F$2,$A$1:$AL$1,0))&amp;""),"")="","",IF(OR(IFERROR(TRIM(INDEX($A305:$AL305,MATCH(Lists!$F$13,$A$1:$AL$1,0))&amp;""),"")="Paid",IFERROR(TRIM(INDEX($A305:$AL305,MATCH(Lists!$F$13,$A$1:$AL$1,0))&amp;""),"")="Partially refunded"),"Paid",IF(AP305="Yes","Paid (by hand)",IFERROR(TRIM(INDEX($A305:$AL305,MATCH(Lists!$F$13,$A$1:$AL$1,0))&amp;""),""))))</f>
        <v/>
      </c>
      <c r="BA305" s="21">
        <f>IF(AND(IFERROR(TRIM(INDEX($A305:$AL305,MATCH(Lists!$F$2,$A$1:$AL$1,0))&amp;""),"")&lt;&gt;"",AT305&gt;0,AU305&gt;=0,AV305&gt;AU305,AY305&lt;&gt;"Declined"),1,0)</f>
        <v/>
      </c>
      <c r="BB305" s="21">
        <f>IF(BA305=1,COUNTIFS($AS$2:$AS$501,AS305,$AT$2:$AT$501,AT305,$AU$2:$AU$501,"&lt;"&amp;AV305,$AV$2:$AV$501,"&gt;"&amp;AU305,$BA$2:$BA$501,1)-1,"")</f>
        <v/>
      </c>
      <c r="BC305" s="21">
        <f>IF(N(BB305)&gt;0,"Clashes with "&amp;INDEX($AW$2:$AW$501,SUMPRODUCT(MAX(($AS$2:$AS$501=AS305)*($AT$2:$AT$501=AT305)*($AU$2:$AU$501&lt;AV305)*($AV$2:$AV$501&gt;AU305)*($BA$2:$BA$501=1)*(ROW($AS$2:$AS$501)&lt;&gt;ROW())*ROW($AS$2:$AS$501)))-1)&amp;" ("&amp;INDEX($AY$2:$AY$501,SUMPRODUCT(MAX(($AS$2:$AS$501=AS305)*($AT$2:$AT$501=AT305)*($AU$2:$AU$501&lt;AV305)*($AV$2:$AV$501&gt;AU305)*($BA$2:$BA$501=1)*(ROW($AS$2:$AS$501)&lt;&gt;ROW())*ROW($AS$2:$AS$501)))-1)&amp;")"&amp;IF(BB305&gt;1," and "&amp;(BB305-1)&amp;" more",""),"")</f>
        <v/>
      </c>
      <c r="BD305" s="21">
        <f>IF(AND(BA305=1,AY305="Confirmed"),AT305*10000000+AU305*1000+ROW(),"")</f>
        <v/>
      </c>
      <c r="BE305" s="21">
        <f>IF(IFERROR(TRIM(INDEX($A305:$AL305,MATCH(Lists!$F$2,$A$1:$AL$1,0))&amp;""),"")="","",IFERROR(TRIM(INDEX($A305:$AL305,MATCH(Lists!$F$11,$A$1:$AL$1,0))&amp;""),""))</f>
        <v/>
      </c>
      <c r="BF305" s="21">
        <f>IF(IFERROR(TRIM(INDEX($A305:$AL305,MATCH(Lists!$F$2,$A$1:$AL$1,0))&amp;""),"")="","",IFERROR(TRIM(INDEX($A305:$AL305,MATCH(Lists!$F$12,$A$1:$AL$1,0))&amp;""),""))</f>
        <v/>
      </c>
    </row>
    <row r="306">
      <c r="AM306" s="19" t="n"/>
      <c r="AN306" s="23" t="n"/>
      <c r="AO306" s="23" t="n"/>
      <c r="AP306" s="23" t="n"/>
      <c r="AQ306" s="23" t="n"/>
      <c r="AR306" s="19" t="n"/>
      <c r="AS306" s="21">
        <f>IF(IFERROR(TRIM(INDEX($A306:$AL306,MATCH(Lists!$F$2,$A$1:$AL$1,0))&amp;""),"")="","",IF(AND(IFERROR(TRIM(INDEX($A306:$AL306,MATCH(Lists!$F$3,$A$1:$AL$1,0))&amp;""),"")="Other",IFERROR(TRIM(INDEX($A306:$AL306,MATCH(Lists!$F$4,$A$1:$AL$1,0))&amp;""),"")&lt;&gt;""),IFERROR(TRIM(INDEX($A306:$AL306,MATCH(Lists!$F$4,$A$1:$AL$1,0))&amp;""),""),IF(IFERROR(TRIM(INDEX($A306:$AL306,MATCH(Lists!$F$3,$A$1:$AL$1,0))&amp;""),"")="","(no space)",IFERROR(TRIM(INDEX($A306:$AL306,MATCH(Lists!$F$3,$A$1:$AL$1,0))&amp;""),""))))</f>
        <v/>
      </c>
      <c r="AT306" s="22">
        <f>IF(IFERROR(TRIM(INDEX($A306:$AL306,MATCH(Lists!$F$2,$A$1:$AL$1,0))&amp;""),"")="",0,N(IFERROR(IF(TRIM(INDEX($A306:$AL306,MATCH(Lists!$F$5,$A$1:$AL$1,0))&amp;"")="","",IF(ISNUMBER(INDEX($A306:$AL306,MATCH(Lists!$F$5,$A$1:$AL$1,0))),INT(INDEX($A306:$AL306,MATCH(Lists!$F$5,$A$1:$AL$1,0))),DATE(VALUE(LEFT(INDEX($A306:$AL306,MATCH(Lists!$F$5,$A$1:$AL$1,0)),4)),VALUE(MID(INDEX($A306:$AL306,MATCH(Lists!$F$5,$A$1:$AL$1,0)),6,2)),VALUE(MID(INDEX($A306:$AL306,MATCH(Lists!$F$5,$A$1:$AL$1,0)),9,2))))),"")))</f>
        <v/>
      </c>
      <c r="AU306" s="21">
        <f>IF(IFERROR(TRIM(INDEX($A306:$AL306,MATCH(Lists!$F$2,$A$1:$AL$1,0))&amp;""),"")="",-1,IF(ISNUMBER(IFERROR(IF(TRIM(INDEX($A306:$AL306,MATCH(Lists!$F$6,$A$1:$AL$1,0))&amp;"")="","",IF(ISNUMBER(INDEX($A306:$AL306,MATCH(Lists!$F$6,$A$1:$AL$1,0))),ROUND(MOD(INDEX($A306:$AL306,MATCH(Lists!$F$6,$A$1:$AL$1,0)),1)*1440,0),VALUE(LEFT(INDEX($A306:$AL306,MATCH(Lists!$F$6,$A$1:$AL$1,0)),2))*60+VALUE(MID(INDEX($A306:$AL306,MATCH(Lists!$F$6,$A$1:$AL$1,0)),4,2)))),"")),IFERROR(IF(TRIM(INDEX($A306:$AL306,MATCH(Lists!$F$6,$A$1:$AL$1,0))&amp;"")="","",IF(ISNUMBER(INDEX($A306:$AL306,MATCH(Lists!$F$6,$A$1:$AL$1,0))),ROUND(MOD(INDEX($A306:$AL306,MATCH(Lists!$F$6,$A$1:$AL$1,0)),1)*1440,0),VALUE(LEFT(INDEX($A306:$AL306,MATCH(Lists!$F$6,$A$1:$AL$1,0)),2))*60+VALUE(MID(INDEX($A306:$AL306,MATCH(Lists!$F$6,$A$1:$AL$1,0)),4,2)))),""),-1))</f>
        <v/>
      </c>
      <c r="AV306" s="21">
        <f>IF(IFERROR(TRIM(INDEX($A306:$AL306,MATCH(Lists!$F$2,$A$1:$AL$1,0))&amp;""),"")="",-1,IF(ISNUMBER(IFERROR(IF(TRIM(INDEX($A306:$AL306,MATCH(Lists!$F$7,$A$1:$AL$1,0))&amp;"")="","",IF(ISNUMBER(INDEX($A306:$AL306,MATCH(Lists!$F$7,$A$1:$AL$1,0))),ROUND(MOD(INDEX($A306:$AL306,MATCH(Lists!$F$7,$A$1:$AL$1,0)),1)*1440,0),VALUE(LEFT(INDEX($A306:$AL306,MATCH(Lists!$F$7,$A$1:$AL$1,0)),2))*60+VALUE(MID(INDEX($A306:$AL306,MATCH(Lists!$F$7,$A$1:$AL$1,0)),4,2)))),"")),IFERROR(IF(TRIM(INDEX($A306:$AL306,MATCH(Lists!$F$7,$A$1:$AL$1,0))&amp;"")="","",IF(ISNUMBER(INDEX($A306:$AL306,MATCH(Lists!$F$7,$A$1:$AL$1,0))),ROUND(MOD(INDEX($A306:$AL306,MATCH(Lists!$F$7,$A$1:$AL$1,0)),1)*1440,0),VALUE(LEFT(INDEX($A306:$AL306,MATCH(Lists!$F$7,$A$1:$AL$1,0)),2))*60+VALUE(MID(INDEX($A306:$AL306,MATCH(Lists!$F$7,$A$1:$AL$1,0)),4,2)))),""),-1))</f>
        <v/>
      </c>
      <c r="AW306" s="21">
        <f>IF(IFERROR(TRIM(INDEX($A306:$AL306,MATCH(Lists!$F$2,$A$1:$AL$1,0))&amp;""),"")="","",IF(IFERROR(TRIM(INDEX($A306:$AL306,MATCH(Lists!$F$8,$A$1:$AL$1,0))&amp;""),"")&lt;&gt;"",IFERROR(TRIM(INDEX($A306:$AL306,MATCH(Lists!$F$8,$A$1:$AL$1,0))&amp;""),""),IFERROR(TRIM(INDEX($A306:$AL306,MATCH(Lists!$F$9,$A$1:$AL$1,0))&amp;""),"")))</f>
        <v/>
      </c>
      <c r="AX306" s="21">
        <f>IFERROR(IF(TRIM(INDEX($A306:$AL306,MATCH(Lists!$F$10,$A$1:$AL$1,0))&amp;"")="","",VALUE(TRIM(INDEX($A306:$AL306,MATCH(Lists!$F$10,$A$1:$AL$1,0))&amp;""))),"")</f>
        <v/>
      </c>
      <c r="AY306" s="21">
        <f>IF(IFERROR(TRIM(INDEX($A306:$AL306,MATCH(Lists!$F$2,$A$1:$AL$1,0))&amp;""),"")="","",IF(AN306="","New",AN306))</f>
        <v/>
      </c>
      <c r="AZ306" s="21">
        <f>IF(IFERROR(TRIM(INDEX($A306:$AL306,MATCH(Lists!$F$2,$A$1:$AL$1,0))&amp;""),"")="","",IF(OR(IFERROR(TRIM(INDEX($A306:$AL306,MATCH(Lists!$F$13,$A$1:$AL$1,0))&amp;""),"")="Paid",IFERROR(TRIM(INDEX($A306:$AL306,MATCH(Lists!$F$13,$A$1:$AL$1,0))&amp;""),"")="Partially refunded"),"Paid",IF(AP306="Yes","Paid (by hand)",IFERROR(TRIM(INDEX($A306:$AL306,MATCH(Lists!$F$13,$A$1:$AL$1,0))&amp;""),""))))</f>
        <v/>
      </c>
      <c r="BA306" s="21">
        <f>IF(AND(IFERROR(TRIM(INDEX($A306:$AL306,MATCH(Lists!$F$2,$A$1:$AL$1,0))&amp;""),"")&lt;&gt;"",AT306&gt;0,AU306&gt;=0,AV306&gt;AU306,AY306&lt;&gt;"Declined"),1,0)</f>
        <v/>
      </c>
      <c r="BB306" s="21">
        <f>IF(BA306=1,COUNTIFS($AS$2:$AS$501,AS306,$AT$2:$AT$501,AT306,$AU$2:$AU$501,"&lt;"&amp;AV306,$AV$2:$AV$501,"&gt;"&amp;AU306,$BA$2:$BA$501,1)-1,"")</f>
        <v/>
      </c>
      <c r="BC306" s="21">
        <f>IF(N(BB306)&gt;0,"Clashes with "&amp;INDEX($AW$2:$AW$501,SUMPRODUCT(MAX(($AS$2:$AS$501=AS306)*($AT$2:$AT$501=AT306)*($AU$2:$AU$501&lt;AV306)*($AV$2:$AV$501&gt;AU306)*($BA$2:$BA$501=1)*(ROW($AS$2:$AS$501)&lt;&gt;ROW())*ROW($AS$2:$AS$501)))-1)&amp;" ("&amp;INDEX($AY$2:$AY$501,SUMPRODUCT(MAX(($AS$2:$AS$501=AS306)*($AT$2:$AT$501=AT306)*($AU$2:$AU$501&lt;AV306)*($AV$2:$AV$501&gt;AU306)*($BA$2:$BA$501=1)*(ROW($AS$2:$AS$501)&lt;&gt;ROW())*ROW($AS$2:$AS$501)))-1)&amp;")"&amp;IF(BB306&gt;1," and "&amp;(BB306-1)&amp;" more",""),"")</f>
        <v/>
      </c>
      <c r="BD306" s="21">
        <f>IF(AND(BA306=1,AY306="Confirmed"),AT306*10000000+AU306*1000+ROW(),"")</f>
        <v/>
      </c>
      <c r="BE306" s="21">
        <f>IF(IFERROR(TRIM(INDEX($A306:$AL306,MATCH(Lists!$F$2,$A$1:$AL$1,0))&amp;""),"")="","",IFERROR(TRIM(INDEX($A306:$AL306,MATCH(Lists!$F$11,$A$1:$AL$1,0))&amp;""),""))</f>
        <v/>
      </c>
      <c r="BF306" s="21">
        <f>IF(IFERROR(TRIM(INDEX($A306:$AL306,MATCH(Lists!$F$2,$A$1:$AL$1,0))&amp;""),"")="","",IFERROR(TRIM(INDEX($A306:$AL306,MATCH(Lists!$F$12,$A$1:$AL$1,0))&amp;""),""))</f>
        <v/>
      </c>
    </row>
    <row r="307">
      <c r="AM307" s="19" t="n"/>
      <c r="AN307" s="23" t="n"/>
      <c r="AO307" s="23" t="n"/>
      <c r="AP307" s="23" t="n"/>
      <c r="AQ307" s="23" t="n"/>
      <c r="AR307" s="19" t="n"/>
      <c r="AS307" s="21">
        <f>IF(IFERROR(TRIM(INDEX($A307:$AL307,MATCH(Lists!$F$2,$A$1:$AL$1,0))&amp;""),"")="","",IF(AND(IFERROR(TRIM(INDEX($A307:$AL307,MATCH(Lists!$F$3,$A$1:$AL$1,0))&amp;""),"")="Other",IFERROR(TRIM(INDEX($A307:$AL307,MATCH(Lists!$F$4,$A$1:$AL$1,0))&amp;""),"")&lt;&gt;""),IFERROR(TRIM(INDEX($A307:$AL307,MATCH(Lists!$F$4,$A$1:$AL$1,0))&amp;""),""),IF(IFERROR(TRIM(INDEX($A307:$AL307,MATCH(Lists!$F$3,$A$1:$AL$1,0))&amp;""),"")="","(no space)",IFERROR(TRIM(INDEX($A307:$AL307,MATCH(Lists!$F$3,$A$1:$AL$1,0))&amp;""),""))))</f>
        <v/>
      </c>
      <c r="AT307" s="22">
        <f>IF(IFERROR(TRIM(INDEX($A307:$AL307,MATCH(Lists!$F$2,$A$1:$AL$1,0))&amp;""),"")="",0,N(IFERROR(IF(TRIM(INDEX($A307:$AL307,MATCH(Lists!$F$5,$A$1:$AL$1,0))&amp;"")="","",IF(ISNUMBER(INDEX($A307:$AL307,MATCH(Lists!$F$5,$A$1:$AL$1,0))),INT(INDEX($A307:$AL307,MATCH(Lists!$F$5,$A$1:$AL$1,0))),DATE(VALUE(LEFT(INDEX($A307:$AL307,MATCH(Lists!$F$5,$A$1:$AL$1,0)),4)),VALUE(MID(INDEX($A307:$AL307,MATCH(Lists!$F$5,$A$1:$AL$1,0)),6,2)),VALUE(MID(INDEX($A307:$AL307,MATCH(Lists!$F$5,$A$1:$AL$1,0)),9,2))))),"")))</f>
        <v/>
      </c>
      <c r="AU307" s="21">
        <f>IF(IFERROR(TRIM(INDEX($A307:$AL307,MATCH(Lists!$F$2,$A$1:$AL$1,0))&amp;""),"")="",-1,IF(ISNUMBER(IFERROR(IF(TRIM(INDEX($A307:$AL307,MATCH(Lists!$F$6,$A$1:$AL$1,0))&amp;"")="","",IF(ISNUMBER(INDEX($A307:$AL307,MATCH(Lists!$F$6,$A$1:$AL$1,0))),ROUND(MOD(INDEX($A307:$AL307,MATCH(Lists!$F$6,$A$1:$AL$1,0)),1)*1440,0),VALUE(LEFT(INDEX($A307:$AL307,MATCH(Lists!$F$6,$A$1:$AL$1,0)),2))*60+VALUE(MID(INDEX($A307:$AL307,MATCH(Lists!$F$6,$A$1:$AL$1,0)),4,2)))),"")),IFERROR(IF(TRIM(INDEX($A307:$AL307,MATCH(Lists!$F$6,$A$1:$AL$1,0))&amp;"")="","",IF(ISNUMBER(INDEX($A307:$AL307,MATCH(Lists!$F$6,$A$1:$AL$1,0))),ROUND(MOD(INDEX($A307:$AL307,MATCH(Lists!$F$6,$A$1:$AL$1,0)),1)*1440,0),VALUE(LEFT(INDEX($A307:$AL307,MATCH(Lists!$F$6,$A$1:$AL$1,0)),2))*60+VALUE(MID(INDEX($A307:$AL307,MATCH(Lists!$F$6,$A$1:$AL$1,0)),4,2)))),""),-1))</f>
        <v/>
      </c>
      <c r="AV307" s="21">
        <f>IF(IFERROR(TRIM(INDEX($A307:$AL307,MATCH(Lists!$F$2,$A$1:$AL$1,0))&amp;""),"")="",-1,IF(ISNUMBER(IFERROR(IF(TRIM(INDEX($A307:$AL307,MATCH(Lists!$F$7,$A$1:$AL$1,0))&amp;"")="","",IF(ISNUMBER(INDEX($A307:$AL307,MATCH(Lists!$F$7,$A$1:$AL$1,0))),ROUND(MOD(INDEX($A307:$AL307,MATCH(Lists!$F$7,$A$1:$AL$1,0)),1)*1440,0),VALUE(LEFT(INDEX($A307:$AL307,MATCH(Lists!$F$7,$A$1:$AL$1,0)),2))*60+VALUE(MID(INDEX($A307:$AL307,MATCH(Lists!$F$7,$A$1:$AL$1,0)),4,2)))),"")),IFERROR(IF(TRIM(INDEX($A307:$AL307,MATCH(Lists!$F$7,$A$1:$AL$1,0))&amp;"")="","",IF(ISNUMBER(INDEX($A307:$AL307,MATCH(Lists!$F$7,$A$1:$AL$1,0))),ROUND(MOD(INDEX($A307:$AL307,MATCH(Lists!$F$7,$A$1:$AL$1,0)),1)*1440,0),VALUE(LEFT(INDEX($A307:$AL307,MATCH(Lists!$F$7,$A$1:$AL$1,0)),2))*60+VALUE(MID(INDEX($A307:$AL307,MATCH(Lists!$F$7,$A$1:$AL$1,0)),4,2)))),""),-1))</f>
        <v/>
      </c>
      <c r="AW307" s="21">
        <f>IF(IFERROR(TRIM(INDEX($A307:$AL307,MATCH(Lists!$F$2,$A$1:$AL$1,0))&amp;""),"")="","",IF(IFERROR(TRIM(INDEX($A307:$AL307,MATCH(Lists!$F$8,$A$1:$AL$1,0))&amp;""),"")&lt;&gt;"",IFERROR(TRIM(INDEX($A307:$AL307,MATCH(Lists!$F$8,$A$1:$AL$1,0))&amp;""),""),IFERROR(TRIM(INDEX($A307:$AL307,MATCH(Lists!$F$9,$A$1:$AL$1,0))&amp;""),"")))</f>
        <v/>
      </c>
      <c r="AX307" s="21">
        <f>IFERROR(IF(TRIM(INDEX($A307:$AL307,MATCH(Lists!$F$10,$A$1:$AL$1,0))&amp;"")="","",VALUE(TRIM(INDEX($A307:$AL307,MATCH(Lists!$F$10,$A$1:$AL$1,0))&amp;""))),"")</f>
        <v/>
      </c>
      <c r="AY307" s="21">
        <f>IF(IFERROR(TRIM(INDEX($A307:$AL307,MATCH(Lists!$F$2,$A$1:$AL$1,0))&amp;""),"")="","",IF(AN307="","New",AN307))</f>
        <v/>
      </c>
      <c r="AZ307" s="21">
        <f>IF(IFERROR(TRIM(INDEX($A307:$AL307,MATCH(Lists!$F$2,$A$1:$AL$1,0))&amp;""),"")="","",IF(OR(IFERROR(TRIM(INDEX($A307:$AL307,MATCH(Lists!$F$13,$A$1:$AL$1,0))&amp;""),"")="Paid",IFERROR(TRIM(INDEX($A307:$AL307,MATCH(Lists!$F$13,$A$1:$AL$1,0))&amp;""),"")="Partially refunded"),"Paid",IF(AP307="Yes","Paid (by hand)",IFERROR(TRIM(INDEX($A307:$AL307,MATCH(Lists!$F$13,$A$1:$AL$1,0))&amp;""),""))))</f>
        <v/>
      </c>
      <c r="BA307" s="21">
        <f>IF(AND(IFERROR(TRIM(INDEX($A307:$AL307,MATCH(Lists!$F$2,$A$1:$AL$1,0))&amp;""),"")&lt;&gt;"",AT307&gt;0,AU307&gt;=0,AV307&gt;AU307,AY307&lt;&gt;"Declined"),1,0)</f>
        <v/>
      </c>
      <c r="BB307" s="21">
        <f>IF(BA307=1,COUNTIFS($AS$2:$AS$501,AS307,$AT$2:$AT$501,AT307,$AU$2:$AU$501,"&lt;"&amp;AV307,$AV$2:$AV$501,"&gt;"&amp;AU307,$BA$2:$BA$501,1)-1,"")</f>
        <v/>
      </c>
      <c r="BC307" s="21">
        <f>IF(N(BB307)&gt;0,"Clashes with "&amp;INDEX($AW$2:$AW$501,SUMPRODUCT(MAX(($AS$2:$AS$501=AS307)*($AT$2:$AT$501=AT307)*($AU$2:$AU$501&lt;AV307)*($AV$2:$AV$501&gt;AU307)*($BA$2:$BA$501=1)*(ROW($AS$2:$AS$501)&lt;&gt;ROW())*ROW($AS$2:$AS$501)))-1)&amp;" ("&amp;INDEX($AY$2:$AY$501,SUMPRODUCT(MAX(($AS$2:$AS$501=AS307)*($AT$2:$AT$501=AT307)*($AU$2:$AU$501&lt;AV307)*($AV$2:$AV$501&gt;AU307)*($BA$2:$BA$501=1)*(ROW($AS$2:$AS$501)&lt;&gt;ROW())*ROW($AS$2:$AS$501)))-1)&amp;")"&amp;IF(BB307&gt;1," and "&amp;(BB307-1)&amp;" more",""),"")</f>
        <v/>
      </c>
      <c r="BD307" s="21">
        <f>IF(AND(BA307=1,AY307="Confirmed"),AT307*10000000+AU307*1000+ROW(),"")</f>
        <v/>
      </c>
      <c r="BE307" s="21">
        <f>IF(IFERROR(TRIM(INDEX($A307:$AL307,MATCH(Lists!$F$2,$A$1:$AL$1,0))&amp;""),"")="","",IFERROR(TRIM(INDEX($A307:$AL307,MATCH(Lists!$F$11,$A$1:$AL$1,0))&amp;""),""))</f>
        <v/>
      </c>
      <c r="BF307" s="21">
        <f>IF(IFERROR(TRIM(INDEX($A307:$AL307,MATCH(Lists!$F$2,$A$1:$AL$1,0))&amp;""),"")="","",IFERROR(TRIM(INDEX($A307:$AL307,MATCH(Lists!$F$12,$A$1:$AL$1,0))&amp;""),""))</f>
        <v/>
      </c>
    </row>
    <row r="308">
      <c r="AM308" s="19" t="n"/>
      <c r="AN308" s="23" t="n"/>
      <c r="AO308" s="23" t="n"/>
      <c r="AP308" s="23" t="n"/>
      <c r="AQ308" s="23" t="n"/>
      <c r="AR308" s="19" t="n"/>
      <c r="AS308" s="21">
        <f>IF(IFERROR(TRIM(INDEX($A308:$AL308,MATCH(Lists!$F$2,$A$1:$AL$1,0))&amp;""),"")="","",IF(AND(IFERROR(TRIM(INDEX($A308:$AL308,MATCH(Lists!$F$3,$A$1:$AL$1,0))&amp;""),"")="Other",IFERROR(TRIM(INDEX($A308:$AL308,MATCH(Lists!$F$4,$A$1:$AL$1,0))&amp;""),"")&lt;&gt;""),IFERROR(TRIM(INDEX($A308:$AL308,MATCH(Lists!$F$4,$A$1:$AL$1,0))&amp;""),""),IF(IFERROR(TRIM(INDEX($A308:$AL308,MATCH(Lists!$F$3,$A$1:$AL$1,0))&amp;""),"")="","(no space)",IFERROR(TRIM(INDEX($A308:$AL308,MATCH(Lists!$F$3,$A$1:$AL$1,0))&amp;""),""))))</f>
        <v/>
      </c>
      <c r="AT308" s="22">
        <f>IF(IFERROR(TRIM(INDEX($A308:$AL308,MATCH(Lists!$F$2,$A$1:$AL$1,0))&amp;""),"")="",0,N(IFERROR(IF(TRIM(INDEX($A308:$AL308,MATCH(Lists!$F$5,$A$1:$AL$1,0))&amp;"")="","",IF(ISNUMBER(INDEX($A308:$AL308,MATCH(Lists!$F$5,$A$1:$AL$1,0))),INT(INDEX($A308:$AL308,MATCH(Lists!$F$5,$A$1:$AL$1,0))),DATE(VALUE(LEFT(INDEX($A308:$AL308,MATCH(Lists!$F$5,$A$1:$AL$1,0)),4)),VALUE(MID(INDEX($A308:$AL308,MATCH(Lists!$F$5,$A$1:$AL$1,0)),6,2)),VALUE(MID(INDEX($A308:$AL308,MATCH(Lists!$F$5,$A$1:$AL$1,0)),9,2))))),"")))</f>
        <v/>
      </c>
      <c r="AU308" s="21">
        <f>IF(IFERROR(TRIM(INDEX($A308:$AL308,MATCH(Lists!$F$2,$A$1:$AL$1,0))&amp;""),"")="",-1,IF(ISNUMBER(IFERROR(IF(TRIM(INDEX($A308:$AL308,MATCH(Lists!$F$6,$A$1:$AL$1,0))&amp;"")="","",IF(ISNUMBER(INDEX($A308:$AL308,MATCH(Lists!$F$6,$A$1:$AL$1,0))),ROUND(MOD(INDEX($A308:$AL308,MATCH(Lists!$F$6,$A$1:$AL$1,0)),1)*1440,0),VALUE(LEFT(INDEX($A308:$AL308,MATCH(Lists!$F$6,$A$1:$AL$1,0)),2))*60+VALUE(MID(INDEX($A308:$AL308,MATCH(Lists!$F$6,$A$1:$AL$1,0)),4,2)))),"")),IFERROR(IF(TRIM(INDEX($A308:$AL308,MATCH(Lists!$F$6,$A$1:$AL$1,0))&amp;"")="","",IF(ISNUMBER(INDEX($A308:$AL308,MATCH(Lists!$F$6,$A$1:$AL$1,0))),ROUND(MOD(INDEX($A308:$AL308,MATCH(Lists!$F$6,$A$1:$AL$1,0)),1)*1440,0),VALUE(LEFT(INDEX($A308:$AL308,MATCH(Lists!$F$6,$A$1:$AL$1,0)),2))*60+VALUE(MID(INDEX($A308:$AL308,MATCH(Lists!$F$6,$A$1:$AL$1,0)),4,2)))),""),-1))</f>
        <v/>
      </c>
      <c r="AV308" s="21">
        <f>IF(IFERROR(TRIM(INDEX($A308:$AL308,MATCH(Lists!$F$2,$A$1:$AL$1,0))&amp;""),"")="",-1,IF(ISNUMBER(IFERROR(IF(TRIM(INDEX($A308:$AL308,MATCH(Lists!$F$7,$A$1:$AL$1,0))&amp;"")="","",IF(ISNUMBER(INDEX($A308:$AL308,MATCH(Lists!$F$7,$A$1:$AL$1,0))),ROUND(MOD(INDEX($A308:$AL308,MATCH(Lists!$F$7,$A$1:$AL$1,0)),1)*1440,0),VALUE(LEFT(INDEX($A308:$AL308,MATCH(Lists!$F$7,$A$1:$AL$1,0)),2))*60+VALUE(MID(INDEX($A308:$AL308,MATCH(Lists!$F$7,$A$1:$AL$1,0)),4,2)))),"")),IFERROR(IF(TRIM(INDEX($A308:$AL308,MATCH(Lists!$F$7,$A$1:$AL$1,0))&amp;"")="","",IF(ISNUMBER(INDEX($A308:$AL308,MATCH(Lists!$F$7,$A$1:$AL$1,0))),ROUND(MOD(INDEX($A308:$AL308,MATCH(Lists!$F$7,$A$1:$AL$1,0)),1)*1440,0),VALUE(LEFT(INDEX($A308:$AL308,MATCH(Lists!$F$7,$A$1:$AL$1,0)),2))*60+VALUE(MID(INDEX($A308:$AL308,MATCH(Lists!$F$7,$A$1:$AL$1,0)),4,2)))),""),-1))</f>
        <v/>
      </c>
      <c r="AW308" s="21">
        <f>IF(IFERROR(TRIM(INDEX($A308:$AL308,MATCH(Lists!$F$2,$A$1:$AL$1,0))&amp;""),"")="","",IF(IFERROR(TRIM(INDEX($A308:$AL308,MATCH(Lists!$F$8,$A$1:$AL$1,0))&amp;""),"")&lt;&gt;"",IFERROR(TRIM(INDEX($A308:$AL308,MATCH(Lists!$F$8,$A$1:$AL$1,0))&amp;""),""),IFERROR(TRIM(INDEX($A308:$AL308,MATCH(Lists!$F$9,$A$1:$AL$1,0))&amp;""),"")))</f>
        <v/>
      </c>
      <c r="AX308" s="21">
        <f>IFERROR(IF(TRIM(INDEX($A308:$AL308,MATCH(Lists!$F$10,$A$1:$AL$1,0))&amp;"")="","",VALUE(TRIM(INDEX($A308:$AL308,MATCH(Lists!$F$10,$A$1:$AL$1,0))&amp;""))),"")</f>
        <v/>
      </c>
      <c r="AY308" s="21">
        <f>IF(IFERROR(TRIM(INDEX($A308:$AL308,MATCH(Lists!$F$2,$A$1:$AL$1,0))&amp;""),"")="","",IF(AN308="","New",AN308))</f>
        <v/>
      </c>
      <c r="AZ308" s="21">
        <f>IF(IFERROR(TRIM(INDEX($A308:$AL308,MATCH(Lists!$F$2,$A$1:$AL$1,0))&amp;""),"")="","",IF(OR(IFERROR(TRIM(INDEX($A308:$AL308,MATCH(Lists!$F$13,$A$1:$AL$1,0))&amp;""),"")="Paid",IFERROR(TRIM(INDEX($A308:$AL308,MATCH(Lists!$F$13,$A$1:$AL$1,0))&amp;""),"")="Partially refunded"),"Paid",IF(AP308="Yes","Paid (by hand)",IFERROR(TRIM(INDEX($A308:$AL308,MATCH(Lists!$F$13,$A$1:$AL$1,0))&amp;""),""))))</f>
        <v/>
      </c>
      <c r="BA308" s="21">
        <f>IF(AND(IFERROR(TRIM(INDEX($A308:$AL308,MATCH(Lists!$F$2,$A$1:$AL$1,0))&amp;""),"")&lt;&gt;"",AT308&gt;0,AU308&gt;=0,AV308&gt;AU308,AY308&lt;&gt;"Declined"),1,0)</f>
        <v/>
      </c>
      <c r="BB308" s="21">
        <f>IF(BA308=1,COUNTIFS($AS$2:$AS$501,AS308,$AT$2:$AT$501,AT308,$AU$2:$AU$501,"&lt;"&amp;AV308,$AV$2:$AV$501,"&gt;"&amp;AU308,$BA$2:$BA$501,1)-1,"")</f>
        <v/>
      </c>
      <c r="BC308" s="21">
        <f>IF(N(BB308)&gt;0,"Clashes with "&amp;INDEX($AW$2:$AW$501,SUMPRODUCT(MAX(($AS$2:$AS$501=AS308)*($AT$2:$AT$501=AT308)*($AU$2:$AU$501&lt;AV308)*($AV$2:$AV$501&gt;AU308)*($BA$2:$BA$501=1)*(ROW($AS$2:$AS$501)&lt;&gt;ROW())*ROW($AS$2:$AS$501)))-1)&amp;" ("&amp;INDEX($AY$2:$AY$501,SUMPRODUCT(MAX(($AS$2:$AS$501=AS308)*($AT$2:$AT$501=AT308)*($AU$2:$AU$501&lt;AV308)*($AV$2:$AV$501&gt;AU308)*($BA$2:$BA$501=1)*(ROW($AS$2:$AS$501)&lt;&gt;ROW())*ROW($AS$2:$AS$501)))-1)&amp;")"&amp;IF(BB308&gt;1," and "&amp;(BB308-1)&amp;" more",""),"")</f>
        <v/>
      </c>
      <c r="BD308" s="21">
        <f>IF(AND(BA308=1,AY308="Confirmed"),AT308*10000000+AU308*1000+ROW(),"")</f>
        <v/>
      </c>
      <c r="BE308" s="21">
        <f>IF(IFERROR(TRIM(INDEX($A308:$AL308,MATCH(Lists!$F$2,$A$1:$AL$1,0))&amp;""),"")="","",IFERROR(TRIM(INDEX($A308:$AL308,MATCH(Lists!$F$11,$A$1:$AL$1,0))&amp;""),""))</f>
        <v/>
      </c>
      <c r="BF308" s="21">
        <f>IF(IFERROR(TRIM(INDEX($A308:$AL308,MATCH(Lists!$F$2,$A$1:$AL$1,0))&amp;""),"")="","",IFERROR(TRIM(INDEX($A308:$AL308,MATCH(Lists!$F$12,$A$1:$AL$1,0))&amp;""),""))</f>
        <v/>
      </c>
    </row>
    <row r="309">
      <c r="AM309" s="19" t="n"/>
      <c r="AN309" s="23" t="n"/>
      <c r="AO309" s="23" t="n"/>
      <c r="AP309" s="23" t="n"/>
      <c r="AQ309" s="23" t="n"/>
      <c r="AR309" s="19" t="n"/>
      <c r="AS309" s="21">
        <f>IF(IFERROR(TRIM(INDEX($A309:$AL309,MATCH(Lists!$F$2,$A$1:$AL$1,0))&amp;""),"")="","",IF(AND(IFERROR(TRIM(INDEX($A309:$AL309,MATCH(Lists!$F$3,$A$1:$AL$1,0))&amp;""),"")="Other",IFERROR(TRIM(INDEX($A309:$AL309,MATCH(Lists!$F$4,$A$1:$AL$1,0))&amp;""),"")&lt;&gt;""),IFERROR(TRIM(INDEX($A309:$AL309,MATCH(Lists!$F$4,$A$1:$AL$1,0))&amp;""),""),IF(IFERROR(TRIM(INDEX($A309:$AL309,MATCH(Lists!$F$3,$A$1:$AL$1,0))&amp;""),"")="","(no space)",IFERROR(TRIM(INDEX($A309:$AL309,MATCH(Lists!$F$3,$A$1:$AL$1,0))&amp;""),""))))</f>
        <v/>
      </c>
      <c r="AT309" s="22">
        <f>IF(IFERROR(TRIM(INDEX($A309:$AL309,MATCH(Lists!$F$2,$A$1:$AL$1,0))&amp;""),"")="",0,N(IFERROR(IF(TRIM(INDEX($A309:$AL309,MATCH(Lists!$F$5,$A$1:$AL$1,0))&amp;"")="","",IF(ISNUMBER(INDEX($A309:$AL309,MATCH(Lists!$F$5,$A$1:$AL$1,0))),INT(INDEX($A309:$AL309,MATCH(Lists!$F$5,$A$1:$AL$1,0))),DATE(VALUE(LEFT(INDEX($A309:$AL309,MATCH(Lists!$F$5,$A$1:$AL$1,0)),4)),VALUE(MID(INDEX($A309:$AL309,MATCH(Lists!$F$5,$A$1:$AL$1,0)),6,2)),VALUE(MID(INDEX($A309:$AL309,MATCH(Lists!$F$5,$A$1:$AL$1,0)),9,2))))),"")))</f>
        <v/>
      </c>
      <c r="AU309" s="21">
        <f>IF(IFERROR(TRIM(INDEX($A309:$AL309,MATCH(Lists!$F$2,$A$1:$AL$1,0))&amp;""),"")="",-1,IF(ISNUMBER(IFERROR(IF(TRIM(INDEX($A309:$AL309,MATCH(Lists!$F$6,$A$1:$AL$1,0))&amp;"")="","",IF(ISNUMBER(INDEX($A309:$AL309,MATCH(Lists!$F$6,$A$1:$AL$1,0))),ROUND(MOD(INDEX($A309:$AL309,MATCH(Lists!$F$6,$A$1:$AL$1,0)),1)*1440,0),VALUE(LEFT(INDEX($A309:$AL309,MATCH(Lists!$F$6,$A$1:$AL$1,0)),2))*60+VALUE(MID(INDEX($A309:$AL309,MATCH(Lists!$F$6,$A$1:$AL$1,0)),4,2)))),"")),IFERROR(IF(TRIM(INDEX($A309:$AL309,MATCH(Lists!$F$6,$A$1:$AL$1,0))&amp;"")="","",IF(ISNUMBER(INDEX($A309:$AL309,MATCH(Lists!$F$6,$A$1:$AL$1,0))),ROUND(MOD(INDEX($A309:$AL309,MATCH(Lists!$F$6,$A$1:$AL$1,0)),1)*1440,0),VALUE(LEFT(INDEX($A309:$AL309,MATCH(Lists!$F$6,$A$1:$AL$1,0)),2))*60+VALUE(MID(INDEX($A309:$AL309,MATCH(Lists!$F$6,$A$1:$AL$1,0)),4,2)))),""),-1))</f>
        <v/>
      </c>
      <c r="AV309" s="21">
        <f>IF(IFERROR(TRIM(INDEX($A309:$AL309,MATCH(Lists!$F$2,$A$1:$AL$1,0))&amp;""),"")="",-1,IF(ISNUMBER(IFERROR(IF(TRIM(INDEX($A309:$AL309,MATCH(Lists!$F$7,$A$1:$AL$1,0))&amp;"")="","",IF(ISNUMBER(INDEX($A309:$AL309,MATCH(Lists!$F$7,$A$1:$AL$1,0))),ROUND(MOD(INDEX($A309:$AL309,MATCH(Lists!$F$7,$A$1:$AL$1,0)),1)*1440,0),VALUE(LEFT(INDEX($A309:$AL309,MATCH(Lists!$F$7,$A$1:$AL$1,0)),2))*60+VALUE(MID(INDEX($A309:$AL309,MATCH(Lists!$F$7,$A$1:$AL$1,0)),4,2)))),"")),IFERROR(IF(TRIM(INDEX($A309:$AL309,MATCH(Lists!$F$7,$A$1:$AL$1,0))&amp;"")="","",IF(ISNUMBER(INDEX($A309:$AL309,MATCH(Lists!$F$7,$A$1:$AL$1,0))),ROUND(MOD(INDEX($A309:$AL309,MATCH(Lists!$F$7,$A$1:$AL$1,0)),1)*1440,0),VALUE(LEFT(INDEX($A309:$AL309,MATCH(Lists!$F$7,$A$1:$AL$1,0)),2))*60+VALUE(MID(INDEX($A309:$AL309,MATCH(Lists!$F$7,$A$1:$AL$1,0)),4,2)))),""),-1))</f>
        <v/>
      </c>
      <c r="AW309" s="21">
        <f>IF(IFERROR(TRIM(INDEX($A309:$AL309,MATCH(Lists!$F$2,$A$1:$AL$1,0))&amp;""),"")="","",IF(IFERROR(TRIM(INDEX($A309:$AL309,MATCH(Lists!$F$8,$A$1:$AL$1,0))&amp;""),"")&lt;&gt;"",IFERROR(TRIM(INDEX($A309:$AL309,MATCH(Lists!$F$8,$A$1:$AL$1,0))&amp;""),""),IFERROR(TRIM(INDEX($A309:$AL309,MATCH(Lists!$F$9,$A$1:$AL$1,0))&amp;""),"")))</f>
        <v/>
      </c>
      <c r="AX309" s="21">
        <f>IFERROR(IF(TRIM(INDEX($A309:$AL309,MATCH(Lists!$F$10,$A$1:$AL$1,0))&amp;"")="","",VALUE(TRIM(INDEX($A309:$AL309,MATCH(Lists!$F$10,$A$1:$AL$1,0))&amp;""))),"")</f>
        <v/>
      </c>
      <c r="AY309" s="21">
        <f>IF(IFERROR(TRIM(INDEX($A309:$AL309,MATCH(Lists!$F$2,$A$1:$AL$1,0))&amp;""),"")="","",IF(AN309="","New",AN309))</f>
        <v/>
      </c>
      <c r="AZ309" s="21">
        <f>IF(IFERROR(TRIM(INDEX($A309:$AL309,MATCH(Lists!$F$2,$A$1:$AL$1,0))&amp;""),"")="","",IF(OR(IFERROR(TRIM(INDEX($A309:$AL309,MATCH(Lists!$F$13,$A$1:$AL$1,0))&amp;""),"")="Paid",IFERROR(TRIM(INDEX($A309:$AL309,MATCH(Lists!$F$13,$A$1:$AL$1,0))&amp;""),"")="Partially refunded"),"Paid",IF(AP309="Yes","Paid (by hand)",IFERROR(TRIM(INDEX($A309:$AL309,MATCH(Lists!$F$13,$A$1:$AL$1,0))&amp;""),""))))</f>
        <v/>
      </c>
      <c r="BA309" s="21">
        <f>IF(AND(IFERROR(TRIM(INDEX($A309:$AL309,MATCH(Lists!$F$2,$A$1:$AL$1,0))&amp;""),"")&lt;&gt;"",AT309&gt;0,AU309&gt;=0,AV309&gt;AU309,AY309&lt;&gt;"Declined"),1,0)</f>
        <v/>
      </c>
      <c r="BB309" s="21">
        <f>IF(BA309=1,COUNTIFS($AS$2:$AS$501,AS309,$AT$2:$AT$501,AT309,$AU$2:$AU$501,"&lt;"&amp;AV309,$AV$2:$AV$501,"&gt;"&amp;AU309,$BA$2:$BA$501,1)-1,"")</f>
        <v/>
      </c>
      <c r="BC309" s="21">
        <f>IF(N(BB309)&gt;0,"Clashes with "&amp;INDEX($AW$2:$AW$501,SUMPRODUCT(MAX(($AS$2:$AS$501=AS309)*($AT$2:$AT$501=AT309)*($AU$2:$AU$501&lt;AV309)*($AV$2:$AV$501&gt;AU309)*($BA$2:$BA$501=1)*(ROW($AS$2:$AS$501)&lt;&gt;ROW())*ROW($AS$2:$AS$501)))-1)&amp;" ("&amp;INDEX($AY$2:$AY$501,SUMPRODUCT(MAX(($AS$2:$AS$501=AS309)*($AT$2:$AT$501=AT309)*($AU$2:$AU$501&lt;AV309)*($AV$2:$AV$501&gt;AU309)*($BA$2:$BA$501=1)*(ROW($AS$2:$AS$501)&lt;&gt;ROW())*ROW($AS$2:$AS$501)))-1)&amp;")"&amp;IF(BB309&gt;1," and "&amp;(BB309-1)&amp;" more",""),"")</f>
        <v/>
      </c>
      <c r="BD309" s="21">
        <f>IF(AND(BA309=1,AY309="Confirmed"),AT309*10000000+AU309*1000+ROW(),"")</f>
        <v/>
      </c>
      <c r="BE309" s="21">
        <f>IF(IFERROR(TRIM(INDEX($A309:$AL309,MATCH(Lists!$F$2,$A$1:$AL$1,0))&amp;""),"")="","",IFERROR(TRIM(INDEX($A309:$AL309,MATCH(Lists!$F$11,$A$1:$AL$1,0))&amp;""),""))</f>
        <v/>
      </c>
      <c r="BF309" s="21">
        <f>IF(IFERROR(TRIM(INDEX($A309:$AL309,MATCH(Lists!$F$2,$A$1:$AL$1,0))&amp;""),"")="","",IFERROR(TRIM(INDEX($A309:$AL309,MATCH(Lists!$F$12,$A$1:$AL$1,0))&amp;""),""))</f>
        <v/>
      </c>
    </row>
    <row r="310">
      <c r="AM310" s="19" t="n"/>
      <c r="AN310" s="23" t="n"/>
      <c r="AO310" s="23" t="n"/>
      <c r="AP310" s="23" t="n"/>
      <c r="AQ310" s="23" t="n"/>
      <c r="AR310" s="19" t="n"/>
      <c r="AS310" s="21">
        <f>IF(IFERROR(TRIM(INDEX($A310:$AL310,MATCH(Lists!$F$2,$A$1:$AL$1,0))&amp;""),"")="","",IF(AND(IFERROR(TRIM(INDEX($A310:$AL310,MATCH(Lists!$F$3,$A$1:$AL$1,0))&amp;""),"")="Other",IFERROR(TRIM(INDEX($A310:$AL310,MATCH(Lists!$F$4,$A$1:$AL$1,0))&amp;""),"")&lt;&gt;""),IFERROR(TRIM(INDEX($A310:$AL310,MATCH(Lists!$F$4,$A$1:$AL$1,0))&amp;""),""),IF(IFERROR(TRIM(INDEX($A310:$AL310,MATCH(Lists!$F$3,$A$1:$AL$1,0))&amp;""),"")="","(no space)",IFERROR(TRIM(INDEX($A310:$AL310,MATCH(Lists!$F$3,$A$1:$AL$1,0))&amp;""),""))))</f>
        <v/>
      </c>
      <c r="AT310" s="22">
        <f>IF(IFERROR(TRIM(INDEX($A310:$AL310,MATCH(Lists!$F$2,$A$1:$AL$1,0))&amp;""),"")="",0,N(IFERROR(IF(TRIM(INDEX($A310:$AL310,MATCH(Lists!$F$5,$A$1:$AL$1,0))&amp;"")="","",IF(ISNUMBER(INDEX($A310:$AL310,MATCH(Lists!$F$5,$A$1:$AL$1,0))),INT(INDEX($A310:$AL310,MATCH(Lists!$F$5,$A$1:$AL$1,0))),DATE(VALUE(LEFT(INDEX($A310:$AL310,MATCH(Lists!$F$5,$A$1:$AL$1,0)),4)),VALUE(MID(INDEX($A310:$AL310,MATCH(Lists!$F$5,$A$1:$AL$1,0)),6,2)),VALUE(MID(INDEX($A310:$AL310,MATCH(Lists!$F$5,$A$1:$AL$1,0)),9,2))))),"")))</f>
        <v/>
      </c>
      <c r="AU310" s="21">
        <f>IF(IFERROR(TRIM(INDEX($A310:$AL310,MATCH(Lists!$F$2,$A$1:$AL$1,0))&amp;""),"")="",-1,IF(ISNUMBER(IFERROR(IF(TRIM(INDEX($A310:$AL310,MATCH(Lists!$F$6,$A$1:$AL$1,0))&amp;"")="","",IF(ISNUMBER(INDEX($A310:$AL310,MATCH(Lists!$F$6,$A$1:$AL$1,0))),ROUND(MOD(INDEX($A310:$AL310,MATCH(Lists!$F$6,$A$1:$AL$1,0)),1)*1440,0),VALUE(LEFT(INDEX($A310:$AL310,MATCH(Lists!$F$6,$A$1:$AL$1,0)),2))*60+VALUE(MID(INDEX($A310:$AL310,MATCH(Lists!$F$6,$A$1:$AL$1,0)),4,2)))),"")),IFERROR(IF(TRIM(INDEX($A310:$AL310,MATCH(Lists!$F$6,$A$1:$AL$1,0))&amp;"")="","",IF(ISNUMBER(INDEX($A310:$AL310,MATCH(Lists!$F$6,$A$1:$AL$1,0))),ROUND(MOD(INDEX($A310:$AL310,MATCH(Lists!$F$6,$A$1:$AL$1,0)),1)*1440,0),VALUE(LEFT(INDEX($A310:$AL310,MATCH(Lists!$F$6,$A$1:$AL$1,0)),2))*60+VALUE(MID(INDEX($A310:$AL310,MATCH(Lists!$F$6,$A$1:$AL$1,0)),4,2)))),""),-1))</f>
        <v/>
      </c>
      <c r="AV310" s="21">
        <f>IF(IFERROR(TRIM(INDEX($A310:$AL310,MATCH(Lists!$F$2,$A$1:$AL$1,0))&amp;""),"")="",-1,IF(ISNUMBER(IFERROR(IF(TRIM(INDEX($A310:$AL310,MATCH(Lists!$F$7,$A$1:$AL$1,0))&amp;"")="","",IF(ISNUMBER(INDEX($A310:$AL310,MATCH(Lists!$F$7,$A$1:$AL$1,0))),ROUND(MOD(INDEX($A310:$AL310,MATCH(Lists!$F$7,$A$1:$AL$1,0)),1)*1440,0),VALUE(LEFT(INDEX($A310:$AL310,MATCH(Lists!$F$7,$A$1:$AL$1,0)),2))*60+VALUE(MID(INDEX($A310:$AL310,MATCH(Lists!$F$7,$A$1:$AL$1,0)),4,2)))),"")),IFERROR(IF(TRIM(INDEX($A310:$AL310,MATCH(Lists!$F$7,$A$1:$AL$1,0))&amp;"")="","",IF(ISNUMBER(INDEX($A310:$AL310,MATCH(Lists!$F$7,$A$1:$AL$1,0))),ROUND(MOD(INDEX($A310:$AL310,MATCH(Lists!$F$7,$A$1:$AL$1,0)),1)*1440,0),VALUE(LEFT(INDEX($A310:$AL310,MATCH(Lists!$F$7,$A$1:$AL$1,0)),2))*60+VALUE(MID(INDEX($A310:$AL310,MATCH(Lists!$F$7,$A$1:$AL$1,0)),4,2)))),""),-1))</f>
        <v/>
      </c>
      <c r="AW310" s="21">
        <f>IF(IFERROR(TRIM(INDEX($A310:$AL310,MATCH(Lists!$F$2,$A$1:$AL$1,0))&amp;""),"")="","",IF(IFERROR(TRIM(INDEX($A310:$AL310,MATCH(Lists!$F$8,$A$1:$AL$1,0))&amp;""),"")&lt;&gt;"",IFERROR(TRIM(INDEX($A310:$AL310,MATCH(Lists!$F$8,$A$1:$AL$1,0))&amp;""),""),IFERROR(TRIM(INDEX($A310:$AL310,MATCH(Lists!$F$9,$A$1:$AL$1,0))&amp;""),"")))</f>
        <v/>
      </c>
      <c r="AX310" s="21">
        <f>IFERROR(IF(TRIM(INDEX($A310:$AL310,MATCH(Lists!$F$10,$A$1:$AL$1,0))&amp;"")="","",VALUE(TRIM(INDEX($A310:$AL310,MATCH(Lists!$F$10,$A$1:$AL$1,0))&amp;""))),"")</f>
        <v/>
      </c>
      <c r="AY310" s="21">
        <f>IF(IFERROR(TRIM(INDEX($A310:$AL310,MATCH(Lists!$F$2,$A$1:$AL$1,0))&amp;""),"")="","",IF(AN310="","New",AN310))</f>
        <v/>
      </c>
      <c r="AZ310" s="21">
        <f>IF(IFERROR(TRIM(INDEX($A310:$AL310,MATCH(Lists!$F$2,$A$1:$AL$1,0))&amp;""),"")="","",IF(OR(IFERROR(TRIM(INDEX($A310:$AL310,MATCH(Lists!$F$13,$A$1:$AL$1,0))&amp;""),"")="Paid",IFERROR(TRIM(INDEX($A310:$AL310,MATCH(Lists!$F$13,$A$1:$AL$1,0))&amp;""),"")="Partially refunded"),"Paid",IF(AP310="Yes","Paid (by hand)",IFERROR(TRIM(INDEX($A310:$AL310,MATCH(Lists!$F$13,$A$1:$AL$1,0))&amp;""),""))))</f>
        <v/>
      </c>
      <c r="BA310" s="21">
        <f>IF(AND(IFERROR(TRIM(INDEX($A310:$AL310,MATCH(Lists!$F$2,$A$1:$AL$1,0))&amp;""),"")&lt;&gt;"",AT310&gt;0,AU310&gt;=0,AV310&gt;AU310,AY310&lt;&gt;"Declined"),1,0)</f>
        <v/>
      </c>
      <c r="BB310" s="21">
        <f>IF(BA310=1,COUNTIFS($AS$2:$AS$501,AS310,$AT$2:$AT$501,AT310,$AU$2:$AU$501,"&lt;"&amp;AV310,$AV$2:$AV$501,"&gt;"&amp;AU310,$BA$2:$BA$501,1)-1,"")</f>
        <v/>
      </c>
      <c r="BC310" s="21">
        <f>IF(N(BB310)&gt;0,"Clashes with "&amp;INDEX($AW$2:$AW$501,SUMPRODUCT(MAX(($AS$2:$AS$501=AS310)*($AT$2:$AT$501=AT310)*($AU$2:$AU$501&lt;AV310)*($AV$2:$AV$501&gt;AU310)*($BA$2:$BA$501=1)*(ROW($AS$2:$AS$501)&lt;&gt;ROW())*ROW($AS$2:$AS$501)))-1)&amp;" ("&amp;INDEX($AY$2:$AY$501,SUMPRODUCT(MAX(($AS$2:$AS$501=AS310)*($AT$2:$AT$501=AT310)*($AU$2:$AU$501&lt;AV310)*($AV$2:$AV$501&gt;AU310)*($BA$2:$BA$501=1)*(ROW($AS$2:$AS$501)&lt;&gt;ROW())*ROW($AS$2:$AS$501)))-1)&amp;")"&amp;IF(BB310&gt;1," and "&amp;(BB310-1)&amp;" more",""),"")</f>
        <v/>
      </c>
      <c r="BD310" s="21">
        <f>IF(AND(BA310=1,AY310="Confirmed"),AT310*10000000+AU310*1000+ROW(),"")</f>
        <v/>
      </c>
      <c r="BE310" s="21">
        <f>IF(IFERROR(TRIM(INDEX($A310:$AL310,MATCH(Lists!$F$2,$A$1:$AL$1,0))&amp;""),"")="","",IFERROR(TRIM(INDEX($A310:$AL310,MATCH(Lists!$F$11,$A$1:$AL$1,0))&amp;""),""))</f>
        <v/>
      </c>
      <c r="BF310" s="21">
        <f>IF(IFERROR(TRIM(INDEX($A310:$AL310,MATCH(Lists!$F$2,$A$1:$AL$1,0))&amp;""),"")="","",IFERROR(TRIM(INDEX($A310:$AL310,MATCH(Lists!$F$12,$A$1:$AL$1,0))&amp;""),""))</f>
        <v/>
      </c>
    </row>
    <row r="311">
      <c r="AM311" s="19" t="n"/>
      <c r="AN311" s="23" t="n"/>
      <c r="AO311" s="23" t="n"/>
      <c r="AP311" s="23" t="n"/>
      <c r="AQ311" s="23" t="n"/>
      <c r="AR311" s="19" t="n"/>
      <c r="AS311" s="21">
        <f>IF(IFERROR(TRIM(INDEX($A311:$AL311,MATCH(Lists!$F$2,$A$1:$AL$1,0))&amp;""),"")="","",IF(AND(IFERROR(TRIM(INDEX($A311:$AL311,MATCH(Lists!$F$3,$A$1:$AL$1,0))&amp;""),"")="Other",IFERROR(TRIM(INDEX($A311:$AL311,MATCH(Lists!$F$4,$A$1:$AL$1,0))&amp;""),"")&lt;&gt;""),IFERROR(TRIM(INDEX($A311:$AL311,MATCH(Lists!$F$4,$A$1:$AL$1,0))&amp;""),""),IF(IFERROR(TRIM(INDEX($A311:$AL311,MATCH(Lists!$F$3,$A$1:$AL$1,0))&amp;""),"")="","(no space)",IFERROR(TRIM(INDEX($A311:$AL311,MATCH(Lists!$F$3,$A$1:$AL$1,0))&amp;""),""))))</f>
        <v/>
      </c>
      <c r="AT311" s="22">
        <f>IF(IFERROR(TRIM(INDEX($A311:$AL311,MATCH(Lists!$F$2,$A$1:$AL$1,0))&amp;""),"")="",0,N(IFERROR(IF(TRIM(INDEX($A311:$AL311,MATCH(Lists!$F$5,$A$1:$AL$1,0))&amp;"")="","",IF(ISNUMBER(INDEX($A311:$AL311,MATCH(Lists!$F$5,$A$1:$AL$1,0))),INT(INDEX($A311:$AL311,MATCH(Lists!$F$5,$A$1:$AL$1,0))),DATE(VALUE(LEFT(INDEX($A311:$AL311,MATCH(Lists!$F$5,$A$1:$AL$1,0)),4)),VALUE(MID(INDEX($A311:$AL311,MATCH(Lists!$F$5,$A$1:$AL$1,0)),6,2)),VALUE(MID(INDEX($A311:$AL311,MATCH(Lists!$F$5,$A$1:$AL$1,0)),9,2))))),"")))</f>
        <v/>
      </c>
      <c r="AU311" s="21">
        <f>IF(IFERROR(TRIM(INDEX($A311:$AL311,MATCH(Lists!$F$2,$A$1:$AL$1,0))&amp;""),"")="",-1,IF(ISNUMBER(IFERROR(IF(TRIM(INDEX($A311:$AL311,MATCH(Lists!$F$6,$A$1:$AL$1,0))&amp;"")="","",IF(ISNUMBER(INDEX($A311:$AL311,MATCH(Lists!$F$6,$A$1:$AL$1,0))),ROUND(MOD(INDEX($A311:$AL311,MATCH(Lists!$F$6,$A$1:$AL$1,0)),1)*1440,0),VALUE(LEFT(INDEX($A311:$AL311,MATCH(Lists!$F$6,$A$1:$AL$1,0)),2))*60+VALUE(MID(INDEX($A311:$AL311,MATCH(Lists!$F$6,$A$1:$AL$1,0)),4,2)))),"")),IFERROR(IF(TRIM(INDEX($A311:$AL311,MATCH(Lists!$F$6,$A$1:$AL$1,0))&amp;"")="","",IF(ISNUMBER(INDEX($A311:$AL311,MATCH(Lists!$F$6,$A$1:$AL$1,0))),ROUND(MOD(INDEX($A311:$AL311,MATCH(Lists!$F$6,$A$1:$AL$1,0)),1)*1440,0),VALUE(LEFT(INDEX($A311:$AL311,MATCH(Lists!$F$6,$A$1:$AL$1,0)),2))*60+VALUE(MID(INDEX($A311:$AL311,MATCH(Lists!$F$6,$A$1:$AL$1,0)),4,2)))),""),-1))</f>
        <v/>
      </c>
      <c r="AV311" s="21">
        <f>IF(IFERROR(TRIM(INDEX($A311:$AL311,MATCH(Lists!$F$2,$A$1:$AL$1,0))&amp;""),"")="",-1,IF(ISNUMBER(IFERROR(IF(TRIM(INDEX($A311:$AL311,MATCH(Lists!$F$7,$A$1:$AL$1,0))&amp;"")="","",IF(ISNUMBER(INDEX($A311:$AL311,MATCH(Lists!$F$7,$A$1:$AL$1,0))),ROUND(MOD(INDEX($A311:$AL311,MATCH(Lists!$F$7,$A$1:$AL$1,0)),1)*1440,0),VALUE(LEFT(INDEX($A311:$AL311,MATCH(Lists!$F$7,$A$1:$AL$1,0)),2))*60+VALUE(MID(INDEX($A311:$AL311,MATCH(Lists!$F$7,$A$1:$AL$1,0)),4,2)))),"")),IFERROR(IF(TRIM(INDEX($A311:$AL311,MATCH(Lists!$F$7,$A$1:$AL$1,0))&amp;"")="","",IF(ISNUMBER(INDEX($A311:$AL311,MATCH(Lists!$F$7,$A$1:$AL$1,0))),ROUND(MOD(INDEX($A311:$AL311,MATCH(Lists!$F$7,$A$1:$AL$1,0)),1)*1440,0),VALUE(LEFT(INDEX($A311:$AL311,MATCH(Lists!$F$7,$A$1:$AL$1,0)),2))*60+VALUE(MID(INDEX($A311:$AL311,MATCH(Lists!$F$7,$A$1:$AL$1,0)),4,2)))),""),-1))</f>
        <v/>
      </c>
      <c r="AW311" s="21">
        <f>IF(IFERROR(TRIM(INDEX($A311:$AL311,MATCH(Lists!$F$2,$A$1:$AL$1,0))&amp;""),"")="","",IF(IFERROR(TRIM(INDEX($A311:$AL311,MATCH(Lists!$F$8,$A$1:$AL$1,0))&amp;""),"")&lt;&gt;"",IFERROR(TRIM(INDEX($A311:$AL311,MATCH(Lists!$F$8,$A$1:$AL$1,0))&amp;""),""),IFERROR(TRIM(INDEX($A311:$AL311,MATCH(Lists!$F$9,$A$1:$AL$1,0))&amp;""),"")))</f>
        <v/>
      </c>
      <c r="AX311" s="21">
        <f>IFERROR(IF(TRIM(INDEX($A311:$AL311,MATCH(Lists!$F$10,$A$1:$AL$1,0))&amp;"")="","",VALUE(TRIM(INDEX($A311:$AL311,MATCH(Lists!$F$10,$A$1:$AL$1,0))&amp;""))),"")</f>
        <v/>
      </c>
      <c r="AY311" s="21">
        <f>IF(IFERROR(TRIM(INDEX($A311:$AL311,MATCH(Lists!$F$2,$A$1:$AL$1,0))&amp;""),"")="","",IF(AN311="","New",AN311))</f>
        <v/>
      </c>
      <c r="AZ311" s="21">
        <f>IF(IFERROR(TRIM(INDEX($A311:$AL311,MATCH(Lists!$F$2,$A$1:$AL$1,0))&amp;""),"")="","",IF(OR(IFERROR(TRIM(INDEX($A311:$AL311,MATCH(Lists!$F$13,$A$1:$AL$1,0))&amp;""),"")="Paid",IFERROR(TRIM(INDEX($A311:$AL311,MATCH(Lists!$F$13,$A$1:$AL$1,0))&amp;""),"")="Partially refunded"),"Paid",IF(AP311="Yes","Paid (by hand)",IFERROR(TRIM(INDEX($A311:$AL311,MATCH(Lists!$F$13,$A$1:$AL$1,0))&amp;""),""))))</f>
        <v/>
      </c>
      <c r="BA311" s="21">
        <f>IF(AND(IFERROR(TRIM(INDEX($A311:$AL311,MATCH(Lists!$F$2,$A$1:$AL$1,0))&amp;""),"")&lt;&gt;"",AT311&gt;0,AU311&gt;=0,AV311&gt;AU311,AY311&lt;&gt;"Declined"),1,0)</f>
        <v/>
      </c>
      <c r="BB311" s="21">
        <f>IF(BA311=1,COUNTIFS($AS$2:$AS$501,AS311,$AT$2:$AT$501,AT311,$AU$2:$AU$501,"&lt;"&amp;AV311,$AV$2:$AV$501,"&gt;"&amp;AU311,$BA$2:$BA$501,1)-1,"")</f>
        <v/>
      </c>
      <c r="BC311" s="21">
        <f>IF(N(BB311)&gt;0,"Clashes with "&amp;INDEX($AW$2:$AW$501,SUMPRODUCT(MAX(($AS$2:$AS$501=AS311)*($AT$2:$AT$501=AT311)*($AU$2:$AU$501&lt;AV311)*($AV$2:$AV$501&gt;AU311)*($BA$2:$BA$501=1)*(ROW($AS$2:$AS$501)&lt;&gt;ROW())*ROW($AS$2:$AS$501)))-1)&amp;" ("&amp;INDEX($AY$2:$AY$501,SUMPRODUCT(MAX(($AS$2:$AS$501=AS311)*($AT$2:$AT$501=AT311)*($AU$2:$AU$501&lt;AV311)*($AV$2:$AV$501&gt;AU311)*($BA$2:$BA$501=1)*(ROW($AS$2:$AS$501)&lt;&gt;ROW())*ROW($AS$2:$AS$501)))-1)&amp;")"&amp;IF(BB311&gt;1," and "&amp;(BB311-1)&amp;" more",""),"")</f>
        <v/>
      </c>
      <c r="BD311" s="21">
        <f>IF(AND(BA311=1,AY311="Confirmed"),AT311*10000000+AU311*1000+ROW(),"")</f>
        <v/>
      </c>
      <c r="BE311" s="21">
        <f>IF(IFERROR(TRIM(INDEX($A311:$AL311,MATCH(Lists!$F$2,$A$1:$AL$1,0))&amp;""),"")="","",IFERROR(TRIM(INDEX($A311:$AL311,MATCH(Lists!$F$11,$A$1:$AL$1,0))&amp;""),""))</f>
        <v/>
      </c>
      <c r="BF311" s="21">
        <f>IF(IFERROR(TRIM(INDEX($A311:$AL311,MATCH(Lists!$F$2,$A$1:$AL$1,0))&amp;""),"")="","",IFERROR(TRIM(INDEX($A311:$AL311,MATCH(Lists!$F$12,$A$1:$AL$1,0))&amp;""),""))</f>
        <v/>
      </c>
    </row>
    <row r="312">
      <c r="AM312" s="19" t="n"/>
      <c r="AN312" s="23" t="n"/>
      <c r="AO312" s="23" t="n"/>
      <c r="AP312" s="23" t="n"/>
      <c r="AQ312" s="23" t="n"/>
      <c r="AR312" s="19" t="n"/>
      <c r="AS312" s="21">
        <f>IF(IFERROR(TRIM(INDEX($A312:$AL312,MATCH(Lists!$F$2,$A$1:$AL$1,0))&amp;""),"")="","",IF(AND(IFERROR(TRIM(INDEX($A312:$AL312,MATCH(Lists!$F$3,$A$1:$AL$1,0))&amp;""),"")="Other",IFERROR(TRIM(INDEX($A312:$AL312,MATCH(Lists!$F$4,$A$1:$AL$1,0))&amp;""),"")&lt;&gt;""),IFERROR(TRIM(INDEX($A312:$AL312,MATCH(Lists!$F$4,$A$1:$AL$1,0))&amp;""),""),IF(IFERROR(TRIM(INDEX($A312:$AL312,MATCH(Lists!$F$3,$A$1:$AL$1,0))&amp;""),"")="","(no space)",IFERROR(TRIM(INDEX($A312:$AL312,MATCH(Lists!$F$3,$A$1:$AL$1,0))&amp;""),""))))</f>
        <v/>
      </c>
      <c r="AT312" s="22">
        <f>IF(IFERROR(TRIM(INDEX($A312:$AL312,MATCH(Lists!$F$2,$A$1:$AL$1,0))&amp;""),"")="",0,N(IFERROR(IF(TRIM(INDEX($A312:$AL312,MATCH(Lists!$F$5,$A$1:$AL$1,0))&amp;"")="","",IF(ISNUMBER(INDEX($A312:$AL312,MATCH(Lists!$F$5,$A$1:$AL$1,0))),INT(INDEX($A312:$AL312,MATCH(Lists!$F$5,$A$1:$AL$1,0))),DATE(VALUE(LEFT(INDEX($A312:$AL312,MATCH(Lists!$F$5,$A$1:$AL$1,0)),4)),VALUE(MID(INDEX($A312:$AL312,MATCH(Lists!$F$5,$A$1:$AL$1,0)),6,2)),VALUE(MID(INDEX($A312:$AL312,MATCH(Lists!$F$5,$A$1:$AL$1,0)),9,2))))),"")))</f>
        <v/>
      </c>
      <c r="AU312" s="21">
        <f>IF(IFERROR(TRIM(INDEX($A312:$AL312,MATCH(Lists!$F$2,$A$1:$AL$1,0))&amp;""),"")="",-1,IF(ISNUMBER(IFERROR(IF(TRIM(INDEX($A312:$AL312,MATCH(Lists!$F$6,$A$1:$AL$1,0))&amp;"")="","",IF(ISNUMBER(INDEX($A312:$AL312,MATCH(Lists!$F$6,$A$1:$AL$1,0))),ROUND(MOD(INDEX($A312:$AL312,MATCH(Lists!$F$6,$A$1:$AL$1,0)),1)*1440,0),VALUE(LEFT(INDEX($A312:$AL312,MATCH(Lists!$F$6,$A$1:$AL$1,0)),2))*60+VALUE(MID(INDEX($A312:$AL312,MATCH(Lists!$F$6,$A$1:$AL$1,0)),4,2)))),"")),IFERROR(IF(TRIM(INDEX($A312:$AL312,MATCH(Lists!$F$6,$A$1:$AL$1,0))&amp;"")="","",IF(ISNUMBER(INDEX($A312:$AL312,MATCH(Lists!$F$6,$A$1:$AL$1,0))),ROUND(MOD(INDEX($A312:$AL312,MATCH(Lists!$F$6,$A$1:$AL$1,0)),1)*1440,0),VALUE(LEFT(INDEX($A312:$AL312,MATCH(Lists!$F$6,$A$1:$AL$1,0)),2))*60+VALUE(MID(INDEX($A312:$AL312,MATCH(Lists!$F$6,$A$1:$AL$1,0)),4,2)))),""),-1))</f>
        <v/>
      </c>
      <c r="AV312" s="21">
        <f>IF(IFERROR(TRIM(INDEX($A312:$AL312,MATCH(Lists!$F$2,$A$1:$AL$1,0))&amp;""),"")="",-1,IF(ISNUMBER(IFERROR(IF(TRIM(INDEX($A312:$AL312,MATCH(Lists!$F$7,$A$1:$AL$1,0))&amp;"")="","",IF(ISNUMBER(INDEX($A312:$AL312,MATCH(Lists!$F$7,$A$1:$AL$1,0))),ROUND(MOD(INDEX($A312:$AL312,MATCH(Lists!$F$7,$A$1:$AL$1,0)),1)*1440,0),VALUE(LEFT(INDEX($A312:$AL312,MATCH(Lists!$F$7,$A$1:$AL$1,0)),2))*60+VALUE(MID(INDEX($A312:$AL312,MATCH(Lists!$F$7,$A$1:$AL$1,0)),4,2)))),"")),IFERROR(IF(TRIM(INDEX($A312:$AL312,MATCH(Lists!$F$7,$A$1:$AL$1,0))&amp;"")="","",IF(ISNUMBER(INDEX($A312:$AL312,MATCH(Lists!$F$7,$A$1:$AL$1,0))),ROUND(MOD(INDEX($A312:$AL312,MATCH(Lists!$F$7,$A$1:$AL$1,0)),1)*1440,0),VALUE(LEFT(INDEX($A312:$AL312,MATCH(Lists!$F$7,$A$1:$AL$1,0)),2))*60+VALUE(MID(INDEX($A312:$AL312,MATCH(Lists!$F$7,$A$1:$AL$1,0)),4,2)))),""),-1))</f>
        <v/>
      </c>
      <c r="AW312" s="21">
        <f>IF(IFERROR(TRIM(INDEX($A312:$AL312,MATCH(Lists!$F$2,$A$1:$AL$1,0))&amp;""),"")="","",IF(IFERROR(TRIM(INDEX($A312:$AL312,MATCH(Lists!$F$8,$A$1:$AL$1,0))&amp;""),"")&lt;&gt;"",IFERROR(TRIM(INDEX($A312:$AL312,MATCH(Lists!$F$8,$A$1:$AL$1,0))&amp;""),""),IFERROR(TRIM(INDEX($A312:$AL312,MATCH(Lists!$F$9,$A$1:$AL$1,0))&amp;""),"")))</f>
        <v/>
      </c>
      <c r="AX312" s="21">
        <f>IFERROR(IF(TRIM(INDEX($A312:$AL312,MATCH(Lists!$F$10,$A$1:$AL$1,0))&amp;"")="","",VALUE(TRIM(INDEX($A312:$AL312,MATCH(Lists!$F$10,$A$1:$AL$1,0))&amp;""))),"")</f>
        <v/>
      </c>
      <c r="AY312" s="21">
        <f>IF(IFERROR(TRIM(INDEX($A312:$AL312,MATCH(Lists!$F$2,$A$1:$AL$1,0))&amp;""),"")="","",IF(AN312="","New",AN312))</f>
        <v/>
      </c>
      <c r="AZ312" s="21">
        <f>IF(IFERROR(TRIM(INDEX($A312:$AL312,MATCH(Lists!$F$2,$A$1:$AL$1,0))&amp;""),"")="","",IF(OR(IFERROR(TRIM(INDEX($A312:$AL312,MATCH(Lists!$F$13,$A$1:$AL$1,0))&amp;""),"")="Paid",IFERROR(TRIM(INDEX($A312:$AL312,MATCH(Lists!$F$13,$A$1:$AL$1,0))&amp;""),"")="Partially refunded"),"Paid",IF(AP312="Yes","Paid (by hand)",IFERROR(TRIM(INDEX($A312:$AL312,MATCH(Lists!$F$13,$A$1:$AL$1,0))&amp;""),""))))</f>
        <v/>
      </c>
      <c r="BA312" s="21">
        <f>IF(AND(IFERROR(TRIM(INDEX($A312:$AL312,MATCH(Lists!$F$2,$A$1:$AL$1,0))&amp;""),"")&lt;&gt;"",AT312&gt;0,AU312&gt;=0,AV312&gt;AU312,AY312&lt;&gt;"Declined"),1,0)</f>
        <v/>
      </c>
      <c r="BB312" s="21">
        <f>IF(BA312=1,COUNTIFS($AS$2:$AS$501,AS312,$AT$2:$AT$501,AT312,$AU$2:$AU$501,"&lt;"&amp;AV312,$AV$2:$AV$501,"&gt;"&amp;AU312,$BA$2:$BA$501,1)-1,"")</f>
        <v/>
      </c>
      <c r="BC312" s="21">
        <f>IF(N(BB312)&gt;0,"Clashes with "&amp;INDEX($AW$2:$AW$501,SUMPRODUCT(MAX(($AS$2:$AS$501=AS312)*($AT$2:$AT$501=AT312)*($AU$2:$AU$501&lt;AV312)*($AV$2:$AV$501&gt;AU312)*($BA$2:$BA$501=1)*(ROW($AS$2:$AS$501)&lt;&gt;ROW())*ROW($AS$2:$AS$501)))-1)&amp;" ("&amp;INDEX($AY$2:$AY$501,SUMPRODUCT(MAX(($AS$2:$AS$501=AS312)*($AT$2:$AT$501=AT312)*($AU$2:$AU$501&lt;AV312)*($AV$2:$AV$501&gt;AU312)*($BA$2:$BA$501=1)*(ROW($AS$2:$AS$501)&lt;&gt;ROW())*ROW($AS$2:$AS$501)))-1)&amp;")"&amp;IF(BB312&gt;1," and "&amp;(BB312-1)&amp;" more",""),"")</f>
        <v/>
      </c>
      <c r="BD312" s="21">
        <f>IF(AND(BA312=1,AY312="Confirmed"),AT312*10000000+AU312*1000+ROW(),"")</f>
        <v/>
      </c>
      <c r="BE312" s="21">
        <f>IF(IFERROR(TRIM(INDEX($A312:$AL312,MATCH(Lists!$F$2,$A$1:$AL$1,0))&amp;""),"")="","",IFERROR(TRIM(INDEX($A312:$AL312,MATCH(Lists!$F$11,$A$1:$AL$1,0))&amp;""),""))</f>
        <v/>
      </c>
      <c r="BF312" s="21">
        <f>IF(IFERROR(TRIM(INDEX($A312:$AL312,MATCH(Lists!$F$2,$A$1:$AL$1,0))&amp;""),"")="","",IFERROR(TRIM(INDEX($A312:$AL312,MATCH(Lists!$F$12,$A$1:$AL$1,0))&amp;""),""))</f>
        <v/>
      </c>
    </row>
    <row r="313">
      <c r="AM313" s="19" t="n"/>
      <c r="AN313" s="23" t="n"/>
      <c r="AO313" s="23" t="n"/>
      <c r="AP313" s="23" t="n"/>
      <c r="AQ313" s="23" t="n"/>
      <c r="AR313" s="19" t="n"/>
      <c r="AS313" s="21">
        <f>IF(IFERROR(TRIM(INDEX($A313:$AL313,MATCH(Lists!$F$2,$A$1:$AL$1,0))&amp;""),"")="","",IF(AND(IFERROR(TRIM(INDEX($A313:$AL313,MATCH(Lists!$F$3,$A$1:$AL$1,0))&amp;""),"")="Other",IFERROR(TRIM(INDEX($A313:$AL313,MATCH(Lists!$F$4,$A$1:$AL$1,0))&amp;""),"")&lt;&gt;""),IFERROR(TRIM(INDEX($A313:$AL313,MATCH(Lists!$F$4,$A$1:$AL$1,0))&amp;""),""),IF(IFERROR(TRIM(INDEX($A313:$AL313,MATCH(Lists!$F$3,$A$1:$AL$1,0))&amp;""),"")="","(no space)",IFERROR(TRIM(INDEX($A313:$AL313,MATCH(Lists!$F$3,$A$1:$AL$1,0))&amp;""),""))))</f>
        <v/>
      </c>
      <c r="AT313" s="22">
        <f>IF(IFERROR(TRIM(INDEX($A313:$AL313,MATCH(Lists!$F$2,$A$1:$AL$1,0))&amp;""),"")="",0,N(IFERROR(IF(TRIM(INDEX($A313:$AL313,MATCH(Lists!$F$5,$A$1:$AL$1,0))&amp;"")="","",IF(ISNUMBER(INDEX($A313:$AL313,MATCH(Lists!$F$5,$A$1:$AL$1,0))),INT(INDEX($A313:$AL313,MATCH(Lists!$F$5,$A$1:$AL$1,0))),DATE(VALUE(LEFT(INDEX($A313:$AL313,MATCH(Lists!$F$5,$A$1:$AL$1,0)),4)),VALUE(MID(INDEX($A313:$AL313,MATCH(Lists!$F$5,$A$1:$AL$1,0)),6,2)),VALUE(MID(INDEX($A313:$AL313,MATCH(Lists!$F$5,$A$1:$AL$1,0)),9,2))))),"")))</f>
        <v/>
      </c>
      <c r="AU313" s="21">
        <f>IF(IFERROR(TRIM(INDEX($A313:$AL313,MATCH(Lists!$F$2,$A$1:$AL$1,0))&amp;""),"")="",-1,IF(ISNUMBER(IFERROR(IF(TRIM(INDEX($A313:$AL313,MATCH(Lists!$F$6,$A$1:$AL$1,0))&amp;"")="","",IF(ISNUMBER(INDEX($A313:$AL313,MATCH(Lists!$F$6,$A$1:$AL$1,0))),ROUND(MOD(INDEX($A313:$AL313,MATCH(Lists!$F$6,$A$1:$AL$1,0)),1)*1440,0),VALUE(LEFT(INDEX($A313:$AL313,MATCH(Lists!$F$6,$A$1:$AL$1,0)),2))*60+VALUE(MID(INDEX($A313:$AL313,MATCH(Lists!$F$6,$A$1:$AL$1,0)),4,2)))),"")),IFERROR(IF(TRIM(INDEX($A313:$AL313,MATCH(Lists!$F$6,$A$1:$AL$1,0))&amp;"")="","",IF(ISNUMBER(INDEX($A313:$AL313,MATCH(Lists!$F$6,$A$1:$AL$1,0))),ROUND(MOD(INDEX($A313:$AL313,MATCH(Lists!$F$6,$A$1:$AL$1,0)),1)*1440,0),VALUE(LEFT(INDEX($A313:$AL313,MATCH(Lists!$F$6,$A$1:$AL$1,0)),2))*60+VALUE(MID(INDEX($A313:$AL313,MATCH(Lists!$F$6,$A$1:$AL$1,0)),4,2)))),""),-1))</f>
        <v/>
      </c>
      <c r="AV313" s="21">
        <f>IF(IFERROR(TRIM(INDEX($A313:$AL313,MATCH(Lists!$F$2,$A$1:$AL$1,0))&amp;""),"")="",-1,IF(ISNUMBER(IFERROR(IF(TRIM(INDEX($A313:$AL313,MATCH(Lists!$F$7,$A$1:$AL$1,0))&amp;"")="","",IF(ISNUMBER(INDEX($A313:$AL313,MATCH(Lists!$F$7,$A$1:$AL$1,0))),ROUND(MOD(INDEX($A313:$AL313,MATCH(Lists!$F$7,$A$1:$AL$1,0)),1)*1440,0),VALUE(LEFT(INDEX($A313:$AL313,MATCH(Lists!$F$7,$A$1:$AL$1,0)),2))*60+VALUE(MID(INDEX($A313:$AL313,MATCH(Lists!$F$7,$A$1:$AL$1,0)),4,2)))),"")),IFERROR(IF(TRIM(INDEX($A313:$AL313,MATCH(Lists!$F$7,$A$1:$AL$1,0))&amp;"")="","",IF(ISNUMBER(INDEX($A313:$AL313,MATCH(Lists!$F$7,$A$1:$AL$1,0))),ROUND(MOD(INDEX($A313:$AL313,MATCH(Lists!$F$7,$A$1:$AL$1,0)),1)*1440,0),VALUE(LEFT(INDEX($A313:$AL313,MATCH(Lists!$F$7,$A$1:$AL$1,0)),2))*60+VALUE(MID(INDEX($A313:$AL313,MATCH(Lists!$F$7,$A$1:$AL$1,0)),4,2)))),""),-1))</f>
        <v/>
      </c>
      <c r="AW313" s="21">
        <f>IF(IFERROR(TRIM(INDEX($A313:$AL313,MATCH(Lists!$F$2,$A$1:$AL$1,0))&amp;""),"")="","",IF(IFERROR(TRIM(INDEX($A313:$AL313,MATCH(Lists!$F$8,$A$1:$AL$1,0))&amp;""),"")&lt;&gt;"",IFERROR(TRIM(INDEX($A313:$AL313,MATCH(Lists!$F$8,$A$1:$AL$1,0))&amp;""),""),IFERROR(TRIM(INDEX($A313:$AL313,MATCH(Lists!$F$9,$A$1:$AL$1,0))&amp;""),"")))</f>
        <v/>
      </c>
      <c r="AX313" s="21">
        <f>IFERROR(IF(TRIM(INDEX($A313:$AL313,MATCH(Lists!$F$10,$A$1:$AL$1,0))&amp;"")="","",VALUE(TRIM(INDEX($A313:$AL313,MATCH(Lists!$F$10,$A$1:$AL$1,0))&amp;""))),"")</f>
        <v/>
      </c>
      <c r="AY313" s="21">
        <f>IF(IFERROR(TRIM(INDEX($A313:$AL313,MATCH(Lists!$F$2,$A$1:$AL$1,0))&amp;""),"")="","",IF(AN313="","New",AN313))</f>
        <v/>
      </c>
      <c r="AZ313" s="21">
        <f>IF(IFERROR(TRIM(INDEX($A313:$AL313,MATCH(Lists!$F$2,$A$1:$AL$1,0))&amp;""),"")="","",IF(OR(IFERROR(TRIM(INDEX($A313:$AL313,MATCH(Lists!$F$13,$A$1:$AL$1,0))&amp;""),"")="Paid",IFERROR(TRIM(INDEX($A313:$AL313,MATCH(Lists!$F$13,$A$1:$AL$1,0))&amp;""),"")="Partially refunded"),"Paid",IF(AP313="Yes","Paid (by hand)",IFERROR(TRIM(INDEX($A313:$AL313,MATCH(Lists!$F$13,$A$1:$AL$1,0))&amp;""),""))))</f>
        <v/>
      </c>
      <c r="BA313" s="21">
        <f>IF(AND(IFERROR(TRIM(INDEX($A313:$AL313,MATCH(Lists!$F$2,$A$1:$AL$1,0))&amp;""),"")&lt;&gt;"",AT313&gt;0,AU313&gt;=0,AV313&gt;AU313,AY313&lt;&gt;"Declined"),1,0)</f>
        <v/>
      </c>
      <c r="BB313" s="21">
        <f>IF(BA313=1,COUNTIFS($AS$2:$AS$501,AS313,$AT$2:$AT$501,AT313,$AU$2:$AU$501,"&lt;"&amp;AV313,$AV$2:$AV$501,"&gt;"&amp;AU313,$BA$2:$BA$501,1)-1,"")</f>
        <v/>
      </c>
      <c r="BC313" s="21">
        <f>IF(N(BB313)&gt;0,"Clashes with "&amp;INDEX($AW$2:$AW$501,SUMPRODUCT(MAX(($AS$2:$AS$501=AS313)*($AT$2:$AT$501=AT313)*($AU$2:$AU$501&lt;AV313)*($AV$2:$AV$501&gt;AU313)*($BA$2:$BA$501=1)*(ROW($AS$2:$AS$501)&lt;&gt;ROW())*ROW($AS$2:$AS$501)))-1)&amp;" ("&amp;INDEX($AY$2:$AY$501,SUMPRODUCT(MAX(($AS$2:$AS$501=AS313)*($AT$2:$AT$501=AT313)*($AU$2:$AU$501&lt;AV313)*($AV$2:$AV$501&gt;AU313)*($BA$2:$BA$501=1)*(ROW($AS$2:$AS$501)&lt;&gt;ROW())*ROW($AS$2:$AS$501)))-1)&amp;")"&amp;IF(BB313&gt;1," and "&amp;(BB313-1)&amp;" more",""),"")</f>
        <v/>
      </c>
      <c r="BD313" s="21">
        <f>IF(AND(BA313=1,AY313="Confirmed"),AT313*10000000+AU313*1000+ROW(),"")</f>
        <v/>
      </c>
      <c r="BE313" s="21">
        <f>IF(IFERROR(TRIM(INDEX($A313:$AL313,MATCH(Lists!$F$2,$A$1:$AL$1,0))&amp;""),"")="","",IFERROR(TRIM(INDEX($A313:$AL313,MATCH(Lists!$F$11,$A$1:$AL$1,0))&amp;""),""))</f>
        <v/>
      </c>
      <c r="BF313" s="21">
        <f>IF(IFERROR(TRIM(INDEX($A313:$AL313,MATCH(Lists!$F$2,$A$1:$AL$1,0))&amp;""),"")="","",IFERROR(TRIM(INDEX($A313:$AL313,MATCH(Lists!$F$12,$A$1:$AL$1,0))&amp;""),""))</f>
        <v/>
      </c>
    </row>
    <row r="314">
      <c r="AM314" s="19" t="n"/>
      <c r="AN314" s="23" t="n"/>
      <c r="AO314" s="23" t="n"/>
      <c r="AP314" s="23" t="n"/>
      <c r="AQ314" s="23" t="n"/>
      <c r="AR314" s="19" t="n"/>
      <c r="AS314" s="21">
        <f>IF(IFERROR(TRIM(INDEX($A314:$AL314,MATCH(Lists!$F$2,$A$1:$AL$1,0))&amp;""),"")="","",IF(AND(IFERROR(TRIM(INDEX($A314:$AL314,MATCH(Lists!$F$3,$A$1:$AL$1,0))&amp;""),"")="Other",IFERROR(TRIM(INDEX($A314:$AL314,MATCH(Lists!$F$4,$A$1:$AL$1,0))&amp;""),"")&lt;&gt;""),IFERROR(TRIM(INDEX($A314:$AL314,MATCH(Lists!$F$4,$A$1:$AL$1,0))&amp;""),""),IF(IFERROR(TRIM(INDEX($A314:$AL314,MATCH(Lists!$F$3,$A$1:$AL$1,0))&amp;""),"")="","(no space)",IFERROR(TRIM(INDEX($A314:$AL314,MATCH(Lists!$F$3,$A$1:$AL$1,0))&amp;""),""))))</f>
        <v/>
      </c>
      <c r="AT314" s="22">
        <f>IF(IFERROR(TRIM(INDEX($A314:$AL314,MATCH(Lists!$F$2,$A$1:$AL$1,0))&amp;""),"")="",0,N(IFERROR(IF(TRIM(INDEX($A314:$AL314,MATCH(Lists!$F$5,$A$1:$AL$1,0))&amp;"")="","",IF(ISNUMBER(INDEX($A314:$AL314,MATCH(Lists!$F$5,$A$1:$AL$1,0))),INT(INDEX($A314:$AL314,MATCH(Lists!$F$5,$A$1:$AL$1,0))),DATE(VALUE(LEFT(INDEX($A314:$AL314,MATCH(Lists!$F$5,$A$1:$AL$1,0)),4)),VALUE(MID(INDEX($A314:$AL314,MATCH(Lists!$F$5,$A$1:$AL$1,0)),6,2)),VALUE(MID(INDEX($A314:$AL314,MATCH(Lists!$F$5,$A$1:$AL$1,0)),9,2))))),"")))</f>
        <v/>
      </c>
      <c r="AU314" s="21">
        <f>IF(IFERROR(TRIM(INDEX($A314:$AL314,MATCH(Lists!$F$2,$A$1:$AL$1,0))&amp;""),"")="",-1,IF(ISNUMBER(IFERROR(IF(TRIM(INDEX($A314:$AL314,MATCH(Lists!$F$6,$A$1:$AL$1,0))&amp;"")="","",IF(ISNUMBER(INDEX($A314:$AL314,MATCH(Lists!$F$6,$A$1:$AL$1,0))),ROUND(MOD(INDEX($A314:$AL314,MATCH(Lists!$F$6,$A$1:$AL$1,0)),1)*1440,0),VALUE(LEFT(INDEX($A314:$AL314,MATCH(Lists!$F$6,$A$1:$AL$1,0)),2))*60+VALUE(MID(INDEX($A314:$AL314,MATCH(Lists!$F$6,$A$1:$AL$1,0)),4,2)))),"")),IFERROR(IF(TRIM(INDEX($A314:$AL314,MATCH(Lists!$F$6,$A$1:$AL$1,0))&amp;"")="","",IF(ISNUMBER(INDEX($A314:$AL314,MATCH(Lists!$F$6,$A$1:$AL$1,0))),ROUND(MOD(INDEX($A314:$AL314,MATCH(Lists!$F$6,$A$1:$AL$1,0)),1)*1440,0),VALUE(LEFT(INDEX($A314:$AL314,MATCH(Lists!$F$6,$A$1:$AL$1,0)),2))*60+VALUE(MID(INDEX($A314:$AL314,MATCH(Lists!$F$6,$A$1:$AL$1,0)),4,2)))),""),-1))</f>
        <v/>
      </c>
      <c r="AV314" s="21">
        <f>IF(IFERROR(TRIM(INDEX($A314:$AL314,MATCH(Lists!$F$2,$A$1:$AL$1,0))&amp;""),"")="",-1,IF(ISNUMBER(IFERROR(IF(TRIM(INDEX($A314:$AL314,MATCH(Lists!$F$7,$A$1:$AL$1,0))&amp;"")="","",IF(ISNUMBER(INDEX($A314:$AL314,MATCH(Lists!$F$7,$A$1:$AL$1,0))),ROUND(MOD(INDEX($A314:$AL314,MATCH(Lists!$F$7,$A$1:$AL$1,0)),1)*1440,0),VALUE(LEFT(INDEX($A314:$AL314,MATCH(Lists!$F$7,$A$1:$AL$1,0)),2))*60+VALUE(MID(INDEX($A314:$AL314,MATCH(Lists!$F$7,$A$1:$AL$1,0)),4,2)))),"")),IFERROR(IF(TRIM(INDEX($A314:$AL314,MATCH(Lists!$F$7,$A$1:$AL$1,0))&amp;"")="","",IF(ISNUMBER(INDEX($A314:$AL314,MATCH(Lists!$F$7,$A$1:$AL$1,0))),ROUND(MOD(INDEX($A314:$AL314,MATCH(Lists!$F$7,$A$1:$AL$1,0)),1)*1440,0),VALUE(LEFT(INDEX($A314:$AL314,MATCH(Lists!$F$7,$A$1:$AL$1,0)),2))*60+VALUE(MID(INDEX($A314:$AL314,MATCH(Lists!$F$7,$A$1:$AL$1,0)),4,2)))),""),-1))</f>
        <v/>
      </c>
      <c r="AW314" s="21">
        <f>IF(IFERROR(TRIM(INDEX($A314:$AL314,MATCH(Lists!$F$2,$A$1:$AL$1,0))&amp;""),"")="","",IF(IFERROR(TRIM(INDEX($A314:$AL314,MATCH(Lists!$F$8,$A$1:$AL$1,0))&amp;""),"")&lt;&gt;"",IFERROR(TRIM(INDEX($A314:$AL314,MATCH(Lists!$F$8,$A$1:$AL$1,0))&amp;""),""),IFERROR(TRIM(INDEX($A314:$AL314,MATCH(Lists!$F$9,$A$1:$AL$1,0))&amp;""),"")))</f>
        <v/>
      </c>
      <c r="AX314" s="21">
        <f>IFERROR(IF(TRIM(INDEX($A314:$AL314,MATCH(Lists!$F$10,$A$1:$AL$1,0))&amp;"")="","",VALUE(TRIM(INDEX($A314:$AL314,MATCH(Lists!$F$10,$A$1:$AL$1,0))&amp;""))),"")</f>
        <v/>
      </c>
      <c r="AY314" s="21">
        <f>IF(IFERROR(TRIM(INDEX($A314:$AL314,MATCH(Lists!$F$2,$A$1:$AL$1,0))&amp;""),"")="","",IF(AN314="","New",AN314))</f>
        <v/>
      </c>
      <c r="AZ314" s="21">
        <f>IF(IFERROR(TRIM(INDEX($A314:$AL314,MATCH(Lists!$F$2,$A$1:$AL$1,0))&amp;""),"")="","",IF(OR(IFERROR(TRIM(INDEX($A314:$AL314,MATCH(Lists!$F$13,$A$1:$AL$1,0))&amp;""),"")="Paid",IFERROR(TRIM(INDEX($A314:$AL314,MATCH(Lists!$F$13,$A$1:$AL$1,0))&amp;""),"")="Partially refunded"),"Paid",IF(AP314="Yes","Paid (by hand)",IFERROR(TRIM(INDEX($A314:$AL314,MATCH(Lists!$F$13,$A$1:$AL$1,0))&amp;""),""))))</f>
        <v/>
      </c>
      <c r="BA314" s="21">
        <f>IF(AND(IFERROR(TRIM(INDEX($A314:$AL314,MATCH(Lists!$F$2,$A$1:$AL$1,0))&amp;""),"")&lt;&gt;"",AT314&gt;0,AU314&gt;=0,AV314&gt;AU314,AY314&lt;&gt;"Declined"),1,0)</f>
        <v/>
      </c>
      <c r="BB314" s="21">
        <f>IF(BA314=1,COUNTIFS($AS$2:$AS$501,AS314,$AT$2:$AT$501,AT314,$AU$2:$AU$501,"&lt;"&amp;AV314,$AV$2:$AV$501,"&gt;"&amp;AU314,$BA$2:$BA$501,1)-1,"")</f>
        <v/>
      </c>
      <c r="BC314" s="21">
        <f>IF(N(BB314)&gt;0,"Clashes with "&amp;INDEX($AW$2:$AW$501,SUMPRODUCT(MAX(($AS$2:$AS$501=AS314)*($AT$2:$AT$501=AT314)*($AU$2:$AU$501&lt;AV314)*($AV$2:$AV$501&gt;AU314)*($BA$2:$BA$501=1)*(ROW($AS$2:$AS$501)&lt;&gt;ROW())*ROW($AS$2:$AS$501)))-1)&amp;" ("&amp;INDEX($AY$2:$AY$501,SUMPRODUCT(MAX(($AS$2:$AS$501=AS314)*($AT$2:$AT$501=AT314)*($AU$2:$AU$501&lt;AV314)*($AV$2:$AV$501&gt;AU314)*($BA$2:$BA$501=1)*(ROW($AS$2:$AS$501)&lt;&gt;ROW())*ROW($AS$2:$AS$501)))-1)&amp;")"&amp;IF(BB314&gt;1," and "&amp;(BB314-1)&amp;" more",""),"")</f>
        <v/>
      </c>
      <c r="BD314" s="21">
        <f>IF(AND(BA314=1,AY314="Confirmed"),AT314*10000000+AU314*1000+ROW(),"")</f>
        <v/>
      </c>
      <c r="BE314" s="21">
        <f>IF(IFERROR(TRIM(INDEX($A314:$AL314,MATCH(Lists!$F$2,$A$1:$AL$1,0))&amp;""),"")="","",IFERROR(TRIM(INDEX($A314:$AL314,MATCH(Lists!$F$11,$A$1:$AL$1,0))&amp;""),""))</f>
        <v/>
      </c>
      <c r="BF314" s="21">
        <f>IF(IFERROR(TRIM(INDEX($A314:$AL314,MATCH(Lists!$F$2,$A$1:$AL$1,0))&amp;""),"")="","",IFERROR(TRIM(INDEX($A314:$AL314,MATCH(Lists!$F$12,$A$1:$AL$1,0))&amp;""),""))</f>
        <v/>
      </c>
    </row>
    <row r="315">
      <c r="AM315" s="19" t="n"/>
      <c r="AN315" s="23" t="n"/>
      <c r="AO315" s="23" t="n"/>
      <c r="AP315" s="23" t="n"/>
      <c r="AQ315" s="23" t="n"/>
      <c r="AR315" s="19" t="n"/>
      <c r="AS315" s="21">
        <f>IF(IFERROR(TRIM(INDEX($A315:$AL315,MATCH(Lists!$F$2,$A$1:$AL$1,0))&amp;""),"")="","",IF(AND(IFERROR(TRIM(INDEX($A315:$AL315,MATCH(Lists!$F$3,$A$1:$AL$1,0))&amp;""),"")="Other",IFERROR(TRIM(INDEX($A315:$AL315,MATCH(Lists!$F$4,$A$1:$AL$1,0))&amp;""),"")&lt;&gt;""),IFERROR(TRIM(INDEX($A315:$AL315,MATCH(Lists!$F$4,$A$1:$AL$1,0))&amp;""),""),IF(IFERROR(TRIM(INDEX($A315:$AL315,MATCH(Lists!$F$3,$A$1:$AL$1,0))&amp;""),"")="","(no space)",IFERROR(TRIM(INDEX($A315:$AL315,MATCH(Lists!$F$3,$A$1:$AL$1,0))&amp;""),""))))</f>
        <v/>
      </c>
      <c r="AT315" s="22">
        <f>IF(IFERROR(TRIM(INDEX($A315:$AL315,MATCH(Lists!$F$2,$A$1:$AL$1,0))&amp;""),"")="",0,N(IFERROR(IF(TRIM(INDEX($A315:$AL315,MATCH(Lists!$F$5,$A$1:$AL$1,0))&amp;"")="","",IF(ISNUMBER(INDEX($A315:$AL315,MATCH(Lists!$F$5,$A$1:$AL$1,0))),INT(INDEX($A315:$AL315,MATCH(Lists!$F$5,$A$1:$AL$1,0))),DATE(VALUE(LEFT(INDEX($A315:$AL315,MATCH(Lists!$F$5,$A$1:$AL$1,0)),4)),VALUE(MID(INDEX($A315:$AL315,MATCH(Lists!$F$5,$A$1:$AL$1,0)),6,2)),VALUE(MID(INDEX($A315:$AL315,MATCH(Lists!$F$5,$A$1:$AL$1,0)),9,2))))),"")))</f>
        <v/>
      </c>
      <c r="AU315" s="21">
        <f>IF(IFERROR(TRIM(INDEX($A315:$AL315,MATCH(Lists!$F$2,$A$1:$AL$1,0))&amp;""),"")="",-1,IF(ISNUMBER(IFERROR(IF(TRIM(INDEX($A315:$AL315,MATCH(Lists!$F$6,$A$1:$AL$1,0))&amp;"")="","",IF(ISNUMBER(INDEX($A315:$AL315,MATCH(Lists!$F$6,$A$1:$AL$1,0))),ROUND(MOD(INDEX($A315:$AL315,MATCH(Lists!$F$6,$A$1:$AL$1,0)),1)*1440,0),VALUE(LEFT(INDEX($A315:$AL315,MATCH(Lists!$F$6,$A$1:$AL$1,0)),2))*60+VALUE(MID(INDEX($A315:$AL315,MATCH(Lists!$F$6,$A$1:$AL$1,0)),4,2)))),"")),IFERROR(IF(TRIM(INDEX($A315:$AL315,MATCH(Lists!$F$6,$A$1:$AL$1,0))&amp;"")="","",IF(ISNUMBER(INDEX($A315:$AL315,MATCH(Lists!$F$6,$A$1:$AL$1,0))),ROUND(MOD(INDEX($A315:$AL315,MATCH(Lists!$F$6,$A$1:$AL$1,0)),1)*1440,0),VALUE(LEFT(INDEX($A315:$AL315,MATCH(Lists!$F$6,$A$1:$AL$1,0)),2))*60+VALUE(MID(INDEX($A315:$AL315,MATCH(Lists!$F$6,$A$1:$AL$1,0)),4,2)))),""),-1))</f>
        <v/>
      </c>
      <c r="AV315" s="21">
        <f>IF(IFERROR(TRIM(INDEX($A315:$AL315,MATCH(Lists!$F$2,$A$1:$AL$1,0))&amp;""),"")="",-1,IF(ISNUMBER(IFERROR(IF(TRIM(INDEX($A315:$AL315,MATCH(Lists!$F$7,$A$1:$AL$1,0))&amp;"")="","",IF(ISNUMBER(INDEX($A315:$AL315,MATCH(Lists!$F$7,$A$1:$AL$1,0))),ROUND(MOD(INDEX($A315:$AL315,MATCH(Lists!$F$7,$A$1:$AL$1,0)),1)*1440,0),VALUE(LEFT(INDEX($A315:$AL315,MATCH(Lists!$F$7,$A$1:$AL$1,0)),2))*60+VALUE(MID(INDEX($A315:$AL315,MATCH(Lists!$F$7,$A$1:$AL$1,0)),4,2)))),"")),IFERROR(IF(TRIM(INDEX($A315:$AL315,MATCH(Lists!$F$7,$A$1:$AL$1,0))&amp;"")="","",IF(ISNUMBER(INDEX($A315:$AL315,MATCH(Lists!$F$7,$A$1:$AL$1,0))),ROUND(MOD(INDEX($A315:$AL315,MATCH(Lists!$F$7,$A$1:$AL$1,0)),1)*1440,0),VALUE(LEFT(INDEX($A315:$AL315,MATCH(Lists!$F$7,$A$1:$AL$1,0)),2))*60+VALUE(MID(INDEX($A315:$AL315,MATCH(Lists!$F$7,$A$1:$AL$1,0)),4,2)))),""),-1))</f>
        <v/>
      </c>
      <c r="AW315" s="21">
        <f>IF(IFERROR(TRIM(INDEX($A315:$AL315,MATCH(Lists!$F$2,$A$1:$AL$1,0))&amp;""),"")="","",IF(IFERROR(TRIM(INDEX($A315:$AL315,MATCH(Lists!$F$8,$A$1:$AL$1,0))&amp;""),"")&lt;&gt;"",IFERROR(TRIM(INDEX($A315:$AL315,MATCH(Lists!$F$8,$A$1:$AL$1,0))&amp;""),""),IFERROR(TRIM(INDEX($A315:$AL315,MATCH(Lists!$F$9,$A$1:$AL$1,0))&amp;""),"")))</f>
        <v/>
      </c>
      <c r="AX315" s="21">
        <f>IFERROR(IF(TRIM(INDEX($A315:$AL315,MATCH(Lists!$F$10,$A$1:$AL$1,0))&amp;"")="","",VALUE(TRIM(INDEX($A315:$AL315,MATCH(Lists!$F$10,$A$1:$AL$1,0))&amp;""))),"")</f>
        <v/>
      </c>
      <c r="AY315" s="21">
        <f>IF(IFERROR(TRIM(INDEX($A315:$AL315,MATCH(Lists!$F$2,$A$1:$AL$1,0))&amp;""),"")="","",IF(AN315="","New",AN315))</f>
        <v/>
      </c>
      <c r="AZ315" s="21">
        <f>IF(IFERROR(TRIM(INDEX($A315:$AL315,MATCH(Lists!$F$2,$A$1:$AL$1,0))&amp;""),"")="","",IF(OR(IFERROR(TRIM(INDEX($A315:$AL315,MATCH(Lists!$F$13,$A$1:$AL$1,0))&amp;""),"")="Paid",IFERROR(TRIM(INDEX($A315:$AL315,MATCH(Lists!$F$13,$A$1:$AL$1,0))&amp;""),"")="Partially refunded"),"Paid",IF(AP315="Yes","Paid (by hand)",IFERROR(TRIM(INDEX($A315:$AL315,MATCH(Lists!$F$13,$A$1:$AL$1,0))&amp;""),""))))</f>
        <v/>
      </c>
      <c r="BA315" s="21">
        <f>IF(AND(IFERROR(TRIM(INDEX($A315:$AL315,MATCH(Lists!$F$2,$A$1:$AL$1,0))&amp;""),"")&lt;&gt;"",AT315&gt;0,AU315&gt;=0,AV315&gt;AU315,AY315&lt;&gt;"Declined"),1,0)</f>
        <v/>
      </c>
      <c r="BB315" s="21">
        <f>IF(BA315=1,COUNTIFS($AS$2:$AS$501,AS315,$AT$2:$AT$501,AT315,$AU$2:$AU$501,"&lt;"&amp;AV315,$AV$2:$AV$501,"&gt;"&amp;AU315,$BA$2:$BA$501,1)-1,"")</f>
        <v/>
      </c>
      <c r="BC315" s="21">
        <f>IF(N(BB315)&gt;0,"Clashes with "&amp;INDEX($AW$2:$AW$501,SUMPRODUCT(MAX(($AS$2:$AS$501=AS315)*($AT$2:$AT$501=AT315)*($AU$2:$AU$501&lt;AV315)*($AV$2:$AV$501&gt;AU315)*($BA$2:$BA$501=1)*(ROW($AS$2:$AS$501)&lt;&gt;ROW())*ROW($AS$2:$AS$501)))-1)&amp;" ("&amp;INDEX($AY$2:$AY$501,SUMPRODUCT(MAX(($AS$2:$AS$501=AS315)*($AT$2:$AT$501=AT315)*($AU$2:$AU$501&lt;AV315)*($AV$2:$AV$501&gt;AU315)*($BA$2:$BA$501=1)*(ROW($AS$2:$AS$501)&lt;&gt;ROW())*ROW($AS$2:$AS$501)))-1)&amp;")"&amp;IF(BB315&gt;1," and "&amp;(BB315-1)&amp;" more",""),"")</f>
        <v/>
      </c>
      <c r="BD315" s="21">
        <f>IF(AND(BA315=1,AY315="Confirmed"),AT315*10000000+AU315*1000+ROW(),"")</f>
        <v/>
      </c>
      <c r="BE315" s="21">
        <f>IF(IFERROR(TRIM(INDEX($A315:$AL315,MATCH(Lists!$F$2,$A$1:$AL$1,0))&amp;""),"")="","",IFERROR(TRIM(INDEX($A315:$AL315,MATCH(Lists!$F$11,$A$1:$AL$1,0))&amp;""),""))</f>
        <v/>
      </c>
      <c r="BF315" s="21">
        <f>IF(IFERROR(TRIM(INDEX($A315:$AL315,MATCH(Lists!$F$2,$A$1:$AL$1,0))&amp;""),"")="","",IFERROR(TRIM(INDEX($A315:$AL315,MATCH(Lists!$F$12,$A$1:$AL$1,0))&amp;""),""))</f>
        <v/>
      </c>
    </row>
    <row r="316">
      <c r="AM316" s="19" t="n"/>
      <c r="AN316" s="23" t="n"/>
      <c r="AO316" s="23" t="n"/>
      <c r="AP316" s="23" t="n"/>
      <c r="AQ316" s="23" t="n"/>
      <c r="AR316" s="19" t="n"/>
      <c r="AS316" s="21">
        <f>IF(IFERROR(TRIM(INDEX($A316:$AL316,MATCH(Lists!$F$2,$A$1:$AL$1,0))&amp;""),"")="","",IF(AND(IFERROR(TRIM(INDEX($A316:$AL316,MATCH(Lists!$F$3,$A$1:$AL$1,0))&amp;""),"")="Other",IFERROR(TRIM(INDEX($A316:$AL316,MATCH(Lists!$F$4,$A$1:$AL$1,0))&amp;""),"")&lt;&gt;""),IFERROR(TRIM(INDEX($A316:$AL316,MATCH(Lists!$F$4,$A$1:$AL$1,0))&amp;""),""),IF(IFERROR(TRIM(INDEX($A316:$AL316,MATCH(Lists!$F$3,$A$1:$AL$1,0))&amp;""),"")="","(no space)",IFERROR(TRIM(INDEX($A316:$AL316,MATCH(Lists!$F$3,$A$1:$AL$1,0))&amp;""),""))))</f>
        <v/>
      </c>
      <c r="AT316" s="22">
        <f>IF(IFERROR(TRIM(INDEX($A316:$AL316,MATCH(Lists!$F$2,$A$1:$AL$1,0))&amp;""),"")="",0,N(IFERROR(IF(TRIM(INDEX($A316:$AL316,MATCH(Lists!$F$5,$A$1:$AL$1,0))&amp;"")="","",IF(ISNUMBER(INDEX($A316:$AL316,MATCH(Lists!$F$5,$A$1:$AL$1,0))),INT(INDEX($A316:$AL316,MATCH(Lists!$F$5,$A$1:$AL$1,0))),DATE(VALUE(LEFT(INDEX($A316:$AL316,MATCH(Lists!$F$5,$A$1:$AL$1,0)),4)),VALUE(MID(INDEX($A316:$AL316,MATCH(Lists!$F$5,$A$1:$AL$1,0)),6,2)),VALUE(MID(INDEX($A316:$AL316,MATCH(Lists!$F$5,$A$1:$AL$1,0)),9,2))))),"")))</f>
        <v/>
      </c>
      <c r="AU316" s="21">
        <f>IF(IFERROR(TRIM(INDEX($A316:$AL316,MATCH(Lists!$F$2,$A$1:$AL$1,0))&amp;""),"")="",-1,IF(ISNUMBER(IFERROR(IF(TRIM(INDEX($A316:$AL316,MATCH(Lists!$F$6,$A$1:$AL$1,0))&amp;"")="","",IF(ISNUMBER(INDEX($A316:$AL316,MATCH(Lists!$F$6,$A$1:$AL$1,0))),ROUND(MOD(INDEX($A316:$AL316,MATCH(Lists!$F$6,$A$1:$AL$1,0)),1)*1440,0),VALUE(LEFT(INDEX($A316:$AL316,MATCH(Lists!$F$6,$A$1:$AL$1,0)),2))*60+VALUE(MID(INDEX($A316:$AL316,MATCH(Lists!$F$6,$A$1:$AL$1,0)),4,2)))),"")),IFERROR(IF(TRIM(INDEX($A316:$AL316,MATCH(Lists!$F$6,$A$1:$AL$1,0))&amp;"")="","",IF(ISNUMBER(INDEX($A316:$AL316,MATCH(Lists!$F$6,$A$1:$AL$1,0))),ROUND(MOD(INDEX($A316:$AL316,MATCH(Lists!$F$6,$A$1:$AL$1,0)),1)*1440,0),VALUE(LEFT(INDEX($A316:$AL316,MATCH(Lists!$F$6,$A$1:$AL$1,0)),2))*60+VALUE(MID(INDEX($A316:$AL316,MATCH(Lists!$F$6,$A$1:$AL$1,0)),4,2)))),""),-1))</f>
        <v/>
      </c>
      <c r="AV316" s="21">
        <f>IF(IFERROR(TRIM(INDEX($A316:$AL316,MATCH(Lists!$F$2,$A$1:$AL$1,0))&amp;""),"")="",-1,IF(ISNUMBER(IFERROR(IF(TRIM(INDEX($A316:$AL316,MATCH(Lists!$F$7,$A$1:$AL$1,0))&amp;"")="","",IF(ISNUMBER(INDEX($A316:$AL316,MATCH(Lists!$F$7,$A$1:$AL$1,0))),ROUND(MOD(INDEX($A316:$AL316,MATCH(Lists!$F$7,$A$1:$AL$1,0)),1)*1440,0),VALUE(LEFT(INDEX($A316:$AL316,MATCH(Lists!$F$7,$A$1:$AL$1,0)),2))*60+VALUE(MID(INDEX($A316:$AL316,MATCH(Lists!$F$7,$A$1:$AL$1,0)),4,2)))),"")),IFERROR(IF(TRIM(INDEX($A316:$AL316,MATCH(Lists!$F$7,$A$1:$AL$1,0))&amp;"")="","",IF(ISNUMBER(INDEX($A316:$AL316,MATCH(Lists!$F$7,$A$1:$AL$1,0))),ROUND(MOD(INDEX($A316:$AL316,MATCH(Lists!$F$7,$A$1:$AL$1,0)),1)*1440,0),VALUE(LEFT(INDEX($A316:$AL316,MATCH(Lists!$F$7,$A$1:$AL$1,0)),2))*60+VALUE(MID(INDEX($A316:$AL316,MATCH(Lists!$F$7,$A$1:$AL$1,0)),4,2)))),""),-1))</f>
        <v/>
      </c>
      <c r="AW316" s="21">
        <f>IF(IFERROR(TRIM(INDEX($A316:$AL316,MATCH(Lists!$F$2,$A$1:$AL$1,0))&amp;""),"")="","",IF(IFERROR(TRIM(INDEX($A316:$AL316,MATCH(Lists!$F$8,$A$1:$AL$1,0))&amp;""),"")&lt;&gt;"",IFERROR(TRIM(INDEX($A316:$AL316,MATCH(Lists!$F$8,$A$1:$AL$1,0))&amp;""),""),IFERROR(TRIM(INDEX($A316:$AL316,MATCH(Lists!$F$9,$A$1:$AL$1,0))&amp;""),"")))</f>
        <v/>
      </c>
      <c r="AX316" s="21">
        <f>IFERROR(IF(TRIM(INDEX($A316:$AL316,MATCH(Lists!$F$10,$A$1:$AL$1,0))&amp;"")="","",VALUE(TRIM(INDEX($A316:$AL316,MATCH(Lists!$F$10,$A$1:$AL$1,0))&amp;""))),"")</f>
        <v/>
      </c>
      <c r="AY316" s="21">
        <f>IF(IFERROR(TRIM(INDEX($A316:$AL316,MATCH(Lists!$F$2,$A$1:$AL$1,0))&amp;""),"")="","",IF(AN316="","New",AN316))</f>
        <v/>
      </c>
      <c r="AZ316" s="21">
        <f>IF(IFERROR(TRIM(INDEX($A316:$AL316,MATCH(Lists!$F$2,$A$1:$AL$1,0))&amp;""),"")="","",IF(OR(IFERROR(TRIM(INDEX($A316:$AL316,MATCH(Lists!$F$13,$A$1:$AL$1,0))&amp;""),"")="Paid",IFERROR(TRIM(INDEX($A316:$AL316,MATCH(Lists!$F$13,$A$1:$AL$1,0))&amp;""),"")="Partially refunded"),"Paid",IF(AP316="Yes","Paid (by hand)",IFERROR(TRIM(INDEX($A316:$AL316,MATCH(Lists!$F$13,$A$1:$AL$1,0))&amp;""),""))))</f>
        <v/>
      </c>
      <c r="BA316" s="21">
        <f>IF(AND(IFERROR(TRIM(INDEX($A316:$AL316,MATCH(Lists!$F$2,$A$1:$AL$1,0))&amp;""),"")&lt;&gt;"",AT316&gt;0,AU316&gt;=0,AV316&gt;AU316,AY316&lt;&gt;"Declined"),1,0)</f>
        <v/>
      </c>
      <c r="BB316" s="21">
        <f>IF(BA316=1,COUNTIFS($AS$2:$AS$501,AS316,$AT$2:$AT$501,AT316,$AU$2:$AU$501,"&lt;"&amp;AV316,$AV$2:$AV$501,"&gt;"&amp;AU316,$BA$2:$BA$501,1)-1,"")</f>
        <v/>
      </c>
      <c r="BC316" s="21">
        <f>IF(N(BB316)&gt;0,"Clashes with "&amp;INDEX($AW$2:$AW$501,SUMPRODUCT(MAX(($AS$2:$AS$501=AS316)*($AT$2:$AT$501=AT316)*($AU$2:$AU$501&lt;AV316)*($AV$2:$AV$501&gt;AU316)*($BA$2:$BA$501=1)*(ROW($AS$2:$AS$501)&lt;&gt;ROW())*ROW($AS$2:$AS$501)))-1)&amp;" ("&amp;INDEX($AY$2:$AY$501,SUMPRODUCT(MAX(($AS$2:$AS$501=AS316)*($AT$2:$AT$501=AT316)*($AU$2:$AU$501&lt;AV316)*($AV$2:$AV$501&gt;AU316)*($BA$2:$BA$501=1)*(ROW($AS$2:$AS$501)&lt;&gt;ROW())*ROW($AS$2:$AS$501)))-1)&amp;")"&amp;IF(BB316&gt;1," and "&amp;(BB316-1)&amp;" more",""),"")</f>
        <v/>
      </c>
      <c r="BD316" s="21">
        <f>IF(AND(BA316=1,AY316="Confirmed"),AT316*10000000+AU316*1000+ROW(),"")</f>
        <v/>
      </c>
      <c r="BE316" s="21">
        <f>IF(IFERROR(TRIM(INDEX($A316:$AL316,MATCH(Lists!$F$2,$A$1:$AL$1,0))&amp;""),"")="","",IFERROR(TRIM(INDEX($A316:$AL316,MATCH(Lists!$F$11,$A$1:$AL$1,0))&amp;""),""))</f>
        <v/>
      </c>
      <c r="BF316" s="21">
        <f>IF(IFERROR(TRIM(INDEX($A316:$AL316,MATCH(Lists!$F$2,$A$1:$AL$1,0))&amp;""),"")="","",IFERROR(TRIM(INDEX($A316:$AL316,MATCH(Lists!$F$12,$A$1:$AL$1,0))&amp;""),""))</f>
        <v/>
      </c>
    </row>
    <row r="317">
      <c r="AM317" s="19" t="n"/>
      <c r="AN317" s="23" t="n"/>
      <c r="AO317" s="23" t="n"/>
      <c r="AP317" s="23" t="n"/>
      <c r="AQ317" s="23" t="n"/>
      <c r="AR317" s="19" t="n"/>
      <c r="AS317" s="21">
        <f>IF(IFERROR(TRIM(INDEX($A317:$AL317,MATCH(Lists!$F$2,$A$1:$AL$1,0))&amp;""),"")="","",IF(AND(IFERROR(TRIM(INDEX($A317:$AL317,MATCH(Lists!$F$3,$A$1:$AL$1,0))&amp;""),"")="Other",IFERROR(TRIM(INDEX($A317:$AL317,MATCH(Lists!$F$4,$A$1:$AL$1,0))&amp;""),"")&lt;&gt;""),IFERROR(TRIM(INDEX($A317:$AL317,MATCH(Lists!$F$4,$A$1:$AL$1,0))&amp;""),""),IF(IFERROR(TRIM(INDEX($A317:$AL317,MATCH(Lists!$F$3,$A$1:$AL$1,0))&amp;""),"")="","(no space)",IFERROR(TRIM(INDEX($A317:$AL317,MATCH(Lists!$F$3,$A$1:$AL$1,0))&amp;""),""))))</f>
        <v/>
      </c>
      <c r="AT317" s="22">
        <f>IF(IFERROR(TRIM(INDEX($A317:$AL317,MATCH(Lists!$F$2,$A$1:$AL$1,0))&amp;""),"")="",0,N(IFERROR(IF(TRIM(INDEX($A317:$AL317,MATCH(Lists!$F$5,$A$1:$AL$1,0))&amp;"")="","",IF(ISNUMBER(INDEX($A317:$AL317,MATCH(Lists!$F$5,$A$1:$AL$1,0))),INT(INDEX($A317:$AL317,MATCH(Lists!$F$5,$A$1:$AL$1,0))),DATE(VALUE(LEFT(INDEX($A317:$AL317,MATCH(Lists!$F$5,$A$1:$AL$1,0)),4)),VALUE(MID(INDEX($A317:$AL317,MATCH(Lists!$F$5,$A$1:$AL$1,0)),6,2)),VALUE(MID(INDEX($A317:$AL317,MATCH(Lists!$F$5,$A$1:$AL$1,0)),9,2))))),"")))</f>
        <v/>
      </c>
      <c r="AU317" s="21">
        <f>IF(IFERROR(TRIM(INDEX($A317:$AL317,MATCH(Lists!$F$2,$A$1:$AL$1,0))&amp;""),"")="",-1,IF(ISNUMBER(IFERROR(IF(TRIM(INDEX($A317:$AL317,MATCH(Lists!$F$6,$A$1:$AL$1,0))&amp;"")="","",IF(ISNUMBER(INDEX($A317:$AL317,MATCH(Lists!$F$6,$A$1:$AL$1,0))),ROUND(MOD(INDEX($A317:$AL317,MATCH(Lists!$F$6,$A$1:$AL$1,0)),1)*1440,0),VALUE(LEFT(INDEX($A317:$AL317,MATCH(Lists!$F$6,$A$1:$AL$1,0)),2))*60+VALUE(MID(INDEX($A317:$AL317,MATCH(Lists!$F$6,$A$1:$AL$1,0)),4,2)))),"")),IFERROR(IF(TRIM(INDEX($A317:$AL317,MATCH(Lists!$F$6,$A$1:$AL$1,0))&amp;"")="","",IF(ISNUMBER(INDEX($A317:$AL317,MATCH(Lists!$F$6,$A$1:$AL$1,0))),ROUND(MOD(INDEX($A317:$AL317,MATCH(Lists!$F$6,$A$1:$AL$1,0)),1)*1440,0),VALUE(LEFT(INDEX($A317:$AL317,MATCH(Lists!$F$6,$A$1:$AL$1,0)),2))*60+VALUE(MID(INDEX($A317:$AL317,MATCH(Lists!$F$6,$A$1:$AL$1,0)),4,2)))),""),-1))</f>
        <v/>
      </c>
      <c r="AV317" s="21">
        <f>IF(IFERROR(TRIM(INDEX($A317:$AL317,MATCH(Lists!$F$2,$A$1:$AL$1,0))&amp;""),"")="",-1,IF(ISNUMBER(IFERROR(IF(TRIM(INDEX($A317:$AL317,MATCH(Lists!$F$7,$A$1:$AL$1,0))&amp;"")="","",IF(ISNUMBER(INDEX($A317:$AL317,MATCH(Lists!$F$7,$A$1:$AL$1,0))),ROUND(MOD(INDEX($A317:$AL317,MATCH(Lists!$F$7,$A$1:$AL$1,0)),1)*1440,0),VALUE(LEFT(INDEX($A317:$AL317,MATCH(Lists!$F$7,$A$1:$AL$1,0)),2))*60+VALUE(MID(INDEX($A317:$AL317,MATCH(Lists!$F$7,$A$1:$AL$1,0)),4,2)))),"")),IFERROR(IF(TRIM(INDEX($A317:$AL317,MATCH(Lists!$F$7,$A$1:$AL$1,0))&amp;"")="","",IF(ISNUMBER(INDEX($A317:$AL317,MATCH(Lists!$F$7,$A$1:$AL$1,0))),ROUND(MOD(INDEX($A317:$AL317,MATCH(Lists!$F$7,$A$1:$AL$1,0)),1)*1440,0),VALUE(LEFT(INDEX($A317:$AL317,MATCH(Lists!$F$7,$A$1:$AL$1,0)),2))*60+VALUE(MID(INDEX($A317:$AL317,MATCH(Lists!$F$7,$A$1:$AL$1,0)),4,2)))),""),-1))</f>
        <v/>
      </c>
      <c r="AW317" s="21">
        <f>IF(IFERROR(TRIM(INDEX($A317:$AL317,MATCH(Lists!$F$2,$A$1:$AL$1,0))&amp;""),"")="","",IF(IFERROR(TRIM(INDEX($A317:$AL317,MATCH(Lists!$F$8,$A$1:$AL$1,0))&amp;""),"")&lt;&gt;"",IFERROR(TRIM(INDEX($A317:$AL317,MATCH(Lists!$F$8,$A$1:$AL$1,0))&amp;""),""),IFERROR(TRIM(INDEX($A317:$AL317,MATCH(Lists!$F$9,$A$1:$AL$1,0))&amp;""),"")))</f>
        <v/>
      </c>
      <c r="AX317" s="21">
        <f>IFERROR(IF(TRIM(INDEX($A317:$AL317,MATCH(Lists!$F$10,$A$1:$AL$1,0))&amp;"")="","",VALUE(TRIM(INDEX($A317:$AL317,MATCH(Lists!$F$10,$A$1:$AL$1,0))&amp;""))),"")</f>
        <v/>
      </c>
      <c r="AY317" s="21">
        <f>IF(IFERROR(TRIM(INDEX($A317:$AL317,MATCH(Lists!$F$2,$A$1:$AL$1,0))&amp;""),"")="","",IF(AN317="","New",AN317))</f>
        <v/>
      </c>
      <c r="AZ317" s="21">
        <f>IF(IFERROR(TRIM(INDEX($A317:$AL317,MATCH(Lists!$F$2,$A$1:$AL$1,0))&amp;""),"")="","",IF(OR(IFERROR(TRIM(INDEX($A317:$AL317,MATCH(Lists!$F$13,$A$1:$AL$1,0))&amp;""),"")="Paid",IFERROR(TRIM(INDEX($A317:$AL317,MATCH(Lists!$F$13,$A$1:$AL$1,0))&amp;""),"")="Partially refunded"),"Paid",IF(AP317="Yes","Paid (by hand)",IFERROR(TRIM(INDEX($A317:$AL317,MATCH(Lists!$F$13,$A$1:$AL$1,0))&amp;""),""))))</f>
        <v/>
      </c>
      <c r="BA317" s="21">
        <f>IF(AND(IFERROR(TRIM(INDEX($A317:$AL317,MATCH(Lists!$F$2,$A$1:$AL$1,0))&amp;""),"")&lt;&gt;"",AT317&gt;0,AU317&gt;=0,AV317&gt;AU317,AY317&lt;&gt;"Declined"),1,0)</f>
        <v/>
      </c>
      <c r="BB317" s="21">
        <f>IF(BA317=1,COUNTIFS($AS$2:$AS$501,AS317,$AT$2:$AT$501,AT317,$AU$2:$AU$501,"&lt;"&amp;AV317,$AV$2:$AV$501,"&gt;"&amp;AU317,$BA$2:$BA$501,1)-1,"")</f>
        <v/>
      </c>
      <c r="BC317" s="21">
        <f>IF(N(BB317)&gt;0,"Clashes with "&amp;INDEX($AW$2:$AW$501,SUMPRODUCT(MAX(($AS$2:$AS$501=AS317)*($AT$2:$AT$501=AT317)*($AU$2:$AU$501&lt;AV317)*($AV$2:$AV$501&gt;AU317)*($BA$2:$BA$501=1)*(ROW($AS$2:$AS$501)&lt;&gt;ROW())*ROW($AS$2:$AS$501)))-1)&amp;" ("&amp;INDEX($AY$2:$AY$501,SUMPRODUCT(MAX(($AS$2:$AS$501=AS317)*($AT$2:$AT$501=AT317)*($AU$2:$AU$501&lt;AV317)*($AV$2:$AV$501&gt;AU317)*($BA$2:$BA$501=1)*(ROW($AS$2:$AS$501)&lt;&gt;ROW())*ROW($AS$2:$AS$501)))-1)&amp;")"&amp;IF(BB317&gt;1," and "&amp;(BB317-1)&amp;" more",""),"")</f>
        <v/>
      </c>
      <c r="BD317" s="21">
        <f>IF(AND(BA317=1,AY317="Confirmed"),AT317*10000000+AU317*1000+ROW(),"")</f>
        <v/>
      </c>
      <c r="BE317" s="21">
        <f>IF(IFERROR(TRIM(INDEX($A317:$AL317,MATCH(Lists!$F$2,$A$1:$AL$1,0))&amp;""),"")="","",IFERROR(TRIM(INDEX($A317:$AL317,MATCH(Lists!$F$11,$A$1:$AL$1,0))&amp;""),""))</f>
        <v/>
      </c>
      <c r="BF317" s="21">
        <f>IF(IFERROR(TRIM(INDEX($A317:$AL317,MATCH(Lists!$F$2,$A$1:$AL$1,0))&amp;""),"")="","",IFERROR(TRIM(INDEX($A317:$AL317,MATCH(Lists!$F$12,$A$1:$AL$1,0))&amp;""),""))</f>
        <v/>
      </c>
    </row>
    <row r="318">
      <c r="AM318" s="19" t="n"/>
      <c r="AN318" s="23" t="n"/>
      <c r="AO318" s="23" t="n"/>
      <c r="AP318" s="23" t="n"/>
      <c r="AQ318" s="23" t="n"/>
      <c r="AR318" s="19" t="n"/>
      <c r="AS318" s="21">
        <f>IF(IFERROR(TRIM(INDEX($A318:$AL318,MATCH(Lists!$F$2,$A$1:$AL$1,0))&amp;""),"")="","",IF(AND(IFERROR(TRIM(INDEX($A318:$AL318,MATCH(Lists!$F$3,$A$1:$AL$1,0))&amp;""),"")="Other",IFERROR(TRIM(INDEX($A318:$AL318,MATCH(Lists!$F$4,$A$1:$AL$1,0))&amp;""),"")&lt;&gt;""),IFERROR(TRIM(INDEX($A318:$AL318,MATCH(Lists!$F$4,$A$1:$AL$1,0))&amp;""),""),IF(IFERROR(TRIM(INDEX($A318:$AL318,MATCH(Lists!$F$3,$A$1:$AL$1,0))&amp;""),"")="","(no space)",IFERROR(TRIM(INDEX($A318:$AL318,MATCH(Lists!$F$3,$A$1:$AL$1,0))&amp;""),""))))</f>
        <v/>
      </c>
      <c r="AT318" s="22">
        <f>IF(IFERROR(TRIM(INDEX($A318:$AL318,MATCH(Lists!$F$2,$A$1:$AL$1,0))&amp;""),"")="",0,N(IFERROR(IF(TRIM(INDEX($A318:$AL318,MATCH(Lists!$F$5,$A$1:$AL$1,0))&amp;"")="","",IF(ISNUMBER(INDEX($A318:$AL318,MATCH(Lists!$F$5,$A$1:$AL$1,0))),INT(INDEX($A318:$AL318,MATCH(Lists!$F$5,$A$1:$AL$1,0))),DATE(VALUE(LEFT(INDEX($A318:$AL318,MATCH(Lists!$F$5,$A$1:$AL$1,0)),4)),VALUE(MID(INDEX($A318:$AL318,MATCH(Lists!$F$5,$A$1:$AL$1,0)),6,2)),VALUE(MID(INDEX($A318:$AL318,MATCH(Lists!$F$5,$A$1:$AL$1,0)),9,2))))),"")))</f>
        <v/>
      </c>
      <c r="AU318" s="21">
        <f>IF(IFERROR(TRIM(INDEX($A318:$AL318,MATCH(Lists!$F$2,$A$1:$AL$1,0))&amp;""),"")="",-1,IF(ISNUMBER(IFERROR(IF(TRIM(INDEX($A318:$AL318,MATCH(Lists!$F$6,$A$1:$AL$1,0))&amp;"")="","",IF(ISNUMBER(INDEX($A318:$AL318,MATCH(Lists!$F$6,$A$1:$AL$1,0))),ROUND(MOD(INDEX($A318:$AL318,MATCH(Lists!$F$6,$A$1:$AL$1,0)),1)*1440,0),VALUE(LEFT(INDEX($A318:$AL318,MATCH(Lists!$F$6,$A$1:$AL$1,0)),2))*60+VALUE(MID(INDEX($A318:$AL318,MATCH(Lists!$F$6,$A$1:$AL$1,0)),4,2)))),"")),IFERROR(IF(TRIM(INDEX($A318:$AL318,MATCH(Lists!$F$6,$A$1:$AL$1,0))&amp;"")="","",IF(ISNUMBER(INDEX($A318:$AL318,MATCH(Lists!$F$6,$A$1:$AL$1,0))),ROUND(MOD(INDEX($A318:$AL318,MATCH(Lists!$F$6,$A$1:$AL$1,0)),1)*1440,0),VALUE(LEFT(INDEX($A318:$AL318,MATCH(Lists!$F$6,$A$1:$AL$1,0)),2))*60+VALUE(MID(INDEX($A318:$AL318,MATCH(Lists!$F$6,$A$1:$AL$1,0)),4,2)))),""),-1))</f>
        <v/>
      </c>
      <c r="AV318" s="21">
        <f>IF(IFERROR(TRIM(INDEX($A318:$AL318,MATCH(Lists!$F$2,$A$1:$AL$1,0))&amp;""),"")="",-1,IF(ISNUMBER(IFERROR(IF(TRIM(INDEX($A318:$AL318,MATCH(Lists!$F$7,$A$1:$AL$1,0))&amp;"")="","",IF(ISNUMBER(INDEX($A318:$AL318,MATCH(Lists!$F$7,$A$1:$AL$1,0))),ROUND(MOD(INDEX($A318:$AL318,MATCH(Lists!$F$7,$A$1:$AL$1,0)),1)*1440,0),VALUE(LEFT(INDEX($A318:$AL318,MATCH(Lists!$F$7,$A$1:$AL$1,0)),2))*60+VALUE(MID(INDEX($A318:$AL318,MATCH(Lists!$F$7,$A$1:$AL$1,0)),4,2)))),"")),IFERROR(IF(TRIM(INDEX($A318:$AL318,MATCH(Lists!$F$7,$A$1:$AL$1,0))&amp;"")="","",IF(ISNUMBER(INDEX($A318:$AL318,MATCH(Lists!$F$7,$A$1:$AL$1,0))),ROUND(MOD(INDEX($A318:$AL318,MATCH(Lists!$F$7,$A$1:$AL$1,0)),1)*1440,0),VALUE(LEFT(INDEX($A318:$AL318,MATCH(Lists!$F$7,$A$1:$AL$1,0)),2))*60+VALUE(MID(INDEX($A318:$AL318,MATCH(Lists!$F$7,$A$1:$AL$1,0)),4,2)))),""),-1))</f>
        <v/>
      </c>
      <c r="AW318" s="21">
        <f>IF(IFERROR(TRIM(INDEX($A318:$AL318,MATCH(Lists!$F$2,$A$1:$AL$1,0))&amp;""),"")="","",IF(IFERROR(TRIM(INDEX($A318:$AL318,MATCH(Lists!$F$8,$A$1:$AL$1,0))&amp;""),"")&lt;&gt;"",IFERROR(TRIM(INDEX($A318:$AL318,MATCH(Lists!$F$8,$A$1:$AL$1,0))&amp;""),""),IFERROR(TRIM(INDEX($A318:$AL318,MATCH(Lists!$F$9,$A$1:$AL$1,0))&amp;""),"")))</f>
        <v/>
      </c>
      <c r="AX318" s="21">
        <f>IFERROR(IF(TRIM(INDEX($A318:$AL318,MATCH(Lists!$F$10,$A$1:$AL$1,0))&amp;"")="","",VALUE(TRIM(INDEX($A318:$AL318,MATCH(Lists!$F$10,$A$1:$AL$1,0))&amp;""))),"")</f>
        <v/>
      </c>
      <c r="AY318" s="21">
        <f>IF(IFERROR(TRIM(INDEX($A318:$AL318,MATCH(Lists!$F$2,$A$1:$AL$1,0))&amp;""),"")="","",IF(AN318="","New",AN318))</f>
        <v/>
      </c>
      <c r="AZ318" s="21">
        <f>IF(IFERROR(TRIM(INDEX($A318:$AL318,MATCH(Lists!$F$2,$A$1:$AL$1,0))&amp;""),"")="","",IF(OR(IFERROR(TRIM(INDEX($A318:$AL318,MATCH(Lists!$F$13,$A$1:$AL$1,0))&amp;""),"")="Paid",IFERROR(TRIM(INDEX($A318:$AL318,MATCH(Lists!$F$13,$A$1:$AL$1,0))&amp;""),"")="Partially refunded"),"Paid",IF(AP318="Yes","Paid (by hand)",IFERROR(TRIM(INDEX($A318:$AL318,MATCH(Lists!$F$13,$A$1:$AL$1,0))&amp;""),""))))</f>
        <v/>
      </c>
      <c r="BA318" s="21">
        <f>IF(AND(IFERROR(TRIM(INDEX($A318:$AL318,MATCH(Lists!$F$2,$A$1:$AL$1,0))&amp;""),"")&lt;&gt;"",AT318&gt;0,AU318&gt;=0,AV318&gt;AU318,AY318&lt;&gt;"Declined"),1,0)</f>
        <v/>
      </c>
      <c r="BB318" s="21">
        <f>IF(BA318=1,COUNTIFS($AS$2:$AS$501,AS318,$AT$2:$AT$501,AT318,$AU$2:$AU$501,"&lt;"&amp;AV318,$AV$2:$AV$501,"&gt;"&amp;AU318,$BA$2:$BA$501,1)-1,"")</f>
        <v/>
      </c>
      <c r="BC318" s="21">
        <f>IF(N(BB318)&gt;0,"Clashes with "&amp;INDEX($AW$2:$AW$501,SUMPRODUCT(MAX(($AS$2:$AS$501=AS318)*($AT$2:$AT$501=AT318)*($AU$2:$AU$501&lt;AV318)*($AV$2:$AV$501&gt;AU318)*($BA$2:$BA$501=1)*(ROW($AS$2:$AS$501)&lt;&gt;ROW())*ROW($AS$2:$AS$501)))-1)&amp;" ("&amp;INDEX($AY$2:$AY$501,SUMPRODUCT(MAX(($AS$2:$AS$501=AS318)*($AT$2:$AT$501=AT318)*($AU$2:$AU$501&lt;AV318)*($AV$2:$AV$501&gt;AU318)*($BA$2:$BA$501=1)*(ROW($AS$2:$AS$501)&lt;&gt;ROW())*ROW($AS$2:$AS$501)))-1)&amp;")"&amp;IF(BB318&gt;1," and "&amp;(BB318-1)&amp;" more",""),"")</f>
        <v/>
      </c>
      <c r="BD318" s="21">
        <f>IF(AND(BA318=1,AY318="Confirmed"),AT318*10000000+AU318*1000+ROW(),"")</f>
        <v/>
      </c>
      <c r="BE318" s="21">
        <f>IF(IFERROR(TRIM(INDEX($A318:$AL318,MATCH(Lists!$F$2,$A$1:$AL$1,0))&amp;""),"")="","",IFERROR(TRIM(INDEX($A318:$AL318,MATCH(Lists!$F$11,$A$1:$AL$1,0))&amp;""),""))</f>
        <v/>
      </c>
      <c r="BF318" s="21">
        <f>IF(IFERROR(TRIM(INDEX($A318:$AL318,MATCH(Lists!$F$2,$A$1:$AL$1,0))&amp;""),"")="","",IFERROR(TRIM(INDEX($A318:$AL318,MATCH(Lists!$F$12,$A$1:$AL$1,0))&amp;""),""))</f>
        <v/>
      </c>
    </row>
    <row r="319">
      <c r="AM319" s="19" t="n"/>
      <c r="AN319" s="23" t="n"/>
      <c r="AO319" s="23" t="n"/>
      <c r="AP319" s="23" t="n"/>
      <c r="AQ319" s="23" t="n"/>
      <c r="AR319" s="19" t="n"/>
      <c r="AS319" s="21">
        <f>IF(IFERROR(TRIM(INDEX($A319:$AL319,MATCH(Lists!$F$2,$A$1:$AL$1,0))&amp;""),"")="","",IF(AND(IFERROR(TRIM(INDEX($A319:$AL319,MATCH(Lists!$F$3,$A$1:$AL$1,0))&amp;""),"")="Other",IFERROR(TRIM(INDEX($A319:$AL319,MATCH(Lists!$F$4,$A$1:$AL$1,0))&amp;""),"")&lt;&gt;""),IFERROR(TRIM(INDEX($A319:$AL319,MATCH(Lists!$F$4,$A$1:$AL$1,0))&amp;""),""),IF(IFERROR(TRIM(INDEX($A319:$AL319,MATCH(Lists!$F$3,$A$1:$AL$1,0))&amp;""),"")="","(no space)",IFERROR(TRIM(INDEX($A319:$AL319,MATCH(Lists!$F$3,$A$1:$AL$1,0))&amp;""),""))))</f>
        <v/>
      </c>
      <c r="AT319" s="22">
        <f>IF(IFERROR(TRIM(INDEX($A319:$AL319,MATCH(Lists!$F$2,$A$1:$AL$1,0))&amp;""),"")="",0,N(IFERROR(IF(TRIM(INDEX($A319:$AL319,MATCH(Lists!$F$5,$A$1:$AL$1,0))&amp;"")="","",IF(ISNUMBER(INDEX($A319:$AL319,MATCH(Lists!$F$5,$A$1:$AL$1,0))),INT(INDEX($A319:$AL319,MATCH(Lists!$F$5,$A$1:$AL$1,0))),DATE(VALUE(LEFT(INDEX($A319:$AL319,MATCH(Lists!$F$5,$A$1:$AL$1,0)),4)),VALUE(MID(INDEX($A319:$AL319,MATCH(Lists!$F$5,$A$1:$AL$1,0)),6,2)),VALUE(MID(INDEX($A319:$AL319,MATCH(Lists!$F$5,$A$1:$AL$1,0)),9,2))))),"")))</f>
        <v/>
      </c>
      <c r="AU319" s="21">
        <f>IF(IFERROR(TRIM(INDEX($A319:$AL319,MATCH(Lists!$F$2,$A$1:$AL$1,0))&amp;""),"")="",-1,IF(ISNUMBER(IFERROR(IF(TRIM(INDEX($A319:$AL319,MATCH(Lists!$F$6,$A$1:$AL$1,0))&amp;"")="","",IF(ISNUMBER(INDEX($A319:$AL319,MATCH(Lists!$F$6,$A$1:$AL$1,0))),ROUND(MOD(INDEX($A319:$AL319,MATCH(Lists!$F$6,$A$1:$AL$1,0)),1)*1440,0),VALUE(LEFT(INDEX($A319:$AL319,MATCH(Lists!$F$6,$A$1:$AL$1,0)),2))*60+VALUE(MID(INDEX($A319:$AL319,MATCH(Lists!$F$6,$A$1:$AL$1,0)),4,2)))),"")),IFERROR(IF(TRIM(INDEX($A319:$AL319,MATCH(Lists!$F$6,$A$1:$AL$1,0))&amp;"")="","",IF(ISNUMBER(INDEX($A319:$AL319,MATCH(Lists!$F$6,$A$1:$AL$1,0))),ROUND(MOD(INDEX($A319:$AL319,MATCH(Lists!$F$6,$A$1:$AL$1,0)),1)*1440,0),VALUE(LEFT(INDEX($A319:$AL319,MATCH(Lists!$F$6,$A$1:$AL$1,0)),2))*60+VALUE(MID(INDEX($A319:$AL319,MATCH(Lists!$F$6,$A$1:$AL$1,0)),4,2)))),""),-1))</f>
        <v/>
      </c>
      <c r="AV319" s="21">
        <f>IF(IFERROR(TRIM(INDEX($A319:$AL319,MATCH(Lists!$F$2,$A$1:$AL$1,0))&amp;""),"")="",-1,IF(ISNUMBER(IFERROR(IF(TRIM(INDEX($A319:$AL319,MATCH(Lists!$F$7,$A$1:$AL$1,0))&amp;"")="","",IF(ISNUMBER(INDEX($A319:$AL319,MATCH(Lists!$F$7,$A$1:$AL$1,0))),ROUND(MOD(INDEX($A319:$AL319,MATCH(Lists!$F$7,$A$1:$AL$1,0)),1)*1440,0),VALUE(LEFT(INDEX($A319:$AL319,MATCH(Lists!$F$7,$A$1:$AL$1,0)),2))*60+VALUE(MID(INDEX($A319:$AL319,MATCH(Lists!$F$7,$A$1:$AL$1,0)),4,2)))),"")),IFERROR(IF(TRIM(INDEX($A319:$AL319,MATCH(Lists!$F$7,$A$1:$AL$1,0))&amp;"")="","",IF(ISNUMBER(INDEX($A319:$AL319,MATCH(Lists!$F$7,$A$1:$AL$1,0))),ROUND(MOD(INDEX($A319:$AL319,MATCH(Lists!$F$7,$A$1:$AL$1,0)),1)*1440,0),VALUE(LEFT(INDEX($A319:$AL319,MATCH(Lists!$F$7,$A$1:$AL$1,0)),2))*60+VALUE(MID(INDEX($A319:$AL319,MATCH(Lists!$F$7,$A$1:$AL$1,0)),4,2)))),""),-1))</f>
        <v/>
      </c>
      <c r="AW319" s="21">
        <f>IF(IFERROR(TRIM(INDEX($A319:$AL319,MATCH(Lists!$F$2,$A$1:$AL$1,0))&amp;""),"")="","",IF(IFERROR(TRIM(INDEX($A319:$AL319,MATCH(Lists!$F$8,$A$1:$AL$1,0))&amp;""),"")&lt;&gt;"",IFERROR(TRIM(INDEX($A319:$AL319,MATCH(Lists!$F$8,$A$1:$AL$1,0))&amp;""),""),IFERROR(TRIM(INDEX($A319:$AL319,MATCH(Lists!$F$9,$A$1:$AL$1,0))&amp;""),"")))</f>
        <v/>
      </c>
      <c r="AX319" s="21">
        <f>IFERROR(IF(TRIM(INDEX($A319:$AL319,MATCH(Lists!$F$10,$A$1:$AL$1,0))&amp;"")="","",VALUE(TRIM(INDEX($A319:$AL319,MATCH(Lists!$F$10,$A$1:$AL$1,0))&amp;""))),"")</f>
        <v/>
      </c>
      <c r="AY319" s="21">
        <f>IF(IFERROR(TRIM(INDEX($A319:$AL319,MATCH(Lists!$F$2,$A$1:$AL$1,0))&amp;""),"")="","",IF(AN319="","New",AN319))</f>
        <v/>
      </c>
      <c r="AZ319" s="21">
        <f>IF(IFERROR(TRIM(INDEX($A319:$AL319,MATCH(Lists!$F$2,$A$1:$AL$1,0))&amp;""),"")="","",IF(OR(IFERROR(TRIM(INDEX($A319:$AL319,MATCH(Lists!$F$13,$A$1:$AL$1,0))&amp;""),"")="Paid",IFERROR(TRIM(INDEX($A319:$AL319,MATCH(Lists!$F$13,$A$1:$AL$1,0))&amp;""),"")="Partially refunded"),"Paid",IF(AP319="Yes","Paid (by hand)",IFERROR(TRIM(INDEX($A319:$AL319,MATCH(Lists!$F$13,$A$1:$AL$1,0))&amp;""),""))))</f>
        <v/>
      </c>
      <c r="BA319" s="21">
        <f>IF(AND(IFERROR(TRIM(INDEX($A319:$AL319,MATCH(Lists!$F$2,$A$1:$AL$1,0))&amp;""),"")&lt;&gt;"",AT319&gt;0,AU319&gt;=0,AV319&gt;AU319,AY319&lt;&gt;"Declined"),1,0)</f>
        <v/>
      </c>
      <c r="BB319" s="21">
        <f>IF(BA319=1,COUNTIFS($AS$2:$AS$501,AS319,$AT$2:$AT$501,AT319,$AU$2:$AU$501,"&lt;"&amp;AV319,$AV$2:$AV$501,"&gt;"&amp;AU319,$BA$2:$BA$501,1)-1,"")</f>
        <v/>
      </c>
      <c r="BC319" s="21">
        <f>IF(N(BB319)&gt;0,"Clashes with "&amp;INDEX($AW$2:$AW$501,SUMPRODUCT(MAX(($AS$2:$AS$501=AS319)*($AT$2:$AT$501=AT319)*($AU$2:$AU$501&lt;AV319)*($AV$2:$AV$501&gt;AU319)*($BA$2:$BA$501=1)*(ROW($AS$2:$AS$501)&lt;&gt;ROW())*ROW($AS$2:$AS$501)))-1)&amp;" ("&amp;INDEX($AY$2:$AY$501,SUMPRODUCT(MAX(($AS$2:$AS$501=AS319)*($AT$2:$AT$501=AT319)*($AU$2:$AU$501&lt;AV319)*($AV$2:$AV$501&gt;AU319)*($BA$2:$BA$501=1)*(ROW($AS$2:$AS$501)&lt;&gt;ROW())*ROW($AS$2:$AS$501)))-1)&amp;")"&amp;IF(BB319&gt;1," and "&amp;(BB319-1)&amp;" more",""),"")</f>
        <v/>
      </c>
      <c r="BD319" s="21">
        <f>IF(AND(BA319=1,AY319="Confirmed"),AT319*10000000+AU319*1000+ROW(),"")</f>
        <v/>
      </c>
      <c r="BE319" s="21">
        <f>IF(IFERROR(TRIM(INDEX($A319:$AL319,MATCH(Lists!$F$2,$A$1:$AL$1,0))&amp;""),"")="","",IFERROR(TRIM(INDEX($A319:$AL319,MATCH(Lists!$F$11,$A$1:$AL$1,0))&amp;""),""))</f>
        <v/>
      </c>
      <c r="BF319" s="21">
        <f>IF(IFERROR(TRIM(INDEX($A319:$AL319,MATCH(Lists!$F$2,$A$1:$AL$1,0))&amp;""),"")="","",IFERROR(TRIM(INDEX($A319:$AL319,MATCH(Lists!$F$12,$A$1:$AL$1,0))&amp;""),""))</f>
        <v/>
      </c>
    </row>
    <row r="320">
      <c r="AM320" s="19" t="n"/>
      <c r="AN320" s="23" t="n"/>
      <c r="AO320" s="23" t="n"/>
      <c r="AP320" s="23" t="n"/>
      <c r="AQ320" s="23" t="n"/>
      <c r="AR320" s="19" t="n"/>
      <c r="AS320" s="21">
        <f>IF(IFERROR(TRIM(INDEX($A320:$AL320,MATCH(Lists!$F$2,$A$1:$AL$1,0))&amp;""),"")="","",IF(AND(IFERROR(TRIM(INDEX($A320:$AL320,MATCH(Lists!$F$3,$A$1:$AL$1,0))&amp;""),"")="Other",IFERROR(TRIM(INDEX($A320:$AL320,MATCH(Lists!$F$4,$A$1:$AL$1,0))&amp;""),"")&lt;&gt;""),IFERROR(TRIM(INDEX($A320:$AL320,MATCH(Lists!$F$4,$A$1:$AL$1,0))&amp;""),""),IF(IFERROR(TRIM(INDEX($A320:$AL320,MATCH(Lists!$F$3,$A$1:$AL$1,0))&amp;""),"")="","(no space)",IFERROR(TRIM(INDEX($A320:$AL320,MATCH(Lists!$F$3,$A$1:$AL$1,0))&amp;""),""))))</f>
        <v/>
      </c>
      <c r="AT320" s="22">
        <f>IF(IFERROR(TRIM(INDEX($A320:$AL320,MATCH(Lists!$F$2,$A$1:$AL$1,0))&amp;""),"")="",0,N(IFERROR(IF(TRIM(INDEX($A320:$AL320,MATCH(Lists!$F$5,$A$1:$AL$1,0))&amp;"")="","",IF(ISNUMBER(INDEX($A320:$AL320,MATCH(Lists!$F$5,$A$1:$AL$1,0))),INT(INDEX($A320:$AL320,MATCH(Lists!$F$5,$A$1:$AL$1,0))),DATE(VALUE(LEFT(INDEX($A320:$AL320,MATCH(Lists!$F$5,$A$1:$AL$1,0)),4)),VALUE(MID(INDEX($A320:$AL320,MATCH(Lists!$F$5,$A$1:$AL$1,0)),6,2)),VALUE(MID(INDEX($A320:$AL320,MATCH(Lists!$F$5,$A$1:$AL$1,0)),9,2))))),"")))</f>
        <v/>
      </c>
      <c r="AU320" s="21">
        <f>IF(IFERROR(TRIM(INDEX($A320:$AL320,MATCH(Lists!$F$2,$A$1:$AL$1,0))&amp;""),"")="",-1,IF(ISNUMBER(IFERROR(IF(TRIM(INDEX($A320:$AL320,MATCH(Lists!$F$6,$A$1:$AL$1,0))&amp;"")="","",IF(ISNUMBER(INDEX($A320:$AL320,MATCH(Lists!$F$6,$A$1:$AL$1,0))),ROUND(MOD(INDEX($A320:$AL320,MATCH(Lists!$F$6,$A$1:$AL$1,0)),1)*1440,0),VALUE(LEFT(INDEX($A320:$AL320,MATCH(Lists!$F$6,$A$1:$AL$1,0)),2))*60+VALUE(MID(INDEX($A320:$AL320,MATCH(Lists!$F$6,$A$1:$AL$1,0)),4,2)))),"")),IFERROR(IF(TRIM(INDEX($A320:$AL320,MATCH(Lists!$F$6,$A$1:$AL$1,0))&amp;"")="","",IF(ISNUMBER(INDEX($A320:$AL320,MATCH(Lists!$F$6,$A$1:$AL$1,0))),ROUND(MOD(INDEX($A320:$AL320,MATCH(Lists!$F$6,$A$1:$AL$1,0)),1)*1440,0),VALUE(LEFT(INDEX($A320:$AL320,MATCH(Lists!$F$6,$A$1:$AL$1,0)),2))*60+VALUE(MID(INDEX($A320:$AL320,MATCH(Lists!$F$6,$A$1:$AL$1,0)),4,2)))),""),-1))</f>
        <v/>
      </c>
      <c r="AV320" s="21">
        <f>IF(IFERROR(TRIM(INDEX($A320:$AL320,MATCH(Lists!$F$2,$A$1:$AL$1,0))&amp;""),"")="",-1,IF(ISNUMBER(IFERROR(IF(TRIM(INDEX($A320:$AL320,MATCH(Lists!$F$7,$A$1:$AL$1,0))&amp;"")="","",IF(ISNUMBER(INDEX($A320:$AL320,MATCH(Lists!$F$7,$A$1:$AL$1,0))),ROUND(MOD(INDEX($A320:$AL320,MATCH(Lists!$F$7,$A$1:$AL$1,0)),1)*1440,0),VALUE(LEFT(INDEX($A320:$AL320,MATCH(Lists!$F$7,$A$1:$AL$1,0)),2))*60+VALUE(MID(INDEX($A320:$AL320,MATCH(Lists!$F$7,$A$1:$AL$1,0)),4,2)))),"")),IFERROR(IF(TRIM(INDEX($A320:$AL320,MATCH(Lists!$F$7,$A$1:$AL$1,0))&amp;"")="","",IF(ISNUMBER(INDEX($A320:$AL320,MATCH(Lists!$F$7,$A$1:$AL$1,0))),ROUND(MOD(INDEX($A320:$AL320,MATCH(Lists!$F$7,$A$1:$AL$1,0)),1)*1440,0),VALUE(LEFT(INDEX($A320:$AL320,MATCH(Lists!$F$7,$A$1:$AL$1,0)),2))*60+VALUE(MID(INDEX($A320:$AL320,MATCH(Lists!$F$7,$A$1:$AL$1,0)),4,2)))),""),-1))</f>
        <v/>
      </c>
      <c r="AW320" s="21">
        <f>IF(IFERROR(TRIM(INDEX($A320:$AL320,MATCH(Lists!$F$2,$A$1:$AL$1,0))&amp;""),"")="","",IF(IFERROR(TRIM(INDEX($A320:$AL320,MATCH(Lists!$F$8,$A$1:$AL$1,0))&amp;""),"")&lt;&gt;"",IFERROR(TRIM(INDEX($A320:$AL320,MATCH(Lists!$F$8,$A$1:$AL$1,0))&amp;""),""),IFERROR(TRIM(INDEX($A320:$AL320,MATCH(Lists!$F$9,$A$1:$AL$1,0))&amp;""),"")))</f>
        <v/>
      </c>
      <c r="AX320" s="21">
        <f>IFERROR(IF(TRIM(INDEX($A320:$AL320,MATCH(Lists!$F$10,$A$1:$AL$1,0))&amp;"")="","",VALUE(TRIM(INDEX($A320:$AL320,MATCH(Lists!$F$10,$A$1:$AL$1,0))&amp;""))),"")</f>
        <v/>
      </c>
      <c r="AY320" s="21">
        <f>IF(IFERROR(TRIM(INDEX($A320:$AL320,MATCH(Lists!$F$2,$A$1:$AL$1,0))&amp;""),"")="","",IF(AN320="","New",AN320))</f>
        <v/>
      </c>
      <c r="AZ320" s="21">
        <f>IF(IFERROR(TRIM(INDEX($A320:$AL320,MATCH(Lists!$F$2,$A$1:$AL$1,0))&amp;""),"")="","",IF(OR(IFERROR(TRIM(INDEX($A320:$AL320,MATCH(Lists!$F$13,$A$1:$AL$1,0))&amp;""),"")="Paid",IFERROR(TRIM(INDEX($A320:$AL320,MATCH(Lists!$F$13,$A$1:$AL$1,0))&amp;""),"")="Partially refunded"),"Paid",IF(AP320="Yes","Paid (by hand)",IFERROR(TRIM(INDEX($A320:$AL320,MATCH(Lists!$F$13,$A$1:$AL$1,0))&amp;""),""))))</f>
        <v/>
      </c>
      <c r="BA320" s="21">
        <f>IF(AND(IFERROR(TRIM(INDEX($A320:$AL320,MATCH(Lists!$F$2,$A$1:$AL$1,0))&amp;""),"")&lt;&gt;"",AT320&gt;0,AU320&gt;=0,AV320&gt;AU320,AY320&lt;&gt;"Declined"),1,0)</f>
        <v/>
      </c>
      <c r="BB320" s="21">
        <f>IF(BA320=1,COUNTIFS($AS$2:$AS$501,AS320,$AT$2:$AT$501,AT320,$AU$2:$AU$501,"&lt;"&amp;AV320,$AV$2:$AV$501,"&gt;"&amp;AU320,$BA$2:$BA$501,1)-1,"")</f>
        <v/>
      </c>
      <c r="BC320" s="21">
        <f>IF(N(BB320)&gt;0,"Clashes with "&amp;INDEX($AW$2:$AW$501,SUMPRODUCT(MAX(($AS$2:$AS$501=AS320)*($AT$2:$AT$501=AT320)*($AU$2:$AU$501&lt;AV320)*($AV$2:$AV$501&gt;AU320)*($BA$2:$BA$501=1)*(ROW($AS$2:$AS$501)&lt;&gt;ROW())*ROW($AS$2:$AS$501)))-1)&amp;" ("&amp;INDEX($AY$2:$AY$501,SUMPRODUCT(MAX(($AS$2:$AS$501=AS320)*($AT$2:$AT$501=AT320)*($AU$2:$AU$501&lt;AV320)*($AV$2:$AV$501&gt;AU320)*($BA$2:$BA$501=1)*(ROW($AS$2:$AS$501)&lt;&gt;ROW())*ROW($AS$2:$AS$501)))-1)&amp;")"&amp;IF(BB320&gt;1," and "&amp;(BB320-1)&amp;" more",""),"")</f>
        <v/>
      </c>
      <c r="BD320" s="21">
        <f>IF(AND(BA320=1,AY320="Confirmed"),AT320*10000000+AU320*1000+ROW(),"")</f>
        <v/>
      </c>
      <c r="BE320" s="21">
        <f>IF(IFERROR(TRIM(INDEX($A320:$AL320,MATCH(Lists!$F$2,$A$1:$AL$1,0))&amp;""),"")="","",IFERROR(TRIM(INDEX($A320:$AL320,MATCH(Lists!$F$11,$A$1:$AL$1,0))&amp;""),""))</f>
        <v/>
      </c>
      <c r="BF320" s="21">
        <f>IF(IFERROR(TRIM(INDEX($A320:$AL320,MATCH(Lists!$F$2,$A$1:$AL$1,0))&amp;""),"")="","",IFERROR(TRIM(INDEX($A320:$AL320,MATCH(Lists!$F$12,$A$1:$AL$1,0))&amp;""),""))</f>
        <v/>
      </c>
    </row>
    <row r="321">
      <c r="AM321" s="19" t="n"/>
      <c r="AN321" s="23" t="n"/>
      <c r="AO321" s="23" t="n"/>
      <c r="AP321" s="23" t="n"/>
      <c r="AQ321" s="23" t="n"/>
      <c r="AR321" s="19" t="n"/>
      <c r="AS321" s="21">
        <f>IF(IFERROR(TRIM(INDEX($A321:$AL321,MATCH(Lists!$F$2,$A$1:$AL$1,0))&amp;""),"")="","",IF(AND(IFERROR(TRIM(INDEX($A321:$AL321,MATCH(Lists!$F$3,$A$1:$AL$1,0))&amp;""),"")="Other",IFERROR(TRIM(INDEX($A321:$AL321,MATCH(Lists!$F$4,$A$1:$AL$1,0))&amp;""),"")&lt;&gt;""),IFERROR(TRIM(INDEX($A321:$AL321,MATCH(Lists!$F$4,$A$1:$AL$1,0))&amp;""),""),IF(IFERROR(TRIM(INDEX($A321:$AL321,MATCH(Lists!$F$3,$A$1:$AL$1,0))&amp;""),"")="","(no space)",IFERROR(TRIM(INDEX($A321:$AL321,MATCH(Lists!$F$3,$A$1:$AL$1,0))&amp;""),""))))</f>
        <v/>
      </c>
      <c r="AT321" s="22">
        <f>IF(IFERROR(TRIM(INDEX($A321:$AL321,MATCH(Lists!$F$2,$A$1:$AL$1,0))&amp;""),"")="",0,N(IFERROR(IF(TRIM(INDEX($A321:$AL321,MATCH(Lists!$F$5,$A$1:$AL$1,0))&amp;"")="","",IF(ISNUMBER(INDEX($A321:$AL321,MATCH(Lists!$F$5,$A$1:$AL$1,0))),INT(INDEX($A321:$AL321,MATCH(Lists!$F$5,$A$1:$AL$1,0))),DATE(VALUE(LEFT(INDEX($A321:$AL321,MATCH(Lists!$F$5,$A$1:$AL$1,0)),4)),VALUE(MID(INDEX($A321:$AL321,MATCH(Lists!$F$5,$A$1:$AL$1,0)),6,2)),VALUE(MID(INDEX($A321:$AL321,MATCH(Lists!$F$5,$A$1:$AL$1,0)),9,2))))),"")))</f>
        <v/>
      </c>
      <c r="AU321" s="21">
        <f>IF(IFERROR(TRIM(INDEX($A321:$AL321,MATCH(Lists!$F$2,$A$1:$AL$1,0))&amp;""),"")="",-1,IF(ISNUMBER(IFERROR(IF(TRIM(INDEX($A321:$AL321,MATCH(Lists!$F$6,$A$1:$AL$1,0))&amp;"")="","",IF(ISNUMBER(INDEX($A321:$AL321,MATCH(Lists!$F$6,$A$1:$AL$1,0))),ROUND(MOD(INDEX($A321:$AL321,MATCH(Lists!$F$6,$A$1:$AL$1,0)),1)*1440,0),VALUE(LEFT(INDEX($A321:$AL321,MATCH(Lists!$F$6,$A$1:$AL$1,0)),2))*60+VALUE(MID(INDEX($A321:$AL321,MATCH(Lists!$F$6,$A$1:$AL$1,0)),4,2)))),"")),IFERROR(IF(TRIM(INDEX($A321:$AL321,MATCH(Lists!$F$6,$A$1:$AL$1,0))&amp;"")="","",IF(ISNUMBER(INDEX($A321:$AL321,MATCH(Lists!$F$6,$A$1:$AL$1,0))),ROUND(MOD(INDEX($A321:$AL321,MATCH(Lists!$F$6,$A$1:$AL$1,0)),1)*1440,0),VALUE(LEFT(INDEX($A321:$AL321,MATCH(Lists!$F$6,$A$1:$AL$1,0)),2))*60+VALUE(MID(INDEX($A321:$AL321,MATCH(Lists!$F$6,$A$1:$AL$1,0)),4,2)))),""),-1))</f>
        <v/>
      </c>
      <c r="AV321" s="21">
        <f>IF(IFERROR(TRIM(INDEX($A321:$AL321,MATCH(Lists!$F$2,$A$1:$AL$1,0))&amp;""),"")="",-1,IF(ISNUMBER(IFERROR(IF(TRIM(INDEX($A321:$AL321,MATCH(Lists!$F$7,$A$1:$AL$1,0))&amp;"")="","",IF(ISNUMBER(INDEX($A321:$AL321,MATCH(Lists!$F$7,$A$1:$AL$1,0))),ROUND(MOD(INDEX($A321:$AL321,MATCH(Lists!$F$7,$A$1:$AL$1,0)),1)*1440,0),VALUE(LEFT(INDEX($A321:$AL321,MATCH(Lists!$F$7,$A$1:$AL$1,0)),2))*60+VALUE(MID(INDEX($A321:$AL321,MATCH(Lists!$F$7,$A$1:$AL$1,0)),4,2)))),"")),IFERROR(IF(TRIM(INDEX($A321:$AL321,MATCH(Lists!$F$7,$A$1:$AL$1,0))&amp;"")="","",IF(ISNUMBER(INDEX($A321:$AL321,MATCH(Lists!$F$7,$A$1:$AL$1,0))),ROUND(MOD(INDEX($A321:$AL321,MATCH(Lists!$F$7,$A$1:$AL$1,0)),1)*1440,0),VALUE(LEFT(INDEX($A321:$AL321,MATCH(Lists!$F$7,$A$1:$AL$1,0)),2))*60+VALUE(MID(INDEX($A321:$AL321,MATCH(Lists!$F$7,$A$1:$AL$1,0)),4,2)))),""),-1))</f>
        <v/>
      </c>
      <c r="AW321" s="21">
        <f>IF(IFERROR(TRIM(INDEX($A321:$AL321,MATCH(Lists!$F$2,$A$1:$AL$1,0))&amp;""),"")="","",IF(IFERROR(TRIM(INDEX($A321:$AL321,MATCH(Lists!$F$8,$A$1:$AL$1,0))&amp;""),"")&lt;&gt;"",IFERROR(TRIM(INDEX($A321:$AL321,MATCH(Lists!$F$8,$A$1:$AL$1,0))&amp;""),""),IFERROR(TRIM(INDEX($A321:$AL321,MATCH(Lists!$F$9,$A$1:$AL$1,0))&amp;""),"")))</f>
        <v/>
      </c>
      <c r="AX321" s="21">
        <f>IFERROR(IF(TRIM(INDEX($A321:$AL321,MATCH(Lists!$F$10,$A$1:$AL$1,0))&amp;"")="","",VALUE(TRIM(INDEX($A321:$AL321,MATCH(Lists!$F$10,$A$1:$AL$1,0))&amp;""))),"")</f>
        <v/>
      </c>
      <c r="AY321" s="21">
        <f>IF(IFERROR(TRIM(INDEX($A321:$AL321,MATCH(Lists!$F$2,$A$1:$AL$1,0))&amp;""),"")="","",IF(AN321="","New",AN321))</f>
        <v/>
      </c>
      <c r="AZ321" s="21">
        <f>IF(IFERROR(TRIM(INDEX($A321:$AL321,MATCH(Lists!$F$2,$A$1:$AL$1,0))&amp;""),"")="","",IF(OR(IFERROR(TRIM(INDEX($A321:$AL321,MATCH(Lists!$F$13,$A$1:$AL$1,0))&amp;""),"")="Paid",IFERROR(TRIM(INDEX($A321:$AL321,MATCH(Lists!$F$13,$A$1:$AL$1,0))&amp;""),"")="Partially refunded"),"Paid",IF(AP321="Yes","Paid (by hand)",IFERROR(TRIM(INDEX($A321:$AL321,MATCH(Lists!$F$13,$A$1:$AL$1,0))&amp;""),""))))</f>
        <v/>
      </c>
      <c r="BA321" s="21">
        <f>IF(AND(IFERROR(TRIM(INDEX($A321:$AL321,MATCH(Lists!$F$2,$A$1:$AL$1,0))&amp;""),"")&lt;&gt;"",AT321&gt;0,AU321&gt;=0,AV321&gt;AU321,AY321&lt;&gt;"Declined"),1,0)</f>
        <v/>
      </c>
      <c r="BB321" s="21">
        <f>IF(BA321=1,COUNTIFS($AS$2:$AS$501,AS321,$AT$2:$AT$501,AT321,$AU$2:$AU$501,"&lt;"&amp;AV321,$AV$2:$AV$501,"&gt;"&amp;AU321,$BA$2:$BA$501,1)-1,"")</f>
        <v/>
      </c>
      <c r="BC321" s="21">
        <f>IF(N(BB321)&gt;0,"Clashes with "&amp;INDEX($AW$2:$AW$501,SUMPRODUCT(MAX(($AS$2:$AS$501=AS321)*($AT$2:$AT$501=AT321)*($AU$2:$AU$501&lt;AV321)*($AV$2:$AV$501&gt;AU321)*($BA$2:$BA$501=1)*(ROW($AS$2:$AS$501)&lt;&gt;ROW())*ROW($AS$2:$AS$501)))-1)&amp;" ("&amp;INDEX($AY$2:$AY$501,SUMPRODUCT(MAX(($AS$2:$AS$501=AS321)*($AT$2:$AT$501=AT321)*($AU$2:$AU$501&lt;AV321)*($AV$2:$AV$501&gt;AU321)*($BA$2:$BA$501=1)*(ROW($AS$2:$AS$501)&lt;&gt;ROW())*ROW($AS$2:$AS$501)))-1)&amp;")"&amp;IF(BB321&gt;1," and "&amp;(BB321-1)&amp;" more",""),"")</f>
        <v/>
      </c>
      <c r="BD321" s="21">
        <f>IF(AND(BA321=1,AY321="Confirmed"),AT321*10000000+AU321*1000+ROW(),"")</f>
        <v/>
      </c>
      <c r="BE321" s="21">
        <f>IF(IFERROR(TRIM(INDEX($A321:$AL321,MATCH(Lists!$F$2,$A$1:$AL$1,0))&amp;""),"")="","",IFERROR(TRIM(INDEX($A321:$AL321,MATCH(Lists!$F$11,$A$1:$AL$1,0))&amp;""),""))</f>
        <v/>
      </c>
      <c r="BF321" s="21">
        <f>IF(IFERROR(TRIM(INDEX($A321:$AL321,MATCH(Lists!$F$2,$A$1:$AL$1,0))&amp;""),"")="","",IFERROR(TRIM(INDEX($A321:$AL321,MATCH(Lists!$F$12,$A$1:$AL$1,0))&amp;""),""))</f>
        <v/>
      </c>
    </row>
    <row r="322">
      <c r="AM322" s="19" t="n"/>
      <c r="AN322" s="23" t="n"/>
      <c r="AO322" s="23" t="n"/>
      <c r="AP322" s="23" t="n"/>
      <c r="AQ322" s="23" t="n"/>
      <c r="AR322" s="19" t="n"/>
      <c r="AS322" s="21">
        <f>IF(IFERROR(TRIM(INDEX($A322:$AL322,MATCH(Lists!$F$2,$A$1:$AL$1,0))&amp;""),"")="","",IF(AND(IFERROR(TRIM(INDEX($A322:$AL322,MATCH(Lists!$F$3,$A$1:$AL$1,0))&amp;""),"")="Other",IFERROR(TRIM(INDEX($A322:$AL322,MATCH(Lists!$F$4,$A$1:$AL$1,0))&amp;""),"")&lt;&gt;""),IFERROR(TRIM(INDEX($A322:$AL322,MATCH(Lists!$F$4,$A$1:$AL$1,0))&amp;""),""),IF(IFERROR(TRIM(INDEX($A322:$AL322,MATCH(Lists!$F$3,$A$1:$AL$1,0))&amp;""),"")="","(no space)",IFERROR(TRIM(INDEX($A322:$AL322,MATCH(Lists!$F$3,$A$1:$AL$1,0))&amp;""),""))))</f>
        <v/>
      </c>
      <c r="AT322" s="22">
        <f>IF(IFERROR(TRIM(INDEX($A322:$AL322,MATCH(Lists!$F$2,$A$1:$AL$1,0))&amp;""),"")="",0,N(IFERROR(IF(TRIM(INDEX($A322:$AL322,MATCH(Lists!$F$5,$A$1:$AL$1,0))&amp;"")="","",IF(ISNUMBER(INDEX($A322:$AL322,MATCH(Lists!$F$5,$A$1:$AL$1,0))),INT(INDEX($A322:$AL322,MATCH(Lists!$F$5,$A$1:$AL$1,0))),DATE(VALUE(LEFT(INDEX($A322:$AL322,MATCH(Lists!$F$5,$A$1:$AL$1,0)),4)),VALUE(MID(INDEX($A322:$AL322,MATCH(Lists!$F$5,$A$1:$AL$1,0)),6,2)),VALUE(MID(INDEX($A322:$AL322,MATCH(Lists!$F$5,$A$1:$AL$1,0)),9,2))))),"")))</f>
        <v/>
      </c>
      <c r="AU322" s="21">
        <f>IF(IFERROR(TRIM(INDEX($A322:$AL322,MATCH(Lists!$F$2,$A$1:$AL$1,0))&amp;""),"")="",-1,IF(ISNUMBER(IFERROR(IF(TRIM(INDEX($A322:$AL322,MATCH(Lists!$F$6,$A$1:$AL$1,0))&amp;"")="","",IF(ISNUMBER(INDEX($A322:$AL322,MATCH(Lists!$F$6,$A$1:$AL$1,0))),ROUND(MOD(INDEX($A322:$AL322,MATCH(Lists!$F$6,$A$1:$AL$1,0)),1)*1440,0),VALUE(LEFT(INDEX($A322:$AL322,MATCH(Lists!$F$6,$A$1:$AL$1,0)),2))*60+VALUE(MID(INDEX($A322:$AL322,MATCH(Lists!$F$6,$A$1:$AL$1,0)),4,2)))),"")),IFERROR(IF(TRIM(INDEX($A322:$AL322,MATCH(Lists!$F$6,$A$1:$AL$1,0))&amp;"")="","",IF(ISNUMBER(INDEX($A322:$AL322,MATCH(Lists!$F$6,$A$1:$AL$1,0))),ROUND(MOD(INDEX($A322:$AL322,MATCH(Lists!$F$6,$A$1:$AL$1,0)),1)*1440,0),VALUE(LEFT(INDEX($A322:$AL322,MATCH(Lists!$F$6,$A$1:$AL$1,0)),2))*60+VALUE(MID(INDEX($A322:$AL322,MATCH(Lists!$F$6,$A$1:$AL$1,0)),4,2)))),""),-1))</f>
        <v/>
      </c>
      <c r="AV322" s="21">
        <f>IF(IFERROR(TRIM(INDEX($A322:$AL322,MATCH(Lists!$F$2,$A$1:$AL$1,0))&amp;""),"")="",-1,IF(ISNUMBER(IFERROR(IF(TRIM(INDEX($A322:$AL322,MATCH(Lists!$F$7,$A$1:$AL$1,0))&amp;"")="","",IF(ISNUMBER(INDEX($A322:$AL322,MATCH(Lists!$F$7,$A$1:$AL$1,0))),ROUND(MOD(INDEX($A322:$AL322,MATCH(Lists!$F$7,$A$1:$AL$1,0)),1)*1440,0),VALUE(LEFT(INDEX($A322:$AL322,MATCH(Lists!$F$7,$A$1:$AL$1,0)),2))*60+VALUE(MID(INDEX($A322:$AL322,MATCH(Lists!$F$7,$A$1:$AL$1,0)),4,2)))),"")),IFERROR(IF(TRIM(INDEX($A322:$AL322,MATCH(Lists!$F$7,$A$1:$AL$1,0))&amp;"")="","",IF(ISNUMBER(INDEX($A322:$AL322,MATCH(Lists!$F$7,$A$1:$AL$1,0))),ROUND(MOD(INDEX($A322:$AL322,MATCH(Lists!$F$7,$A$1:$AL$1,0)),1)*1440,0),VALUE(LEFT(INDEX($A322:$AL322,MATCH(Lists!$F$7,$A$1:$AL$1,0)),2))*60+VALUE(MID(INDEX($A322:$AL322,MATCH(Lists!$F$7,$A$1:$AL$1,0)),4,2)))),""),-1))</f>
        <v/>
      </c>
      <c r="AW322" s="21">
        <f>IF(IFERROR(TRIM(INDEX($A322:$AL322,MATCH(Lists!$F$2,$A$1:$AL$1,0))&amp;""),"")="","",IF(IFERROR(TRIM(INDEX($A322:$AL322,MATCH(Lists!$F$8,$A$1:$AL$1,0))&amp;""),"")&lt;&gt;"",IFERROR(TRIM(INDEX($A322:$AL322,MATCH(Lists!$F$8,$A$1:$AL$1,0))&amp;""),""),IFERROR(TRIM(INDEX($A322:$AL322,MATCH(Lists!$F$9,$A$1:$AL$1,0))&amp;""),"")))</f>
        <v/>
      </c>
      <c r="AX322" s="21">
        <f>IFERROR(IF(TRIM(INDEX($A322:$AL322,MATCH(Lists!$F$10,$A$1:$AL$1,0))&amp;"")="","",VALUE(TRIM(INDEX($A322:$AL322,MATCH(Lists!$F$10,$A$1:$AL$1,0))&amp;""))),"")</f>
        <v/>
      </c>
      <c r="AY322" s="21">
        <f>IF(IFERROR(TRIM(INDEX($A322:$AL322,MATCH(Lists!$F$2,$A$1:$AL$1,0))&amp;""),"")="","",IF(AN322="","New",AN322))</f>
        <v/>
      </c>
      <c r="AZ322" s="21">
        <f>IF(IFERROR(TRIM(INDEX($A322:$AL322,MATCH(Lists!$F$2,$A$1:$AL$1,0))&amp;""),"")="","",IF(OR(IFERROR(TRIM(INDEX($A322:$AL322,MATCH(Lists!$F$13,$A$1:$AL$1,0))&amp;""),"")="Paid",IFERROR(TRIM(INDEX($A322:$AL322,MATCH(Lists!$F$13,$A$1:$AL$1,0))&amp;""),"")="Partially refunded"),"Paid",IF(AP322="Yes","Paid (by hand)",IFERROR(TRIM(INDEX($A322:$AL322,MATCH(Lists!$F$13,$A$1:$AL$1,0))&amp;""),""))))</f>
        <v/>
      </c>
      <c r="BA322" s="21">
        <f>IF(AND(IFERROR(TRIM(INDEX($A322:$AL322,MATCH(Lists!$F$2,$A$1:$AL$1,0))&amp;""),"")&lt;&gt;"",AT322&gt;0,AU322&gt;=0,AV322&gt;AU322,AY322&lt;&gt;"Declined"),1,0)</f>
        <v/>
      </c>
      <c r="BB322" s="21">
        <f>IF(BA322=1,COUNTIFS($AS$2:$AS$501,AS322,$AT$2:$AT$501,AT322,$AU$2:$AU$501,"&lt;"&amp;AV322,$AV$2:$AV$501,"&gt;"&amp;AU322,$BA$2:$BA$501,1)-1,"")</f>
        <v/>
      </c>
      <c r="BC322" s="21">
        <f>IF(N(BB322)&gt;0,"Clashes with "&amp;INDEX($AW$2:$AW$501,SUMPRODUCT(MAX(($AS$2:$AS$501=AS322)*($AT$2:$AT$501=AT322)*($AU$2:$AU$501&lt;AV322)*($AV$2:$AV$501&gt;AU322)*($BA$2:$BA$501=1)*(ROW($AS$2:$AS$501)&lt;&gt;ROW())*ROW($AS$2:$AS$501)))-1)&amp;" ("&amp;INDEX($AY$2:$AY$501,SUMPRODUCT(MAX(($AS$2:$AS$501=AS322)*($AT$2:$AT$501=AT322)*($AU$2:$AU$501&lt;AV322)*($AV$2:$AV$501&gt;AU322)*($BA$2:$BA$501=1)*(ROW($AS$2:$AS$501)&lt;&gt;ROW())*ROW($AS$2:$AS$501)))-1)&amp;")"&amp;IF(BB322&gt;1," and "&amp;(BB322-1)&amp;" more",""),"")</f>
        <v/>
      </c>
      <c r="BD322" s="21">
        <f>IF(AND(BA322=1,AY322="Confirmed"),AT322*10000000+AU322*1000+ROW(),"")</f>
        <v/>
      </c>
      <c r="BE322" s="21">
        <f>IF(IFERROR(TRIM(INDEX($A322:$AL322,MATCH(Lists!$F$2,$A$1:$AL$1,0))&amp;""),"")="","",IFERROR(TRIM(INDEX($A322:$AL322,MATCH(Lists!$F$11,$A$1:$AL$1,0))&amp;""),""))</f>
        <v/>
      </c>
      <c r="BF322" s="21">
        <f>IF(IFERROR(TRIM(INDEX($A322:$AL322,MATCH(Lists!$F$2,$A$1:$AL$1,0))&amp;""),"")="","",IFERROR(TRIM(INDEX($A322:$AL322,MATCH(Lists!$F$12,$A$1:$AL$1,0))&amp;""),""))</f>
        <v/>
      </c>
    </row>
    <row r="323">
      <c r="AM323" s="19" t="n"/>
      <c r="AN323" s="23" t="n"/>
      <c r="AO323" s="23" t="n"/>
      <c r="AP323" s="23" t="n"/>
      <c r="AQ323" s="23" t="n"/>
      <c r="AR323" s="19" t="n"/>
      <c r="AS323" s="21">
        <f>IF(IFERROR(TRIM(INDEX($A323:$AL323,MATCH(Lists!$F$2,$A$1:$AL$1,0))&amp;""),"")="","",IF(AND(IFERROR(TRIM(INDEX($A323:$AL323,MATCH(Lists!$F$3,$A$1:$AL$1,0))&amp;""),"")="Other",IFERROR(TRIM(INDEX($A323:$AL323,MATCH(Lists!$F$4,$A$1:$AL$1,0))&amp;""),"")&lt;&gt;""),IFERROR(TRIM(INDEX($A323:$AL323,MATCH(Lists!$F$4,$A$1:$AL$1,0))&amp;""),""),IF(IFERROR(TRIM(INDEX($A323:$AL323,MATCH(Lists!$F$3,$A$1:$AL$1,0))&amp;""),"")="","(no space)",IFERROR(TRIM(INDEX($A323:$AL323,MATCH(Lists!$F$3,$A$1:$AL$1,0))&amp;""),""))))</f>
        <v/>
      </c>
      <c r="AT323" s="22">
        <f>IF(IFERROR(TRIM(INDEX($A323:$AL323,MATCH(Lists!$F$2,$A$1:$AL$1,0))&amp;""),"")="",0,N(IFERROR(IF(TRIM(INDEX($A323:$AL323,MATCH(Lists!$F$5,$A$1:$AL$1,0))&amp;"")="","",IF(ISNUMBER(INDEX($A323:$AL323,MATCH(Lists!$F$5,$A$1:$AL$1,0))),INT(INDEX($A323:$AL323,MATCH(Lists!$F$5,$A$1:$AL$1,0))),DATE(VALUE(LEFT(INDEX($A323:$AL323,MATCH(Lists!$F$5,$A$1:$AL$1,0)),4)),VALUE(MID(INDEX($A323:$AL323,MATCH(Lists!$F$5,$A$1:$AL$1,0)),6,2)),VALUE(MID(INDEX($A323:$AL323,MATCH(Lists!$F$5,$A$1:$AL$1,0)),9,2))))),"")))</f>
        <v/>
      </c>
      <c r="AU323" s="21">
        <f>IF(IFERROR(TRIM(INDEX($A323:$AL323,MATCH(Lists!$F$2,$A$1:$AL$1,0))&amp;""),"")="",-1,IF(ISNUMBER(IFERROR(IF(TRIM(INDEX($A323:$AL323,MATCH(Lists!$F$6,$A$1:$AL$1,0))&amp;"")="","",IF(ISNUMBER(INDEX($A323:$AL323,MATCH(Lists!$F$6,$A$1:$AL$1,0))),ROUND(MOD(INDEX($A323:$AL323,MATCH(Lists!$F$6,$A$1:$AL$1,0)),1)*1440,0),VALUE(LEFT(INDEX($A323:$AL323,MATCH(Lists!$F$6,$A$1:$AL$1,0)),2))*60+VALUE(MID(INDEX($A323:$AL323,MATCH(Lists!$F$6,$A$1:$AL$1,0)),4,2)))),"")),IFERROR(IF(TRIM(INDEX($A323:$AL323,MATCH(Lists!$F$6,$A$1:$AL$1,0))&amp;"")="","",IF(ISNUMBER(INDEX($A323:$AL323,MATCH(Lists!$F$6,$A$1:$AL$1,0))),ROUND(MOD(INDEX($A323:$AL323,MATCH(Lists!$F$6,$A$1:$AL$1,0)),1)*1440,0),VALUE(LEFT(INDEX($A323:$AL323,MATCH(Lists!$F$6,$A$1:$AL$1,0)),2))*60+VALUE(MID(INDEX($A323:$AL323,MATCH(Lists!$F$6,$A$1:$AL$1,0)),4,2)))),""),-1))</f>
        <v/>
      </c>
      <c r="AV323" s="21">
        <f>IF(IFERROR(TRIM(INDEX($A323:$AL323,MATCH(Lists!$F$2,$A$1:$AL$1,0))&amp;""),"")="",-1,IF(ISNUMBER(IFERROR(IF(TRIM(INDEX($A323:$AL323,MATCH(Lists!$F$7,$A$1:$AL$1,0))&amp;"")="","",IF(ISNUMBER(INDEX($A323:$AL323,MATCH(Lists!$F$7,$A$1:$AL$1,0))),ROUND(MOD(INDEX($A323:$AL323,MATCH(Lists!$F$7,$A$1:$AL$1,0)),1)*1440,0),VALUE(LEFT(INDEX($A323:$AL323,MATCH(Lists!$F$7,$A$1:$AL$1,0)),2))*60+VALUE(MID(INDEX($A323:$AL323,MATCH(Lists!$F$7,$A$1:$AL$1,0)),4,2)))),"")),IFERROR(IF(TRIM(INDEX($A323:$AL323,MATCH(Lists!$F$7,$A$1:$AL$1,0))&amp;"")="","",IF(ISNUMBER(INDEX($A323:$AL323,MATCH(Lists!$F$7,$A$1:$AL$1,0))),ROUND(MOD(INDEX($A323:$AL323,MATCH(Lists!$F$7,$A$1:$AL$1,0)),1)*1440,0),VALUE(LEFT(INDEX($A323:$AL323,MATCH(Lists!$F$7,$A$1:$AL$1,0)),2))*60+VALUE(MID(INDEX($A323:$AL323,MATCH(Lists!$F$7,$A$1:$AL$1,0)),4,2)))),""),-1))</f>
        <v/>
      </c>
      <c r="AW323" s="21">
        <f>IF(IFERROR(TRIM(INDEX($A323:$AL323,MATCH(Lists!$F$2,$A$1:$AL$1,0))&amp;""),"")="","",IF(IFERROR(TRIM(INDEX($A323:$AL323,MATCH(Lists!$F$8,$A$1:$AL$1,0))&amp;""),"")&lt;&gt;"",IFERROR(TRIM(INDEX($A323:$AL323,MATCH(Lists!$F$8,$A$1:$AL$1,0))&amp;""),""),IFERROR(TRIM(INDEX($A323:$AL323,MATCH(Lists!$F$9,$A$1:$AL$1,0))&amp;""),"")))</f>
        <v/>
      </c>
      <c r="AX323" s="21">
        <f>IFERROR(IF(TRIM(INDEX($A323:$AL323,MATCH(Lists!$F$10,$A$1:$AL$1,0))&amp;"")="","",VALUE(TRIM(INDEX($A323:$AL323,MATCH(Lists!$F$10,$A$1:$AL$1,0))&amp;""))),"")</f>
        <v/>
      </c>
      <c r="AY323" s="21">
        <f>IF(IFERROR(TRIM(INDEX($A323:$AL323,MATCH(Lists!$F$2,$A$1:$AL$1,0))&amp;""),"")="","",IF(AN323="","New",AN323))</f>
        <v/>
      </c>
      <c r="AZ323" s="21">
        <f>IF(IFERROR(TRIM(INDEX($A323:$AL323,MATCH(Lists!$F$2,$A$1:$AL$1,0))&amp;""),"")="","",IF(OR(IFERROR(TRIM(INDEX($A323:$AL323,MATCH(Lists!$F$13,$A$1:$AL$1,0))&amp;""),"")="Paid",IFERROR(TRIM(INDEX($A323:$AL323,MATCH(Lists!$F$13,$A$1:$AL$1,0))&amp;""),"")="Partially refunded"),"Paid",IF(AP323="Yes","Paid (by hand)",IFERROR(TRIM(INDEX($A323:$AL323,MATCH(Lists!$F$13,$A$1:$AL$1,0))&amp;""),""))))</f>
        <v/>
      </c>
      <c r="BA323" s="21">
        <f>IF(AND(IFERROR(TRIM(INDEX($A323:$AL323,MATCH(Lists!$F$2,$A$1:$AL$1,0))&amp;""),"")&lt;&gt;"",AT323&gt;0,AU323&gt;=0,AV323&gt;AU323,AY323&lt;&gt;"Declined"),1,0)</f>
        <v/>
      </c>
      <c r="BB323" s="21">
        <f>IF(BA323=1,COUNTIFS($AS$2:$AS$501,AS323,$AT$2:$AT$501,AT323,$AU$2:$AU$501,"&lt;"&amp;AV323,$AV$2:$AV$501,"&gt;"&amp;AU323,$BA$2:$BA$501,1)-1,"")</f>
        <v/>
      </c>
      <c r="BC323" s="21">
        <f>IF(N(BB323)&gt;0,"Clashes with "&amp;INDEX($AW$2:$AW$501,SUMPRODUCT(MAX(($AS$2:$AS$501=AS323)*($AT$2:$AT$501=AT323)*($AU$2:$AU$501&lt;AV323)*($AV$2:$AV$501&gt;AU323)*($BA$2:$BA$501=1)*(ROW($AS$2:$AS$501)&lt;&gt;ROW())*ROW($AS$2:$AS$501)))-1)&amp;" ("&amp;INDEX($AY$2:$AY$501,SUMPRODUCT(MAX(($AS$2:$AS$501=AS323)*($AT$2:$AT$501=AT323)*($AU$2:$AU$501&lt;AV323)*($AV$2:$AV$501&gt;AU323)*($BA$2:$BA$501=1)*(ROW($AS$2:$AS$501)&lt;&gt;ROW())*ROW($AS$2:$AS$501)))-1)&amp;")"&amp;IF(BB323&gt;1," and "&amp;(BB323-1)&amp;" more",""),"")</f>
        <v/>
      </c>
      <c r="BD323" s="21">
        <f>IF(AND(BA323=1,AY323="Confirmed"),AT323*10000000+AU323*1000+ROW(),"")</f>
        <v/>
      </c>
      <c r="BE323" s="21">
        <f>IF(IFERROR(TRIM(INDEX($A323:$AL323,MATCH(Lists!$F$2,$A$1:$AL$1,0))&amp;""),"")="","",IFERROR(TRIM(INDEX($A323:$AL323,MATCH(Lists!$F$11,$A$1:$AL$1,0))&amp;""),""))</f>
        <v/>
      </c>
      <c r="BF323" s="21">
        <f>IF(IFERROR(TRIM(INDEX($A323:$AL323,MATCH(Lists!$F$2,$A$1:$AL$1,0))&amp;""),"")="","",IFERROR(TRIM(INDEX($A323:$AL323,MATCH(Lists!$F$12,$A$1:$AL$1,0))&amp;""),""))</f>
        <v/>
      </c>
    </row>
    <row r="324">
      <c r="AM324" s="19" t="n"/>
      <c r="AN324" s="23" t="n"/>
      <c r="AO324" s="23" t="n"/>
      <c r="AP324" s="23" t="n"/>
      <c r="AQ324" s="23" t="n"/>
      <c r="AR324" s="19" t="n"/>
      <c r="AS324" s="21">
        <f>IF(IFERROR(TRIM(INDEX($A324:$AL324,MATCH(Lists!$F$2,$A$1:$AL$1,0))&amp;""),"")="","",IF(AND(IFERROR(TRIM(INDEX($A324:$AL324,MATCH(Lists!$F$3,$A$1:$AL$1,0))&amp;""),"")="Other",IFERROR(TRIM(INDEX($A324:$AL324,MATCH(Lists!$F$4,$A$1:$AL$1,0))&amp;""),"")&lt;&gt;""),IFERROR(TRIM(INDEX($A324:$AL324,MATCH(Lists!$F$4,$A$1:$AL$1,0))&amp;""),""),IF(IFERROR(TRIM(INDEX($A324:$AL324,MATCH(Lists!$F$3,$A$1:$AL$1,0))&amp;""),"")="","(no space)",IFERROR(TRIM(INDEX($A324:$AL324,MATCH(Lists!$F$3,$A$1:$AL$1,0))&amp;""),""))))</f>
        <v/>
      </c>
      <c r="AT324" s="22">
        <f>IF(IFERROR(TRIM(INDEX($A324:$AL324,MATCH(Lists!$F$2,$A$1:$AL$1,0))&amp;""),"")="",0,N(IFERROR(IF(TRIM(INDEX($A324:$AL324,MATCH(Lists!$F$5,$A$1:$AL$1,0))&amp;"")="","",IF(ISNUMBER(INDEX($A324:$AL324,MATCH(Lists!$F$5,$A$1:$AL$1,0))),INT(INDEX($A324:$AL324,MATCH(Lists!$F$5,$A$1:$AL$1,0))),DATE(VALUE(LEFT(INDEX($A324:$AL324,MATCH(Lists!$F$5,$A$1:$AL$1,0)),4)),VALUE(MID(INDEX($A324:$AL324,MATCH(Lists!$F$5,$A$1:$AL$1,0)),6,2)),VALUE(MID(INDEX($A324:$AL324,MATCH(Lists!$F$5,$A$1:$AL$1,0)),9,2))))),"")))</f>
        <v/>
      </c>
      <c r="AU324" s="21">
        <f>IF(IFERROR(TRIM(INDEX($A324:$AL324,MATCH(Lists!$F$2,$A$1:$AL$1,0))&amp;""),"")="",-1,IF(ISNUMBER(IFERROR(IF(TRIM(INDEX($A324:$AL324,MATCH(Lists!$F$6,$A$1:$AL$1,0))&amp;"")="","",IF(ISNUMBER(INDEX($A324:$AL324,MATCH(Lists!$F$6,$A$1:$AL$1,0))),ROUND(MOD(INDEX($A324:$AL324,MATCH(Lists!$F$6,$A$1:$AL$1,0)),1)*1440,0),VALUE(LEFT(INDEX($A324:$AL324,MATCH(Lists!$F$6,$A$1:$AL$1,0)),2))*60+VALUE(MID(INDEX($A324:$AL324,MATCH(Lists!$F$6,$A$1:$AL$1,0)),4,2)))),"")),IFERROR(IF(TRIM(INDEX($A324:$AL324,MATCH(Lists!$F$6,$A$1:$AL$1,0))&amp;"")="","",IF(ISNUMBER(INDEX($A324:$AL324,MATCH(Lists!$F$6,$A$1:$AL$1,0))),ROUND(MOD(INDEX($A324:$AL324,MATCH(Lists!$F$6,$A$1:$AL$1,0)),1)*1440,0),VALUE(LEFT(INDEX($A324:$AL324,MATCH(Lists!$F$6,$A$1:$AL$1,0)),2))*60+VALUE(MID(INDEX($A324:$AL324,MATCH(Lists!$F$6,$A$1:$AL$1,0)),4,2)))),""),-1))</f>
        <v/>
      </c>
      <c r="AV324" s="21">
        <f>IF(IFERROR(TRIM(INDEX($A324:$AL324,MATCH(Lists!$F$2,$A$1:$AL$1,0))&amp;""),"")="",-1,IF(ISNUMBER(IFERROR(IF(TRIM(INDEX($A324:$AL324,MATCH(Lists!$F$7,$A$1:$AL$1,0))&amp;"")="","",IF(ISNUMBER(INDEX($A324:$AL324,MATCH(Lists!$F$7,$A$1:$AL$1,0))),ROUND(MOD(INDEX($A324:$AL324,MATCH(Lists!$F$7,$A$1:$AL$1,0)),1)*1440,0),VALUE(LEFT(INDEX($A324:$AL324,MATCH(Lists!$F$7,$A$1:$AL$1,0)),2))*60+VALUE(MID(INDEX($A324:$AL324,MATCH(Lists!$F$7,$A$1:$AL$1,0)),4,2)))),"")),IFERROR(IF(TRIM(INDEX($A324:$AL324,MATCH(Lists!$F$7,$A$1:$AL$1,0))&amp;"")="","",IF(ISNUMBER(INDEX($A324:$AL324,MATCH(Lists!$F$7,$A$1:$AL$1,0))),ROUND(MOD(INDEX($A324:$AL324,MATCH(Lists!$F$7,$A$1:$AL$1,0)),1)*1440,0),VALUE(LEFT(INDEX($A324:$AL324,MATCH(Lists!$F$7,$A$1:$AL$1,0)),2))*60+VALUE(MID(INDEX($A324:$AL324,MATCH(Lists!$F$7,$A$1:$AL$1,0)),4,2)))),""),-1))</f>
        <v/>
      </c>
      <c r="AW324" s="21">
        <f>IF(IFERROR(TRIM(INDEX($A324:$AL324,MATCH(Lists!$F$2,$A$1:$AL$1,0))&amp;""),"")="","",IF(IFERROR(TRIM(INDEX($A324:$AL324,MATCH(Lists!$F$8,$A$1:$AL$1,0))&amp;""),"")&lt;&gt;"",IFERROR(TRIM(INDEX($A324:$AL324,MATCH(Lists!$F$8,$A$1:$AL$1,0))&amp;""),""),IFERROR(TRIM(INDEX($A324:$AL324,MATCH(Lists!$F$9,$A$1:$AL$1,0))&amp;""),"")))</f>
        <v/>
      </c>
      <c r="AX324" s="21">
        <f>IFERROR(IF(TRIM(INDEX($A324:$AL324,MATCH(Lists!$F$10,$A$1:$AL$1,0))&amp;"")="","",VALUE(TRIM(INDEX($A324:$AL324,MATCH(Lists!$F$10,$A$1:$AL$1,0))&amp;""))),"")</f>
        <v/>
      </c>
      <c r="AY324" s="21">
        <f>IF(IFERROR(TRIM(INDEX($A324:$AL324,MATCH(Lists!$F$2,$A$1:$AL$1,0))&amp;""),"")="","",IF(AN324="","New",AN324))</f>
        <v/>
      </c>
      <c r="AZ324" s="21">
        <f>IF(IFERROR(TRIM(INDEX($A324:$AL324,MATCH(Lists!$F$2,$A$1:$AL$1,0))&amp;""),"")="","",IF(OR(IFERROR(TRIM(INDEX($A324:$AL324,MATCH(Lists!$F$13,$A$1:$AL$1,0))&amp;""),"")="Paid",IFERROR(TRIM(INDEX($A324:$AL324,MATCH(Lists!$F$13,$A$1:$AL$1,0))&amp;""),"")="Partially refunded"),"Paid",IF(AP324="Yes","Paid (by hand)",IFERROR(TRIM(INDEX($A324:$AL324,MATCH(Lists!$F$13,$A$1:$AL$1,0))&amp;""),""))))</f>
        <v/>
      </c>
      <c r="BA324" s="21">
        <f>IF(AND(IFERROR(TRIM(INDEX($A324:$AL324,MATCH(Lists!$F$2,$A$1:$AL$1,0))&amp;""),"")&lt;&gt;"",AT324&gt;0,AU324&gt;=0,AV324&gt;AU324,AY324&lt;&gt;"Declined"),1,0)</f>
        <v/>
      </c>
      <c r="BB324" s="21">
        <f>IF(BA324=1,COUNTIFS($AS$2:$AS$501,AS324,$AT$2:$AT$501,AT324,$AU$2:$AU$501,"&lt;"&amp;AV324,$AV$2:$AV$501,"&gt;"&amp;AU324,$BA$2:$BA$501,1)-1,"")</f>
        <v/>
      </c>
      <c r="BC324" s="21">
        <f>IF(N(BB324)&gt;0,"Clashes with "&amp;INDEX($AW$2:$AW$501,SUMPRODUCT(MAX(($AS$2:$AS$501=AS324)*($AT$2:$AT$501=AT324)*($AU$2:$AU$501&lt;AV324)*($AV$2:$AV$501&gt;AU324)*($BA$2:$BA$501=1)*(ROW($AS$2:$AS$501)&lt;&gt;ROW())*ROW($AS$2:$AS$501)))-1)&amp;" ("&amp;INDEX($AY$2:$AY$501,SUMPRODUCT(MAX(($AS$2:$AS$501=AS324)*($AT$2:$AT$501=AT324)*($AU$2:$AU$501&lt;AV324)*($AV$2:$AV$501&gt;AU324)*($BA$2:$BA$501=1)*(ROW($AS$2:$AS$501)&lt;&gt;ROW())*ROW($AS$2:$AS$501)))-1)&amp;")"&amp;IF(BB324&gt;1," and "&amp;(BB324-1)&amp;" more",""),"")</f>
        <v/>
      </c>
      <c r="BD324" s="21">
        <f>IF(AND(BA324=1,AY324="Confirmed"),AT324*10000000+AU324*1000+ROW(),"")</f>
        <v/>
      </c>
      <c r="BE324" s="21">
        <f>IF(IFERROR(TRIM(INDEX($A324:$AL324,MATCH(Lists!$F$2,$A$1:$AL$1,0))&amp;""),"")="","",IFERROR(TRIM(INDEX($A324:$AL324,MATCH(Lists!$F$11,$A$1:$AL$1,0))&amp;""),""))</f>
        <v/>
      </c>
      <c r="BF324" s="21">
        <f>IF(IFERROR(TRIM(INDEX($A324:$AL324,MATCH(Lists!$F$2,$A$1:$AL$1,0))&amp;""),"")="","",IFERROR(TRIM(INDEX($A324:$AL324,MATCH(Lists!$F$12,$A$1:$AL$1,0))&amp;""),""))</f>
        <v/>
      </c>
    </row>
    <row r="325">
      <c r="AM325" s="19" t="n"/>
      <c r="AN325" s="23" t="n"/>
      <c r="AO325" s="23" t="n"/>
      <c r="AP325" s="23" t="n"/>
      <c r="AQ325" s="23" t="n"/>
      <c r="AR325" s="19" t="n"/>
      <c r="AS325" s="21">
        <f>IF(IFERROR(TRIM(INDEX($A325:$AL325,MATCH(Lists!$F$2,$A$1:$AL$1,0))&amp;""),"")="","",IF(AND(IFERROR(TRIM(INDEX($A325:$AL325,MATCH(Lists!$F$3,$A$1:$AL$1,0))&amp;""),"")="Other",IFERROR(TRIM(INDEX($A325:$AL325,MATCH(Lists!$F$4,$A$1:$AL$1,0))&amp;""),"")&lt;&gt;""),IFERROR(TRIM(INDEX($A325:$AL325,MATCH(Lists!$F$4,$A$1:$AL$1,0))&amp;""),""),IF(IFERROR(TRIM(INDEX($A325:$AL325,MATCH(Lists!$F$3,$A$1:$AL$1,0))&amp;""),"")="","(no space)",IFERROR(TRIM(INDEX($A325:$AL325,MATCH(Lists!$F$3,$A$1:$AL$1,0))&amp;""),""))))</f>
        <v/>
      </c>
      <c r="AT325" s="22">
        <f>IF(IFERROR(TRIM(INDEX($A325:$AL325,MATCH(Lists!$F$2,$A$1:$AL$1,0))&amp;""),"")="",0,N(IFERROR(IF(TRIM(INDEX($A325:$AL325,MATCH(Lists!$F$5,$A$1:$AL$1,0))&amp;"")="","",IF(ISNUMBER(INDEX($A325:$AL325,MATCH(Lists!$F$5,$A$1:$AL$1,0))),INT(INDEX($A325:$AL325,MATCH(Lists!$F$5,$A$1:$AL$1,0))),DATE(VALUE(LEFT(INDEX($A325:$AL325,MATCH(Lists!$F$5,$A$1:$AL$1,0)),4)),VALUE(MID(INDEX($A325:$AL325,MATCH(Lists!$F$5,$A$1:$AL$1,0)),6,2)),VALUE(MID(INDEX($A325:$AL325,MATCH(Lists!$F$5,$A$1:$AL$1,0)),9,2))))),"")))</f>
        <v/>
      </c>
      <c r="AU325" s="21">
        <f>IF(IFERROR(TRIM(INDEX($A325:$AL325,MATCH(Lists!$F$2,$A$1:$AL$1,0))&amp;""),"")="",-1,IF(ISNUMBER(IFERROR(IF(TRIM(INDEX($A325:$AL325,MATCH(Lists!$F$6,$A$1:$AL$1,0))&amp;"")="","",IF(ISNUMBER(INDEX($A325:$AL325,MATCH(Lists!$F$6,$A$1:$AL$1,0))),ROUND(MOD(INDEX($A325:$AL325,MATCH(Lists!$F$6,$A$1:$AL$1,0)),1)*1440,0),VALUE(LEFT(INDEX($A325:$AL325,MATCH(Lists!$F$6,$A$1:$AL$1,0)),2))*60+VALUE(MID(INDEX($A325:$AL325,MATCH(Lists!$F$6,$A$1:$AL$1,0)),4,2)))),"")),IFERROR(IF(TRIM(INDEX($A325:$AL325,MATCH(Lists!$F$6,$A$1:$AL$1,0))&amp;"")="","",IF(ISNUMBER(INDEX($A325:$AL325,MATCH(Lists!$F$6,$A$1:$AL$1,0))),ROUND(MOD(INDEX($A325:$AL325,MATCH(Lists!$F$6,$A$1:$AL$1,0)),1)*1440,0),VALUE(LEFT(INDEX($A325:$AL325,MATCH(Lists!$F$6,$A$1:$AL$1,0)),2))*60+VALUE(MID(INDEX($A325:$AL325,MATCH(Lists!$F$6,$A$1:$AL$1,0)),4,2)))),""),-1))</f>
        <v/>
      </c>
      <c r="AV325" s="21">
        <f>IF(IFERROR(TRIM(INDEX($A325:$AL325,MATCH(Lists!$F$2,$A$1:$AL$1,0))&amp;""),"")="",-1,IF(ISNUMBER(IFERROR(IF(TRIM(INDEX($A325:$AL325,MATCH(Lists!$F$7,$A$1:$AL$1,0))&amp;"")="","",IF(ISNUMBER(INDEX($A325:$AL325,MATCH(Lists!$F$7,$A$1:$AL$1,0))),ROUND(MOD(INDEX($A325:$AL325,MATCH(Lists!$F$7,$A$1:$AL$1,0)),1)*1440,0),VALUE(LEFT(INDEX($A325:$AL325,MATCH(Lists!$F$7,$A$1:$AL$1,0)),2))*60+VALUE(MID(INDEX($A325:$AL325,MATCH(Lists!$F$7,$A$1:$AL$1,0)),4,2)))),"")),IFERROR(IF(TRIM(INDEX($A325:$AL325,MATCH(Lists!$F$7,$A$1:$AL$1,0))&amp;"")="","",IF(ISNUMBER(INDEX($A325:$AL325,MATCH(Lists!$F$7,$A$1:$AL$1,0))),ROUND(MOD(INDEX($A325:$AL325,MATCH(Lists!$F$7,$A$1:$AL$1,0)),1)*1440,0),VALUE(LEFT(INDEX($A325:$AL325,MATCH(Lists!$F$7,$A$1:$AL$1,0)),2))*60+VALUE(MID(INDEX($A325:$AL325,MATCH(Lists!$F$7,$A$1:$AL$1,0)),4,2)))),""),-1))</f>
        <v/>
      </c>
      <c r="AW325" s="21">
        <f>IF(IFERROR(TRIM(INDEX($A325:$AL325,MATCH(Lists!$F$2,$A$1:$AL$1,0))&amp;""),"")="","",IF(IFERROR(TRIM(INDEX($A325:$AL325,MATCH(Lists!$F$8,$A$1:$AL$1,0))&amp;""),"")&lt;&gt;"",IFERROR(TRIM(INDEX($A325:$AL325,MATCH(Lists!$F$8,$A$1:$AL$1,0))&amp;""),""),IFERROR(TRIM(INDEX($A325:$AL325,MATCH(Lists!$F$9,$A$1:$AL$1,0))&amp;""),"")))</f>
        <v/>
      </c>
      <c r="AX325" s="21">
        <f>IFERROR(IF(TRIM(INDEX($A325:$AL325,MATCH(Lists!$F$10,$A$1:$AL$1,0))&amp;"")="","",VALUE(TRIM(INDEX($A325:$AL325,MATCH(Lists!$F$10,$A$1:$AL$1,0))&amp;""))),"")</f>
        <v/>
      </c>
      <c r="AY325" s="21">
        <f>IF(IFERROR(TRIM(INDEX($A325:$AL325,MATCH(Lists!$F$2,$A$1:$AL$1,0))&amp;""),"")="","",IF(AN325="","New",AN325))</f>
        <v/>
      </c>
      <c r="AZ325" s="21">
        <f>IF(IFERROR(TRIM(INDEX($A325:$AL325,MATCH(Lists!$F$2,$A$1:$AL$1,0))&amp;""),"")="","",IF(OR(IFERROR(TRIM(INDEX($A325:$AL325,MATCH(Lists!$F$13,$A$1:$AL$1,0))&amp;""),"")="Paid",IFERROR(TRIM(INDEX($A325:$AL325,MATCH(Lists!$F$13,$A$1:$AL$1,0))&amp;""),"")="Partially refunded"),"Paid",IF(AP325="Yes","Paid (by hand)",IFERROR(TRIM(INDEX($A325:$AL325,MATCH(Lists!$F$13,$A$1:$AL$1,0))&amp;""),""))))</f>
        <v/>
      </c>
      <c r="BA325" s="21">
        <f>IF(AND(IFERROR(TRIM(INDEX($A325:$AL325,MATCH(Lists!$F$2,$A$1:$AL$1,0))&amp;""),"")&lt;&gt;"",AT325&gt;0,AU325&gt;=0,AV325&gt;AU325,AY325&lt;&gt;"Declined"),1,0)</f>
        <v/>
      </c>
      <c r="BB325" s="21">
        <f>IF(BA325=1,COUNTIFS($AS$2:$AS$501,AS325,$AT$2:$AT$501,AT325,$AU$2:$AU$501,"&lt;"&amp;AV325,$AV$2:$AV$501,"&gt;"&amp;AU325,$BA$2:$BA$501,1)-1,"")</f>
        <v/>
      </c>
      <c r="BC325" s="21">
        <f>IF(N(BB325)&gt;0,"Clashes with "&amp;INDEX($AW$2:$AW$501,SUMPRODUCT(MAX(($AS$2:$AS$501=AS325)*($AT$2:$AT$501=AT325)*($AU$2:$AU$501&lt;AV325)*($AV$2:$AV$501&gt;AU325)*($BA$2:$BA$501=1)*(ROW($AS$2:$AS$501)&lt;&gt;ROW())*ROW($AS$2:$AS$501)))-1)&amp;" ("&amp;INDEX($AY$2:$AY$501,SUMPRODUCT(MAX(($AS$2:$AS$501=AS325)*($AT$2:$AT$501=AT325)*($AU$2:$AU$501&lt;AV325)*($AV$2:$AV$501&gt;AU325)*($BA$2:$BA$501=1)*(ROW($AS$2:$AS$501)&lt;&gt;ROW())*ROW($AS$2:$AS$501)))-1)&amp;")"&amp;IF(BB325&gt;1," and "&amp;(BB325-1)&amp;" more",""),"")</f>
        <v/>
      </c>
      <c r="BD325" s="21">
        <f>IF(AND(BA325=1,AY325="Confirmed"),AT325*10000000+AU325*1000+ROW(),"")</f>
        <v/>
      </c>
      <c r="BE325" s="21">
        <f>IF(IFERROR(TRIM(INDEX($A325:$AL325,MATCH(Lists!$F$2,$A$1:$AL$1,0))&amp;""),"")="","",IFERROR(TRIM(INDEX($A325:$AL325,MATCH(Lists!$F$11,$A$1:$AL$1,0))&amp;""),""))</f>
        <v/>
      </c>
      <c r="BF325" s="21">
        <f>IF(IFERROR(TRIM(INDEX($A325:$AL325,MATCH(Lists!$F$2,$A$1:$AL$1,0))&amp;""),"")="","",IFERROR(TRIM(INDEX($A325:$AL325,MATCH(Lists!$F$12,$A$1:$AL$1,0))&amp;""),""))</f>
        <v/>
      </c>
    </row>
    <row r="326">
      <c r="AM326" s="19" t="n"/>
      <c r="AN326" s="23" t="n"/>
      <c r="AO326" s="23" t="n"/>
      <c r="AP326" s="23" t="n"/>
      <c r="AQ326" s="23" t="n"/>
      <c r="AR326" s="19" t="n"/>
      <c r="AS326" s="21">
        <f>IF(IFERROR(TRIM(INDEX($A326:$AL326,MATCH(Lists!$F$2,$A$1:$AL$1,0))&amp;""),"")="","",IF(AND(IFERROR(TRIM(INDEX($A326:$AL326,MATCH(Lists!$F$3,$A$1:$AL$1,0))&amp;""),"")="Other",IFERROR(TRIM(INDEX($A326:$AL326,MATCH(Lists!$F$4,$A$1:$AL$1,0))&amp;""),"")&lt;&gt;""),IFERROR(TRIM(INDEX($A326:$AL326,MATCH(Lists!$F$4,$A$1:$AL$1,0))&amp;""),""),IF(IFERROR(TRIM(INDEX($A326:$AL326,MATCH(Lists!$F$3,$A$1:$AL$1,0))&amp;""),"")="","(no space)",IFERROR(TRIM(INDEX($A326:$AL326,MATCH(Lists!$F$3,$A$1:$AL$1,0))&amp;""),""))))</f>
        <v/>
      </c>
      <c r="AT326" s="22">
        <f>IF(IFERROR(TRIM(INDEX($A326:$AL326,MATCH(Lists!$F$2,$A$1:$AL$1,0))&amp;""),"")="",0,N(IFERROR(IF(TRIM(INDEX($A326:$AL326,MATCH(Lists!$F$5,$A$1:$AL$1,0))&amp;"")="","",IF(ISNUMBER(INDEX($A326:$AL326,MATCH(Lists!$F$5,$A$1:$AL$1,0))),INT(INDEX($A326:$AL326,MATCH(Lists!$F$5,$A$1:$AL$1,0))),DATE(VALUE(LEFT(INDEX($A326:$AL326,MATCH(Lists!$F$5,$A$1:$AL$1,0)),4)),VALUE(MID(INDEX($A326:$AL326,MATCH(Lists!$F$5,$A$1:$AL$1,0)),6,2)),VALUE(MID(INDEX($A326:$AL326,MATCH(Lists!$F$5,$A$1:$AL$1,0)),9,2))))),"")))</f>
        <v/>
      </c>
      <c r="AU326" s="21">
        <f>IF(IFERROR(TRIM(INDEX($A326:$AL326,MATCH(Lists!$F$2,$A$1:$AL$1,0))&amp;""),"")="",-1,IF(ISNUMBER(IFERROR(IF(TRIM(INDEX($A326:$AL326,MATCH(Lists!$F$6,$A$1:$AL$1,0))&amp;"")="","",IF(ISNUMBER(INDEX($A326:$AL326,MATCH(Lists!$F$6,$A$1:$AL$1,0))),ROUND(MOD(INDEX($A326:$AL326,MATCH(Lists!$F$6,$A$1:$AL$1,0)),1)*1440,0),VALUE(LEFT(INDEX($A326:$AL326,MATCH(Lists!$F$6,$A$1:$AL$1,0)),2))*60+VALUE(MID(INDEX($A326:$AL326,MATCH(Lists!$F$6,$A$1:$AL$1,0)),4,2)))),"")),IFERROR(IF(TRIM(INDEX($A326:$AL326,MATCH(Lists!$F$6,$A$1:$AL$1,0))&amp;"")="","",IF(ISNUMBER(INDEX($A326:$AL326,MATCH(Lists!$F$6,$A$1:$AL$1,0))),ROUND(MOD(INDEX($A326:$AL326,MATCH(Lists!$F$6,$A$1:$AL$1,0)),1)*1440,0),VALUE(LEFT(INDEX($A326:$AL326,MATCH(Lists!$F$6,$A$1:$AL$1,0)),2))*60+VALUE(MID(INDEX($A326:$AL326,MATCH(Lists!$F$6,$A$1:$AL$1,0)),4,2)))),""),-1))</f>
        <v/>
      </c>
      <c r="AV326" s="21">
        <f>IF(IFERROR(TRIM(INDEX($A326:$AL326,MATCH(Lists!$F$2,$A$1:$AL$1,0))&amp;""),"")="",-1,IF(ISNUMBER(IFERROR(IF(TRIM(INDEX($A326:$AL326,MATCH(Lists!$F$7,$A$1:$AL$1,0))&amp;"")="","",IF(ISNUMBER(INDEX($A326:$AL326,MATCH(Lists!$F$7,$A$1:$AL$1,0))),ROUND(MOD(INDEX($A326:$AL326,MATCH(Lists!$F$7,$A$1:$AL$1,0)),1)*1440,0),VALUE(LEFT(INDEX($A326:$AL326,MATCH(Lists!$F$7,$A$1:$AL$1,0)),2))*60+VALUE(MID(INDEX($A326:$AL326,MATCH(Lists!$F$7,$A$1:$AL$1,0)),4,2)))),"")),IFERROR(IF(TRIM(INDEX($A326:$AL326,MATCH(Lists!$F$7,$A$1:$AL$1,0))&amp;"")="","",IF(ISNUMBER(INDEX($A326:$AL326,MATCH(Lists!$F$7,$A$1:$AL$1,0))),ROUND(MOD(INDEX($A326:$AL326,MATCH(Lists!$F$7,$A$1:$AL$1,0)),1)*1440,0),VALUE(LEFT(INDEX($A326:$AL326,MATCH(Lists!$F$7,$A$1:$AL$1,0)),2))*60+VALUE(MID(INDEX($A326:$AL326,MATCH(Lists!$F$7,$A$1:$AL$1,0)),4,2)))),""),-1))</f>
        <v/>
      </c>
      <c r="AW326" s="21">
        <f>IF(IFERROR(TRIM(INDEX($A326:$AL326,MATCH(Lists!$F$2,$A$1:$AL$1,0))&amp;""),"")="","",IF(IFERROR(TRIM(INDEX($A326:$AL326,MATCH(Lists!$F$8,$A$1:$AL$1,0))&amp;""),"")&lt;&gt;"",IFERROR(TRIM(INDEX($A326:$AL326,MATCH(Lists!$F$8,$A$1:$AL$1,0))&amp;""),""),IFERROR(TRIM(INDEX($A326:$AL326,MATCH(Lists!$F$9,$A$1:$AL$1,0))&amp;""),"")))</f>
        <v/>
      </c>
      <c r="AX326" s="21">
        <f>IFERROR(IF(TRIM(INDEX($A326:$AL326,MATCH(Lists!$F$10,$A$1:$AL$1,0))&amp;"")="","",VALUE(TRIM(INDEX($A326:$AL326,MATCH(Lists!$F$10,$A$1:$AL$1,0))&amp;""))),"")</f>
        <v/>
      </c>
      <c r="AY326" s="21">
        <f>IF(IFERROR(TRIM(INDEX($A326:$AL326,MATCH(Lists!$F$2,$A$1:$AL$1,0))&amp;""),"")="","",IF(AN326="","New",AN326))</f>
        <v/>
      </c>
      <c r="AZ326" s="21">
        <f>IF(IFERROR(TRIM(INDEX($A326:$AL326,MATCH(Lists!$F$2,$A$1:$AL$1,0))&amp;""),"")="","",IF(OR(IFERROR(TRIM(INDEX($A326:$AL326,MATCH(Lists!$F$13,$A$1:$AL$1,0))&amp;""),"")="Paid",IFERROR(TRIM(INDEX($A326:$AL326,MATCH(Lists!$F$13,$A$1:$AL$1,0))&amp;""),"")="Partially refunded"),"Paid",IF(AP326="Yes","Paid (by hand)",IFERROR(TRIM(INDEX($A326:$AL326,MATCH(Lists!$F$13,$A$1:$AL$1,0))&amp;""),""))))</f>
        <v/>
      </c>
      <c r="BA326" s="21">
        <f>IF(AND(IFERROR(TRIM(INDEX($A326:$AL326,MATCH(Lists!$F$2,$A$1:$AL$1,0))&amp;""),"")&lt;&gt;"",AT326&gt;0,AU326&gt;=0,AV326&gt;AU326,AY326&lt;&gt;"Declined"),1,0)</f>
        <v/>
      </c>
      <c r="BB326" s="21">
        <f>IF(BA326=1,COUNTIFS($AS$2:$AS$501,AS326,$AT$2:$AT$501,AT326,$AU$2:$AU$501,"&lt;"&amp;AV326,$AV$2:$AV$501,"&gt;"&amp;AU326,$BA$2:$BA$501,1)-1,"")</f>
        <v/>
      </c>
      <c r="BC326" s="21">
        <f>IF(N(BB326)&gt;0,"Clashes with "&amp;INDEX($AW$2:$AW$501,SUMPRODUCT(MAX(($AS$2:$AS$501=AS326)*($AT$2:$AT$501=AT326)*($AU$2:$AU$501&lt;AV326)*($AV$2:$AV$501&gt;AU326)*($BA$2:$BA$501=1)*(ROW($AS$2:$AS$501)&lt;&gt;ROW())*ROW($AS$2:$AS$501)))-1)&amp;" ("&amp;INDEX($AY$2:$AY$501,SUMPRODUCT(MAX(($AS$2:$AS$501=AS326)*($AT$2:$AT$501=AT326)*($AU$2:$AU$501&lt;AV326)*($AV$2:$AV$501&gt;AU326)*($BA$2:$BA$501=1)*(ROW($AS$2:$AS$501)&lt;&gt;ROW())*ROW($AS$2:$AS$501)))-1)&amp;")"&amp;IF(BB326&gt;1," and "&amp;(BB326-1)&amp;" more",""),"")</f>
        <v/>
      </c>
      <c r="BD326" s="21">
        <f>IF(AND(BA326=1,AY326="Confirmed"),AT326*10000000+AU326*1000+ROW(),"")</f>
        <v/>
      </c>
      <c r="BE326" s="21">
        <f>IF(IFERROR(TRIM(INDEX($A326:$AL326,MATCH(Lists!$F$2,$A$1:$AL$1,0))&amp;""),"")="","",IFERROR(TRIM(INDEX($A326:$AL326,MATCH(Lists!$F$11,$A$1:$AL$1,0))&amp;""),""))</f>
        <v/>
      </c>
      <c r="BF326" s="21">
        <f>IF(IFERROR(TRIM(INDEX($A326:$AL326,MATCH(Lists!$F$2,$A$1:$AL$1,0))&amp;""),"")="","",IFERROR(TRIM(INDEX($A326:$AL326,MATCH(Lists!$F$12,$A$1:$AL$1,0))&amp;""),""))</f>
        <v/>
      </c>
    </row>
    <row r="327">
      <c r="AM327" s="19" t="n"/>
      <c r="AN327" s="23" t="n"/>
      <c r="AO327" s="23" t="n"/>
      <c r="AP327" s="23" t="n"/>
      <c r="AQ327" s="23" t="n"/>
      <c r="AR327" s="19" t="n"/>
      <c r="AS327" s="21">
        <f>IF(IFERROR(TRIM(INDEX($A327:$AL327,MATCH(Lists!$F$2,$A$1:$AL$1,0))&amp;""),"")="","",IF(AND(IFERROR(TRIM(INDEX($A327:$AL327,MATCH(Lists!$F$3,$A$1:$AL$1,0))&amp;""),"")="Other",IFERROR(TRIM(INDEX($A327:$AL327,MATCH(Lists!$F$4,$A$1:$AL$1,0))&amp;""),"")&lt;&gt;""),IFERROR(TRIM(INDEX($A327:$AL327,MATCH(Lists!$F$4,$A$1:$AL$1,0))&amp;""),""),IF(IFERROR(TRIM(INDEX($A327:$AL327,MATCH(Lists!$F$3,$A$1:$AL$1,0))&amp;""),"")="","(no space)",IFERROR(TRIM(INDEX($A327:$AL327,MATCH(Lists!$F$3,$A$1:$AL$1,0))&amp;""),""))))</f>
        <v/>
      </c>
      <c r="AT327" s="22">
        <f>IF(IFERROR(TRIM(INDEX($A327:$AL327,MATCH(Lists!$F$2,$A$1:$AL$1,0))&amp;""),"")="",0,N(IFERROR(IF(TRIM(INDEX($A327:$AL327,MATCH(Lists!$F$5,$A$1:$AL$1,0))&amp;"")="","",IF(ISNUMBER(INDEX($A327:$AL327,MATCH(Lists!$F$5,$A$1:$AL$1,0))),INT(INDEX($A327:$AL327,MATCH(Lists!$F$5,$A$1:$AL$1,0))),DATE(VALUE(LEFT(INDEX($A327:$AL327,MATCH(Lists!$F$5,$A$1:$AL$1,0)),4)),VALUE(MID(INDEX($A327:$AL327,MATCH(Lists!$F$5,$A$1:$AL$1,0)),6,2)),VALUE(MID(INDEX($A327:$AL327,MATCH(Lists!$F$5,$A$1:$AL$1,0)),9,2))))),"")))</f>
        <v/>
      </c>
      <c r="AU327" s="21">
        <f>IF(IFERROR(TRIM(INDEX($A327:$AL327,MATCH(Lists!$F$2,$A$1:$AL$1,0))&amp;""),"")="",-1,IF(ISNUMBER(IFERROR(IF(TRIM(INDEX($A327:$AL327,MATCH(Lists!$F$6,$A$1:$AL$1,0))&amp;"")="","",IF(ISNUMBER(INDEX($A327:$AL327,MATCH(Lists!$F$6,$A$1:$AL$1,0))),ROUND(MOD(INDEX($A327:$AL327,MATCH(Lists!$F$6,$A$1:$AL$1,0)),1)*1440,0),VALUE(LEFT(INDEX($A327:$AL327,MATCH(Lists!$F$6,$A$1:$AL$1,0)),2))*60+VALUE(MID(INDEX($A327:$AL327,MATCH(Lists!$F$6,$A$1:$AL$1,0)),4,2)))),"")),IFERROR(IF(TRIM(INDEX($A327:$AL327,MATCH(Lists!$F$6,$A$1:$AL$1,0))&amp;"")="","",IF(ISNUMBER(INDEX($A327:$AL327,MATCH(Lists!$F$6,$A$1:$AL$1,0))),ROUND(MOD(INDEX($A327:$AL327,MATCH(Lists!$F$6,$A$1:$AL$1,0)),1)*1440,0),VALUE(LEFT(INDEX($A327:$AL327,MATCH(Lists!$F$6,$A$1:$AL$1,0)),2))*60+VALUE(MID(INDEX($A327:$AL327,MATCH(Lists!$F$6,$A$1:$AL$1,0)),4,2)))),""),-1))</f>
        <v/>
      </c>
      <c r="AV327" s="21">
        <f>IF(IFERROR(TRIM(INDEX($A327:$AL327,MATCH(Lists!$F$2,$A$1:$AL$1,0))&amp;""),"")="",-1,IF(ISNUMBER(IFERROR(IF(TRIM(INDEX($A327:$AL327,MATCH(Lists!$F$7,$A$1:$AL$1,0))&amp;"")="","",IF(ISNUMBER(INDEX($A327:$AL327,MATCH(Lists!$F$7,$A$1:$AL$1,0))),ROUND(MOD(INDEX($A327:$AL327,MATCH(Lists!$F$7,$A$1:$AL$1,0)),1)*1440,0),VALUE(LEFT(INDEX($A327:$AL327,MATCH(Lists!$F$7,$A$1:$AL$1,0)),2))*60+VALUE(MID(INDEX($A327:$AL327,MATCH(Lists!$F$7,$A$1:$AL$1,0)),4,2)))),"")),IFERROR(IF(TRIM(INDEX($A327:$AL327,MATCH(Lists!$F$7,$A$1:$AL$1,0))&amp;"")="","",IF(ISNUMBER(INDEX($A327:$AL327,MATCH(Lists!$F$7,$A$1:$AL$1,0))),ROUND(MOD(INDEX($A327:$AL327,MATCH(Lists!$F$7,$A$1:$AL$1,0)),1)*1440,0),VALUE(LEFT(INDEX($A327:$AL327,MATCH(Lists!$F$7,$A$1:$AL$1,0)),2))*60+VALUE(MID(INDEX($A327:$AL327,MATCH(Lists!$F$7,$A$1:$AL$1,0)),4,2)))),""),-1))</f>
        <v/>
      </c>
      <c r="AW327" s="21">
        <f>IF(IFERROR(TRIM(INDEX($A327:$AL327,MATCH(Lists!$F$2,$A$1:$AL$1,0))&amp;""),"")="","",IF(IFERROR(TRIM(INDEX($A327:$AL327,MATCH(Lists!$F$8,$A$1:$AL$1,0))&amp;""),"")&lt;&gt;"",IFERROR(TRIM(INDEX($A327:$AL327,MATCH(Lists!$F$8,$A$1:$AL$1,0))&amp;""),""),IFERROR(TRIM(INDEX($A327:$AL327,MATCH(Lists!$F$9,$A$1:$AL$1,0))&amp;""),"")))</f>
        <v/>
      </c>
      <c r="AX327" s="21">
        <f>IFERROR(IF(TRIM(INDEX($A327:$AL327,MATCH(Lists!$F$10,$A$1:$AL$1,0))&amp;"")="","",VALUE(TRIM(INDEX($A327:$AL327,MATCH(Lists!$F$10,$A$1:$AL$1,0))&amp;""))),"")</f>
        <v/>
      </c>
      <c r="AY327" s="21">
        <f>IF(IFERROR(TRIM(INDEX($A327:$AL327,MATCH(Lists!$F$2,$A$1:$AL$1,0))&amp;""),"")="","",IF(AN327="","New",AN327))</f>
        <v/>
      </c>
      <c r="AZ327" s="21">
        <f>IF(IFERROR(TRIM(INDEX($A327:$AL327,MATCH(Lists!$F$2,$A$1:$AL$1,0))&amp;""),"")="","",IF(OR(IFERROR(TRIM(INDEX($A327:$AL327,MATCH(Lists!$F$13,$A$1:$AL$1,0))&amp;""),"")="Paid",IFERROR(TRIM(INDEX($A327:$AL327,MATCH(Lists!$F$13,$A$1:$AL$1,0))&amp;""),"")="Partially refunded"),"Paid",IF(AP327="Yes","Paid (by hand)",IFERROR(TRIM(INDEX($A327:$AL327,MATCH(Lists!$F$13,$A$1:$AL$1,0))&amp;""),""))))</f>
        <v/>
      </c>
      <c r="BA327" s="21">
        <f>IF(AND(IFERROR(TRIM(INDEX($A327:$AL327,MATCH(Lists!$F$2,$A$1:$AL$1,0))&amp;""),"")&lt;&gt;"",AT327&gt;0,AU327&gt;=0,AV327&gt;AU327,AY327&lt;&gt;"Declined"),1,0)</f>
        <v/>
      </c>
      <c r="BB327" s="21">
        <f>IF(BA327=1,COUNTIFS($AS$2:$AS$501,AS327,$AT$2:$AT$501,AT327,$AU$2:$AU$501,"&lt;"&amp;AV327,$AV$2:$AV$501,"&gt;"&amp;AU327,$BA$2:$BA$501,1)-1,"")</f>
        <v/>
      </c>
      <c r="BC327" s="21">
        <f>IF(N(BB327)&gt;0,"Clashes with "&amp;INDEX($AW$2:$AW$501,SUMPRODUCT(MAX(($AS$2:$AS$501=AS327)*($AT$2:$AT$501=AT327)*($AU$2:$AU$501&lt;AV327)*($AV$2:$AV$501&gt;AU327)*($BA$2:$BA$501=1)*(ROW($AS$2:$AS$501)&lt;&gt;ROW())*ROW($AS$2:$AS$501)))-1)&amp;" ("&amp;INDEX($AY$2:$AY$501,SUMPRODUCT(MAX(($AS$2:$AS$501=AS327)*($AT$2:$AT$501=AT327)*($AU$2:$AU$501&lt;AV327)*($AV$2:$AV$501&gt;AU327)*($BA$2:$BA$501=1)*(ROW($AS$2:$AS$501)&lt;&gt;ROW())*ROW($AS$2:$AS$501)))-1)&amp;")"&amp;IF(BB327&gt;1," and "&amp;(BB327-1)&amp;" more",""),"")</f>
        <v/>
      </c>
      <c r="BD327" s="21">
        <f>IF(AND(BA327=1,AY327="Confirmed"),AT327*10000000+AU327*1000+ROW(),"")</f>
        <v/>
      </c>
      <c r="BE327" s="21">
        <f>IF(IFERROR(TRIM(INDEX($A327:$AL327,MATCH(Lists!$F$2,$A$1:$AL$1,0))&amp;""),"")="","",IFERROR(TRIM(INDEX($A327:$AL327,MATCH(Lists!$F$11,$A$1:$AL$1,0))&amp;""),""))</f>
        <v/>
      </c>
      <c r="BF327" s="21">
        <f>IF(IFERROR(TRIM(INDEX($A327:$AL327,MATCH(Lists!$F$2,$A$1:$AL$1,0))&amp;""),"")="","",IFERROR(TRIM(INDEX($A327:$AL327,MATCH(Lists!$F$12,$A$1:$AL$1,0))&amp;""),""))</f>
        <v/>
      </c>
    </row>
    <row r="328">
      <c r="AM328" s="19" t="n"/>
      <c r="AN328" s="23" t="n"/>
      <c r="AO328" s="23" t="n"/>
      <c r="AP328" s="23" t="n"/>
      <c r="AQ328" s="23" t="n"/>
      <c r="AR328" s="19" t="n"/>
      <c r="AS328" s="21">
        <f>IF(IFERROR(TRIM(INDEX($A328:$AL328,MATCH(Lists!$F$2,$A$1:$AL$1,0))&amp;""),"")="","",IF(AND(IFERROR(TRIM(INDEX($A328:$AL328,MATCH(Lists!$F$3,$A$1:$AL$1,0))&amp;""),"")="Other",IFERROR(TRIM(INDEX($A328:$AL328,MATCH(Lists!$F$4,$A$1:$AL$1,0))&amp;""),"")&lt;&gt;""),IFERROR(TRIM(INDEX($A328:$AL328,MATCH(Lists!$F$4,$A$1:$AL$1,0))&amp;""),""),IF(IFERROR(TRIM(INDEX($A328:$AL328,MATCH(Lists!$F$3,$A$1:$AL$1,0))&amp;""),"")="","(no space)",IFERROR(TRIM(INDEX($A328:$AL328,MATCH(Lists!$F$3,$A$1:$AL$1,0))&amp;""),""))))</f>
        <v/>
      </c>
      <c r="AT328" s="22">
        <f>IF(IFERROR(TRIM(INDEX($A328:$AL328,MATCH(Lists!$F$2,$A$1:$AL$1,0))&amp;""),"")="",0,N(IFERROR(IF(TRIM(INDEX($A328:$AL328,MATCH(Lists!$F$5,$A$1:$AL$1,0))&amp;"")="","",IF(ISNUMBER(INDEX($A328:$AL328,MATCH(Lists!$F$5,$A$1:$AL$1,0))),INT(INDEX($A328:$AL328,MATCH(Lists!$F$5,$A$1:$AL$1,0))),DATE(VALUE(LEFT(INDEX($A328:$AL328,MATCH(Lists!$F$5,$A$1:$AL$1,0)),4)),VALUE(MID(INDEX($A328:$AL328,MATCH(Lists!$F$5,$A$1:$AL$1,0)),6,2)),VALUE(MID(INDEX($A328:$AL328,MATCH(Lists!$F$5,$A$1:$AL$1,0)),9,2))))),"")))</f>
        <v/>
      </c>
      <c r="AU328" s="21">
        <f>IF(IFERROR(TRIM(INDEX($A328:$AL328,MATCH(Lists!$F$2,$A$1:$AL$1,0))&amp;""),"")="",-1,IF(ISNUMBER(IFERROR(IF(TRIM(INDEX($A328:$AL328,MATCH(Lists!$F$6,$A$1:$AL$1,0))&amp;"")="","",IF(ISNUMBER(INDEX($A328:$AL328,MATCH(Lists!$F$6,$A$1:$AL$1,0))),ROUND(MOD(INDEX($A328:$AL328,MATCH(Lists!$F$6,$A$1:$AL$1,0)),1)*1440,0),VALUE(LEFT(INDEX($A328:$AL328,MATCH(Lists!$F$6,$A$1:$AL$1,0)),2))*60+VALUE(MID(INDEX($A328:$AL328,MATCH(Lists!$F$6,$A$1:$AL$1,0)),4,2)))),"")),IFERROR(IF(TRIM(INDEX($A328:$AL328,MATCH(Lists!$F$6,$A$1:$AL$1,0))&amp;"")="","",IF(ISNUMBER(INDEX($A328:$AL328,MATCH(Lists!$F$6,$A$1:$AL$1,0))),ROUND(MOD(INDEX($A328:$AL328,MATCH(Lists!$F$6,$A$1:$AL$1,0)),1)*1440,0),VALUE(LEFT(INDEX($A328:$AL328,MATCH(Lists!$F$6,$A$1:$AL$1,0)),2))*60+VALUE(MID(INDEX($A328:$AL328,MATCH(Lists!$F$6,$A$1:$AL$1,0)),4,2)))),""),-1))</f>
        <v/>
      </c>
      <c r="AV328" s="21">
        <f>IF(IFERROR(TRIM(INDEX($A328:$AL328,MATCH(Lists!$F$2,$A$1:$AL$1,0))&amp;""),"")="",-1,IF(ISNUMBER(IFERROR(IF(TRIM(INDEX($A328:$AL328,MATCH(Lists!$F$7,$A$1:$AL$1,0))&amp;"")="","",IF(ISNUMBER(INDEX($A328:$AL328,MATCH(Lists!$F$7,$A$1:$AL$1,0))),ROUND(MOD(INDEX($A328:$AL328,MATCH(Lists!$F$7,$A$1:$AL$1,0)),1)*1440,0),VALUE(LEFT(INDEX($A328:$AL328,MATCH(Lists!$F$7,$A$1:$AL$1,0)),2))*60+VALUE(MID(INDEX($A328:$AL328,MATCH(Lists!$F$7,$A$1:$AL$1,0)),4,2)))),"")),IFERROR(IF(TRIM(INDEX($A328:$AL328,MATCH(Lists!$F$7,$A$1:$AL$1,0))&amp;"")="","",IF(ISNUMBER(INDEX($A328:$AL328,MATCH(Lists!$F$7,$A$1:$AL$1,0))),ROUND(MOD(INDEX($A328:$AL328,MATCH(Lists!$F$7,$A$1:$AL$1,0)),1)*1440,0),VALUE(LEFT(INDEX($A328:$AL328,MATCH(Lists!$F$7,$A$1:$AL$1,0)),2))*60+VALUE(MID(INDEX($A328:$AL328,MATCH(Lists!$F$7,$A$1:$AL$1,0)),4,2)))),""),-1))</f>
        <v/>
      </c>
      <c r="AW328" s="21">
        <f>IF(IFERROR(TRIM(INDEX($A328:$AL328,MATCH(Lists!$F$2,$A$1:$AL$1,0))&amp;""),"")="","",IF(IFERROR(TRIM(INDEX($A328:$AL328,MATCH(Lists!$F$8,$A$1:$AL$1,0))&amp;""),"")&lt;&gt;"",IFERROR(TRIM(INDEX($A328:$AL328,MATCH(Lists!$F$8,$A$1:$AL$1,0))&amp;""),""),IFERROR(TRIM(INDEX($A328:$AL328,MATCH(Lists!$F$9,$A$1:$AL$1,0))&amp;""),"")))</f>
        <v/>
      </c>
      <c r="AX328" s="21">
        <f>IFERROR(IF(TRIM(INDEX($A328:$AL328,MATCH(Lists!$F$10,$A$1:$AL$1,0))&amp;"")="","",VALUE(TRIM(INDEX($A328:$AL328,MATCH(Lists!$F$10,$A$1:$AL$1,0))&amp;""))),"")</f>
        <v/>
      </c>
      <c r="AY328" s="21">
        <f>IF(IFERROR(TRIM(INDEX($A328:$AL328,MATCH(Lists!$F$2,$A$1:$AL$1,0))&amp;""),"")="","",IF(AN328="","New",AN328))</f>
        <v/>
      </c>
      <c r="AZ328" s="21">
        <f>IF(IFERROR(TRIM(INDEX($A328:$AL328,MATCH(Lists!$F$2,$A$1:$AL$1,0))&amp;""),"")="","",IF(OR(IFERROR(TRIM(INDEX($A328:$AL328,MATCH(Lists!$F$13,$A$1:$AL$1,0))&amp;""),"")="Paid",IFERROR(TRIM(INDEX($A328:$AL328,MATCH(Lists!$F$13,$A$1:$AL$1,0))&amp;""),"")="Partially refunded"),"Paid",IF(AP328="Yes","Paid (by hand)",IFERROR(TRIM(INDEX($A328:$AL328,MATCH(Lists!$F$13,$A$1:$AL$1,0))&amp;""),""))))</f>
        <v/>
      </c>
      <c r="BA328" s="21">
        <f>IF(AND(IFERROR(TRIM(INDEX($A328:$AL328,MATCH(Lists!$F$2,$A$1:$AL$1,0))&amp;""),"")&lt;&gt;"",AT328&gt;0,AU328&gt;=0,AV328&gt;AU328,AY328&lt;&gt;"Declined"),1,0)</f>
        <v/>
      </c>
      <c r="BB328" s="21">
        <f>IF(BA328=1,COUNTIFS($AS$2:$AS$501,AS328,$AT$2:$AT$501,AT328,$AU$2:$AU$501,"&lt;"&amp;AV328,$AV$2:$AV$501,"&gt;"&amp;AU328,$BA$2:$BA$501,1)-1,"")</f>
        <v/>
      </c>
      <c r="BC328" s="21">
        <f>IF(N(BB328)&gt;0,"Clashes with "&amp;INDEX($AW$2:$AW$501,SUMPRODUCT(MAX(($AS$2:$AS$501=AS328)*($AT$2:$AT$501=AT328)*($AU$2:$AU$501&lt;AV328)*($AV$2:$AV$501&gt;AU328)*($BA$2:$BA$501=1)*(ROW($AS$2:$AS$501)&lt;&gt;ROW())*ROW($AS$2:$AS$501)))-1)&amp;" ("&amp;INDEX($AY$2:$AY$501,SUMPRODUCT(MAX(($AS$2:$AS$501=AS328)*($AT$2:$AT$501=AT328)*($AU$2:$AU$501&lt;AV328)*($AV$2:$AV$501&gt;AU328)*($BA$2:$BA$501=1)*(ROW($AS$2:$AS$501)&lt;&gt;ROW())*ROW($AS$2:$AS$501)))-1)&amp;")"&amp;IF(BB328&gt;1," and "&amp;(BB328-1)&amp;" more",""),"")</f>
        <v/>
      </c>
      <c r="BD328" s="21">
        <f>IF(AND(BA328=1,AY328="Confirmed"),AT328*10000000+AU328*1000+ROW(),"")</f>
        <v/>
      </c>
      <c r="BE328" s="21">
        <f>IF(IFERROR(TRIM(INDEX($A328:$AL328,MATCH(Lists!$F$2,$A$1:$AL$1,0))&amp;""),"")="","",IFERROR(TRIM(INDEX($A328:$AL328,MATCH(Lists!$F$11,$A$1:$AL$1,0))&amp;""),""))</f>
        <v/>
      </c>
      <c r="BF328" s="21">
        <f>IF(IFERROR(TRIM(INDEX($A328:$AL328,MATCH(Lists!$F$2,$A$1:$AL$1,0))&amp;""),"")="","",IFERROR(TRIM(INDEX($A328:$AL328,MATCH(Lists!$F$12,$A$1:$AL$1,0))&amp;""),""))</f>
        <v/>
      </c>
    </row>
    <row r="329">
      <c r="AM329" s="19" t="n"/>
      <c r="AN329" s="23" t="n"/>
      <c r="AO329" s="23" t="n"/>
      <c r="AP329" s="23" t="n"/>
      <c r="AQ329" s="23" t="n"/>
      <c r="AR329" s="19" t="n"/>
      <c r="AS329" s="21">
        <f>IF(IFERROR(TRIM(INDEX($A329:$AL329,MATCH(Lists!$F$2,$A$1:$AL$1,0))&amp;""),"")="","",IF(AND(IFERROR(TRIM(INDEX($A329:$AL329,MATCH(Lists!$F$3,$A$1:$AL$1,0))&amp;""),"")="Other",IFERROR(TRIM(INDEX($A329:$AL329,MATCH(Lists!$F$4,$A$1:$AL$1,0))&amp;""),"")&lt;&gt;""),IFERROR(TRIM(INDEX($A329:$AL329,MATCH(Lists!$F$4,$A$1:$AL$1,0))&amp;""),""),IF(IFERROR(TRIM(INDEX($A329:$AL329,MATCH(Lists!$F$3,$A$1:$AL$1,0))&amp;""),"")="","(no space)",IFERROR(TRIM(INDEX($A329:$AL329,MATCH(Lists!$F$3,$A$1:$AL$1,0))&amp;""),""))))</f>
        <v/>
      </c>
      <c r="AT329" s="22">
        <f>IF(IFERROR(TRIM(INDEX($A329:$AL329,MATCH(Lists!$F$2,$A$1:$AL$1,0))&amp;""),"")="",0,N(IFERROR(IF(TRIM(INDEX($A329:$AL329,MATCH(Lists!$F$5,$A$1:$AL$1,0))&amp;"")="","",IF(ISNUMBER(INDEX($A329:$AL329,MATCH(Lists!$F$5,$A$1:$AL$1,0))),INT(INDEX($A329:$AL329,MATCH(Lists!$F$5,$A$1:$AL$1,0))),DATE(VALUE(LEFT(INDEX($A329:$AL329,MATCH(Lists!$F$5,$A$1:$AL$1,0)),4)),VALUE(MID(INDEX($A329:$AL329,MATCH(Lists!$F$5,$A$1:$AL$1,0)),6,2)),VALUE(MID(INDEX($A329:$AL329,MATCH(Lists!$F$5,$A$1:$AL$1,0)),9,2))))),"")))</f>
        <v/>
      </c>
      <c r="AU329" s="21">
        <f>IF(IFERROR(TRIM(INDEX($A329:$AL329,MATCH(Lists!$F$2,$A$1:$AL$1,0))&amp;""),"")="",-1,IF(ISNUMBER(IFERROR(IF(TRIM(INDEX($A329:$AL329,MATCH(Lists!$F$6,$A$1:$AL$1,0))&amp;"")="","",IF(ISNUMBER(INDEX($A329:$AL329,MATCH(Lists!$F$6,$A$1:$AL$1,0))),ROUND(MOD(INDEX($A329:$AL329,MATCH(Lists!$F$6,$A$1:$AL$1,0)),1)*1440,0),VALUE(LEFT(INDEX($A329:$AL329,MATCH(Lists!$F$6,$A$1:$AL$1,0)),2))*60+VALUE(MID(INDEX($A329:$AL329,MATCH(Lists!$F$6,$A$1:$AL$1,0)),4,2)))),"")),IFERROR(IF(TRIM(INDEX($A329:$AL329,MATCH(Lists!$F$6,$A$1:$AL$1,0))&amp;"")="","",IF(ISNUMBER(INDEX($A329:$AL329,MATCH(Lists!$F$6,$A$1:$AL$1,0))),ROUND(MOD(INDEX($A329:$AL329,MATCH(Lists!$F$6,$A$1:$AL$1,0)),1)*1440,0),VALUE(LEFT(INDEX($A329:$AL329,MATCH(Lists!$F$6,$A$1:$AL$1,0)),2))*60+VALUE(MID(INDEX($A329:$AL329,MATCH(Lists!$F$6,$A$1:$AL$1,0)),4,2)))),""),-1))</f>
        <v/>
      </c>
      <c r="AV329" s="21">
        <f>IF(IFERROR(TRIM(INDEX($A329:$AL329,MATCH(Lists!$F$2,$A$1:$AL$1,0))&amp;""),"")="",-1,IF(ISNUMBER(IFERROR(IF(TRIM(INDEX($A329:$AL329,MATCH(Lists!$F$7,$A$1:$AL$1,0))&amp;"")="","",IF(ISNUMBER(INDEX($A329:$AL329,MATCH(Lists!$F$7,$A$1:$AL$1,0))),ROUND(MOD(INDEX($A329:$AL329,MATCH(Lists!$F$7,$A$1:$AL$1,0)),1)*1440,0),VALUE(LEFT(INDEX($A329:$AL329,MATCH(Lists!$F$7,$A$1:$AL$1,0)),2))*60+VALUE(MID(INDEX($A329:$AL329,MATCH(Lists!$F$7,$A$1:$AL$1,0)),4,2)))),"")),IFERROR(IF(TRIM(INDEX($A329:$AL329,MATCH(Lists!$F$7,$A$1:$AL$1,0))&amp;"")="","",IF(ISNUMBER(INDEX($A329:$AL329,MATCH(Lists!$F$7,$A$1:$AL$1,0))),ROUND(MOD(INDEX($A329:$AL329,MATCH(Lists!$F$7,$A$1:$AL$1,0)),1)*1440,0),VALUE(LEFT(INDEX($A329:$AL329,MATCH(Lists!$F$7,$A$1:$AL$1,0)),2))*60+VALUE(MID(INDEX($A329:$AL329,MATCH(Lists!$F$7,$A$1:$AL$1,0)),4,2)))),""),-1))</f>
        <v/>
      </c>
      <c r="AW329" s="21">
        <f>IF(IFERROR(TRIM(INDEX($A329:$AL329,MATCH(Lists!$F$2,$A$1:$AL$1,0))&amp;""),"")="","",IF(IFERROR(TRIM(INDEX($A329:$AL329,MATCH(Lists!$F$8,$A$1:$AL$1,0))&amp;""),"")&lt;&gt;"",IFERROR(TRIM(INDEX($A329:$AL329,MATCH(Lists!$F$8,$A$1:$AL$1,0))&amp;""),""),IFERROR(TRIM(INDEX($A329:$AL329,MATCH(Lists!$F$9,$A$1:$AL$1,0))&amp;""),"")))</f>
        <v/>
      </c>
      <c r="AX329" s="21">
        <f>IFERROR(IF(TRIM(INDEX($A329:$AL329,MATCH(Lists!$F$10,$A$1:$AL$1,0))&amp;"")="","",VALUE(TRIM(INDEX($A329:$AL329,MATCH(Lists!$F$10,$A$1:$AL$1,0))&amp;""))),"")</f>
        <v/>
      </c>
      <c r="AY329" s="21">
        <f>IF(IFERROR(TRIM(INDEX($A329:$AL329,MATCH(Lists!$F$2,$A$1:$AL$1,0))&amp;""),"")="","",IF(AN329="","New",AN329))</f>
        <v/>
      </c>
      <c r="AZ329" s="21">
        <f>IF(IFERROR(TRIM(INDEX($A329:$AL329,MATCH(Lists!$F$2,$A$1:$AL$1,0))&amp;""),"")="","",IF(OR(IFERROR(TRIM(INDEX($A329:$AL329,MATCH(Lists!$F$13,$A$1:$AL$1,0))&amp;""),"")="Paid",IFERROR(TRIM(INDEX($A329:$AL329,MATCH(Lists!$F$13,$A$1:$AL$1,0))&amp;""),"")="Partially refunded"),"Paid",IF(AP329="Yes","Paid (by hand)",IFERROR(TRIM(INDEX($A329:$AL329,MATCH(Lists!$F$13,$A$1:$AL$1,0))&amp;""),""))))</f>
        <v/>
      </c>
      <c r="BA329" s="21">
        <f>IF(AND(IFERROR(TRIM(INDEX($A329:$AL329,MATCH(Lists!$F$2,$A$1:$AL$1,0))&amp;""),"")&lt;&gt;"",AT329&gt;0,AU329&gt;=0,AV329&gt;AU329,AY329&lt;&gt;"Declined"),1,0)</f>
        <v/>
      </c>
      <c r="BB329" s="21">
        <f>IF(BA329=1,COUNTIFS($AS$2:$AS$501,AS329,$AT$2:$AT$501,AT329,$AU$2:$AU$501,"&lt;"&amp;AV329,$AV$2:$AV$501,"&gt;"&amp;AU329,$BA$2:$BA$501,1)-1,"")</f>
        <v/>
      </c>
      <c r="BC329" s="21">
        <f>IF(N(BB329)&gt;0,"Clashes with "&amp;INDEX($AW$2:$AW$501,SUMPRODUCT(MAX(($AS$2:$AS$501=AS329)*($AT$2:$AT$501=AT329)*($AU$2:$AU$501&lt;AV329)*($AV$2:$AV$501&gt;AU329)*($BA$2:$BA$501=1)*(ROW($AS$2:$AS$501)&lt;&gt;ROW())*ROW($AS$2:$AS$501)))-1)&amp;" ("&amp;INDEX($AY$2:$AY$501,SUMPRODUCT(MAX(($AS$2:$AS$501=AS329)*($AT$2:$AT$501=AT329)*($AU$2:$AU$501&lt;AV329)*($AV$2:$AV$501&gt;AU329)*($BA$2:$BA$501=1)*(ROW($AS$2:$AS$501)&lt;&gt;ROW())*ROW($AS$2:$AS$501)))-1)&amp;")"&amp;IF(BB329&gt;1," and "&amp;(BB329-1)&amp;" more",""),"")</f>
        <v/>
      </c>
      <c r="BD329" s="21">
        <f>IF(AND(BA329=1,AY329="Confirmed"),AT329*10000000+AU329*1000+ROW(),"")</f>
        <v/>
      </c>
      <c r="BE329" s="21">
        <f>IF(IFERROR(TRIM(INDEX($A329:$AL329,MATCH(Lists!$F$2,$A$1:$AL$1,0))&amp;""),"")="","",IFERROR(TRIM(INDEX($A329:$AL329,MATCH(Lists!$F$11,$A$1:$AL$1,0))&amp;""),""))</f>
        <v/>
      </c>
      <c r="BF329" s="21">
        <f>IF(IFERROR(TRIM(INDEX($A329:$AL329,MATCH(Lists!$F$2,$A$1:$AL$1,0))&amp;""),"")="","",IFERROR(TRIM(INDEX($A329:$AL329,MATCH(Lists!$F$12,$A$1:$AL$1,0))&amp;""),""))</f>
        <v/>
      </c>
    </row>
    <row r="330">
      <c r="AM330" s="19" t="n"/>
      <c r="AN330" s="23" t="n"/>
      <c r="AO330" s="23" t="n"/>
      <c r="AP330" s="23" t="n"/>
      <c r="AQ330" s="23" t="n"/>
      <c r="AR330" s="19" t="n"/>
      <c r="AS330" s="21">
        <f>IF(IFERROR(TRIM(INDEX($A330:$AL330,MATCH(Lists!$F$2,$A$1:$AL$1,0))&amp;""),"")="","",IF(AND(IFERROR(TRIM(INDEX($A330:$AL330,MATCH(Lists!$F$3,$A$1:$AL$1,0))&amp;""),"")="Other",IFERROR(TRIM(INDEX($A330:$AL330,MATCH(Lists!$F$4,$A$1:$AL$1,0))&amp;""),"")&lt;&gt;""),IFERROR(TRIM(INDEX($A330:$AL330,MATCH(Lists!$F$4,$A$1:$AL$1,0))&amp;""),""),IF(IFERROR(TRIM(INDEX($A330:$AL330,MATCH(Lists!$F$3,$A$1:$AL$1,0))&amp;""),"")="","(no space)",IFERROR(TRIM(INDEX($A330:$AL330,MATCH(Lists!$F$3,$A$1:$AL$1,0))&amp;""),""))))</f>
        <v/>
      </c>
      <c r="AT330" s="22">
        <f>IF(IFERROR(TRIM(INDEX($A330:$AL330,MATCH(Lists!$F$2,$A$1:$AL$1,0))&amp;""),"")="",0,N(IFERROR(IF(TRIM(INDEX($A330:$AL330,MATCH(Lists!$F$5,$A$1:$AL$1,0))&amp;"")="","",IF(ISNUMBER(INDEX($A330:$AL330,MATCH(Lists!$F$5,$A$1:$AL$1,0))),INT(INDEX($A330:$AL330,MATCH(Lists!$F$5,$A$1:$AL$1,0))),DATE(VALUE(LEFT(INDEX($A330:$AL330,MATCH(Lists!$F$5,$A$1:$AL$1,0)),4)),VALUE(MID(INDEX($A330:$AL330,MATCH(Lists!$F$5,$A$1:$AL$1,0)),6,2)),VALUE(MID(INDEX($A330:$AL330,MATCH(Lists!$F$5,$A$1:$AL$1,0)),9,2))))),"")))</f>
        <v/>
      </c>
      <c r="AU330" s="21">
        <f>IF(IFERROR(TRIM(INDEX($A330:$AL330,MATCH(Lists!$F$2,$A$1:$AL$1,0))&amp;""),"")="",-1,IF(ISNUMBER(IFERROR(IF(TRIM(INDEX($A330:$AL330,MATCH(Lists!$F$6,$A$1:$AL$1,0))&amp;"")="","",IF(ISNUMBER(INDEX($A330:$AL330,MATCH(Lists!$F$6,$A$1:$AL$1,0))),ROUND(MOD(INDEX($A330:$AL330,MATCH(Lists!$F$6,$A$1:$AL$1,0)),1)*1440,0),VALUE(LEFT(INDEX($A330:$AL330,MATCH(Lists!$F$6,$A$1:$AL$1,0)),2))*60+VALUE(MID(INDEX($A330:$AL330,MATCH(Lists!$F$6,$A$1:$AL$1,0)),4,2)))),"")),IFERROR(IF(TRIM(INDEX($A330:$AL330,MATCH(Lists!$F$6,$A$1:$AL$1,0))&amp;"")="","",IF(ISNUMBER(INDEX($A330:$AL330,MATCH(Lists!$F$6,$A$1:$AL$1,0))),ROUND(MOD(INDEX($A330:$AL330,MATCH(Lists!$F$6,$A$1:$AL$1,0)),1)*1440,0),VALUE(LEFT(INDEX($A330:$AL330,MATCH(Lists!$F$6,$A$1:$AL$1,0)),2))*60+VALUE(MID(INDEX($A330:$AL330,MATCH(Lists!$F$6,$A$1:$AL$1,0)),4,2)))),""),-1))</f>
        <v/>
      </c>
      <c r="AV330" s="21">
        <f>IF(IFERROR(TRIM(INDEX($A330:$AL330,MATCH(Lists!$F$2,$A$1:$AL$1,0))&amp;""),"")="",-1,IF(ISNUMBER(IFERROR(IF(TRIM(INDEX($A330:$AL330,MATCH(Lists!$F$7,$A$1:$AL$1,0))&amp;"")="","",IF(ISNUMBER(INDEX($A330:$AL330,MATCH(Lists!$F$7,$A$1:$AL$1,0))),ROUND(MOD(INDEX($A330:$AL330,MATCH(Lists!$F$7,$A$1:$AL$1,0)),1)*1440,0),VALUE(LEFT(INDEX($A330:$AL330,MATCH(Lists!$F$7,$A$1:$AL$1,0)),2))*60+VALUE(MID(INDEX($A330:$AL330,MATCH(Lists!$F$7,$A$1:$AL$1,0)),4,2)))),"")),IFERROR(IF(TRIM(INDEX($A330:$AL330,MATCH(Lists!$F$7,$A$1:$AL$1,0))&amp;"")="","",IF(ISNUMBER(INDEX($A330:$AL330,MATCH(Lists!$F$7,$A$1:$AL$1,0))),ROUND(MOD(INDEX($A330:$AL330,MATCH(Lists!$F$7,$A$1:$AL$1,0)),1)*1440,0),VALUE(LEFT(INDEX($A330:$AL330,MATCH(Lists!$F$7,$A$1:$AL$1,0)),2))*60+VALUE(MID(INDEX($A330:$AL330,MATCH(Lists!$F$7,$A$1:$AL$1,0)),4,2)))),""),-1))</f>
        <v/>
      </c>
      <c r="AW330" s="21">
        <f>IF(IFERROR(TRIM(INDEX($A330:$AL330,MATCH(Lists!$F$2,$A$1:$AL$1,0))&amp;""),"")="","",IF(IFERROR(TRIM(INDEX($A330:$AL330,MATCH(Lists!$F$8,$A$1:$AL$1,0))&amp;""),"")&lt;&gt;"",IFERROR(TRIM(INDEX($A330:$AL330,MATCH(Lists!$F$8,$A$1:$AL$1,0))&amp;""),""),IFERROR(TRIM(INDEX($A330:$AL330,MATCH(Lists!$F$9,$A$1:$AL$1,0))&amp;""),"")))</f>
        <v/>
      </c>
      <c r="AX330" s="21">
        <f>IFERROR(IF(TRIM(INDEX($A330:$AL330,MATCH(Lists!$F$10,$A$1:$AL$1,0))&amp;"")="","",VALUE(TRIM(INDEX($A330:$AL330,MATCH(Lists!$F$10,$A$1:$AL$1,0))&amp;""))),"")</f>
        <v/>
      </c>
      <c r="AY330" s="21">
        <f>IF(IFERROR(TRIM(INDEX($A330:$AL330,MATCH(Lists!$F$2,$A$1:$AL$1,0))&amp;""),"")="","",IF(AN330="","New",AN330))</f>
        <v/>
      </c>
      <c r="AZ330" s="21">
        <f>IF(IFERROR(TRIM(INDEX($A330:$AL330,MATCH(Lists!$F$2,$A$1:$AL$1,0))&amp;""),"")="","",IF(OR(IFERROR(TRIM(INDEX($A330:$AL330,MATCH(Lists!$F$13,$A$1:$AL$1,0))&amp;""),"")="Paid",IFERROR(TRIM(INDEX($A330:$AL330,MATCH(Lists!$F$13,$A$1:$AL$1,0))&amp;""),"")="Partially refunded"),"Paid",IF(AP330="Yes","Paid (by hand)",IFERROR(TRIM(INDEX($A330:$AL330,MATCH(Lists!$F$13,$A$1:$AL$1,0))&amp;""),""))))</f>
        <v/>
      </c>
      <c r="BA330" s="21">
        <f>IF(AND(IFERROR(TRIM(INDEX($A330:$AL330,MATCH(Lists!$F$2,$A$1:$AL$1,0))&amp;""),"")&lt;&gt;"",AT330&gt;0,AU330&gt;=0,AV330&gt;AU330,AY330&lt;&gt;"Declined"),1,0)</f>
        <v/>
      </c>
      <c r="BB330" s="21">
        <f>IF(BA330=1,COUNTIFS($AS$2:$AS$501,AS330,$AT$2:$AT$501,AT330,$AU$2:$AU$501,"&lt;"&amp;AV330,$AV$2:$AV$501,"&gt;"&amp;AU330,$BA$2:$BA$501,1)-1,"")</f>
        <v/>
      </c>
      <c r="BC330" s="21">
        <f>IF(N(BB330)&gt;0,"Clashes with "&amp;INDEX($AW$2:$AW$501,SUMPRODUCT(MAX(($AS$2:$AS$501=AS330)*($AT$2:$AT$501=AT330)*($AU$2:$AU$501&lt;AV330)*($AV$2:$AV$501&gt;AU330)*($BA$2:$BA$501=1)*(ROW($AS$2:$AS$501)&lt;&gt;ROW())*ROW($AS$2:$AS$501)))-1)&amp;" ("&amp;INDEX($AY$2:$AY$501,SUMPRODUCT(MAX(($AS$2:$AS$501=AS330)*($AT$2:$AT$501=AT330)*($AU$2:$AU$501&lt;AV330)*($AV$2:$AV$501&gt;AU330)*($BA$2:$BA$501=1)*(ROW($AS$2:$AS$501)&lt;&gt;ROW())*ROW($AS$2:$AS$501)))-1)&amp;")"&amp;IF(BB330&gt;1," and "&amp;(BB330-1)&amp;" more",""),"")</f>
        <v/>
      </c>
      <c r="BD330" s="21">
        <f>IF(AND(BA330=1,AY330="Confirmed"),AT330*10000000+AU330*1000+ROW(),"")</f>
        <v/>
      </c>
      <c r="BE330" s="21">
        <f>IF(IFERROR(TRIM(INDEX($A330:$AL330,MATCH(Lists!$F$2,$A$1:$AL$1,0))&amp;""),"")="","",IFERROR(TRIM(INDEX($A330:$AL330,MATCH(Lists!$F$11,$A$1:$AL$1,0))&amp;""),""))</f>
        <v/>
      </c>
      <c r="BF330" s="21">
        <f>IF(IFERROR(TRIM(INDEX($A330:$AL330,MATCH(Lists!$F$2,$A$1:$AL$1,0))&amp;""),"")="","",IFERROR(TRIM(INDEX($A330:$AL330,MATCH(Lists!$F$12,$A$1:$AL$1,0))&amp;""),""))</f>
        <v/>
      </c>
    </row>
    <row r="331">
      <c r="AM331" s="19" t="n"/>
      <c r="AN331" s="23" t="n"/>
      <c r="AO331" s="23" t="n"/>
      <c r="AP331" s="23" t="n"/>
      <c r="AQ331" s="23" t="n"/>
      <c r="AR331" s="19" t="n"/>
      <c r="AS331" s="21">
        <f>IF(IFERROR(TRIM(INDEX($A331:$AL331,MATCH(Lists!$F$2,$A$1:$AL$1,0))&amp;""),"")="","",IF(AND(IFERROR(TRIM(INDEX($A331:$AL331,MATCH(Lists!$F$3,$A$1:$AL$1,0))&amp;""),"")="Other",IFERROR(TRIM(INDEX($A331:$AL331,MATCH(Lists!$F$4,$A$1:$AL$1,0))&amp;""),"")&lt;&gt;""),IFERROR(TRIM(INDEX($A331:$AL331,MATCH(Lists!$F$4,$A$1:$AL$1,0))&amp;""),""),IF(IFERROR(TRIM(INDEX($A331:$AL331,MATCH(Lists!$F$3,$A$1:$AL$1,0))&amp;""),"")="","(no space)",IFERROR(TRIM(INDEX($A331:$AL331,MATCH(Lists!$F$3,$A$1:$AL$1,0))&amp;""),""))))</f>
        <v/>
      </c>
      <c r="AT331" s="22">
        <f>IF(IFERROR(TRIM(INDEX($A331:$AL331,MATCH(Lists!$F$2,$A$1:$AL$1,0))&amp;""),"")="",0,N(IFERROR(IF(TRIM(INDEX($A331:$AL331,MATCH(Lists!$F$5,$A$1:$AL$1,0))&amp;"")="","",IF(ISNUMBER(INDEX($A331:$AL331,MATCH(Lists!$F$5,$A$1:$AL$1,0))),INT(INDEX($A331:$AL331,MATCH(Lists!$F$5,$A$1:$AL$1,0))),DATE(VALUE(LEFT(INDEX($A331:$AL331,MATCH(Lists!$F$5,$A$1:$AL$1,0)),4)),VALUE(MID(INDEX($A331:$AL331,MATCH(Lists!$F$5,$A$1:$AL$1,0)),6,2)),VALUE(MID(INDEX($A331:$AL331,MATCH(Lists!$F$5,$A$1:$AL$1,0)),9,2))))),"")))</f>
        <v/>
      </c>
      <c r="AU331" s="21">
        <f>IF(IFERROR(TRIM(INDEX($A331:$AL331,MATCH(Lists!$F$2,$A$1:$AL$1,0))&amp;""),"")="",-1,IF(ISNUMBER(IFERROR(IF(TRIM(INDEX($A331:$AL331,MATCH(Lists!$F$6,$A$1:$AL$1,0))&amp;"")="","",IF(ISNUMBER(INDEX($A331:$AL331,MATCH(Lists!$F$6,$A$1:$AL$1,0))),ROUND(MOD(INDEX($A331:$AL331,MATCH(Lists!$F$6,$A$1:$AL$1,0)),1)*1440,0),VALUE(LEFT(INDEX($A331:$AL331,MATCH(Lists!$F$6,$A$1:$AL$1,0)),2))*60+VALUE(MID(INDEX($A331:$AL331,MATCH(Lists!$F$6,$A$1:$AL$1,0)),4,2)))),"")),IFERROR(IF(TRIM(INDEX($A331:$AL331,MATCH(Lists!$F$6,$A$1:$AL$1,0))&amp;"")="","",IF(ISNUMBER(INDEX($A331:$AL331,MATCH(Lists!$F$6,$A$1:$AL$1,0))),ROUND(MOD(INDEX($A331:$AL331,MATCH(Lists!$F$6,$A$1:$AL$1,0)),1)*1440,0),VALUE(LEFT(INDEX($A331:$AL331,MATCH(Lists!$F$6,$A$1:$AL$1,0)),2))*60+VALUE(MID(INDEX($A331:$AL331,MATCH(Lists!$F$6,$A$1:$AL$1,0)),4,2)))),""),-1))</f>
        <v/>
      </c>
      <c r="AV331" s="21">
        <f>IF(IFERROR(TRIM(INDEX($A331:$AL331,MATCH(Lists!$F$2,$A$1:$AL$1,0))&amp;""),"")="",-1,IF(ISNUMBER(IFERROR(IF(TRIM(INDEX($A331:$AL331,MATCH(Lists!$F$7,$A$1:$AL$1,0))&amp;"")="","",IF(ISNUMBER(INDEX($A331:$AL331,MATCH(Lists!$F$7,$A$1:$AL$1,0))),ROUND(MOD(INDEX($A331:$AL331,MATCH(Lists!$F$7,$A$1:$AL$1,0)),1)*1440,0),VALUE(LEFT(INDEX($A331:$AL331,MATCH(Lists!$F$7,$A$1:$AL$1,0)),2))*60+VALUE(MID(INDEX($A331:$AL331,MATCH(Lists!$F$7,$A$1:$AL$1,0)),4,2)))),"")),IFERROR(IF(TRIM(INDEX($A331:$AL331,MATCH(Lists!$F$7,$A$1:$AL$1,0))&amp;"")="","",IF(ISNUMBER(INDEX($A331:$AL331,MATCH(Lists!$F$7,$A$1:$AL$1,0))),ROUND(MOD(INDEX($A331:$AL331,MATCH(Lists!$F$7,$A$1:$AL$1,0)),1)*1440,0),VALUE(LEFT(INDEX($A331:$AL331,MATCH(Lists!$F$7,$A$1:$AL$1,0)),2))*60+VALUE(MID(INDEX($A331:$AL331,MATCH(Lists!$F$7,$A$1:$AL$1,0)),4,2)))),""),-1))</f>
        <v/>
      </c>
      <c r="AW331" s="21">
        <f>IF(IFERROR(TRIM(INDEX($A331:$AL331,MATCH(Lists!$F$2,$A$1:$AL$1,0))&amp;""),"")="","",IF(IFERROR(TRIM(INDEX($A331:$AL331,MATCH(Lists!$F$8,$A$1:$AL$1,0))&amp;""),"")&lt;&gt;"",IFERROR(TRIM(INDEX($A331:$AL331,MATCH(Lists!$F$8,$A$1:$AL$1,0))&amp;""),""),IFERROR(TRIM(INDEX($A331:$AL331,MATCH(Lists!$F$9,$A$1:$AL$1,0))&amp;""),"")))</f>
        <v/>
      </c>
      <c r="AX331" s="21">
        <f>IFERROR(IF(TRIM(INDEX($A331:$AL331,MATCH(Lists!$F$10,$A$1:$AL$1,0))&amp;"")="","",VALUE(TRIM(INDEX($A331:$AL331,MATCH(Lists!$F$10,$A$1:$AL$1,0))&amp;""))),"")</f>
        <v/>
      </c>
      <c r="AY331" s="21">
        <f>IF(IFERROR(TRIM(INDEX($A331:$AL331,MATCH(Lists!$F$2,$A$1:$AL$1,0))&amp;""),"")="","",IF(AN331="","New",AN331))</f>
        <v/>
      </c>
      <c r="AZ331" s="21">
        <f>IF(IFERROR(TRIM(INDEX($A331:$AL331,MATCH(Lists!$F$2,$A$1:$AL$1,0))&amp;""),"")="","",IF(OR(IFERROR(TRIM(INDEX($A331:$AL331,MATCH(Lists!$F$13,$A$1:$AL$1,0))&amp;""),"")="Paid",IFERROR(TRIM(INDEX($A331:$AL331,MATCH(Lists!$F$13,$A$1:$AL$1,0))&amp;""),"")="Partially refunded"),"Paid",IF(AP331="Yes","Paid (by hand)",IFERROR(TRIM(INDEX($A331:$AL331,MATCH(Lists!$F$13,$A$1:$AL$1,0))&amp;""),""))))</f>
        <v/>
      </c>
      <c r="BA331" s="21">
        <f>IF(AND(IFERROR(TRIM(INDEX($A331:$AL331,MATCH(Lists!$F$2,$A$1:$AL$1,0))&amp;""),"")&lt;&gt;"",AT331&gt;0,AU331&gt;=0,AV331&gt;AU331,AY331&lt;&gt;"Declined"),1,0)</f>
        <v/>
      </c>
      <c r="BB331" s="21">
        <f>IF(BA331=1,COUNTIFS($AS$2:$AS$501,AS331,$AT$2:$AT$501,AT331,$AU$2:$AU$501,"&lt;"&amp;AV331,$AV$2:$AV$501,"&gt;"&amp;AU331,$BA$2:$BA$501,1)-1,"")</f>
        <v/>
      </c>
      <c r="BC331" s="21">
        <f>IF(N(BB331)&gt;0,"Clashes with "&amp;INDEX($AW$2:$AW$501,SUMPRODUCT(MAX(($AS$2:$AS$501=AS331)*($AT$2:$AT$501=AT331)*($AU$2:$AU$501&lt;AV331)*($AV$2:$AV$501&gt;AU331)*($BA$2:$BA$501=1)*(ROW($AS$2:$AS$501)&lt;&gt;ROW())*ROW($AS$2:$AS$501)))-1)&amp;" ("&amp;INDEX($AY$2:$AY$501,SUMPRODUCT(MAX(($AS$2:$AS$501=AS331)*($AT$2:$AT$501=AT331)*($AU$2:$AU$501&lt;AV331)*($AV$2:$AV$501&gt;AU331)*($BA$2:$BA$501=1)*(ROW($AS$2:$AS$501)&lt;&gt;ROW())*ROW($AS$2:$AS$501)))-1)&amp;")"&amp;IF(BB331&gt;1," and "&amp;(BB331-1)&amp;" more",""),"")</f>
        <v/>
      </c>
      <c r="BD331" s="21">
        <f>IF(AND(BA331=1,AY331="Confirmed"),AT331*10000000+AU331*1000+ROW(),"")</f>
        <v/>
      </c>
      <c r="BE331" s="21">
        <f>IF(IFERROR(TRIM(INDEX($A331:$AL331,MATCH(Lists!$F$2,$A$1:$AL$1,0))&amp;""),"")="","",IFERROR(TRIM(INDEX($A331:$AL331,MATCH(Lists!$F$11,$A$1:$AL$1,0))&amp;""),""))</f>
        <v/>
      </c>
      <c r="BF331" s="21">
        <f>IF(IFERROR(TRIM(INDEX($A331:$AL331,MATCH(Lists!$F$2,$A$1:$AL$1,0))&amp;""),"")="","",IFERROR(TRIM(INDEX($A331:$AL331,MATCH(Lists!$F$12,$A$1:$AL$1,0))&amp;""),""))</f>
        <v/>
      </c>
    </row>
    <row r="332">
      <c r="AM332" s="19" t="n"/>
      <c r="AN332" s="23" t="n"/>
      <c r="AO332" s="23" t="n"/>
      <c r="AP332" s="23" t="n"/>
      <c r="AQ332" s="23" t="n"/>
      <c r="AR332" s="19" t="n"/>
      <c r="AS332" s="21">
        <f>IF(IFERROR(TRIM(INDEX($A332:$AL332,MATCH(Lists!$F$2,$A$1:$AL$1,0))&amp;""),"")="","",IF(AND(IFERROR(TRIM(INDEX($A332:$AL332,MATCH(Lists!$F$3,$A$1:$AL$1,0))&amp;""),"")="Other",IFERROR(TRIM(INDEX($A332:$AL332,MATCH(Lists!$F$4,$A$1:$AL$1,0))&amp;""),"")&lt;&gt;""),IFERROR(TRIM(INDEX($A332:$AL332,MATCH(Lists!$F$4,$A$1:$AL$1,0))&amp;""),""),IF(IFERROR(TRIM(INDEX($A332:$AL332,MATCH(Lists!$F$3,$A$1:$AL$1,0))&amp;""),"")="","(no space)",IFERROR(TRIM(INDEX($A332:$AL332,MATCH(Lists!$F$3,$A$1:$AL$1,0))&amp;""),""))))</f>
        <v/>
      </c>
      <c r="AT332" s="22">
        <f>IF(IFERROR(TRIM(INDEX($A332:$AL332,MATCH(Lists!$F$2,$A$1:$AL$1,0))&amp;""),"")="",0,N(IFERROR(IF(TRIM(INDEX($A332:$AL332,MATCH(Lists!$F$5,$A$1:$AL$1,0))&amp;"")="","",IF(ISNUMBER(INDEX($A332:$AL332,MATCH(Lists!$F$5,$A$1:$AL$1,0))),INT(INDEX($A332:$AL332,MATCH(Lists!$F$5,$A$1:$AL$1,0))),DATE(VALUE(LEFT(INDEX($A332:$AL332,MATCH(Lists!$F$5,$A$1:$AL$1,0)),4)),VALUE(MID(INDEX($A332:$AL332,MATCH(Lists!$F$5,$A$1:$AL$1,0)),6,2)),VALUE(MID(INDEX($A332:$AL332,MATCH(Lists!$F$5,$A$1:$AL$1,0)),9,2))))),"")))</f>
        <v/>
      </c>
      <c r="AU332" s="21">
        <f>IF(IFERROR(TRIM(INDEX($A332:$AL332,MATCH(Lists!$F$2,$A$1:$AL$1,0))&amp;""),"")="",-1,IF(ISNUMBER(IFERROR(IF(TRIM(INDEX($A332:$AL332,MATCH(Lists!$F$6,$A$1:$AL$1,0))&amp;"")="","",IF(ISNUMBER(INDEX($A332:$AL332,MATCH(Lists!$F$6,$A$1:$AL$1,0))),ROUND(MOD(INDEX($A332:$AL332,MATCH(Lists!$F$6,$A$1:$AL$1,0)),1)*1440,0),VALUE(LEFT(INDEX($A332:$AL332,MATCH(Lists!$F$6,$A$1:$AL$1,0)),2))*60+VALUE(MID(INDEX($A332:$AL332,MATCH(Lists!$F$6,$A$1:$AL$1,0)),4,2)))),"")),IFERROR(IF(TRIM(INDEX($A332:$AL332,MATCH(Lists!$F$6,$A$1:$AL$1,0))&amp;"")="","",IF(ISNUMBER(INDEX($A332:$AL332,MATCH(Lists!$F$6,$A$1:$AL$1,0))),ROUND(MOD(INDEX($A332:$AL332,MATCH(Lists!$F$6,$A$1:$AL$1,0)),1)*1440,0),VALUE(LEFT(INDEX($A332:$AL332,MATCH(Lists!$F$6,$A$1:$AL$1,0)),2))*60+VALUE(MID(INDEX($A332:$AL332,MATCH(Lists!$F$6,$A$1:$AL$1,0)),4,2)))),""),-1))</f>
        <v/>
      </c>
      <c r="AV332" s="21">
        <f>IF(IFERROR(TRIM(INDEX($A332:$AL332,MATCH(Lists!$F$2,$A$1:$AL$1,0))&amp;""),"")="",-1,IF(ISNUMBER(IFERROR(IF(TRIM(INDEX($A332:$AL332,MATCH(Lists!$F$7,$A$1:$AL$1,0))&amp;"")="","",IF(ISNUMBER(INDEX($A332:$AL332,MATCH(Lists!$F$7,$A$1:$AL$1,0))),ROUND(MOD(INDEX($A332:$AL332,MATCH(Lists!$F$7,$A$1:$AL$1,0)),1)*1440,0),VALUE(LEFT(INDEX($A332:$AL332,MATCH(Lists!$F$7,$A$1:$AL$1,0)),2))*60+VALUE(MID(INDEX($A332:$AL332,MATCH(Lists!$F$7,$A$1:$AL$1,0)),4,2)))),"")),IFERROR(IF(TRIM(INDEX($A332:$AL332,MATCH(Lists!$F$7,$A$1:$AL$1,0))&amp;"")="","",IF(ISNUMBER(INDEX($A332:$AL332,MATCH(Lists!$F$7,$A$1:$AL$1,0))),ROUND(MOD(INDEX($A332:$AL332,MATCH(Lists!$F$7,$A$1:$AL$1,0)),1)*1440,0),VALUE(LEFT(INDEX($A332:$AL332,MATCH(Lists!$F$7,$A$1:$AL$1,0)),2))*60+VALUE(MID(INDEX($A332:$AL332,MATCH(Lists!$F$7,$A$1:$AL$1,0)),4,2)))),""),-1))</f>
        <v/>
      </c>
      <c r="AW332" s="21">
        <f>IF(IFERROR(TRIM(INDEX($A332:$AL332,MATCH(Lists!$F$2,$A$1:$AL$1,0))&amp;""),"")="","",IF(IFERROR(TRIM(INDEX($A332:$AL332,MATCH(Lists!$F$8,$A$1:$AL$1,0))&amp;""),"")&lt;&gt;"",IFERROR(TRIM(INDEX($A332:$AL332,MATCH(Lists!$F$8,$A$1:$AL$1,0))&amp;""),""),IFERROR(TRIM(INDEX($A332:$AL332,MATCH(Lists!$F$9,$A$1:$AL$1,0))&amp;""),"")))</f>
        <v/>
      </c>
      <c r="AX332" s="21">
        <f>IFERROR(IF(TRIM(INDEX($A332:$AL332,MATCH(Lists!$F$10,$A$1:$AL$1,0))&amp;"")="","",VALUE(TRIM(INDEX($A332:$AL332,MATCH(Lists!$F$10,$A$1:$AL$1,0))&amp;""))),"")</f>
        <v/>
      </c>
      <c r="AY332" s="21">
        <f>IF(IFERROR(TRIM(INDEX($A332:$AL332,MATCH(Lists!$F$2,$A$1:$AL$1,0))&amp;""),"")="","",IF(AN332="","New",AN332))</f>
        <v/>
      </c>
      <c r="AZ332" s="21">
        <f>IF(IFERROR(TRIM(INDEX($A332:$AL332,MATCH(Lists!$F$2,$A$1:$AL$1,0))&amp;""),"")="","",IF(OR(IFERROR(TRIM(INDEX($A332:$AL332,MATCH(Lists!$F$13,$A$1:$AL$1,0))&amp;""),"")="Paid",IFERROR(TRIM(INDEX($A332:$AL332,MATCH(Lists!$F$13,$A$1:$AL$1,0))&amp;""),"")="Partially refunded"),"Paid",IF(AP332="Yes","Paid (by hand)",IFERROR(TRIM(INDEX($A332:$AL332,MATCH(Lists!$F$13,$A$1:$AL$1,0))&amp;""),""))))</f>
        <v/>
      </c>
      <c r="BA332" s="21">
        <f>IF(AND(IFERROR(TRIM(INDEX($A332:$AL332,MATCH(Lists!$F$2,$A$1:$AL$1,0))&amp;""),"")&lt;&gt;"",AT332&gt;0,AU332&gt;=0,AV332&gt;AU332,AY332&lt;&gt;"Declined"),1,0)</f>
        <v/>
      </c>
      <c r="BB332" s="21">
        <f>IF(BA332=1,COUNTIFS($AS$2:$AS$501,AS332,$AT$2:$AT$501,AT332,$AU$2:$AU$501,"&lt;"&amp;AV332,$AV$2:$AV$501,"&gt;"&amp;AU332,$BA$2:$BA$501,1)-1,"")</f>
        <v/>
      </c>
      <c r="BC332" s="21">
        <f>IF(N(BB332)&gt;0,"Clashes with "&amp;INDEX($AW$2:$AW$501,SUMPRODUCT(MAX(($AS$2:$AS$501=AS332)*($AT$2:$AT$501=AT332)*($AU$2:$AU$501&lt;AV332)*($AV$2:$AV$501&gt;AU332)*($BA$2:$BA$501=1)*(ROW($AS$2:$AS$501)&lt;&gt;ROW())*ROW($AS$2:$AS$501)))-1)&amp;" ("&amp;INDEX($AY$2:$AY$501,SUMPRODUCT(MAX(($AS$2:$AS$501=AS332)*($AT$2:$AT$501=AT332)*($AU$2:$AU$501&lt;AV332)*($AV$2:$AV$501&gt;AU332)*($BA$2:$BA$501=1)*(ROW($AS$2:$AS$501)&lt;&gt;ROW())*ROW($AS$2:$AS$501)))-1)&amp;")"&amp;IF(BB332&gt;1," and "&amp;(BB332-1)&amp;" more",""),"")</f>
        <v/>
      </c>
      <c r="BD332" s="21">
        <f>IF(AND(BA332=1,AY332="Confirmed"),AT332*10000000+AU332*1000+ROW(),"")</f>
        <v/>
      </c>
      <c r="BE332" s="21">
        <f>IF(IFERROR(TRIM(INDEX($A332:$AL332,MATCH(Lists!$F$2,$A$1:$AL$1,0))&amp;""),"")="","",IFERROR(TRIM(INDEX($A332:$AL332,MATCH(Lists!$F$11,$A$1:$AL$1,0))&amp;""),""))</f>
        <v/>
      </c>
      <c r="BF332" s="21">
        <f>IF(IFERROR(TRIM(INDEX($A332:$AL332,MATCH(Lists!$F$2,$A$1:$AL$1,0))&amp;""),"")="","",IFERROR(TRIM(INDEX($A332:$AL332,MATCH(Lists!$F$12,$A$1:$AL$1,0))&amp;""),""))</f>
        <v/>
      </c>
    </row>
    <row r="333">
      <c r="AM333" s="19" t="n"/>
      <c r="AN333" s="23" t="n"/>
      <c r="AO333" s="23" t="n"/>
      <c r="AP333" s="23" t="n"/>
      <c r="AQ333" s="23" t="n"/>
      <c r="AR333" s="19" t="n"/>
      <c r="AS333" s="21">
        <f>IF(IFERROR(TRIM(INDEX($A333:$AL333,MATCH(Lists!$F$2,$A$1:$AL$1,0))&amp;""),"")="","",IF(AND(IFERROR(TRIM(INDEX($A333:$AL333,MATCH(Lists!$F$3,$A$1:$AL$1,0))&amp;""),"")="Other",IFERROR(TRIM(INDEX($A333:$AL333,MATCH(Lists!$F$4,$A$1:$AL$1,0))&amp;""),"")&lt;&gt;""),IFERROR(TRIM(INDEX($A333:$AL333,MATCH(Lists!$F$4,$A$1:$AL$1,0))&amp;""),""),IF(IFERROR(TRIM(INDEX($A333:$AL333,MATCH(Lists!$F$3,$A$1:$AL$1,0))&amp;""),"")="","(no space)",IFERROR(TRIM(INDEX($A333:$AL333,MATCH(Lists!$F$3,$A$1:$AL$1,0))&amp;""),""))))</f>
        <v/>
      </c>
      <c r="AT333" s="22">
        <f>IF(IFERROR(TRIM(INDEX($A333:$AL333,MATCH(Lists!$F$2,$A$1:$AL$1,0))&amp;""),"")="",0,N(IFERROR(IF(TRIM(INDEX($A333:$AL333,MATCH(Lists!$F$5,$A$1:$AL$1,0))&amp;"")="","",IF(ISNUMBER(INDEX($A333:$AL333,MATCH(Lists!$F$5,$A$1:$AL$1,0))),INT(INDEX($A333:$AL333,MATCH(Lists!$F$5,$A$1:$AL$1,0))),DATE(VALUE(LEFT(INDEX($A333:$AL333,MATCH(Lists!$F$5,$A$1:$AL$1,0)),4)),VALUE(MID(INDEX($A333:$AL333,MATCH(Lists!$F$5,$A$1:$AL$1,0)),6,2)),VALUE(MID(INDEX($A333:$AL333,MATCH(Lists!$F$5,$A$1:$AL$1,0)),9,2))))),"")))</f>
        <v/>
      </c>
      <c r="AU333" s="21">
        <f>IF(IFERROR(TRIM(INDEX($A333:$AL333,MATCH(Lists!$F$2,$A$1:$AL$1,0))&amp;""),"")="",-1,IF(ISNUMBER(IFERROR(IF(TRIM(INDEX($A333:$AL333,MATCH(Lists!$F$6,$A$1:$AL$1,0))&amp;"")="","",IF(ISNUMBER(INDEX($A333:$AL333,MATCH(Lists!$F$6,$A$1:$AL$1,0))),ROUND(MOD(INDEX($A333:$AL333,MATCH(Lists!$F$6,$A$1:$AL$1,0)),1)*1440,0),VALUE(LEFT(INDEX($A333:$AL333,MATCH(Lists!$F$6,$A$1:$AL$1,0)),2))*60+VALUE(MID(INDEX($A333:$AL333,MATCH(Lists!$F$6,$A$1:$AL$1,0)),4,2)))),"")),IFERROR(IF(TRIM(INDEX($A333:$AL333,MATCH(Lists!$F$6,$A$1:$AL$1,0))&amp;"")="","",IF(ISNUMBER(INDEX($A333:$AL333,MATCH(Lists!$F$6,$A$1:$AL$1,0))),ROUND(MOD(INDEX($A333:$AL333,MATCH(Lists!$F$6,$A$1:$AL$1,0)),1)*1440,0),VALUE(LEFT(INDEX($A333:$AL333,MATCH(Lists!$F$6,$A$1:$AL$1,0)),2))*60+VALUE(MID(INDEX($A333:$AL333,MATCH(Lists!$F$6,$A$1:$AL$1,0)),4,2)))),""),-1))</f>
        <v/>
      </c>
      <c r="AV333" s="21">
        <f>IF(IFERROR(TRIM(INDEX($A333:$AL333,MATCH(Lists!$F$2,$A$1:$AL$1,0))&amp;""),"")="",-1,IF(ISNUMBER(IFERROR(IF(TRIM(INDEX($A333:$AL333,MATCH(Lists!$F$7,$A$1:$AL$1,0))&amp;"")="","",IF(ISNUMBER(INDEX($A333:$AL333,MATCH(Lists!$F$7,$A$1:$AL$1,0))),ROUND(MOD(INDEX($A333:$AL333,MATCH(Lists!$F$7,$A$1:$AL$1,0)),1)*1440,0),VALUE(LEFT(INDEX($A333:$AL333,MATCH(Lists!$F$7,$A$1:$AL$1,0)),2))*60+VALUE(MID(INDEX($A333:$AL333,MATCH(Lists!$F$7,$A$1:$AL$1,0)),4,2)))),"")),IFERROR(IF(TRIM(INDEX($A333:$AL333,MATCH(Lists!$F$7,$A$1:$AL$1,0))&amp;"")="","",IF(ISNUMBER(INDEX($A333:$AL333,MATCH(Lists!$F$7,$A$1:$AL$1,0))),ROUND(MOD(INDEX($A333:$AL333,MATCH(Lists!$F$7,$A$1:$AL$1,0)),1)*1440,0),VALUE(LEFT(INDEX($A333:$AL333,MATCH(Lists!$F$7,$A$1:$AL$1,0)),2))*60+VALUE(MID(INDEX($A333:$AL333,MATCH(Lists!$F$7,$A$1:$AL$1,0)),4,2)))),""),-1))</f>
        <v/>
      </c>
      <c r="AW333" s="21">
        <f>IF(IFERROR(TRIM(INDEX($A333:$AL333,MATCH(Lists!$F$2,$A$1:$AL$1,0))&amp;""),"")="","",IF(IFERROR(TRIM(INDEX($A333:$AL333,MATCH(Lists!$F$8,$A$1:$AL$1,0))&amp;""),"")&lt;&gt;"",IFERROR(TRIM(INDEX($A333:$AL333,MATCH(Lists!$F$8,$A$1:$AL$1,0))&amp;""),""),IFERROR(TRIM(INDEX($A333:$AL333,MATCH(Lists!$F$9,$A$1:$AL$1,0))&amp;""),"")))</f>
        <v/>
      </c>
      <c r="AX333" s="21">
        <f>IFERROR(IF(TRIM(INDEX($A333:$AL333,MATCH(Lists!$F$10,$A$1:$AL$1,0))&amp;"")="","",VALUE(TRIM(INDEX($A333:$AL333,MATCH(Lists!$F$10,$A$1:$AL$1,0))&amp;""))),"")</f>
        <v/>
      </c>
      <c r="AY333" s="21">
        <f>IF(IFERROR(TRIM(INDEX($A333:$AL333,MATCH(Lists!$F$2,$A$1:$AL$1,0))&amp;""),"")="","",IF(AN333="","New",AN333))</f>
        <v/>
      </c>
      <c r="AZ333" s="21">
        <f>IF(IFERROR(TRIM(INDEX($A333:$AL333,MATCH(Lists!$F$2,$A$1:$AL$1,0))&amp;""),"")="","",IF(OR(IFERROR(TRIM(INDEX($A333:$AL333,MATCH(Lists!$F$13,$A$1:$AL$1,0))&amp;""),"")="Paid",IFERROR(TRIM(INDEX($A333:$AL333,MATCH(Lists!$F$13,$A$1:$AL$1,0))&amp;""),"")="Partially refunded"),"Paid",IF(AP333="Yes","Paid (by hand)",IFERROR(TRIM(INDEX($A333:$AL333,MATCH(Lists!$F$13,$A$1:$AL$1,0))&amp;""),""))))</f>
        <v/>
      </c>
      <c r="BA333" s="21">
        <f>IF(AND(IFERROR(TRIM(INDEX($A333:$AL333,MATCH(Lists!$F$2,$A$1:$AL$1,0))&amp;""),"")&lt;&gt;"",AT333&gt;0,AU333&gt;=0,AV333&gt;AU333,AY333&lt;&gt;"Declined"),1,0)</f>
        <v/>
      </c>
      <c r="BB333" s="21">
        <f>IF(BA333=1,COUNTIFS($AS$2:$AS$501,AS333,$AT$2:$AT$501,AT333,$AU$2:$AU$501,"&lt;"&amp;AV333,$AV$2:$AV$501,"&gt;"&amp;AU333,$BA$2:$BA$501,1)-1,"")</f>
        <v/>
      </c>
      <c r="BC333" s="21">
        <f>IF(N(BB333)&gt;0,"Clashes with "&amp;INDEX($AW$2:$AW$501,SUMPRODUCT(MAX(($AS$2:$AS$501=AS333)*($AT$2:$AT$501=AT333)*($AU$2:$AU$501&lt;AV333)*($AV$2:$AV$501&gt;AU333)*($BA$2:$BA$501=1)*(ROW($AS$2:$AS$501)&lt;&gt;ROW())*ROW($AS$2:$AS$501)))-1)&amp;" ("&amp;INDEX($AY$2:$AY$501,SUMPRODUCT(MAX(($AS$2:$AS$501=AS333)*($AT$2:$AT$501=AT333)*($AU$2:$AU$501&lt;AV333)*($AV$2:$AV$501&gt;AU333)*($BA$2:$BA$501=1)*(ROW($AS$2:$AS$501)&lt;&gt;ROW())*ROW($AS$2:$AS$501)))-1)&amp;")"&amp;IF(BB333&gt;1," and "&amp;(BB333-1)&amp;" more",""),"")</f>
        <v/>
      </c>
      <c r="BD333" s="21">
        <f>IF(AND(BA333=1,AY333="Confirmed"),AT333*10000000+AU333*1000+ROW(),"")</f>
        <v/>
      </c>
      <c r="BE333" s="21">
        <f>IF(IFERROR(TRIM(INDEX($A333:$AL333,MATCH(Lists!$F$2,$A$1:$AL$1,0))&amp;""),"")="","",IFERROR(TRIM(INDEX($A333:$AL333,MATCH(Lists!$F$11,$A$1:$AL$1,0))&amp;""),""))</f>
        <v/>
      </c>
      <c r="BF333" s="21">
        <f>IF(IFERROR(TRIM(INDEX($A333:$AL333,MATCH(Lists!$F$2,$A$1:$AL$1,0))&amp;""),"")="","",IFERROR(TRIM(INDEX($A333:$AL333,MATCH(Lists!$F$12,$A$1:$AL$1,0))&amp;""),""))</f>
        <v/>
      </c>
    </row>
    <row r="334">
      <c r="AM334" s="19" t="n"/>
      <c r="AN334" s="23" t="n"/>
      <c r="AO334" s="23" t="n"/>
      <c r="AP334" s="23" t="n"/>
      <c r="AQ334" s="23" t="n"/>
      <c r="AR334" s="19" t="n"/>
      <c r="AS334" s="21">
        <f>IF(IFERROR(TRIM(INDEX($A334:$AL334,MATCH(Lists!$F$2,$A$1:$AL$1,0))&amp;""),"")="","",IF(AND(IFERROR(TRIM(INDEX($A334:$AL334,MATCH(Lists!$F$3,$A$1:$AL$1,0))&amp;""),"")="Other",IFERROR(TRIM(INDEX($A334:$AL334,MATCH(Lists!$F$4,$A$1:$AL$1,0))&amp;""),"")&lt;&gt;""),IFERROR(TRIM(INDEX($A334:$AL334,MATCH(Lists!$F$4,$A$1:$AL$1,0))&amp;""),""),IF(IFERROR(TRIM(INDEX($A334:$AL334,MATCH(Lists!$F$3,$A$1:$AL$1,0))&amp;""),"")="","(no space)",IFERROR(TRIM(INDEX($A334:$AL334,MATCH(Lists!$F$3,$A$1:$AL$1,0))&amp;""),""))))</f>
        <v/>
      </c>
      <c r="AT334" s="22">
        <f>IF(IFERROR(TRIM(INDEX($A334:$AL334,MATCH(Lists!$F$2,$A$1:$AL$1,0))&amp;""),"")="",0,N(IFERROR(IF(TRIM(INDEX($A334:$AL334,MATCH(Lists!$F$5,$A$1:$AL$1,0))&amp;"")="","",IF(ISNUMBER(INDEX($A334:$AL334,MATCH(Lists!$F$5,$A$1:$AL$1,0))),INT(INDEX($A334:$AL334,MATCH(Lists!$F$5,$A$1:$AL$1,0))),DATE(VALUE(LEFT(INDEX($A334:$AL334,MATCH(Lists!$F$5,$A$1:$AL$1,0)),4)),VALUE(MID(INDEX($A334:$AL334,MATCH(Lists!$F$5,$A$1:$AL$1,0)),6,2)),VALUE(MID(INDEX($A334:$AL334,MATCH(Lists!$F$5,$A$1:$AL$1,0)),9,2))))),"")))</f>
        <v/>
      </c>
      <c r="AU334" s="21">
        <f>IF(IFERROR(TRIM(INDEX($A334:$AL334,MATCH(Lists!$F$2,$A$1:$AL$1,0))&amp;""),"")="",-1,IF(ISNUMBER(IFERROR(IF(TRIM(INDEX($A334:$AL334,MATCH(Lists!$F$6,$A$1:$AL$1,0))&amp;"")="","",IF(ISNUMBER(INDEX($A334:$AL334,MATCH(Lists!$F$6,$A$1:$AL$1,0))),ROUND(MOD(INDEX($A334:$AL334,MATCH(Lists!$F$6,$A$1:$AL$1,0)),1)*1440,0),VALUE(LEFT(INDEX($A334:$AL334,MATCH(Lists!$F$6,$A$1:$AL$1,0)),2))*60+VALUE(MID(INDEX($A334:$AL334,MATCH(Lists!$F$6,$A$1:$AL$1,0)),4,2)))),"")),IFERROR(IF(TRIM(INDEX($A334:$AL334,MATCH(Lists!$F$6,$A$1:$AL$1,0))&amp;"")="","",IF(ISNUMBER(INDEX($A334:$AL334,MATCH(Lists!$F$6,$A$1:$AL$1,0))),ROUND(MOD(INDEX($A334:$AL334,MATCH(Lists!$F$6,$A$1:$AL$1,0)),1)*1440,0),VALUE(LEFT(INDEX($A334:$AL334,MATCH(Lists!$F$6,$A$1:$AL$1,0)),2))*60+VALUE(MID(INDEX($A334:$AL334,MATCH(Lists!$F$6,$A$1:$AL$1,0)),4,2)))),""),-1))</f>
        <v/>
      </c>
      <c r="AV334" s="21">
        <f>IF(IFERROR(TRIM(INDEX($A334:$AL334,MATCH(Lists!$F$2,$A$1:$AL$1,0))&amp;""),"")="",-1,IF(ISNUMBER(IFERROR(IF(TRIM(INDEX($A334:$AL334,MATCH(Lists!$F$7,$A$1:$AL$1,0))&amp;"")="","",IF(ISNUMBER(INDEX($A334:$AL334,MATCH(Lists!$F$7,$A$1:$AL$1,0))),ROUND(MOD(INDEX($A334:$AL334,MATCH(Lists!$F$7,$A$1:$AL$1,0)),1)*1440,0),VALUE(LEFT(INDEX($A334:$AL334,MATCH(Lists!$F$7,$A$1:$AL$1,0)),2))*60+VALUE(MID(INDEX($A334:$AL334,MATCH(Lists!$F$7,$A$1:$AL$1,0)),4,2)))),"")),IFERROR(IF(TRIM(INDEX($A334:$AL334,MATCH(Lists!$F$7,$A$1:$AL$1,0))&amp;"")="","",IF(ISNUMBER(INDEX($A334:$AL334,MATCH(Lists!$F$7,$A$1:$AL$1,0))),ROUND(MOD(INDEX($A334:$AL334,MATCH(Lists!$F$7,$A$1:$AL$1,0)),1)*1440,0),VALUE(LEFT(INDEX($A334:$AL334,MATCH(Lists!$F$7,$A$1:$AL$1,0)),2))*60+VALUE(MID(INDEX($A334:$AL334,MATCH(Lists!$F$7,$A$1:$AL$1,0)),4,2)))),""),-1))</f>
        <v/>
      </c>
      <c r="AW334" s="21">
        <f>IF(IFERROR(TRIM(INDEX($A334:$AL334,MATCH(Lists!$F$2,$A$1:$AL$1,0))&amp;""),"")="","",IF(IFERROR(TRIM(INDEX($A334:$AL334,MATCH(Lists!$F$8,$A$1:$AL$1,0))&amp;""),"")&lt;&gt;"",IFERROR(TRIM(INDEX($A334:$AL334,MATCH(Lists!$F$8,$A$1:$AL$1,0))&amp;""),""),IFERROR(TRIM(INDEX($A334:$AL334,MATCH(Lists!$F$9,$A$1:$AL$1,0))&amp;""),"")))</f>
        <v/>
      </c>
      <c r="AX334" s="21">
        <f>IFERROR(IF(TRIM(INDEX($A334:$AL334,MATCH(Lists!$F$10,$A$1:$AL$1,0))&amp;"")="","",VALUE(TRIM(INDEX($A334:$AL334,MATCH(Lists!$F$10,$A$1:$AL$1,0))&amp;""))),"")</f>
        <v/>
      </c>
      <c r="AY334" s="21">
        <f>IF(IFERROR(TRIM(INDEX($A334:$AL334,MATCH(Lists!$F$2,$A$1:$AL$1,0))&amp;""),"")="","",IF(AN334="","New",AN334))</f>
        <v/>
      </c>
      <c r="AZ334" s="21">
        <f>IF(IFERROR(TRIM(INDEX($A334:$AL334,MATCH(Lists!$F$2,$A$1:$AL$1,0))&amp;""),"")="","",IF(OR(IFERROR(TRIM(INDEX($A334:$AL334,MATCH(Lists!$F$13,$A$1:$AL$1,0))&amp;""),"")="Paid",IFERROR(TRIM(INDEX($A334:$AL334,MATCH(Lists!$F$13,$A$1:$AL$1,0))&amp;""),"")="Partially refunded"),"Paid",IF(AP334="Yes","Paid (by hand)",IFERROR(TRIM(INDEX($A334:$AL334,MATCH(Lists!$F$13,$A$1:$AL$1,0))&amp;""),""))))</f>
        <v/>
      </c>
      <c r="BA334" s="21">
        <f>IF(AND(IFERROR(TRIM(INDEX($A334:$AL334,MATCH(Lists!$F$2,$A$1:$AL$1,0))&amp;""),"")&lt;&gt;"",AT334&gt;0,AU334&gt;=0,AV334&gt;AU334,AY334&lt;&gt;"Declined"),1,0)</f>
        <v/>
      </c>
      <c r="BB334" s="21">
        <f>IF(BA334=1,COUNTIFS($AS$2:$AS$501,AS334,$AT$2:$AT$501,AT334,$AU$2:$AU$501,"&lt;"&amp;AV334,$AV$2:$AV$501,"&gt;"&amp;AU334,$BA$2:$BA$501,1)-1,"")</f>
        <v/>
      </c>
      <c r="BC334" s="21">
        <f>IF(N(BB334)&gt;0,"Clashes with "&amp;INDEX($AW$2:$AW$501,SUMPRODUCT(MAX(($AS$2:$AS$501=AS334)*($AT$2:$AT$501=AT334)*($AU$2:$AU$501&lt;AV334)*($AV$2:$AV$501&gt;AU334)*($BA$2:$BA$501=1)*(ROW($AS$2:$AS$501)&lt;&gt;ROW())*ROW($AS$2:$AS$501)))-1)&amp;" ("&amp;INDEX($AY$2:$AY$501,SUMPRODUCT(MAX(($AS$2:$AS$501=AS334)*($AT$2:$AT$501=AT334)*($AU$2:$AU$501&lt;AV334)*($AV$2:$AV$501&gt;AU334)*($BA$2:$BA$501=1)*(ROW($AS$2:$AS$501)&lt;&gt;ROW())*ROW($AS$2:$AS$501)))-1)&amp;")"&amp;IF(BB334&gt;1," and "&amp;(BB334-1)&amp;" more",""),"")</f>
        <v/>
      </c>
      <c r="BD334" s="21">
        <f>IF(AND(BA334=1,AY334="Confirmed"),AT334*10000000+AU334*1000+ROW(),"")</f>
        <v/>
      </c>
      <c r="BE334" s="21">
        <f>IF(IFERROR(TRIM(INDEX($A334:$AL334,MATCH(Lists!$F$2,$A$1:$AL$1,0))&amp;""),"")="","",IFERROR(TRIM(INDEX($A334:$AL334,MATCH(Lists!$F$11,$A$1:$AL$1,0))&amp;""),""))</f>
        <v/>
      </c>
      <c r="BF334" s="21">
        <f>IF(IFERROR(TRIM(INDEX($A334:$AL334,MATCH(Lists!$F$2,$A$1:$AL$1,0))&amp;""),"")="","",IFERROR(TRIM(INDEX($A334:$AL334,MATCH(Lists!$F$12,$A$1:$AL$1,0))&amp;""),""))</f>
        <v/>
      </c>
    </row>
    <row r="335">
      <c r="AM335" s="19" t="n"/>
      <c r="AN335" s="23" t="n"/>
      <c r="AO335" s="23" t="n"/>
      <c r="AP335" s="23" t="n"/>
      <c r="AQ335" s="23" t="n"/>
      <c r="AR335" s="19" t="n"/>
      <c r="AS335" s="21">
        <f>IF(IFERROR(TRIM(INDEX($A335:$AL335,MATCH(Lists!$F$2,$A$1:$AL$1,0))&amp;""),"")="","",IF(AND(IFERROR(TRIM(INDEX($A335:$AL335,MATCH(Lists!$F$3,$A$1:$AL$1,0))&amp;""),"")="Other",IFERROR(TRIM(INDEX($A335:$AL335,MATCH(Lists!$F$4,$A$1:$AL$1,0))&amp;""),"")&lt;&gt;""),IFERROR(TRIM(INDEX($A335:$AL335,MATCH(Lists!$F$4,$A$1:$AL$1,0))&amp;""),""),IF(IFERROR(TRIM(INDEX($A335:$AL335,MATCH(Lists!$F$3,$A$1:$AL$1,0))&amp;""),"")="","(no space)",IFERROR(TRIM(INDEX($A335:$AL335,MATCH(Lists!$F$3,$A$1:$AL$1,0))&amp;""),""))))</f>
        <v/>
      </c>
      <c r="AT335" s="22">
        <f>IF(IFERROR(TRIM(INDEX($A335:$AL335,MATCH(Lists!$F$2,$A$1:$AL$1,0))&amp;""),"")="",0,N(IFERROR(IF(TRIM(INDEX($A335:$AL335,MATCH(Lists!$F$5,$A$1:$AL$1,0))&amp;"")="","",IF(ISNUMBER(INDEX($A335:$AL335,MATCH(Lists!$F$5,$A$1:$AL$1,0))),INT(INDEX($A335:$AL335,MATCH(Lists!$F$5,$A$1:$AL$1,0))),DATE(VALUE(LEFT(INDEX($A335:$AL335,MATCH(Lists!$F$5,$A$1:$AL$1,0)),4)),VALUE(MID(INDEX($A335:$AL335,MATCH(Lists!$F$5,$A$1:$AL$1,0)),6,2)),VALUE(MID(INDEX($A335:$AL335,MATCH(Lists!$F$5,$A$1:$AL$1,0)),9,2))))),"")))</f>
        <v/>
      </c>
      <c r="AU335" s="21">
        <f>IF(IFERROR(TRIM(INDEX($A335:$AL335,MATCH(Lists!$F$2,$A$1:$AL$1,0))&amp;""),"")="",-1,IF(ISNUMBER(IFERROR(IF(TRIM(INDEX($A335:$AL335,MATCH(Lists!$F$6,$A$1:$AL$1,0))&amp;"")="","",IF(ISNUMBER(INDEX($A335:$AL335,MATCH(Lists!$F$6,$A$1:$AL$1,0))),ROUND(MOD(INDEX($A335:$AL335,MATCH(Lists!$F$6,$A$1:$AL$1,0)),1)*1440,0),VALUE(LEFT(INDEX($A335:$AL335,MATCH(Lists!$F$6,$A$1:$AL$1,0)),2))*60+VALUE(MID(INDEX($A335:$AL335,MATCH(Lists!$F$6,$A$1:$AL$1,0)),4,2)))),"")),IFERROR(IF(TRIM(INDEX($A335:$AL335,MATCH(Lists!$F$6,$A$1:$AL$1,0))&amp;"")="","",IF(ISNUMBER(INDEX($A335:$AL335,MATCH(Lists!$F$6,$A$1:$AL$1,0))),ROUND(MOD(INDEX($A335:$AL335,MATCH(Lists!$F$6,$A$1:$AL$1,0)),1)*1440,0),VALUE(LEFT(INDEX($A335:$AL335,MATCH(Lists!$F$6,$A$1:$AL$1,0)),2))*60+VALUE(MID(INDEX($A335:$AL335,MATCH(Lists!$F$6,$A$1:$AL$1,0)),4,2)))),""),-1))</f>
        <v/>
      </c>
      <c r="AV335" s="21">
        <f>IF(IFERROR(TRIM(INDEX($A335:$AL335,MATCH(Lists!$F$2,$A$1:$AL$1,0))&amp;""),"")="",-1,IF(ISNUMBER(IFERROR(IF(TRIM(INDEX($A335:$AL335,MATCH(Lists!$F$7,$A$1:$AL$1,0))&amp;"")="","",IF(ISNUMBER(INDEX($A335:$AL335,MATCH(Lists!$F$7,$A$1:$AL$1,0))),ROUND(MOD(INDEX($A335:$AL335,MATCH(Lists!$F$7,$A$1:$AL$1,0)),1)*1440,0),VALUE(LEFT(INDEX($A335:$AL335,MATCH(Lists!$F$7,$A$1:$AL$1,0)),2))*60+VALUE(MID(INDEX($A335:$AL335,MATCH(Lists!$F$7,$A$1:$AL$1,0)),4,2)))),"")),IFERROR(IF(TRIM(INDEX($A335:$AL335,MATCH(Lists!$F$7,$A$1:$AL$1,0))&amp;"")="","",IF(ISNUMBER(INDEX($A335:$AL335,MATCH(Lists!$F$7,$A$1:$AL$1,0))),ROUND(MOD(INDEX($A335:$AL335,MATCH(Lists!$F$7,$A$1:$AL$1,0)),1)*1440,0),VALUE(LEFT(INDEX($A335:$AL335,MATCH(Lists!$F$7,$A$1:$AL$1,0)),2))*60+VALUE(MID(INDEX($A335:$AL335,MATCH(Lists!$F$7,$A$1:$AL$1,0)),4,2)))),""),-1))</f>
        <v/>
      </c>
      <c r="AW335" s="21">
        <f>IF(IFERROR(TRIM(INDEX($A335:$AL335,MATCH(Lists!$F$2,$A$1:$AL$1,0))&amp;""),"")="","",IF(IFERROR(TRIM(INDEX($A335:$AL335,MATCH(Lists!$F$8,$A$1:$AL$1,0))&amp;""),"")&lt;&gt;"",IFERROR(TRIM(INDEX($A335:$AL335,MATCH(Lists!$F$8,$A$1:$AL$1,0))&amp;""),""),IFERROR(TRIM(INDEX($A335:$AL335,MATCH(Lists!$F$9,$A$1:$AL$1,0))&amp;""),"")))</f>
        <v/>
      </c>
      <c r="AX335" s="21">
        <f>IFERROR(IF(TRIM(INDEX($A335:$AL335,MATCH(Lists!$F$10,$A$1:$AL$1,0))&amp;"")="","",VALUE(TRIM(INDEX($A335:$AL335,MATCH(Lists!$F$10,$A$1:$AL$1,0))&amp;""))),"")</f>
        <v/>
      </c>
      <c r="AY335" s="21">
        <f>IF(IFERROR(TRIM(INDEX($A335:$AL335,MATCH(Lists!$F$2,$A$1:$AL$1,0))&amp;""),"")="","",IF(AN335="","New",AN335))</f>
        <v/>
      </c>
      <c r="AZ335" s="21">
        <f>IF(IFERROR(TRIM(INDEX($A335:$AL335,MATCH(Lists!$F$2,$A$1:$AL$1,0))&amp;""),"")="","",IF(OR(IFERROR(TRIM(INDEX($A335:$AL335,MATCH(Lists!$F$13,$A$1:$AL$1,0))&amp;""),"")="Paid",IFERROR(TRIM(INDEX($A335:$AL335,MATCH(Lists!$F$13,$A$1:$AL$1,0))&amp;""),"")="Partially refunded"),"Paid",IF(AP335="Yes","Paid (by hand)",IFERROR(TRIM(INDEX($A335:$AL335,MATCH(Lists!$F$13,$A$1:$AL$1,0))&amp;""),""))))</f>
        <v/>
      </c>
      <c r="BA335" s="21">
        <f>IF(AND(IFERROR(TRIM(INDEX($A335:$AL335,MATCH(Lists!$F$2,$A$1:$AL$1,0))&amp;""),"")&lt;&gt;"",AT335&gt;0,AU335&gt;=0,AV335&gt;AU335,AY335&lt;&gt;"Declined"),1,0)</f>
        <v/>
      </c>
      <c r="BB335" s="21">
        <f>IF(BA335=1,COUNTIFS($AS$2:$AS$501,AS335,$AT$2:$AT$501,AT335,$AU$2:$AU$501,"&lt;"&amp;AV335,$AV$2:$AV$501,"&gt;"&amp;AU335,$BA$2:$BA$501,1)-1,"")</f>
        <v/>
      </c>
      <c r="BC335" s="21">
        <f>IF(N(BB335)&gt;0,"Clashes with "&amp;INDEX($AW$2:$AW$501,SUMPRODUCT(MAX(($AS$2:$AS$501=AS335)*($AT$2:$AT$501=AT335)*($AU$2:$AU$501&lt;AV335)*($AV$2:$AV$501&gt;AU335)*($BA$2:$BA$501=1)*(ROW($AS$2:$AS$501)&lt;&gt;ROW())*ROW($AS$2:$AS$501)))-1)&amp;" ("&amp;INDEX($AY$2:$AY$501,SUMPRODUCT(MAX(($AS$2:$AS$501=AS335)*($AT$2:$AT$501=AT335)*($AU$2:$AU$501&lt;AV335)*($AV$2:$AV$501&gt;AU335)*($BA$2:$BA$501=1)*(ROW($AS$2:$AS$501)&lt;&gt;ROW())*ROW($AS$2:$AS$501)))-1)&amp;")"&amp;IF(BB335&gt;1," and "&amp;(BB335-1)&amp;" more",""),"")</f>
        <v/>
      </c>
      <c r="BD335" s="21">
        <f>IF(AND(BA335=1,AY335="Confirmed"),AT335*10000000+AU335*1000+ROW(),"")</f>
        <v/>
      </c>
      <c r="BE335" s="21">
        <f>IF(IFERROR(TRIM(INDEX($A335:$AL335,MATCH(Lists!$F$2,$A$1:$AL$1,0))&amp;""),"")="","",IFERROR(TRIM(INDEX($A335:$AL335,MATCH(Lists!$F$11,$A$1:$AL$1,0))&amp;""),""))</f>
        <v/>
      </c>
      <c r="BF335" s="21">
        <f>IF(IFERROR(TRIM(INDEX($A335:$AL335,MATCH(Lists!$F$2,$A$1:$AL$1,0))&amp;""),"")="","",IFERROR(TRIM(INDEX($A335:$AL335,MATCH(Lists!$F$12,$A$1:$AL$1,0))&amp;""),""))</f>
        <v/>
      </c>
    </row>
    <row r="336">
      <c r="AM336" s="19" t="n"/>
      <c r="AN336" s="23" t="n"/>
      <c r="AO336" s="23" t="n"/>
      <c r="AP336" s="23" t="n"/>
      <c r="AQ336" s="23" t="n"/>
      <c r="AR336" s="19" t="n"/>
      <c r="AS336" s="21">
        <f>IF(IFERROR(TRIM(INDEX($A336:$AL336,MATCH(Lists!$F$2,$A$1:$AL$1,0))&amp;""),"")="","",IF(AND(IFERROR(TRIM(INDEX($A336:$AL336,MATCH(Lists!$F$3,$A$1:$AL$1,0))&amp;""),"")="Other",IFERROR(TRIM(INDEX($A336:$AL336,MATCH(Lists!$F$4,$A$1:$AL$1,0))&amp;""),"")&lt;&gt;""),IFERROR(TRIM(INDEX($A336:$AL336,MATCH(Lists!$F$4,$A$1:$AL$1,0))&amp;""),""),IF(IFERROR(TRIM(INDEX($A336:$AL336,MATCH(Lists!$F$3,$A$1:$AL$1,0))&amp;""),"")="","(no space)",IFERROR(TRIM(INDEX($A336:$AL336,MATCH(Lists!$F$3,$A$1:$AL$1,0))&amp;""),""))))</f>
        <v/>
      </c>
      <c r="AT336" s="22">
        <f>IF(IFERROR(TRIM(INDEX($A336:$AL336,MATCH(Lists!$F$2,$A$1:$AL$1,0))&amp;""),"")="",0,N(IFERROR(IF(TRIM(INDEX($A336:$AL336,MATCH(Lists!$F$5,$A$1:$AL$1,0))&amp;"")="","",IF(ISNUMBER(INDEX($A336:$AL336,MATCH(Lists!$F$5,$A$1:$AL$1,0))),INT(INDEX($A336:$AL336,MATCH(Lists!$F$5,$A$1:$AL$1,0))),DATE(VALUE(LEFT(INDEX($A336:$AL336,MATCH(Lists!$F$5,$A$1:$AL$1,0)),4)),VALUE(MID(INDEX($A336:$AL336,MATCH(Lists!$F$5,$A$1:$AL$1,0)),6,2)),VALUE(MID(INDEX($A336:$AL336,MATCH(Lists!$F$5,$A$1:$AL$1,0)),9,2))))),"")))</f>
        <v/>
      </c>
      <c r="AU336" s="21">
        <f>IF(IFERROR(TRIM(INDEX($A336:$AL336,MATCH(Lists!$F$2,$A$1:$AL$1,0))&amp;""),"")="",-1,IF(ISNUMBER(IFERROR(IF(TRIM(INDEX($A336:$AL336,MATCH(Lists!$F$6,$A$1:$AL$1,0))&amp;"")="","",IF(ISNUMBER(INDEX($A336:$AL336,MATCH(Lists!$F$6,$A$1:$AL$1,0))),ROUND(MOD(INDEX($A336:$AL336,MATCH(Lists!$F$6,$A$1:$AL$1,0)),1)*1440,0),VALUE(LEFT(INDEX($A336:$AL336,MATCH(Lists!$F$6,$A$1:$AL$1,0)),2))*60+VALUE(MID(INDEX($A336:$AL336,MATCH(Lists!$F$6,$A$1:$AL$1,0)),4,2)))),"")),IFERROR(IF(TRIM(INDEX($A336:$AL336,MATCH(Lists!$F$6,$A$1:$AL$1,0))&amp;"")="","",IF(ISNUMBER(INDEX($A336:$AL336,MATCH(Lists!$F$6,$A$1:$AL$1,0))),ROUND(MOD(INDEX($A336:$AL336,MATCH(Lists!$F$6,$A$1:$AL$1,0)),1)*1440,0),VALUE(LEFT(INDEX($A336:$AL336,MATCH(Lists!$F$6,$A$1:$AL$1,0)),2))*60+VALUE(MID(INDEX($A336:$AL336,MATCH(Lists!$F$6,$A$1:$AL$1,0)),4,2)))),""),-1))</f>
        <v/>
      </c>
      <c r="AV336" s="21">
        <f>IF(IFERROR(TRIM(INDEX($A336:$AL336,MATCH(Lists!$F$2,$A$1:$AL$1,0))&amp;""),"")="",-1,IF(ISNUMBER(IFERROR(IF(TRIM(INDEX($A336:$AL336,MATCH(Lists!$F$7,$A$1:$AL$1,0))&amp;"")="","",IF(ISNUMBER(INDEX($A336:$AL336,MATCH(Lists!$F$7,$A$1:$AL$1,0))),ROUND(MOD(INDEX($A336:$AL336,MATCH(Lists!$F$7,$A$1:$AL$1,0)),1)*1440,0),VALUE(LEFT(INDEX($A336:$AL336,MATCH(Lists!$F$7,$A$1:$AL$1,0)),2))*60+VALUE(MID(INDEX($A336:$AL336,MATCH(Lists!$F$7,$A$1:$AL$1,0)),4,2)))),"")),IFERROR(IF(TRIM(INDEX($A336:$AL336,MATCH(Lists!$F$7,$A$1:$AL$1,0))&amp;"")="","",IF(ISNUMBER(INDEX($A336:$AL336,MATCH(Lists!$F$7,$A$1:$AL$1,0))),ROUND(MOD(INDEX($A336:$AL336,MATCH(Lists!$F$7,$A$1:$AL$1,0)),1)*1440,0),VALUE(LEFT(INDEX($A336:$AL336,MATCH(Lists!$F$7,$A$1:$AL$1,0)),2))*60+VALUE(MID(INDEX($A336:$AL336,MATCH(Lists!$F$7,$A$1:$AL$1,0)),4,2)))),""),-1))</f>
        <v/>
      </c>
      <c r="AW336" s="21">
        <f>IF(IFERROR(TRIM(INDEX($A336:$AL336,MATCH(Lists!$F$2,$A$1:$AL$1,0))&amp;""),"")="","",IF(IFERROR(TRIM(INDEX($A336:$AL336,MATCH(Lists!$F$8,$A$1:$AL$1,0))&amp;""),"")&lt;&gt;"",IFERROR(TRIM(INDEX($A336:$AL336,MATCH(Lists!$F$8,$A$1:$AL$1,0))&amp;""),""),IFERROR(TRIM(INDEX($A336:$AL336,MATCH(Lists!$F$9,$A$1:$AL$1,0))&amp;""),"")))</f>
        <v/>
      </c>
      <c r="AX336" s="21">
        <f>IFERROR(IF(TRIM(INDEX($A336:$AL336,MATCH(Lists!$F$10,$A$1:$AL$1,0))&amp;"")="","",VALUE(TRIM(INDEX($A336:$AL336,MATCH(Lists!$F$10,$A$1:$AL$1,0))&amp;""))),"")</f>
        <v/>
      </c>
      <c r="AY336" s="21">
        <f>IF(IFERROR(TRIM(INDEX($A336:$AL336,MATCH(Lists!$F$2,$A$1:$AL$1,0))&amp;""),"")="","",IF(AN336="","New",AN336))</f>
        <v/>
      </c>
      <c r="AZ336" s="21">
        <f>IF(IFERROR(TRIM(INDEX($A336:$AL336,MATCH(Lists!$F$2,$A$1:$AL$1,0))&amp;""),"")="","",IF(OR(IFERROR(TRIM(INDEX($A336:$AL336,MATCH(Lists!$F$13,$A$1:$AL$1,0))&amp;""),"")="Paid",IFERROR(TRIM(INDEX($A336:$AL336,MATCH(Lists!$F$13,$A$1:$AL$1,0))&amp;""),"")="Partially refunded"),"Paid",IF(AP336="Yes","Paid (by hand)",IFERROR(TRIM(INDEX($A336:$AL336,MATCH(Lists!$F$13,$A$1:$AL$1,0))&amp;""),""))))</f>
        <v/>
      </c>
      <c r="BA336" s="21">
        <f>IF(AND(IFERROR(TRIM(INDEX($A336:$AL336,MATCH(Lists!$F$2,$A$1:$AL$1,0))&amp;""),"")&lt;&gt;"",AT336&gt;0,AU336&gt;=0,AV336&gt;AU336,AY336&lt;&gt;"Declined"),1,0)</f>
        <v/>
      </c>
      <c r="BB336" s="21">
        <f>IF(BA336=1,COUNTIFS($AS$2:$AS$501,AS336,$AT$2:$AT$501,AT336,$AU$2:$AU$501,"&lt;"&amp;AV336,$AV$2:$AV$501,"&gt;"&amp;AU336,$BA$2:$BA$501,1)-1,"")</f>
        <v/>
      </c>
      <c r="BC336" s="21">
        <f>IF(N(BB336)&gt;0,"Clashes with "&amp;INDEX($AW$2:$AW$501,SUMPRODUCT(MAX(($AS$2:$AS$501=AS336)*($AT$2:$AT$501=AT336)*($AU$2:$AU$501&lt;AV336)*($AV$2:$AV$501&gt;AU336)*($BA$2:$BA$501=1)*(ROW($AS$2:$AS$501)&lt;&gt;ROW())*ROW($AS$2:$AS$501)))-1)&amp;" ("&amp;INDEX($AY$2:$AY$501,SUMPRODUCT(MAX(($AS$2:$AS$501=AS336)*($AT$2:$AT$501=AT336)*($AU$2:$AU$501&lt;AV336)*($AV$2:$AV$501&gt;AU336)*($BA$2:$BA$501=1)*(ROW($AS$2:$AS$501)&lt;&gt;ROW())*ROW($AS$2:$AS$501)))-1)&amp;")"&amp;IF(BB336&gt;1," and "&amp;(BB336-1)&amp;" more",""),"")</f>
        <v/>
      </c>
      <c r="BD336" s="21">
        <f>IF(AND(BA336=1,AY336="Confirmed"),AT336*10000000+AU336*1000+ROW(),"")</f>
        <v/>
      </c>
      <c r="BE336" s="21">
        <f>IF(IFERROR(TRIM(INDEX($A336:$AL336,MATCH(Lists!$F$2,$A$1:$AL$1,0))&amp;""),"")="","",IFERROR(TRIM(INDEX($A336:$AL336,MATCH(Lists!$F$11,$A$1:$AL$1,0))&amp;""),""))</f>
        <v/>
      </c>
      <c r="BF336" s="21">
        <f>IF(IFERROR(TRIM(INDEX($A336:$AL336,MATCH(Lists!$F$2,$A$1:$AL$1,0))&amp;""),"")="","",IFERROR(TRIM(INDEX($A336:$AL336,MATCH(Lists!$F$12,$A$1:$AL$1,0))&amp;""),""))</f>
        <v/>
      </c>
    </row>
    <row r="337">
      <c r="AM337" s="19" t="n"/>
      <c r="AN337" s="23" t="n"/>
      <c r="AO337" s="23" t="n"/>
      <c r="AP337" s="23" t="n"/>
      <c r="AQ337" s="23" t="n"/>
      <c r="AR337" s="19" t="n"/>
      <c r="AS337" s="21">
        <f>IF(IFERROR(TRIM(INDEX($A337:$AL337,MATCH(Lists!$F$2,$A$1:$AL$1,0))&amp;""),"")="","",IF(AND(IFERROR(TRIM(INDEX($A337:$AL337,MATCH(Lists!$F$3,$A$1:$AL$1,0))&amp;""),"")="Other",IFERROR(TRIM(INDEX($A337:$AL337,MATCH(Lists!$F$4,$A$1:$AL$1,0))&amp;""),"")&lt;&gt;""),IFERROR(TRIM(INDEX($A337:$AL337,MATCH(Lists!$F$4,$A$1:$AL$1,0))&amp;""),""),IF(IFERROR(TRIM(INDEX($A337:$AL337,MATCH(Lists!$F$3,$A$1:$AL$1,0))&amp;""),"")="","(no space)",IFERROR(TRIM(INDEX($A337:$AL337,MATCH(Lists!$F$3,$A$1:$AL$1,0))&amp;""),""))))</f>
        <v/>
      </c>
      <c r="AT337" s="22">
        <f>IF(IFERROR(TRIM(INDEX($A337:$AL337,MATCH(Lists!$F$2,$A$1:$AL$1,0))&amp;""),"")="",0,N(IFERROR(IF(TRIM(INDEX($A337:$AL337,MATCH(Lists!$F$5,$A$1:$AL$1,0))&amp;"")="","",IF(ISNUMBER(INDEX($A337:$AL337,MATCH(Lists!$F$5,$A$1:$AL$1,0))),INT(INDEX($A337:$AL337,MATCH(Lists!$F$5,$A$1:$AL$1,0))),DATE(VALUE(LEFT(INDEX($A337:$AL337,MATCH(Lists!$F$5,$A$1:$AL$1,0)),4)),VALUE(MID(INDEX($A337:$AL337,MATCH(Lists!$F$5,$A$1:$AL$1,0)),6,2)),VALUE(MID(INDEX($A337:$AL337,MATCH(Lists!$F$5,$A$1:$AL$1,0)),9,2))))),"")))</f>
        <v/>
      </c>
      <c r="AU337" s="21">
        <f>IF(IFERROR(TRIM(INDEX($A337:$AL337,MATCH(Lists!$F$2,$A$1:$AL$1,0))&amp;""),"")="",-1,IF(ISNUMBER(IFERROR(IF(TRIM(INDEX($A337:$AL337,MATCH(Lists!$F$6,$A$1:$AL$1,0))&amp;"")="","",IF(ISNUMBER(INDEX($A337:$AL337,MATCH(Lists!$F$6,$A$1:$AL$1,0))),ROUND(MOD(INDEX($A337:$AL337,MATCH(Lists!$F$6,$A$1:$AL$1,0)),1)*1440,0),VALUE(LEFT(INDEX($A337:$AL337,MATCH(Lists!$F$6,$A$1:$AL$1,0)),2))*60+VALUE(MID(INDEX($A337:$AL337,MATCH(Lists!$F$6,$A$1:$AL$1,0)),4,2)))),"")),IFERROR(IF(TRIM(INDEX($A337:$AL337,MATCH(Lists!$F$6,$A$1:$AL$1,0))&amp;"")="","",IF(ISNUMBER(INDEX($A337:$AL337,MATCH(Lists!$F$6,$A$1:$AL$1,0))),ROUND(MOD(INDEX($A337:$AL337,MATCH(Lists!$F$6,$A$1:$AL$1,0)),1)*1440,0),VALUE(LEFT(INDEX($A337:$AL337,MATCH(Lists!$F$6,$A$1:$AL$1,0)),2))*60+VALUE(MID(INDEX($A337:$AL337,MATCH(Lists!$F$6,$A$1:$AL$1,0)),4,2)))),""),-1))</f>
        <v/>
      </c>
      <c r="AV337" s="21">
        <f>IF(IFERROR(TRIM(INDEX($A337:$AL337,MATCH(Lists!$F$2,$A$1:$AL$1,0))&amp;""),"")="",-1,IF(ISNUMBER(IFERROR(IF(TRIM(INDEX($A337:$AL337,MATCH(Lists!$F$7,$A$1:$AL$1,0))&amp;"")="","",IF(ISNUMBER(INDEX($A337:$AL337,MATCH(Lists!$F$7,$A$1:$AL$1,0))),ROUND(MOD(INDEX($A337:$AL337,MATCH(Lists!$F$7,$A$1:$AL$1,0)),1)*1440,0),VALUE(LEFT(INDEX($A337:$AL337,MATCH(Lists!$F$7,$A$1:$AL$1,0)),2))*60+VALUE(MID(INDEX($A337:$AL337,MATCH(Lists!$F$7,$A$1:$AL$1,0)),4,2)))),"")),IFERROR(IF(TRIM(INDEX($A337:$AL337,MATCH(Lists!$F$7,$A$1:$AL$1,0))&amp;"")="","",IF(ISNUMBER(INDEX($A337:$AL337,MATCH(Lists!$F$7,$A$1:$AL$1,0))),ROUND(MOD(INDEX($A337:$AL337,MATCH(Lists!$F$7,$A$1:$AL$1,0)),1)*1440,0),VALUE(LEFT(INDEX($A337:$AL337,MATCH(Lists!$F$7,$A$1:$AL$1,0)),2))*60+VALUE(MID(INDEX($A337:$AL337,MATCH(Lists!$F$7,$A$1:$AL$1,0)),4,2)))),""),-1))</f>
        <v/>
      </c>
      <c r="AW337" s="21">
        <f>IF(IFERROR(TRIM(INDEX($A337:$AL337,MATCH(Lists!$F$2,$A$1:$AL$1,0))&amp;""),"")="","",IF(IFERROR(TRIM(INDEX($A337:$AL337,MATCH(Lists!$F$8,$A$1:$AL$1,0))&amp;""),"")&lt;&gt;"",IFERROR(TRIM(INDEX($A337:$AL337,MATCH(Lists!$F$8,$A$1:$AL$1,0))&amp;""),""),IFERROR(TRIM(INDEX($A337:$AL337,MATCH(Lists!$F$9,$A$1:$AL$1,0))&amp;""),"")))</f>
        <v/>
      </c>
      <c r="AX337" s="21">
        <f>IFERROR(IF(TRIM(INDEX($A337:$AL337,MATCH(Lists!$F$10,$A$1:$AL$1,0))&amp;"")="","",VALUE(TRIM(INDEX($A337:$AL337,MATCH(Lists!$F$10,$A$1:$AL$1,0))&amp;""))),"")</f>
        <v/>
      </c>
      <c r="AY337" s="21">
        <f>IF(IFERROR(TRIM(INDEX($A337:$AL337,MATCH(Lists!$F$2,$A$1:$AL$1,0))&amp;""),"")="","",IF(AN337="","New",AN337))</f>
        <v/>
      </c>
      <c r="AZ337" s="21">
        <f>IF(IFERROR(TRIM(INDEX($A337:$AL337,MATCH(Lists!$F$2,$A$1:$AL$1,0))&amp;""),"")="","",IF(OR(IFERROR(TRIM(INDEX($A337:$AL337,MATCH(Lists!$F$13,$A$1:$AL$1,0))&amp;""),"")="Paid",IFERROR(TRIM(INDEX($A337:$AL337,MATCH(Lists!$F$13,$A$1:$AL$1,0))&amp;""),"")="Partially refunded"),"Paid",IF(AP337="Yes","Paid (by hand)",IFERROR(TRIM(INDEX($A337:$AL337,MATCH(Lists!$F$13,$A$1:$AL$1,0))&amp;""),""))))</f>
        <v/>
      </c>
      <c r="BA337" s="21">
        <f>IF(AND(IFERROR(TRIM(INDEX($A337:$AL337,MATCH(Lists!$F$2,$A$1:$AL$1,0))&amp;""),"")&lt;&gt;"",AT337&gt;0,AU337&gt;=0,AV337&gt;AU337,AY337&lt;&gt;"Declined"),1,0)</f>
        <v/>
      </c>
      <c r="BB337" s="21">
        <f>IF(BA337=1,COUNTIFS($AS$2:$AS$501,AS337,$AT$2:$AT$501,AT337,$AU$2:$AU$501,"&lt;"&amp;AV337,$AV$2:$AV$501,"&gt;"&amp;AU337,$BA$2:$BA$501,1)-1,"")</f>
        <v/>
      </c>
      <c r="BC337" s="21">
        <f>IF(N(BB337)&gt;0,"Clashes with "&amp;INDEX($AW$2:$AW$501,SUMPRODUCT(MAX(($AS$2:$AS$501=AS337)*($AT$2:$AT$501=AT337)*($AU$2:$AU$501&lt;AV337)*($AV$2:$AV$501&gt;AU337)*($BA$2:$BA$501=1)*(ROW($AS$2:$AS$501)&lt;&gt;ROW())*ROW($AS$2:$AS$501)))-1)&amp;" ("&amp;INDEX($AY$2:$AY$501,SUMPRODUCT(MAX(($AS$2:$AS$501=AS337)*($AT$2:$AT$501=AT337)*($AU$2:$AU$501&lt;AV337)*($AV$2:$AV$501&gt;AU337)*($BA$2:$BA$501=1)*(ROW($AS$2:$AS$501)&lt;&gt;ROW())*ROW($AS$2:$AS$501)))-1)&amp;")"&amp;IF(BB337&gt;1," and "&amp;(BB337-1)&amp;" more",""),"")</f>
        <v/>
      </c>
      <c r="BD337" s="21">
        <f>IF(AND(BA337=1,AY337="Confirmed"),AT337*10000000+AU337*1000+ROW(),"")</f>
        <v/>
      </c>
      <c r="BE337" s="21">
        <f>IF(IFERROR(TRIM(INDEX($A337:$AL337,MATCH(Lists!$F$2,$A$1:$AL$1,0))&amp;""),"")="","",IFERROR(TRIM(INDEX($A337:$AL337,MATCH(Lists!$F$11,$A$1:$AL$1,0))&amp;""),""))</f>
        <v/>
      </c>
      <c r="BF337" s="21">
        <f>IF(IFERROR(TRIM(INDEX($A337:$AL337,MATCH(Lists!$F$2,$A$1:$AL$1,0))&amp;""),"")="","",IFERROR(TRIM(INDEX($A337:$AL337,MATCH(Lists!$F$12,$A$1:$AL$1,0))&amp;""),""))</f>
        <v/>
      </c>
    </row>
    <row r="338">
      <c r="AM338" s="19" t="n"/>
      <c r="AN338" s="23" t="n"/>
      <c r="AO338" s="23" t="n"/>
      <c r="AP338" s="23" t="n"/>
      <c r="AQ338" s="23" t="n"/>
      <c r="AR338" s="19" t="n"/>
      <c r="AS338" s="21">
        <f>IF(IFERROR(TRIM(INDEX($A338:$AL338,MATCH(Lists!$F$2,$A$1:$AL$1,0))&amp;""),"")="","",IF(AND(IFERROR(TRIM(INDEX($A338:$AL338,MATCH(Lists!$F$3,$A$1:$AL$1,0))&amp;""),"")="Other",IFERROR(TRIM(INDEX($A338:$AL338,MATCH(Lists!$F$4,$A$1:$AL$1,0))&amp;""),"")&lt;&gt;""),IFERROR(TRIM(INDEX($A338:$AL338,MATCH(Lists!$F$4,$A$1:$AL$1,0))&amp;""),""),IF(IFERROR(TRIM(INDEX($A338:$AL338,MATCH(Lists!$F$3,$A$1:$AL$1,0))&amp;""),"")="","(no space)",IFERROR(TRIM(INDEX($A338:$AL338,MATCH(Lists!$F$3,$A$1:$AL$1,0))&amp;""),""))))</f>
        <v/>
      </c>
      <c r="AT338" s="22">
        <f>IF(IFERROR(TRIM(INDEX($A338:$AL338,MATCH(Lists!$F$2,$A$1:$AL$1,0))&amp;""),"")="",0,N(IFERROR(IF(TRIM(INDEX($A338:$AL338,MATCH(Lists!$F$5,$A$1:$AL$1,0))&amp;"")="","",IF(ISNUMBER(INDEX($A338:$AL338,MATCH(Lists!$F$5,$A$1:$AL$1,0))),INT(INDEX($A338:$AL338,MATCH(Lists!$F$5,$A$1:$AL$1,0))),DATE(VALUE(LEFT(INDEX($A338:$AL338,MATCH(Lists!$F$5,$A$1:$AL$1,0)),4)),VALUE(MID(INDEX($A338:$AL338,MATCH(Lists!$F$5,$A$1:$AL$1,0)),6,2)),VALUE(MID(INDEX($A338:$AL338,MATCH(Lists!$F$5,$A$1:$AL$1,0)),9,2))))),"")))</f>
        <v/>
      </c>
      <c r="AU338" s="21">
        <f>IF(IFERROR(TRIM(INDEX($A338:$AL338,MATCH(Lists!$F$2,$A$1:$AL$1,0))&amp;""),"")="",-1,IF(ISNUMBER(IFERROR(IF(TRIM(INDEX($A338:$AL338,MATCH(Lists!$F$6,$A$1:$AL$1,0))&amp;"")="","",IF(ISNUMBER(INDEX($A338:$AL338,MATCH(Lists!$F$6,$A$1:$AL$1,0))),ROUND(MOD(INDEX($A338:$AL338,MATCH(Lists!$F$6,$A$1:$AL$1,0)),1)*1440,0),VALUE(LEFT(INDEX($A338:$AL338,MATCH(Lists!$F$6,$A$1:$AL$1,0)),2))*60+VALUE(MID(INDEX($A338:$AL338,MATCH(Lists!$F$6,$A$1:$AL$1,0)),4,2)))),"")),IFERROR(IF(TRIM(INDEX($A338:$AL338,MATCH(Lists!$F$6,$A$1:$AL$1,0))&amp;"")="","",IF(ISNUMBER(INDEX($A338:$AL338,MATCH(Lists!$F$6,$A$1:$AL$1,0))),ROUND(MOD(INDEX($A338:$AL338,MATCH(Lists!$F$6,$A$1:$AL$1,0)),1)*1440,0),VALUE(LEFT(INDEX($A338:$AL338,MATCH(Lists!$F$6,$A$1:$AL$1,0)),2))*60+VALUE(MID(INDEX($A338:$AL338,MATCH(Lists!$F$6,$A$1:$AL$1,0)),4,2)))),""),-1))</f>
        <v/>
      </c>
      <c r="AV338" s="21">
        <f>IF(IFERROR(TRIM(INDEX($A338:$AL338,MATCH(Lists!$F$2,$A$1:$AL$1,0))&amp;""),"")="",-1,IF(ISNUMBER(IFERROR(IF(TRIM(INDEX($A338:$AL338,MATCH(Lists!$F$7,$A$1:$AL$1,0))&amp;"")="","",IF(ISNUMBER(INDEX($A338:$AL338,MATCH(Lists!$F$7,$A$1:$AL$1,0))),ROUND(MOD(INDEX($A338:$AL338,MATCH(Lists!$F$7,$A$1:$AL$1,0)),1)*1440,0),VALUE(LEFT(INDEX($A338:$AL338,MATCH(Lists!$F$7,$A$1:$AL$1,0)),2))*60+VALUE(MID(INDEX($A338:$AL338,MATCH(Lists!$F$7,$A$1:$AL$1,0)),4,2)))),"")),IFERROR(IF(TRIM(INDEX($A338:$AL338,MATCH(Lists!$F$7,$A$1:$AL$1,0))&amp;"")="","",IF(ISNUMBER(INDEX($A338:$AL338,MATCH(Lists!$F$7,$A$1:$AL$1,0))),ROUND(MOD(INDEX($A338:$AL338,MATCH(Lists!$F$7,$A$1:$AL$1,0)),1)*1440,0),VALUE(LEFT(INDEX($A338:$AL338,MATCH(Lists!$F$7,$A$1:$AL$1,0)),2))*60+VALUE(MID(INDEX($A338:$AL338,MATCH(Lists!$F$7,$A$1:$AL$1,0)),4,2)))),""),-1))</f>
        <v/>
      </c>
      <c r="AW338" s="21">
        <f>IF(IFERROR(TRIM(INDEX($A338:$AL338,MATCH(Lists!$F$2,$A$1:$AL$1,0))&amp;""),"")="","",IF(IFERROR(TRIM(INDEX($A338:$AL338,MATCH(Lists!$F$8,$A$1:$AL$1,0))&amp;""),"")&lt;&gt;"",IFERROR(TRIM(INDEX($A338:$AL338,MATCH(Lists!$F$8,$A$1:$AL$1,0))&amp;""),""),IFERROR(TRIM(INDEX($A338:$AL338,MATCH(Lists!$F$9,$A$1:$AL$1,0))&amp;""),"")))</f>
        <v/>
      </c>
      <c r="AX338" s="21">
        <f>IFERROR(IF(TRIM(INDEX($A338:$AL338,MATCH(Lists!$F$10,$A$1:$AL$1,0))&amp;"")="","",VALUE(TRIM(INDEX($A338:$AL338,MATCH(Lists!$F$10,$A$1:$AL$1,0))&amp;""))),"")</f>
        <v/>
      </c>
      <c r="AY338" s="21">
        <f>IF(IFERROR(TRIM(INDEX($A338:$AL338,MATCH(Lists!$F$2,$A$1:$AL$1,0))&amp;""),"")="","",IF(AN338="","New",AN338))</f>
        <v/>
      </c>
      <c r="AZ338" s="21">
        <f>IF(IFERROR(TRIM(INDEX($A338:$AL338,MATCH(Lists!$F$2,$A$1:$AL$1,0))&amp;""),"")="","",IF(OR(IFERROR(TRIM(INDEX($A338:$AL338,MATCH(Lists!$F$13,$A$1:$AL$1,0))&amp;""),"")="Paid",IFERROR(TRIM(INDEX($A338:$AL338,MATCH(Lists!$F$13,$A$1:$AL$1,0))&amp;""),"")="Partially refunded"),"Paid",IF(AP338="Yes","Paid (by hand)",IFERROR(TRIM(INDEX($A338:$AL338,MATCH(Lists!$F$13,$A$1:$AL$1,0))&amp;""),""))))</f>
        <v/>
      </c>
      <c r="BA338" s="21">
        <f>IF(AND(IFERROR(TRIM(INDEX($A338:$AL338,MATCH(Lists!$F$2,$A$1:$AL$1,0))&amp;""),"")&lt;&gt;"",AT338&gt;0,AU338&gt;=0,AV338&gt;AU338,AY338&lt;&gt;"Declined"),1,0)</f>
        <v/>
      </c>
      <c r="BB338" s="21">
        <f>IF(BA338=1,COUNTIFS($AS$2:$AS$501,AS338,$AT$2:$AT$501,AT338,$AU$2:$AU$501,"&lt;"&amp;AV338,$AV$2:$AV$501,"&gt;"&amp;AU338,$BA$2:$BA$501,1)-1,"")</f>
        <v/>
      </c>
      <c r="BC338" s="21">
        <f>IF(N(BB338)&gt;0,"Clashes with "&amp;INDEX($AW$2:$AW$501,SUMPRODUCT(MAX(($AS$2:$AS$501=AS338)*($AT$2:$AT$501=AT338)*($AU$2:$AU$501&lt;AV338)*($AV$2:$AV$501&gt;AU338)*($BA$2:$BA$501=1)*(ROW($AS$2:$AS$501)&lt;&gt;ROW())*ROW($AS$2:$AS$501)))-1)&amp;" ("&amp;INDEX($AY$2:$AY$501,SUMPRODUCT(MAX(($AS$2:$AS$501=AS338)*($AT$2:$AT$501=AT338)*($AU$2:$AU$501&lt;AV338)*($AV$2:$AV$501&gt;AU338)*($BA$2:$BA$501=1)*(ROW($AS$2:$AS$501)&lt;&gt;ROW())*ROW($AS$2:$AS$501)))-1)&amp;")"&amp;IF(BB338&gt;1," and "&amp;(BB338-1)&amp;" more",""),"")</f>
        <v/>
      </c>
      <c r="BD338" s="21">
        <f>IF(AND(BA338=1,AY338="Confirmed"),AT338*10000000+AU338*1000+ROW(),"")</f>
        <v/>
      </c>
      <c r="BE338" s="21">
        <f>IF(IFERROR(TRIM(INDEX($A338:$AL338,MATCH(Lists!$F$2,$A$1:$AL$1,0))&amp;""),"")="","",IFERROR(TRIM(INDEX($A338:$AL338,MATCH(Lists!$F$11,$A$1:$AL$1,0))&amp;""),""))</f>
        <v/>
      </c>
      <c r="BF338" s="21">
        <f>IF(IFERROR(TRIM(INDEX($A338:$AL338,MATCH(Lists!$F$2,$A$1:$AL$1,0))&amp;""),"")="","",IFERROR(TRIM(INDEX($A338:$AL338,MATCH(Lists!$F$12,$A$1:$AL$1,0))&amp;""),""))</f>
        <v/>
      </c>
    </row>
    <row r="339">
      <c r="AM339" s="19" t="n"/>
      <c r="AN339" s="23" t="n"/>
      <c r="AO339" s="23" t="n"/>
      <c r="AP339" s="23" t="n"/>
      <c r="AQ339" s="23" t="n"/>
      <c r="AR339" s="19" t="n"/>
      <c r="AS339" s="21">
        <f>IF(IFERROR(TRIM(INDEX($A339:$AL339,MATCH(Lists!$F$2,$A$1:$AL$1,0))&amp;""),"")="","",IF(AND(IFERROR(TRIM(INDEX($A339:$AL339,MATCH(Lists!$F$3,$A$1:$AL$1,0))&amp;""),"")="Other",IFERROR(TRIM(INDEX($A339:$AL339,MATCH(Lists!$F$4,$A$1:$AL$1,0))&amp;""),"")&lt;&gt;""),IFERROR(TRIM(INDEX($A339:$AL339,MATCH(Lists!$F$4,$A$1:$AL$1,0))&amp;""),""),IF(IFERROR(TRIM(INDEX($A339:$AL339,MATCH(Lists!$F$3,$A$1:$AL$1,0))&amp;""),"")="","(no space)",IFERROR(TRIM(INDEX($A339:$AL339,MATCH(Lists!$F$3,$A$1:$AL$1,0))&amp;""),""))))</f>
        <v/>
      </c>
      <c r="AT339" s="22">
        <f>IF(IFERROR(TRIM(INDEX($A339:$AL339,MATCH(Lists!$F$2,$A$1:$AL$1,0))&amp;""),"")="",0,N(IFERROR(IF(TRIM(INDEX($A339:$AL339,MATCH(Lists!$F$5,$A$1:$AL$1,0))&amp;"")="","",IF(ISNUMBER(INDEX($A339:$AL339,MATCH(Lists!$F$5,$A$1:$AL$1,0))),INT(INDEX($A339:$AL339,MATCH(Lists!$F$5,$A$1:$AL$1,0))),DATE(VALUE(LEFT(INDEX($A339:$AL339,MATCH(Lists!$F$5,$A$1:$AL$1,0)),4)),VALUE(MID(INDEX($A339:$AL339,MATCH(Lists!$F$5,$A$1:$AL$1,0)),6,2)),VALUE(MID(INDEX($A339:$AL339,MATCH(Lists!$F$5,$A$1:$AL$1,0)),9,2))))),"")))</f>
        <v/>
      </c>
      <c r="AU339" s="21">
        <f>IF(IFERROR(TRIM(INDEX($A339:$AL339,MATCH(Lists!$F$2,$A$1:$AL$1,0))&amp;""),"")="",-1,IF(ISNUMBER(IFERROR(IF(TRIM(INDEX($A339:$AL339,MATCH(Lists!$F$6,$A$1:$AL$1,0))&amp;"")="","",IF(ISNUMBER(INDEX($A339:$AL339,MATCH(Lists!$F$6,$A$1:$AL$1,0))),ROUND(MOD(INDEX($A339:$AL339,MATCH(Lists!$F$6,$A$1:$AL$1,0)),1)*1440,0),VALUE(LEFT(INDEX($A339:$AL339,MATCH(Lists!$F$6,$A$1:$AL$1,0)),2))*60+VALUE(MID(INDEX($A339:$AL339,MATCH(Lists!$F$6,$A$1:$AL$1,0)),4,2)))),"")),IFERROR(IF(TRIM(INDEX($A339:$AL339,MATCH(Lists!$F$6,$A$1:$AL$1,0))&amp;"")="","",IF(ISNUMBER(INDEX($A339:$AL339,MATCH(Lists!$F$6,$A$1:$AL$1,0))),ROUND(MOD(INDEX($A339:$AL339,MATCH(Lists!$F$6,$A$1:$AL$1,0)),1)*1440,0),VALUE(LEFT(INDEX($A339:$AL339,MATCH(Lists!$F$6,$A$1:$AL$1,0)),2))*60+VALUE(MID(INDEX($A339:$AL339,MATCH(Lists!$F$6,$A$1:$AL$1,0)),4,2)))),""),-1))</f>
        <v/>
      </c>
      <c r="AV339" s="21">
        <f>IF(IFERROR(TRIM(INDEX($A339:$AL339,MATCH(Lists!$F$2,$A$1:$AL$1,0))&amp;""),"")="",-1,IF(ISNUMBER(IFERROR(IF(TRIM(INDEX($A339:$AL339,MATCH(Lists!$F$7,$A$1:$AL$1,0))&amp;"")="","",IF(ISNUMBER(INDEX($A339:$AL339,MATCH(Lists!$F$7,$A$1:$AL$1,0))),ROUND(MOD(INDEX($A339:$AL339,MATCH(Lists!$F$7,$A$1:$AL$1,0)),1)*1440,0),VALUE(LEFT(INDEX($A339:$AL339,MATCH(Lists!$F$7,$A$1:$AL$1,0)),2))*60+VALUE(MID(INDEX($A339:$AL339,MATCH(Lists!$F$7,$A$1:$AL$1,0)),4,2)))),"")),IFERROR(IF(TRIM(INDEX($A339:$AL339,MATCH(Lists!$F$7,$A$1:$AL$1,0))&amp;"")="","",IF(ISNUMBER(INDEX($A339:$AL339,MATCH(Lists!$F$7,$A$1:$AL$1,0))),ROUND(MOD(INDEX($A339:$AL339,MATCH(Lists!$F$7,$A$1:$AL$1,0)),1)*1440,0),VALUE(LEFT(INDEX($A339:$AL339,MATCH(Lists!$F$7,$A$1:$AL$1,0)),2))*60+VALUE(MID(INDEX($A339:$AL339,MATCH(Lists!$F$7,$A$1:$AL$1,0)),4,2)))),""),-1))</f>
        <v/>
      </c>
      <c r="AW339" s="21">
        <f>IF(IFERROR(TRIM(INDEX($A339:$AL339,MATCH(Lists!$F$2,$A$1:$AL$1,0))&amp;""),"")="","",IF(IFERROR(TRIM(INDEX($A339:$AL339,MATCH(Lists!$F$8,$A$1:$AL$1,0))&amp;""),"")&lt;&gt;"",IFERROR(TRIM(INDEX($A339:$AL339,MATCH(Lists!$F$8,$A$1:$AL$1,0))&amp;""),""),IFERROR(TRIM(INDEX($A339:$AL339,MATCH(Lists!$F$9,$A$1:$AL$1,0))&amp;""),"")))</f>
        <v/>
      </c>
      <c r="AX339" s="21">
        <f>IFERROR(IF(TRIM(INDEX($A339:$AL339,MATCH(Lists!$F$10,$A$1:$AL$1,0))&amp;"")="","",VALUE(TRIM(INDEX($A339:$AL339,MATCH(Lists!$F$10,$A$1:$AL$1,0))&amp;""))),"")</f>
        <v/>
      </c>
      <c r="AY339" s="21">
        <f>IF(IFERROR(TRIM(INDEX($A339:$AL339,MATCH(Lists!$F$2,$A$1:$AL$1,0))&amp;""),"")="","",IF(AN339="","New",AN339))</f>
        <v/>
      </c>
      <c r="AZ339" s="21">
        <f>IF(IFERROR(TRIM(INDEX($A339:$AL339,MATCH(Lists!$F$2,$A$1:$AL$1,0))&amp;""),"")="","",IF(OR(IFERROR(TRIM(INDEX($A339:$AL339,MATCH(Lists!$F$13,$A$1:$AL$1,0))&amp;""),"")="Paid",IFERROR(TRIM(INDEX($A339:$AL339,MATCH(Lists!$F$13,$A$1:$AL$1,0))&amp;""),"")="Partially refunded"),"Paid",IF(AP339="Yes","Paid (by hand)",IFERROR(TRIM(INDEX($A339:$AL339,MATCH(Lists!$F$13,$A$1:$AL$1,0))&amp;""),""))))</f>
        <v/>
      </c>
      <c r="BA339" s="21">
        <f>IF(AND(IFERROR(TRIM(INDEX($A339:$AL339,MATCH(Lists!$F$2,$A$1:$AL$1,0))&amp;""),"")&lt;&gt;"",AT339&gt;0,AU339&gt;=0,AV339&gt;AU339,AY339&lt;&gt;"Declined"),1,0)</f>
        <v/>
      </c>
      <c r="BB339" s="21">
        <f>IF(BA339=1,COUNTIFS($AS$2:$AS$501,AS339,$AT$2:$AT$501,AT339,$AU$2:$AU$501,"&lt;"&amp;AV339,$AV$2:$AV$501,"&gt;"&amp;AU339,$BA$2:$BA$501,1)-1,"")</f>
        <v/>
      </c>
      <c r="BC339" s="21">
        <f>IF(N(BB339)&gt;0,"Clashes with "&amp;INDEX($AW$2:$AW$501,SUMPRODUCT(MAX(($AS$2:$AS$501=AS339)*($AT$2:$AT$501=AT339)*($AU$2:$AU$501&lt;AV339)*($AV$2:$AV$501&gt;AU339)*($BA$2:$BA$501=1)*(ROW($AS$2:$AS$501)&lt;&gt;ROW())*ROW($AS$2:$AS$501)))-1)&amp;" ("&amp;INDEX($AY$2:$AY$501,SUMPRODUCT(MAX(($AS$2:$AS$501=AS339)*($AT$2:$AT$501=AT339)*($AU$2:$AU$501&lt;AV339)*($AV$2:$AV$501&gt;AU339)*($BA$2:$BA$501=1)*(ROW($AS$2:$AS$501)&lt;&gt;ROW())*ROW($AS$2:$AS$501)))-1)&amp;")"&amp;IF(BB339&gt;1," and "&amp;(BB339-1)&amp;" more",""),"")</f>
        <v/>
      </c>
      <c r="BD339" s="21">
        <f>IF(AND(BA339=1,AY339="Confirmed"),AT339*10000000+AU339*1000+ROW(),"")</f>
        <v/>
      </c>
      <c r="BE339" s="21">
        <f>IF(IFERROR(TRIM(INDEX($A339:$AL339,MATCH(Lists!$F$2,$A$1:$AL$1,0))&amp;""),"")="","",IFERROR(TRIM(INDEX($A339:$AL339,MATCH(Lists!$F$11,$A$1:$AL$1,0))&amp;""),""))</f>
        <v/>
      </c>
      <c r="BF339" s="21">
        <f>IF(IFERROR(TRIM(INDEX($A339:$AL339,MATCH(Lists!$F$2,$A$1:$AL$1,0))&amp;""),"")="","",IFERROR(TRIM(INDEX($A339:$AL339,MATCH(Lists!$F$12,$A$1:$AL$1,0))&amp;""),""))</f>
        <v/>
      </c>
    </row>
    <row r="340">
      <c r="AM340" s="19" t="n"/>
      <c r="AN340" s="23" t="n"/>
      <c r="AO340" s="23" t="n"/>
      <c r="AP340" s="23" t="n"/>
      <c r="AQ340" s="23" t="n"/>
      <c r="AR340" s="19" t="n"/>
      <c r="AS340" s="21">
        <f>IF(IFERROR(TRIM(INDEX($A340:$AL340,MATCH(Lists!$F$2,$A$1:$AL$1,0))&amp;""),"")="","",IF(AND(IFERROR(TRIM(INDEX($A340:$AL340,MATCH(Lists!$F$3,$A$1:$AL$1,0))&amp;""),"")="Other",IFERROR(TRIM(INDEX($A340:$AL340,MATCH(Lists!$F$4,$A$1:$AL$1,0))&amp;""),"")&lt;&gt;""),IFERROR(TRIM(INDEX($A340:$AL340,MATCH(Lists!$F$4,$A$1:$AL$1,0))&amp;""),""),IF(IFERROR(TRIM(INDEX($A340:$AL340,MATCH(Lists!$F$3,$A$1:$AL$1,0))&amp;""),"")="","(no space)",IFERROR(TRIM(INDEX($A340:$AL340,MATCH(Lists!$F$3,$A$1:$AL$1,0))&amp;""),""))))</f>
        <v/>
      </c>
      <c r="AT340" s="22">
        <f>IF(IFERROR(TRIM(INDEX($A340:$AL340,MATCH(Lists!$F$2,$A$1:$AL$1,0))&amp;""),"")="",0,N(IFERROR(IF(TRIM(INDEX($A340:$AL340,MATCH(Lists!$F$5,$A$1:$AL$1,0))&amp;"")="","",IF(ISNUMBER(INDEX($A340:$AL340,MATCH(Lists!$F$5,$A$1:$AL$1,0))),INT(INDEX($A340:$AL340,MATCH(Lists!$F$5,$A$1:$AL$1,0))),DATE(VALUE(LEFT(INDEX($A340:$AL340,MATCH(Lists!$F$5,$A$1:$AL$1,0)),4)),VALUE(MID(INDEX($A340:$AL340,MATCH(Lists!$F$5,$A$1:$AL$1,0)),6,2)),VALUE(MID(INDEX($A340:$AL340,MATCH(Lists!$F$5,$A$1:$AL$1,0)),9,2))))),"")))</f>
        <v/>
      </c>
      <c r="AU340" s="21">
        <f>IF(IFERROR(TRIM(INDEX($A340:$AL340,MATCH(Lists!$F$2,$A$1:$AL$1,0))&amp;""),"")="",-1,IF(ISNUMBER(IFERROR(IF(TRIM(INDEX($A340:$AL340,MATCH(Lists!$F$6,$A$1:$AL$1,0))&amp;"")="","",IF(ISNUMBER(INDEX($A340:$AL340,MATCH(Lists!$F$6,$A$1:$AL$1,0))),ROUND(MOD(INDEX($A340:$AL340,MATCH(Lists!$F$6,$A$1:$AL$1,0)),1)*1440,0),VALUE(LEFT(INDEX($A340:$AL340,MATCH(Lists!$F$6,$A$1:$AL$1,0)),2))*60+VALUE(MID(INDEX($A340:$AL340,MATCH(Lists!$F$6,$A$1:$AL$1,0)),4,2)))),"")),IFERROR(IF(TRIM(INDEX($A340:$AL340,MATCH(Lists!$F$6,$A$1:$AL$1,0))&amp;"")="","",IF(ISNUMBER(INDEX($A340:$AL340,MATCH(Lists!$F$6,$A$1:$AL$1,0))),ROUND(MOD(INDEX($A340:$AL340,MATCH(Lists!$F$6,$A$1:$AL$1,0)),1)*1440,0),VALUE(LEFT(INDEX($A340:$AL340,MATCH(Lists!$F$6,$A$1:$AL$1,0)),2))*60+VALUE(MID(INDEX($A340:$AL340,MATCH(Lists!$F$6,$A$1:$AL$1,0)),4,2)))),""),-1))</f>
        <v/>
      </c>
      <c r="AV340" s="21">
        <f>IF(IFERROR(TRIM(INDEX($A340:$AL340,MATCH(Lists!$F$2,$A$1:$AL$1,0))&amp;""),"")="",-1,IF(ISNUMBER(IFERROR(IF(TRIM(INDEX($A340:$AL340,MATCH(Lists!$F$7,$A$1:$AL$1,0))&amp;"")="","",IF(ISNUMBER(INDEX($A340:$AL340,MATCH(Lists!$F$7,$A$1:$AL$1,0))),ROUND(MOD(INDEX($A340:$AL340,MATCH(Lists!$F$7,$A$1:$AL$1,0)),1)*1440,0),VALUE(LEFT(INDEX($A340:$AL340,MATCH(Lists!$F$7,$A$1:$AL$1,0)),2))*60+VALUE(MID(INDEX($A340:$AL340,MATCH(Lists!$F$7,$A$1:$AL$1,0)),4,2)))),"")),IFERROR(IF(TRIM(INDEX($A340:$AL340,MATCH(Lists!$F$7,$A$1:$AL$1,0))&amp;"")="","",IF(ISNUMBER(INDEX($A340:$AL340,MATCH(Lists!$F$7,$A$1:$AL$1,0))),ROUND(MOD(INDEX($A340:$AL340,MATCH(Lists!$F$7,$A$1:$AL$1,0)),1)*1440,0),VALUE(LEFT(INDEX($A340:$AL340,MATCH(Lists!$F$7,$A$1:$AL$1,0)),2))*60+VALUE(MID(INDEX($A340:$AL340,MATCH(Lists!$F$7,$A$1:$AL$1,0)),4,2)))),""),-1))</f>
        <v/>
      </c>
      <c r="AW340" s="21">
        <f>IF(IFERROR(TRIM(INDEX($A340:$AL340,MATCH(Lists!$F$2,$A$1:$AL$1,0))&amp;""),"")="","",IF(IFERROR(TRIM(INDEX($A340:$AL340,MATCH(Lists!$F$8,$A$1:$AL$1,0))&amp;""),"")&lt;&gt;"",IFERROR(TRIM(INDEX($A340:$AL340,MATCH(Lists!$F$8,$A$1:$AL$1,0))&amp;""),""),IFERROR(TRIM(INDEX($A340:$AL340,MATCH(Lists!$F$9,$A$1:$AL$1,0))&amp;""),"")))</f>
        <v/>
      </c>
      <c r="AX340" s="21">
        <f>IFERROR(IF(TRIM(INDEX($A340:$AL340,MATCH(Lists!$F$10,$A$1:$AL$1,0))&amp;"")="","",VALUE(TRIM(INDEX($A340:$AL340,MATCH(Lists!$F$10,$A$1:$AL$1,0))&amp;""))),"")</f>
        <v/>
      </c>
      <c r="AY340" s="21">
        <f>IF(IFERROR(TRIM(INDEX($A340:$AL340,MATCH(Lists!$F$2,$A$1:$AL$1,0))&amp;""),"")="","",IF(AN340="","New",AN340))</f>
        <v/>
      </c>
      <c r="AZ340" s="21">
        <f>IF(IFERROR(TRIM(INDEX($A340:$AL340,MATCH(Lists!$F$2,$A$1:$AL$1,0))&amp;""),"")="","",IF(OR(IFERROR(TRIM(INDEX($A340:$AL340,MATCH(Lists!$F$13,$A$1:$AL$1,0))&amp;""),"")="Paid",IFERROR(TRIM(INDEX($A340:$AL340,MATCH(Lists!$F$13,$A$1:$AL$1,0))&amp;""),"")="Partially refunded"),"Paid",IF(AP340="Yes","Paid (by hand)",IFERROR(TRIM(INDEX($A340:$AL340,MATCH(Lists!$F$13,$A$1:$AL$1,0))&amp;""),""))))</f>
        <v/>
      </c>
      <c r="BA340" s="21">
        <f>IF(AND(IFERROR(TRIM(INDEX($A340:$AL340,MATCH(Lists!$F$2,$A$1:$AL$1,0))&amp;""),"")&lt;&gt;"",AT340&gt;0,AU340&gt;=0,AV340&gt;AU340,AY340&lt;&gt;"Declined"),1,0)</f>
        <v/>
      </c>
      <c r="BB340" s="21">
        <f>IF(BA340=1,COUNTIFS($AS$2:$AS$501,AS340,$AT$2:$AT$501,AT340,$AU$2:$AU$501,"&lt;"&amp;AV340,$AV$2:$AV$501,"&gt;"&amp;AU340,$BA$2:$BA$501,1)-1,"")</f>
        <v/>
      </c>
      <c r="BC340" s="21">
        <f>IF(N(BB340)&gt;0,"Clashes with "&amp;INDEX($AW$2:$AW$501,SUMPRODUCT(MAX(($AS$2:$AS$501=AS340)*($AT$2:$AT$501=AT340)*($AU$2:$AU$501&lt;AV340)*($AV$2:$AV$501&gt;AU340)*($BA$2:$BA$501=1)*(ROW($AS$2:$AS$501)&lt;&gt;ROW())*ROW($AS$2:$AS$501)))-1)&amp;" ("&amp;INDEX($AY$2:$AY$501,SUMPRODUCT(MAX(($AS$2:$AS$501=AS340)*($AT$2:$AT$501=AT340)*($AU$2:$AU$501&lt;AV340)*($AV$2:$AV$501&gt;AU340)*($BA$2:$BA$501=1)*(ROW($AS$2:$AS$501)&lt;&gt;ROW())*ROW($AS$2:$AS$501)))-1)&amp;")"&amp;IF(BB340&gt;1," and "&amp;(BB340-1)&amp;" more",""),"")</f>
        <v/>
      </c>
      <c r="BD340" s="21">
        <f>IF(AND(BA340=1,AY340="Confirmed"),AT340*10000000+AU340*1000+ROW(),"")</f>
        <v/>
      </c>
      <c r="BE340" s="21">
        <f>IF(IFERROR(TRIM(INDEX($A340:$AL340,MATCH(Lists!$F$2,$A$1:$AL$1,0))&amp;""),"")="","",IFERROR(TRIM(INDEX($A340:$AL340,MATCH(Lists!$F$11,$A$1:$AL$1,0))&amp;""),""))</f>
        <v/>
      </c>
      <c r="BF340" s="21">
        <f>IF(IFERROR(TRIM(INDEX($A340:$AL340,MATCH(Lists!$F$2,$A$1:$AL$1,0))&amp;""),"")="","",IFERROR(TRIM(INDEX($A340:$AL340,MATCH(Lists!$F$12,$A$1:$AL$1,0))&amp;""),""))</f>
        <v/>
      </c>
    </row>
    <row r="341">
      <c r="AM341" s="19" t="n"/>
      <c r="AN341" s="23" t="n"/>
      <c r="AO341" s="23" t="n"/>
      <c r="AP341" s="23" t="n"/>
      <c r="AQ341" s="23" t="n"/>
      <c r="AR341" s="19" t="n"/>
      <c r="AS341" s="21">
        <f>IF(IFERROR(TRIM(INDEX($A341:$AL341,MATCH(Lists!$F$2,$A$1:$AL$1,0))&amp;""),"")="","",IF(AND(IFERROR(TRIM(INDEX($A341:$AL341,MATCH(Lists!$F$3,$A$1:$AL$1,0))&amp;""),"")="Other",IFERROR(TRIM(INDEX($A341:$AL341,MATCH(Lists!$F$4,$A$1:$AL$1,0))&amp;""),"")&lt;&gt;""),IFERROR(TRIM(INDEX($A341:$AL341,MATCH(Lists!$F$4,$A$1:$AL$1,0))&amp;""),""),IF(IFERROR(TRIM(INDEX($A341:$AL341,MATCH(Lists!$F$3,$A$1:$AL$1,0))&amp;""),"")="","(no space)",IFERROR(TRIM(INDEX($A341:$AL341,MATCH(Lists!$F$3,$A$1:$AL$1,0))&amp;""),""))))</f>
        <v/>
      </c>
      <c r="AT341" s="22">
        <f>IF(IFERROR(TRIM(INDEX($A341:$AL341,MATCH(Lists!$F$2,$A$1:$AL$1,0))&amp;""),"")="",0,N(IFERROR(IF(TRIM(INDEX($A341:$AL341,MATCH(Lists!$F$5,$A$1:$AL$1,0))&amp;"")="","",IF(ISNUMBER(INDEX($A341:$AL341,MATCH(Lists!$F$5,$A$1:$AL$1,0))),INT(INDEX($A341:$AL341,MATCH(Lists!$F$5,$A$1:$AL$1,0))),DATE(VALUE(LEFT(INDEX($A341:$AL341,MATCH(Lists!$F$5,$A$1:$AL$1,0)),4)),VALUE(MID(INDEX($A341:$AL341,MATCH(Lists!$F$5,$A$1:$AL$1,0)),6,2)),VALUE(MID(INDEX($A341:$AL341,MATCH(Lists!$F$5,$A$1:$AL$1,0)),9,2))))),"")))</f>
        <v/>
      </c>
      <c r="AU341" s="21">
        <f>IF(IFERROR(TRIM(INDEX($A341:$AL341,MATCH(Lists!$F$2,$A$1:$AL$1,0))&amp;""),"")="",-1,IF(ISNUMBER(IFERROR(IF(TRIM(INDEX($A341:$AL341,MATCH(Lists!$F$6,$A$1:$AL$1,0))&amp;"")="","",IF(ISNUMBER(INDEX($A341:$AL341,MATCH(Lists!$F$6,$A$1:$AL$1,0))),ROUND(MOD(INDEX($A341:$AL341,MATCH(Lists!$F$6,$A$1:$AL$1,0)),1)*1440,0),VALUE(LEFT(INDEX($A341:$AL341,MATCH(Lists!$F$6,$A$1:$AL$1,0)),2))*60+VALUE(MID(INDEX($A341:$AL341,MATCH(Lists!$F$6,$A$1:$AL$1,0)),4,2)))),"")),IFERROR(IF(TRIM(INDEX($A341:$AL341,MATCH(Lists!$F$6,$A$1:$AL$1,0))&amp;"")="","",IF(ISNUMBER(INDEX($A341:$AL341,MATCH(Lists!$F$6,$A$1:$AL$1,0))),ROUND(MOD(INDEX($A341:$AL341,MATCH(Lists!$F$6,$A$1:$AL$1,0)),1)*1440,0),VALUE(LEFT(INDEX($A341:$AL341,MATCH(Lists!$F$6,$A$1:$AL$1,0)),2))*60+VALUE(MID(INDEX($A341:$AL341,MATCH(Lists!$F$6,$A$1:$AL$1,0)),4,2)))),""),-1))</f>
        <v/>
      </c>
      <c r="AV341" s="21">
        <f>IF(IFERROR(TRIM(INDEX($A341:$AL341,MATCH(Lists!$F$2,$A$1:$AL$1,0))&amp;""),"")="",-1,IF(ISNUMBER(IFERROR(IF(TRIM(INDEX($A341:$AL341,MATCH(Lists!$F$7,$A$1:$AL$1,0))&amp;"")="","",IF(ISNUMBER(INDEX($A341:$AL341,MATCH(Lists!$F$7,$A$1:$AL$1,0))),ROUND(MOD(INDEX($A341:$AL341,MATCH(Lists!$F$7,$A$1:$AL$1,0)),1)*1440,0),VALUE(LEFT(INDEX($A341:$AL341,MATCH(Lists!$F$7,$A$1:$AL$1,0)),2))*60+VALUE(MID(INDEX($A341:$AL341,MATCH(Lists!$F$7,$A$1:$AL$1,0)),4,2)))),"")),IFERROR(IF(TRIM(INDEX($A341:$AL341,MATCH(Lists!$F$7,$A$1:$AL$1,0))&amp;"")="","",IF(ISNUMBER(INDEX($A341:$AL341,MATCH(Lists!$F$7,$A$1:$AL$1,0))),ROUND(MOD(INDEX($A341:$AL341,MATCH(Lists!$F$7,$A$1:$AL$1,0)),1)*1440,0),VALUE(LEFT(INDEX($A341:$AL341,MATCH(Lists!$F$7,$A$1:$AL$1,0)),2))*60+VALUE(MID(INDEX($A341:$AL341,MATCH(Lists!$F$7,$A$1:$AL$1,0)),4,2)))),""),-1))</f>
        <v/>
      </c>
      <c r="AW341" s="21">
        <f>IF(IFERROR(TRIM(INDEX($A341:$AL341,MATCH(Lists!$F$2,$A$1:$AL$1,0))&amp;""),"")="","",IF(IFERROR(TRIM(INDEX($A341:$AL341,MATCH(Lists!$F$8,$A$1:$AL$1,0))&amp;""),"")&lt;&gt;"",IFERROR(TRIM(INDEX($A341:$AL341,MATCH(Lists!$F$8,$A$1:$AL$1,0))&amp;""),""),IFERROR(TRIM(INDEX($A341:$AL341,MATCH(Lists!$F$9,$A$1:$AL$1,0))&amp;""),"")))</f>
        <v/>
      </c>
      <c r="AX341" s="21">
        <f>IFERROR(IF(TRIM(INDEX($A341:$AL341,MATCH(Lists!$F$10,$A$1:$AL$1,0))&amp;"")="","",VALUE(TRIM(INDEX($A341:$AL341,MATCH(Lists!$F$10,$A$1:$AL$1,0))&amp;""))),"")</f>
        <v/>
      </c>
      <c r="AY341" s="21">
        <f>IF(IFERROR(TRIM(INDEX($A341:$AL341,MATCH(Lists!$F$2,$A$1:$AL$1,0))&amp;""),"")="","",IF(AN341="","New",AN341))</f>
        <v/>
      </c>
      <c r="AZ341" s="21">
        <f>IF(IFERROR(TRIM(INDEX($A341:$AL341,MATCH(Lists!$F$2,$A$1:$AL$1,0))&amp;""),"")="","",IF(OR(IFERROR(TRIM(INDEX($A341:$AL341,MATCH(Lists!$F$13,$A$1:$AL$1,0))&amp;""),"")="Paid",IFERROR(TRIM(INDEX($A341:$AL341,MATCH(Lists!$F$13,$A$1:$AL$1,0))&amp;""),"")="Partially refunded"),"Paid",IF(AP341="Yes","Paid (by hand)",IFERROR(TRIM(INDEX($A341:$AL341,MATCH(Lists!$F$13,$A$1:$AL$1,0))&amp;""),""))))</f>
        <v/>
      </c>
      <c r="BA341" s="21">
        <f>IF(AND(IFERROR(TRIM(INDEX($A341:$AL341,MATCH(Lists!$F$2,$A$1:$AL$1,0))&amp;""),"")&lt;&gt;"",AT341&gt;0,AU341&gt;=0,AV341&gt;AU341,AY341&lt;&gt;"Declined"),1,0)</f>
        <v/>
      </c>
      <c r="BB341" s="21">
        <f>IF(BA341=1,COUNTIFS($AS$2:$AS$501,AS341,$AT$2:$AT$501,AT341,$AU$2:$AU$501,"&lt;"&amp;AV341,$AV$2:$AV$501,"&gt;"&amp;AU341,$BA$2:$BA$501,1)-1,"")</f>
        <v/>
      </c>
      <c r="BC341" s="21">
        <f>IF(N(BB341)&gt;0,"Clashes with "&amp;INDEX($AW$2:$AW$501,SUMPRODUCT(MAX(($AS$2:$AS$501=AS341)*($AT$2:$AT$501=AT341)*($AU$2:$AU$501&lt;AV341)*($AV$2:$AV$501&gt;AU341)*($BA$2:$BA$501=1)*(ROW($AS$2:$AS$501)&lt;&gt;ROW())*ROW($AS$2:$AS$501)))-1)&amp;" ("&amp;INDEX($AY$2:$AY$501,SUMPRODUCT(MAX(($AS$2:$AS$501=AS341)*($AT$2:$AT$501=AT341)*($AU$2:$AU$501&lt;AV341)*($AV$2:$AV$501&gt;AU341)*($BA$2:$BA$501=1)*(ROW($AS$2:$AS$501)&lt;&gt;ROW())*ROW($AS$2:$AS$501)))-1)&amp;")"&amp;IF(BB341&gt;1," and "&amp;(BB341-1)&amp;" more",""),"")</f>
        <v/>
      </c>
      <c r="BD341" s="21">
        <f>IF(AND(BA341=1,AY341="Confirmed"),AT341*10000000+AU341*1000+ROW(),"")</f>
        <v/>
      </c>
      <c r="BE341" s="21">
        <f>IF(IFERROR(TRIM(INDEX($A341:$AL341,MATCH(Lists!$F$2,$A$1:$AL$1,0))&amp;""),"")="","",IFERROR(TRIM(INDEX($A341:$AL341,MATCH(Lists!$F$11,$A$1:$AL$1,0))&amp;""),""))</f>
        <v/>
      </c>
      <c r="BF341" s="21">
        <f>IF(IFERROR(TRIM(INDEX($A341:$AL341,MATCH(Lists!$F$2,$A$1:$AL$1,0))&amp;""),"")="","",IFERROR(TRIM(INDEX($A341:$AL341,MATCH(Lists!$F$12,$A$1:$AL$1,0))&amp;""),""))</f>
        <v/>
      </c>
    </row>
    <row r="342">
      <c r="AM342" s="19" t="n"/>
      <c r="AN342" s="23" t="n"/>
      <c r="AO342" s="23" t="n"/>
      <c r="AP342" s="23" t="n"/>
      <c r="AQ342" s="23" t="n"/>
      <c r="AR342" s="19" t="n"/>
      <c r="AS342" s="21">
        <f>IF(IFERROR(TRIM(INDEX($A342:$AL342,MATCH(Lists!$F$2,$A$1:$AL$1,0))&amp;""),"")="","",IF(AND(IFERROR(TRIM(INDEX($A342:$AL342,MATCH(Lists!$F$3,$A$1:$AL$1,0))&amp;""),"")="Other",IFERROR(TRIM(INDEX($A342:$AL342,MATCH(Lists!$F$4,$A$1:$AL$1,0))&amp;""),"")&lt;&gt;""),IFERROR(TRIM(INDEX($A342:$AL342,MATCH(Lists!$F$4,$A$1:$AL$1,0))&amp;""),""),IF(IFERROR(TRIM(INDEX($A342:$AL342,MATCH(Lists!$F$3,$A$1:$AL$1,0))&amp;""),"")="","(no space)",IFERROR(TRIM(INDEX($A342:$AL342,MATCH(Lists!$F$3,$A$1:$AL$1,0))&amp;""),""))))</f>
        <v/>
      </c>
      <c r="AT342" s="22">
        <f>IF(IFERROR(TRIM(INDEX($A342:$AL342,MATCH(Lists!$F$2,$A$1:$AL$1,0))&amp;""),"")="",0,N(IFERROR(IF(TRIM(INDEX($A342:$AL342,MATCH(Lists!$F$5,$A$1:$AL$1,0))&amp;"")="","",IF(ISNUMBER(INDEX($A342:$AL342,MATCH(Lists!$F$5,$A$1:$AL$1,0))),INT(INDEX($A342:$AL342,MATCH(Lists!$F$5,$A$1:$AL$1,0))),DATE(VALUE(LEFT(INDEX($A342:$AL342,MATCH(Lists!$F$5,$A$1:$AL$1,0)),4)),VALUE(MID(INDEX($A342:$AL342,MATCH(Lists!$F$5,$A$1:$AL$1,0)),6,2)),VALUE(MID(INDEX($A342:$AL342,MATCH(Lists!$F$5,$A$1:$AL$1,0)),9,2))))),"")))</f>
        <v/>
      </c>
      <c r="AU342" s="21">
        <f>IF(IFERROR(TRIM(INDEX($A342:$AL342,MATCH(Lists!$F$2,$A$1:$AL$1,0))&amp;""),"")="",-1,IF(ISNUMBER(IFERROR(IF(TRIM(INDEX($A342:$AL342,MATCH(Lists!$F$6,$A$1:$AL$1,0))&amp;"")="","",IF(ISNUMBER(INDEX($A342:$AL342,MATCH(Lists!$F$6,$A$1:$AL$1,0))),ROUND(MOD(INDEX($A342:$AL342,MATCH(Lists!$F$6,$A$1:$AL$1,0)),1)*1440,0),VALUE(LEFT(INDEX($A342:$AL342,MATCH(Lists!$F$6,$A$1:$AL$1,0)),2))*60+VALUE(MID(INDEX($A342:$AL342,MATCH(Lists!$F$6,$A$1:$AL$1,0)),4,2)))),"")),IFERROR(IF(TRIM(INDEX($A342:$AL342,MATCH(Lists!$F$6,$A$1:$AL$1,0))&amp;"")="","",IF(ISNUMBER(INDEX($A342:$AL342,MATCH(Lists!$F$6,$A$1:$AL$1,0))),ROUND(MOD(INDEX($A342:$AL342,MATCH(Lists!$F$6,$A$1:$AL$1,0)),1)*1440,0),VALUE(LEFT(INDEX($A342:$AL342,MATCH(Lists!$F$6,$A$1:$AL$1,0)),2))*60+VALUE(MID(INDEX($A342:$AL342,MATCH(Lists!$F$6,$A$1:$AL$1,0)),4,2)))),""),-1))</f>
        <v/>
      </c>
      <c r="AV342" s="21">
        <f>IF(IFERROR(TRIM(INDEX($A342:$AL342,MATCH(Lists!$F$2,$A$1:$AL$1,0))&amp;""),"")="",-1,IF(ISNUMBER(IFERROR(IF(TRIM(INDEX($A342:$AL342,MATCH(Lists!$F$7,$A$1:$AL$1,0))&amp;"")="","",IF(ISNUMBER(INDEX($A342:$AL342,MATCH(Lists!$F$7,$A$1:$AL$1,0))),ROUND(MOD(INDEX($A342:$AL342,MATCH(Lists!$F$7,$A$1:$AL$1,0)),1)*1440,0),VALUE(LEFT(INDEX($A342:$AL342,MATCH(Lists!$F$7,$A$1:$AL$1,0)),2))*60+VALUE(MID(INDEX($A342:$AL342,MATCH(Lists!$F$7,$A$1:$AL$1,0)),4,2)))),"")),IFERROR(IF(TRIM(INDEX($A342:$AL342,MATCH(Lists!$F$7,$A$1:$AL$1,0))&amp;"")="","",IF(ISNUMBER(INDEX($A342:$AL342,MATCH(Lists!$F$7,$A$1:$AL$1,0))),ROUND(MOD(INDEX($A342:$AL342,MATCH(Lists!$F$7,$A$1:$AL$1,0)),1)*1440,0),VALUE(LEFT(INDEX($A342:$AL342,MATCH(Lists!$F$7,$A$1:$AL$1,0)),2))*60+VALUE(MID(INDEX($A342:$AL342,MATCH(Lists!$F$7,$A$1:$AL$1,0)),4,2)))),""),-1))</f>
        <v/>
      </c>
      <c r="AW342" s="21">
        <f>IF(IFERROR(TRIM(INDEX($A342:$AL342,MATCH(Lists!$F$2,$A$1:$AL$1,0))&amp;""),"")="","",IF(IFERROR(TRIM(INDEX($A342:$AL342,MATCH(Lists!$F$8,$A$1:$AL$1,0))&amp;""),"")&lt;&gt;"",IFERROR(TRIM(INDEX($A342:$AL342,MATCH(Lists!$F$8,$A$1:$AL$1,0))&amp;""),""),IFERROR(TRIM(INDEX($A342:$AL342,MATCH(Lists!$F$9,$A$1:$AL$1,0))&amp;""),"")))</f>
        <v/>
      </c>
      <c r="AX342" s="21">
        <f>IFERROR(IF(TRIM(INDEX($A342:$AL342,MATCH(Lists!$F$10,$A$1:$AL$1,0))&amp;"")="","",VALUE(TRIM(INDEX($A342:$AL342,MATCH(Lists!$F$10,$A$1:$AL$1,0))&amp;""))),"")</f>
        <v/>
      </c>
      <c r="AY342" s="21">
        <f>IF(IFERROR(TRIM(INDEX($A342:$AL342,MATCH(Lists!$F$2,$A$1:$AL$1,0))&amp;""),"")="","",IF(AN342="","New",AN342))</f>
        <v/>
      </c>
      <c r="AZ342" s="21">
        <f>IF(IFERROR(TRIM(INDEX($A342:$AL342,MATCH(Lists!$F$2,$A$1:$AL$1,0))&amp;""),"")="","",IF(OR(IFERROR(TRIM(INDEX($A342:$AL342,MATCH(Lists!$F$13,$A$1:$AL$1,0))&amp;""),"")="Paid",IFERROR(TRIM(INDEX($A342:$AL342,MATCH(Lists!$F$13,$A$1:$AL$1,0))&amp;""),"")="Partially refunded"),"Paid",IF(AP342="Yes","Paid (by hand)",IFERROR(TRIM(INDEX($A342:$AL342,MATCH(Lists!$F$13,$A$1:$AL$1,0))&amp;""),""))))</f>
        <v/>
      </c>
      <c r="BA342" s="21">
        <f>IF(AND(IFERROR(TRIM(INDEX($A342:$AL342,MATCH(Lists!$F$2,$A$1:$AL$1,0))&amp;""),"")&lt;&gt;"",AT342&gt;0,AU342&gt;=0,AV342&gt;AU342,AY342&lt;&gt;"Declined"),1,0)</f>
        <v/>
      </c>
      <c r="BB342" s="21">
        <f>IF(BA342=1,COUNTIFS($AS$2:$AS$501,AS342,$AT$2:$AT$501,AT342,$AU$2:$AU$501,"&lt;"&amp;AV342,$AV$2:$AV$501,"&gt;"&amp;AU342,$BA$2:$BA$501,1)-1,"")</f>
        <v/>
      </c>
      <c r="BC342" s="21">
        <f>IF(N(BB342)&gt;0,"Clashes with "&amp;INDEX($AW$2:$AW$501,SUMPRODUCT(MAX(($AS$2:$AS$501=AS342)*($AT$2:$AT$501=AT342)*($AU$2:$AU$501&lt;AV342)*($AV$2:$AV$501&gt;AU342)*($BA$2:$BA$501=1)*(ROW($AS$2:$AS$501)&lt;&gt;ROW())*ROW($AS$2:$AS$501)))-1)&amp;" ("&amp;INDEX($AY$2:$AY$501,SUMPRODUCT(MAX(($AS$2:$AS$501=AS342)*($AT$2:$AT$501=AT342)*($AU$2:$AU$501&lt;AV342)*($AV$2:$AV$501&gt;AU342)*($BA$2:$BA$501=1)*(ROW($AS$2:$AS$501)&lt;&gt;ROW())*ROW($AS$2:$AS$501)))-1)&amp;")"&amp;IF(BB342&gt;1," and "&amp;(BB342-1)&amp;" more",""),"")</f>
        <v/>
      </c>
      <c r="BD342" s="21">
        <f>IF(AND(BA342=1,AY342="Confirmed"),AT342*10000000+AU342*1000+ROW(),"")</f>
        <v/>
      </c>
      <c r="BE342" s="21">
        <f>IF(IFERROR(TRIM(INDEX($A342:$AL342,MATCH(Lists!$F$2,$A$1:$AL$1,0))&amp;""),"")="","",IFERROR(TRIM(INDEX($A342:$AL342,MATCH(Lists!$F$11,$A$1:$AL$1,0))&amp;""),""))</f>
        <v/>
      </c>
      <c r="BF342" s="21">
        <f>IF(IFERROR(TRIM(INDEX($A342:$AL342,MATCH(Lists!$F$2,$A$1:$AL$1,0))&amp;""),"")="","",IFERROR(TRIM(INDEX($A342:$AL342,MATCH(Lists!$F$12,$A$1:$AL$1,0))&amp;""),""))</f>
        <v/>
      </c>
    </row>
    <row r="343">
      <c r="AM343" s="19" t="n"/>
      <c r="AN343" s="23" t="n"/>
      <c r="AO343" s="23" t="n"/>
      <c r="AP343" s="23" t="n"/>
      <c r="AQ343" s="23" t="n"/>
      <c r="AR343" s="19" t="n"/>
      <c r="AS343" s="21">
        <f>IF(IFERROR(TRIM(INDEX($A343:$AL343,MATCH(Lists!$F$2,$A$1:$AL$1,0))&amp;""),"")="","",IF(AND(IFERROR(TRIM(INDEX($A343:$AL343,MATCH(Lists!$F$3,$A$1:$AL$1,0))&amp;""),"")="Other",IFERROR(TRIM(INDEX($A343:$AL343,MATCH(Lists!$F$4,$A$1:$AL$1,0))&amp;""),"")&lt;&gt;""),IFERROR(TRIM(INDEX($A343:$AL343,MATCH(Lists!$F$4,$A$1:$AL$1,0))&amp;""),""),IF(IFERROR(TRIM(INDEX($A343:$AL343,MATCH(Lists!$F$3,$A$1:$AL$1,0))&amp;""),"")="","(no space)",IFERROR(TRIM(INDEX($A343:$AL343,MATCH(Lists!$F$3,$A$1:$AL$1,0))&amp;""),""))))</f>
        <v/>
      </c>
      <c r="AT343" s="22">
        <f>IF(IFERROR(TRIM(INDEX($A343:$AL343,MATCH(Lists!$F$2,$A$1:$AL$1,0))&amp;""),"")="",0,N(IFERROR(IF(TRIM(INDEX($A343:$AL343,MATCH(Lists!$F$5,$A$1:$AL$1,0))&amp;"")="","",IF(ISNUMBER(INDEX($A343:$AL343,MATCH(Lists!$F$5,$A$1:$AL$1,0))),INT(INDEX($A343:$AL343,MATCH(Lists!$F$5,$A$1:$AL$1,0))),DATE(VALUE(LEFT(INDEX($A343:$AL343,MATCH(Lists!$F$5,$A$1:$AL$1,0)),4)),VALUE(MID(INDEX($A343:$AL343,MATCH(Lists!$F$5,$A$1:$AL$1,0)),6,2)),VALUE(MID(INDEX($A343:$AL343,MATCH(Lists!$F$5,$A$1:$AL$1,0)),9,2))))),"")))</f>
        <v/>
      </c>
      <c r="AU343" s="21">
        <f>IF(IFERROR(TRIM(INDEX($A343:$AL343,MATCH(Lists!$F$2,$A$1:$AL$1,0))&amp;""),"")="",-1,IF(ISNUMBER(IFERROR(IF(TRIM(INDEX($A343:$AL343,MATCH(Lists!$F$6,$A$1:$AL$1,0))&amp;"")="","",IF(ISNUMBER(INDEX($A343:$AL343,MATCH(Lists!$F$6,$A$1:$AL$1,0))),ROUND(MOD(INDEX($A343:$AL343,MATCH(Lists!$F$6,$A$1:$AL$1,0)),1)*1440,0),VALUE(LEFT(INDEX($A343:$AL343,MATCH(Lists!$F$6,$A$1:$AL$1,0)),2))*60+VALUE(MID(INDEX($A343:$AL343,MATCH(Lists!$F$6,$A$1:$AL$1,0)),4,2)))),"")),IFERROR(IF(TRIM(INDEX($A343:$AL343,MATCH(Lists!$F$6,$A$1:$AL$1,0))&amp;"")="","",IF(ISNUMBER(INDEX($A343:$AL343,MATCH(Lists!$F$6,$A$1:$AL$1,0))),ROUND(MOD(INDEX($A343:$AL343,MATCH(Lists!$F$6,$A$1:$AL$1,0)),1)*1440,0),VALUE(LEFT(INDEX($A343:$AL343,MATCH(Lists!$F$6,$A$1:$AL$1,0)),2))*60+VALUE(MID(INDEX($A343:$AL343,MATCH(Lists!$F$6,$A$1:$AL$1,0)),4,2)))),""),-1))</f>
        <v/>
      </c>
      <c r="AV343" s="21">
        <f>IF(IFERROR(TRIM(INDEX($A343:$AL343,MATCH(Lists!$F$2,$A$1:$AL$1,0))&amp;""),"")="",-1,IF(ISNUMBER(IFERROR(IF(TRIM(INDEX($A343:$AL343,MATCH(Lists!$F$7,$A$1:$AL$1,0))&amp;"")="","",IF(ISNUMBER(INDEX($A343:$AL343,MATCH(Lists!$F$7,$A$1:$AL$1,0))),ROUND(MOD(INDEX($A343:$AL343,MATCH(Lists!$F$7,$A$1:$AL$1,0)),1)*1440,0),VALUE(LEFT(INDEX($A343:$AL343,MATCH(Lists!$F$7,$A$1:$AL$1,0)),2))*60+VALUE(MID(INDEX($A343:$AL343,MATCH(Lists!$F$7,$A$1:$AL$1,0)),4,2)))),"")),IFERROR(IF(TRIM(INDEX($A343:$AL343,MATCH(Lists!$F$7,$A$1:$AL$1,0))&amp;"")="","",IF(ISNUMBER(INDEX($A343:$AL343,MATCH(Lists!$F$7,$A$1:$AL$1,0))),ROUND(MOD(INDEX($A343:$AL343,MATCH(Lists!$F$7,$A$1:$AL$1,0)),1)*1440,0),VALUE(LEFT(INDEX($A343:$AL343,MATCH(Lists!$F$7,$A$1:$AL$1,0)),2))*60+VALUE(MID(INDEX($A343:$AL343,MATCH(Lists!$F$7,$A$1:$AL$1,0)),4,2)))),""),-1))</f>
        <v/>
      </c>
      <c r="AW343" s="21">
        <f>IF(IFERROR(TRIM(INDEX($A343:$AL343,MATCH(Lists!$F$2,$A$1:$AL$1,0))&amp;""),"")="","",IF(IFERROR(TRIM(INDEX($A343:$AL343,MATCH(Lists!$F$8,$A$1:$AL$1,0))&amp;""),"")&lt;&gt;"",IFERROR(TRIM(INDEX($A343:$AL343,MATCH(Lists!$F$8,$A$1:$AL$1,0))&amp;""),""),IFERROR(TRIM(INDEX($A343:$AL343,MATCH(Lists!$F$9,$A$1:$AL$1,0))&amp;""),"")))</f>
        <v/>
      </c>
      <c r="AX343" s="21">
        <f>IFERROR(IF(TRIM(INDEX($A343:$AL343,MATCH(Lists!$F$10,$A$1:$AL$1,0))&amp;"")="","",VALUE(TRIM(INDEX($A343:$AL343,MATCH(Lists!$F$10,$A$1:$AL$1,0))&amp;""))),"")</f>
        <v/>
      </c>
      <c r="AY343" s="21">
        <f>IF(IFERROR(TRIM(INDEX($A343:$AL343,MATCH(Lists!$F$2,$A$1:$AL$1,0))&amp;""),"")="","",IF(AN343="","New",AN343))</f>
        <v/>
      </c>
      <c r="AZ343" s="21">
        <f>IF(IFERROR(TRIM(INDEX($A343:$AL343,MATCH(Lists!$F$2,$A$1:$AL$1,0))&amp;""),"")="","",IF(OR(IFERROR(TRIM(INDEX($A343:$AL343,MATCH(Lists!$F$13,$A$1:$AL$1,0))&amp;""),"")="Paid",IFERROR(TRIM(INDEX($A343:$AL343,MATCH(Lists!$F$13,$A$1:$AL$1,0))&amp;""),"")="Partially refunded"),"Paid",IF(AP343="Yes","Paid (by hand)",IFERROR(TRIM(INDEX($A343:$AL343,MATCH(Lists!$F$13,$A$1:$AL$1,0))&amp;""),""))))</f>
        <v/>
      </c>
      <c r="BA343" s="21">
        <f>IF(AND(IFERROR(TRIM(INDEX($A343:$AL343,MATCH(Lists!$F$2,$A$1:$AL$1,0))&amp;""),"")&lt;&gt;"",AT343&gt;0,AU343&gt;=0,AV343&gt;AU343,AY343&lt;&gt;"Declined"),1,0)</f>
        <v/>
      </c>
      <c r="BB343" s="21">
        <f>IF(BA343=1,COUNTIFS($AS$2:$AS$501,AS343,$AT$2:$AT$501,AT343,$AU$2:$AU$501,"&lt;"&amp;AV343,$AV$2:$AV$501,"&gt;"&amp;AU343,$BA$2:$BA$501,1)-1,"")</f>
        <v/>
      </c>
      <c r="BC343" s="21">
        <f>IF(N(BB343)&gt;0,"Clashes with "&amp;INDEX($AW$2:$AW$501,SUMPRODUCT(MAX(($AS$2:$AS$501=AS343)*($AT$2:$AT$501=AT343)*($AU$2:$AU$501&lt;AV343)*($AV$2:$AV$501&gt;AU343)*($BA$2:$BA$501=1)*(ROW($AS$2:$AS$501)&lt;&gt;ROW())*ROW($AS$2:$AS$501)))-1)&amp;" ("&amp;INDEX($AY$2:$AY$501,SUMPRODUCT(MAX(($AS$2:$AS$501=AS343)*($AT$2:$AT$501=AT343)*($AU$2:$AU$501&lt;AV343)*($AV$2:$AV$501&gt;AU343)*($BA$2:$BA$501=1)*(ROW($AS$2:$AS$501)&lt;&gt;ROW())*ROW($AS$2:$AS$501)))-1)&amp;")"&amp;IF(BB343&gt;1," and "&amp;(BB343-1)&amp;" more",""),"")</f>
        <v/>
      </c>
      <c r="BD343" s="21">
        <f>IF(AND(BA343=1,AY343="Confirmed"),AT343*10000000+AU343*1000+ROW(),"")</f>
        <v/>
      </c>
      <c r="BE343" s="21">
        <f>IF(IFERROR(TRIM(INDEX($A343:$AL343,MATCH(Lists!$F$2,$A$1:$AL$1,0))&amp;""),"")="","",IFERROR(TRIM(INDEX($A343:$AL343,MATCH(Lists!$F$11,$A$1:$AL$1,0))&amp;""),""))</f>
        <v/>
      </c>
      <c r="BF343" s="21">
        <f>IF(IFERROR(TRIM(INDEX($A343:$AL343,MATCH(Lists!$F$2,$A$1:$AL$1,0))&amp;""),"")="","",IFERROR(TRIM(INDEX($A343:$AL343,MATCH(Lists!$F$12,$A$1:$AL$1,0))&amp;""),""))</f>
        <v/>
      </c>
    </row>
    <row r="344">
      <c r="AM344" s="19" t="n"/>
      <c r="AN344" s="23" t="n"/>
      <c r="AO344" s="23" t="n"/>
      <c r="AP344" s="23" t="n"/>
      <c r="AQ344" s="23" t="n"/>
      <c r="AR344" s="19" t="n"/>
      <c r="AS344" s="21">
        <f>IF(IFERROR(TRIM(INDEX($A344:$AL344,MATCH(Lists!$F$2,$A$1:$AL$1,0))&amp;""),"")="","",IF(AND(IFERROR(TRIM(INDEX($A344:$AL344,MATCH(Lists!$F$3,$A$1:$AL$1,0))&amp;""),"")="Other",IFERROR(TRIM(INDEX($A344:$AL344,MATCH(Lists!$F$4,$A$1:$AL$1,0))&amp;""),"")&lt;&gt;""),IFERROR(TRIM(INDEX($A344:$AL344,MATCH(Lists!$F$4,$A$1:$AL$1,0))&amp;""),""),IF(IFERROR(TRIM(INDEX($A344:$AL344,MATCH(Lists!$F$3,$A$1:$AL$1,0))&amp;""),"")="","(no space)",IFERROR(TRIM(INDEX($A344:$AL344,MATCH(Lists!$F$3,$A$1:$AL$1,0))&amp;""),""))))</f>
        <v/>
      </c>
      <c r="AT344" s="22">
        <f>IF(IFERROR(TRIM(INDEX($A344:$AL344,MATCH(Lists!$F$2,$A$1:$AL$1,0))&amp;""),"")="",0,N(IFERROR(IF(TRIM(INDEX($A344:$AL344,MATCH(Lists!$F$5,$A$1:$AL$1,0))&amp;"")="","",IF(ISNUMBER(INDEX($A344:$AL344,MATCH(Lists!$F$5,$A$1:$AL$1,0))),INT(INDEX($A344:$AL344,MATCH(Lists!$F$5,$A$1:$AL$1,0))),DATE(VALUE(LEFT(INDEX($A344:$AL344,MATCH(Lists!$F$5,$A$1:$AL$1,0)),4)),VALUE(MID(INDEX($A344:$AL344,MATCH(Lists!$F$5,$A$1:$AL$1,0)),6,2)),VALUE(MID(INDEX($A344:$AL344,MATCH(Lists!$F$5,$A$1:$AL$1,0)),9,2))))),"")))</f>
        <v/>
      </c>
      <c r="AU344" s="21">
        <f>IF(IFERROR(TRIM(INDEX($A344:$AL344,MATCH(Lists!$F$2,$A$1:$AL$1,0))&amp;""),"")="",-1,IF(ISNUMBER(IFERROR(IF(TRIM(INDEX($A344:$AL344,MATCH(Lists!$F$6,$A$1:$AL$1,0))&amp;"")="","",IF(ISNUMBER(INDEX($A344:$AL344,MATCH(Lists!$F$6,$A$1:$AL$1,0))),ROUND(MOD(INDEX($A344:$AL344,MATCH(Lists!$F$6,$A$1:$AL$1,0)),1)*1440,0),VALUE(LEFT(INDEX($A344:$AL344,MATCH(Lists!$F$6,$A$1:$AL$1,0)),2))*60+VALUE(MID(INDEX($A344:$AL344,MATCH(Lists!$F$6,$A$1:$AL$1,0)),4,2)))),"")),IFERROR(IF(TRIM(INDEX($A344:$AL344,MATCH(Lists!$F$6,$A$1:$AL$1,0))&amp;"")="","",IF(ISNUMBER(INDEX($A344:$AL344,MATCH(Lists!$F$6,$A$1:$AL$1,0))),ROUND(MOD(INDEX($A344:$AL344,MATCH(Lists!$F$6,$A$1:$AL$1,0)),1)*1440,0),VALUE(LEFT(INDEX($A344:$AL344,MATCH(Lists!$F$6,$A$1:$AL$1,0)),2))*60+VALUE(MID(INDEX($A344:$AL344,MATCH(Lists!$F$6,$A$1:$AL$1,0)),4,2)))),""),-1))</f>
        <v/>
      </c>
      <c r="AV344" s="21">
        <f>IF(IFERROR(TRIM(INDEX($A344:$AL344,MATCH(Lists!$F$2,$A$1:$AL$1,0))&amp;""),"")="",-1,IF(ISNUMBER(IFERROR(IF(TRIM(INDEX($A344:$AL344,MATCH(Lists!$F$7,$A$1:$AL$1,0))&amp;"")="","",IF(ISNUMBER(INDEX($A344:$AL344,MATCH(Lists!$F$7,$A$1:$AL$1,0))),ROUND(MOD(INDEX($A344:$AL344,MATCH(Lists!$F$7,$A$1:$AL$1,0)),1)*1440,0),VALUE(LEFT(INDEX($A344:$AL344,MATCH(Lists!$F$7,$A$1:$AL$1,0)),2))*60+VALUE(MID(INDEX($A344:$AL344,MATCH(Lists!$F$7,$A$1:$AL$1,0)),4,2)))),"")),IFERROR(IF(TRIM(INDEX($A344:$AL344,MATCH(Lists!$F$7,$A$1:$AL$1,0))&amp;"")="","",IF(ISNUMBER(INDEX($A344:$AL344,MATCH(Lists!$F$7,$A$1:$AL$1,0))),ROUND(MOD(INDEX($A344:$AL344,MATCH(Lists!$F$7,$A$1:$AL$1,0)),1)*1440,0),VALUE(LEFT(INDEX($A344:$AL344,MATCH(Lists!$F$7,$A$1:$AL$1,0)),2))*60+VALUE(MID(INDEX($A344:$AL344,MATCH(Lists!$F$7,$A$1:$AL$1,0)),4,2)))),""),-1))</f>
        <v/>
      </c>
      <c r="AW344" s="21">
        <f>IF(IFERROR(TRIM(INDEX($A344:$AL344,MATCH(Lists!$F$2,$A$1:$AL$1,0))&amp;""),"")="","",IF(IFERROR(TRIM(INDEX($A344:$AL344,MATCH(Lists!$F$8,$A$1:$AL$1,0))&amp;""),"")&lt;&gt;"",IFERROR(TRIM(INDEX($A344:$AL344,MATCH(Lists!$F$8,$A$1:$AL$1,0))&amp;""),""),IFERROR(TRIM(INDEX($A344:$AL344,MATCH(Lists!$F$9,$A$1:$AL$1,0))&amp;""),"")))</f>
        <v/>
      </c>
      <c r="AX344" s="21">
        <f>IFERROR(IF(TRIM(INDEX($A344:$AL344,MATCH(Lists!$F$10,$A$1:$AL$1,0))&amp;"")="","",VALUE(TRIM(INDEX($A344:$AL344,MATCH(Lists!$F$10,$A$1:$AL$1,0))&amp;""))),"")</f>
        <v/>
      </c>
      <c r="AY344" s="21">
        <f>IF(IFERROR(TRIM(INDEX($A344:$AL344,MATCH(Lists!$F$2,$A$1:$AL$1,0))&amp;""),"")="","",IF(AN344="","New",AN344))</f>
        <v/>
      </c>
      <c r="AZ344" s="21">
        <f>IF(IFERROR(TRIM(INDEX($A344:$AL344,MATCH(Lists!$F$2,$A$1:$AL$1,0))&amp;""),"")="","",IF(OR(IFERROR(TRIM(INDEX($A344:$AL344,MATCH(Lists!$F$13,$A$1:$AL$1,0))&amp;""),"")="Paid",IFERROR(TRIM(INDEX($A344:$AL344,MATCH(Lists!$F$13,$A$1:$AL$1,0))&amp;""),"")="Partially refunded"),"Paid",IF(AP344="Yes","Paid (by hand)",IFERROR(TRIM(INDEX($A344:$AL344,MATCH(Lists!$F$13,$A$1:$AL$1,0))&amp;""),""))))</f>
        <v/>
      </c>
      <c r="BA344" s="21">
        <f>IF(AND(IFERROR(TRIM(INDEX($A344:$AL344,MATCH(Lists!$F$2,$A$1:$AL$1,0))&amp;""),"")&lt;&gt;"",AT344&gt;0,AU344&gt;=0,AV344&gt;AU344,AY344&lt;&gt;"Declined"),1,0)</f>
        <v/>
      </c>
      <c r="BB344" s="21">
        <f>IF(BA344=1,COUNTIFS($AS$2:$AS$501,AS344,$AT$2:$AT$501,AT344,$AU$2:$AU$501,"&lt;"&amp;AV344,$AV$2:$AV$501,"&gt;"&amp;AU344,$BA$2:$BA$501,1)-1,"")</f>
        <v/>
      </c>
      <c r="BC344" s="21">
        <f>IF(N(BB344)&gt;0,"Clashes with "&amp;INDEX($AW$2:$AW$501,SUMPRODUCT(MAX(($AS$2:$AS$501=AS344)*($AT$2:$AT$501=AT344)*($AU$2:$AU$501&lt;AV344)*($AV$2:$AV$501&gt;AU344)*($BA$2:$BA$501=1)*(ROW($AS$2:$AS$501)&lt;&gt;ROW())*ROW($AS$2:$AS$501)))-1)&amp;" ("&amp;INDEX($AY$2:$AY$501,SUMPRODUCT(MAX(($AS$2:$AS$501=AS344)*($AT$2:$AT$501=AT344)*($AU$2:$AU$501&lt;AV344)*($AV$2:$AV$501&gt;AU344)*($BA$2:$BA$501=1)*(ROW($AS$2:$AS$501)&lt;&gt;ROW())*ROW($AS$2:$AS$501)))-1)&amp;")"&amp;IF(BB344&gt;1," and "&amp;(BB344-1)&amp;" more",""),"")</f>
        <v/>
      </c>
      <c r="BD344" s="21">
        <f>IF(AND(BA344=1,AY344="Confirmed"),AT344*10000000+AU344*1000+ROW(),"")</f>
        <v/>
      </c>
      <c r="BE344" s="21">
        <f>IF(IFERROR(TRIM(INDEX($A344:$AL344,MATCH(Lists!$F$2,$A$1:$AL$1,0))&amp;""),"")="","",IFERROR(TRIM(INDEX($A344:$AL344,MATCH(Lists!$F$11,$A$1:$AL$1,0))&amp;""),""))</f>
        <v/>
      </c>
      <c r="BF344" s="21">
        <f>IF(IFERROR(TRIM(INDEX($A344:$AL344,MATCH(Lists!$F$2,$A$1:$AL$1,0))&amp;""),"")="","",IFERROR(TRIM(INDEX($A344:$AL344,MATCH(Lists!$F$12,$A$1:$AL$1,0))&amp;""),""))</f>
        <v/>
      </c>
    </row>
    <row r="345">
      <c r="AM345" s="19" t="n"/>
      <c r="AN345" s="23" t="n"/>
      <c r="AO345" s="23" t="n"/>
      <c r="AP345" s="23" t="n"/>
      <c r="AQ345" s="23" t="n"/>
      <c r="AR345" s="19" t="n"/>
      <c r="AS345" s="21">
        <f>IF(IFERROR(TRIM(INDEX($A345:$AL345,MATCH(Lists!$F$2,$A$1:$AL$1,0))&amp;""),"")="","",IF(AND(IFERROR(TRIM(INDEX($A345:$AL345,MATCH(Lists!$F$3,$A$1:$AL$1,0))&amp;""),"")="Other",IFERROR(TRIM(INDEX($A345:$AL345,MATCH(Lists!$F$4,$A$1:$AL$1,0))&amp;""),"")&lt;&gt;""),IFERROR(TRIM(INDEX($A345:$AL345,MATCH(Lists!$F$4,$A$1:$AL$1,0))&amp;""),""),IF(IFERROR(TRIM(INDEX($A345:$AL345,MATCH(Lists!$F$3,$A$1:$AL$1,0))&amp;""),"")="","(no space)",IFERROR(TRIM(INDEX($A345:$AL345,MATCH(Lists!$F$3,$A$1:$AL$1,0))&amp;""),""))))</f>
        <v/>
      </c>
      <c r="AT345" s="22">
        <f>IF(IFERROR(TRIM(INDEX($A345:$AL345,MATCH(Lists!$F$2,$A$1:$AL$1,0))&amp;""),"")="",0,N(IFERROR(IF(TRIM(INDEX($A345:$AL345,MATCH(Lists!$F$5,$A$1:$AL$1,0))&amp;"")="","",IF(ISNUMBER(INDEX($A345:$AL345,MATCH(Lists!$F$5,$A$1:$AL$1,0))),INT(INDEX($A345:$AL345,MATCH(Lists!$F$5,$A$1:$AL$1,0))),DATE(VALUE(LEFT(INDEX($A345:$AL345,MATCH(Lists!$F$5,$A$1:$AL$1,0)),4)),VALUE(MID(INDEX($A345:$AL345,MATCH(Lists!$F$5,$A$1:$AL$1,0)),6,2)),VALUE(MID(INDEX($A345:$AL345,MATCH(Lists!$F$5,$A$1:$AL$1,0)),9,2))))),"")))</f>
        <v/>
      </c>
      <c r="AU345" s="21">
        <f>IF(IFERROR(TRIM(INDEX($A345:$AL345,MATCH(Lists!$F$2,$A$1:$AL$1,0))&amp;""),"")="",-1,IF(ISNUMBER(IFERROR(IF(TRIM(INDEX($A345:$AL345,MATCH(Lists!$F$6,$A$1:$AL$1,0))&amp;"")="","",IF(ISNUMBER(INDEX($A345:$AL345,MATCH(Lists!$F$6,$A$1:$AL$1,0))),ROUND(MOD(INDEX($A345:$AL345,MATCH(Lists!$F$6,$A$1:$AL$1,0)),1)*1440,0),VALUE(LEFT(INDEX($A345:$AL345,MATCH(Lists!$F$6,$A$1:$AL$1,0)),2))*60+VALUE(MID(INDEX($A345:$AL345,MATCH(Lists!$F$6,$A$1:$AL$1,0)),4,2)))),"")),IFERROR(IF(TRIM(INDEX($A345:$AL345,MATCH(Lists!$F$6,$A$1:$AL$1,0))&amp;"")="","",IF(ISNUMBER(INDEX($A345:$AL345,MATCH(Lists!$F$6,$A$1:$AL$1,0))),ROUND(MOD(INDEX($A345:$AL345,MATCH(Lists!$F$6,$A$1:$AL$1,0)),1)*1440,0),VALUE(LEFT(INDEX($A345:$AL345,MATCH(Lists!$F$6,$A$1:$AL$1,0)),2))*60+VALUE(MID(INDEX($A345:$AL345,MATCH(Lists!$F$6,$A$1:$AL$1,0)),4,2)))),""),-1))</f>
        <v/>
      </c>
      <c r="AV345" s="21">
        <f>IF(IFERROR(TRIM(INDEX($A345:$AL345,MATCH(Lists!$F$2,$A$1:$AL$1,0))&amp;""),"")="",-1,IF(ISNUMBER(IFERROR(IF(TRIM(INDEX($A345:$AL345,MATCH(Lists!$F$7,$A$1:$AL$1,0))&amp;"")="","",IF(ISNUMBER(INDEX($A345:$AL345,MATCH(Lists!$F$7,$A$1:$AL$1,0))),ROUND(MOD(INDEX($A345:$AL345,MATCH(Lists!$F$7,$A$1:$AL$1,0)),1)*1440,0),VALUE(LEFT(INDEX($A345:$AL345,MATCH(Lists!$F$7,$A$1:$AL$1,0)),2))*60+VALUE(MID(INDEX($A345:$AL345,MATCH(Lists!$F$7,$A$1:$AL$1,0)),4,2)))),"")),IFERROR(IF(TRIM(INDEX($A345:$AL345,MATCH(Lists!$F$7,$A$1:$AL$1,0))&amp;"")="","",IF(ISNUMBER(INDEX($A345:$AL345,MATCH(Lists!$F$7,$A$1:$AL$1,0))),ROUND(MOD(INDEX($A345:$AL345,MATCH(Lists!$F$7,$A$1:$AL$1,0)),1)*1440,0),VALUE(LEFT(INDEX($A345:$AL345,MATCH(Lists!$F$7,$A$1:$AL$1,0)),2))*60+VALUE(MID(INDEX($A345:$AL345,MATCH(Lists!$F$7,$A$1:$AL$1,0)),4,2)))),""),-1))</f>
        <v/>
      </c>
      <c r="AW345" s="21">
        <f>IF(IFERROR(TRIM(INDEX($A345:$AL345,MATCH(Lists!$F$2,$A$1:$AL$1,0))&amp;""),"")="","",IF(IFERROR(TRIM(INDEX($A345:$AL345,MATCH(Lists!$F$8,$A$1:$AL$1,0))&amp;""),"")&lt;&gt;"",IFERROR(TRIM(INDEX($A345:$AL345,MATCH(Lists!$F$8,$A$1:$AL$1,0))&amp;""),""),IFERROR(TRIM(INDEX($A345:$AL345,MATCH(Lists!$F$9,$A$1:$AL$1,0))&amp;""),"")))</f>
        <v/>
      </c>
      <c r="AX345" s="21">
        <f>IFERROR(IF(TRIM(INDEX($A345:$AL345,MATCH(Lists!$F$10,$A$1:$AL$1,0))&amp;"")="","",VALUE(TRIM(INDEX($A345:$AL345,MATCH(Lists!$F$10,$A$1:$AL$1,0))&amp;""))),"")</f>
        <v/>
      </c>
      <c r="AY345" s="21">
        <f>IF(IFERROR(TRIM(INDEX($A345:$AL345,MATCH(Lists!$F$2,$A$1:$AL$1,0))&amp;""),"")="","",IF(AN345="","New",AN345))</f>
        <v/>
      </c>
      <c r="AZ345" s="21">
        <f>IF(IFERROR(TRIM(INDEX($A345:$AL345,MATCH(Lists!$F$2,$A$1:$AL$1,0))&amp;""),"")="","",IF(OR(IFERROR(TRIM(INDEX($A345:$AL345,MATCH(Lists!$F$13,$A$1:$AL$1,0))&amp;""),"")="Paid",IFERROR(TRIM(INDEX($A345:$AL345,MATCH(Lists!$F$13,$A$1:$AL$1,0))&amp;""),"")="Partially refunded"),"Paid",IF(AP345="Yes","Paid (by hand)",IFERROR(TRIM(INDEX($A345:$AL345,MATCH(Lists!$F$13,$A$1:$AL$1,0))&amp;""),""))))</f>
        <v/>
      </c>
      <c r="BA345" s="21">
        <f>IF(AND(IFERROR(TRIM(INDEX($A345:$AL345,MATCH(Lists!$F$2,$A$1:$AL$1,0))&amp;""),"")&lt;&gt;"",AT345&gt;0,AU345&gt;=0,AV345&gt;AU345,AY345&lt;&gt;"Declined"),1,0)</f>
        <v/>
      </c>
      <c r="BB345" s="21">
        <f>IF(BA345=1,COUNTIFS($AS$2:$AS$501,AS345,$AT$2:$AT$501,AT345,$AU$2:$AU$501,"&lt;"&amp;AV345,$AV$2:$AV$501,"&gt;"&amp;AU345,$BA$2:$BA$501,1)-1,"")</f>
        <v/>
      </c>
      <c r="BC345" s="21">
        <f>IF(N(BB345)&gt;0,"Clashes with "&amp;INDEX($AW$2:$AW$501,SUMPRODUCT(MAX(($AS$2:$AS$501=AS345)*($AT$2:$AT$501=AT345)*($AU$2:$AU$501&lt;AV345)*($AV$2:$AV$501&gt;AU345)*($BA$2:$BA$501=1)*(ROW($AS$2:$AS$501)&lt;&gt;ROW())*ROW($AS$2:$AS$501)))-1)&amp;" ("&amp;INDEX($AY$2:$AY$501,SUMPRODUCT(MAX(($AS$2:$AS$501=AS345)*($AT$2:$AT$501=AT345)*($AU$2:$AU$501&lt;AV345)*($AV$2:$AV$501&gt;AU345)*($BA$2:$BA$501=1)*(ROW($AS$2:$AS$501)&lt;&gt;ROW())*ROW($AS$2:$AS$501)))-1)&amp;")"&amp;IF(BB345&gt;1," and "&amp;(BB345-1)&amp;" more",""),"")</f>
        <v/>
      </c>
      <c r="BD345" s="21">
        <f>IF(AND(BA345=1,AY345="Confirmed"),AT345*10000000+AU345*1000+ROW(),"")</f>
        <v/>
      </c>
      <c r="BE345" s="21">
        <f>IF(IFERROR(TRIM(INDEX($A345:$AL345,MATCH(Lists!$F$2,$A$1:$AL$1,0))&amp;""),"")="","",IFERROR(TRIM(INDEX($A345:$AL345,MATCH(Lists!$F$11,$A$1:$AL$1,0))&amp;""),""))</f>
        <v/>
      </c>
      <c r="BF345" s="21">
        <f>IF(IFERROR(TRIM(INDEX($A345:$AL345,MATCH(Lists!$F$2,$A$1:$AL$1,0))&amp;""),"")="","",IFERROR(TRIM(INDEX($A345:$AL345,MATCH(Lists!$F$12,$A$1:$AL$1,0))&amp;""),""))</f>
        <v/>
      </c>
    </row>
    <row r="346">
      <c r="AM346" s="19" t="n"/>
      <c r="AN346" s="23" t="n"/>
      <c r="AO346" s="23" t="n"/>
      <c r="AP346" s="23" t="n"/>
      <c r="AQ346" s="23" t="n"/>
      <c r="AR346" s="19" t="n"/>
      <c r="AS346" s="21">
        <f>IF(IFERROR(TRIM(INDEX($A346:$AL346,MATCH(Lists!$F$2,$A$1:$AL$1,0))&amp;""),"")="","",IF(AND(IFERROR(TRIM(INDEX($A346:$AL346,MATCH(Lists!$F$3,$A$1:$AL$1,0))&amp;""),"")="Other",IFERROR(TRIM(INDEX($A346:$AL346,MATCH(Lists!$F$4,$A$1:$AL$1,0))&amp;""),"")&lt;&gt;""),IFERROR(TRIM(INDEX($A346:$AL346,MATCH(Lists!$F$4,$A$1:$AL$1,0))&amp;""),""),IF(IFERROR(TRIM(INDEX($A346:$AL346,MATCH(Lists!$F$3,$A$1:$AL$1,0))&amp;""),"")="","(no space)",IFERROR(TRIM(INDEX($A346:$AL346,MATCH(Lists!$F$3,$A$1:$AL$1,0))&amp;""),""))))</f>
        <v/>
      </c>
      <c r="AT346" s="22">
        <f>IF(IFERROR(TRIM(INDEX($A346:$AL346,MATCH(Lists!$F$2,$A$1:$AL$1,0))&amp;""),"")="",0,N(IFERROR(IF(TRIM(INDEX($A346:$AL346,MATCH(Lists!$F$5,$A$1:$AL$1,0))&amp;"")="","",IF(ISNUMBER(INDEX($A346:$AL346,MATCH(Lists!$F$5,$A$1:$AL$1,0))),INT(INDEX($A346:$AL346,MATCH(Lists!$F$5,$A$1:$AL$1,0))),DATE(VALUE(LEFT(INDEX($A346:$AL346,MATCH(Lists!$F$5,$A$1:$AL$1,0)),4)),VALUE(MID(INDEX($A346:$AL346,MATCH(Lists!$F$5,$A$1:$AL$1,0)),6,2)),VALUE(MID(INDEX($A346:$AL346,MATCH(Lists!$F$5,$A$1:$AL$1,0)),9,2))))),"")))</f>
        <v/>
      </c>
      <c r="AU346" s="21">
        <f>IF(IFERROR(TRIM(INDEX($A346:$AL346,MATCH(Lists!$F$2,$A$1:$AL$1,0))&amp;""),"")="",-1,IF(ISNUMBER(IFERROR(IF(TRIM(INDEX($A346:$AL346,MATCH(Lists!$F$6,$A$1:$AL$1,0))&amp;"")="","",IF(ISNUMBER(INDEX($A346:$AL346,MATCH(Lists!$F$6,$A$1:$AL$1,0))),ROUND(MOD(INDEX($A346:$AL346,MATCH(Lists!$F$6,$A$1:$AL$1,0)),1)*1440,0),VALUE(LEFT(INDEX($A346:$AL346,MATCH(Lists!$F$6,$A$1:$AL$1,0)),2))*60+VALUE(MID(INDEX($A346:$AL346,MATCH(Lists!$F$6,$A$1:$AL$1,0)),4,2)))),"")),IFERROR(IF(TRIM(INDEX($A346:$AL346,MATCH(Lists!$F$6,$A$1:$AL$1,0))&amp;"")="","",IF(ISNUMBER(INDEX($A346:$AL346,MATCH(Lists!$F$6,$A$1:$AL$1,0))),ROUND(MOD(INDEX($A346:$AL346,MATCH(Lists!$F$6,$A$1:$AL$1,0)),1)*1440,0),VALUE(LEFT(INDEX($A346:$AL346,MATCH(Lists!$F$6,$A$1:$AL$1,0)),2))*60+VALUE(MID(INDEX($A346:$AL346,MATCH(Lists!$F$6,$A$1:$AL$1,0)),4,2)))),""),-1))</f>
        <v/>
      </c>
      <c r="AV346" s="21">
        <f>IF(IFERROR(TRIM(INDEX($A346:$AL346,MATCH(Lists!$F$2,$A$1:$AL$1,0))&amp;""),"")="",-1,IF(ISNUMBER(IFERROR(IF(TRIM(INDEX($A346:$AL346,MATCH(Lists!$F$7,$A$1:$AL$1,0))&amp;"")="","",IF(ISNUMBER(INDEX($A346:$AL346,MATCH(Lists!$F$7,$A$1:$AL$1,0))),ROUND(MOD(INDEX($A346:$AL346,MATCH(Lists!$F$7,$A$1:$AL$1,0)),1)*1440,0),VALUE(LEFT(INDEX($A346:$AL346,MATCH(Lists!$F$7,$A$1:$AL$1,0)),2))*60+VALUE(MID(INDEX($A346:$AL346,MATCH(Lists!$F$7,$A$1:$AL$1,0)),4,2)))),"")),IFERROR(IF(TRIM(INDEX($A346:$AL346,MATCH(Lists!$F$7,$A$1:$AL$1,0))&amp;"")="","",IF(ISNUMBER(INDEX($A346:$AL346,MATCH(Lists!$F$7,$A$1:$AL$1,0))),ROUND(MOD(INDEX($A346:$AL346,MATCH(Lists!$F$7,$A$1:$AL$1,0)),1)*1440,0),VALUE(LEFT(INDEX($A346:$AL346,MATCH(Lists!$F$7,$A$1:$AL$1,0)),2))*60+VALUE(MID(INDEX($A346:$AL346,MATCH(Lists!$F$7,$A$1:$AL$1,0)),4,2)))),""),-1))</f>
        <v/>
      </c>
      <c r="AW346" s="21">
        <f>IF(IFERROR(TRIM(INDEX($A346:$AL346,MATCH(Lists!$F$2,$A$1:$AL$1,0))&amp;""),"")="","",IF(IFERROR(TRIM(INDEX($A346:$AL346,MATCH(Lists!$F$8,$A$1:$AL$1,0))&amp;""),"")&lt;&gt;"",IFERROR(TRIM(INDEX($A346:$AL346,MATCH(Lists!$F$8,$A$1:$AL$1,0))&amp;""),""),IFERROR(TRIM(INDEX($A346:$AL346,MATCH(Lists!$F$9,$A$1:$AL$1,0))&amp;""),"")))</f>
        <v/>
      </c>
      <c r="AX346" s="21">
        <f>IFERROR(IF(TRIM(INDEX($A346:$AL346,MATCH(Lists!$F$10,$A$1:$AL$1,0))&amp;"")="","",VALUE(TRIM(INDEX($A346:$AL346,MATCH(Lists!$F$10,$A$1:$AL$1,0))&amp;""))),"")</f>
        <v/>
      </c>
      <c r="AY346" s="21">
        <f>IF(IFERROR(TRIM(INDEX($A346:$AL346,MATCH(Lists!$F$2,$A$1:$AL$1,0))&amp;""),"")="","",IF(AN346="","New",AN346))</f>
        <v/>
      </c>
      <c r="AZ346" s="21">
        <f>IF(IFERROR(TRIM(INDEX($A346:$AL346,MATCH(Lists!$F$2,$A$1:$AL$1,0))&amp;""),"")="","",IF(OR(IFERROR(TRIM(INDEX($A346:$AL346,MATCH(Lists!$F$13,$A$1:$AL$1,0))&amp;""),"")="Paid",IFERROR(TRIM(INDEX($A346:$AL346,MATCH(Lists!$F$13,$A$1:$AL$1,0))&amp;""),"")="Partially refunded"),"Paid",IF(AP346="Yes","Paid (by hand)",IFERROR(TRIM(INDEX($A346:$AL346,MATCH(Lists!$F$13,$A$1:$AL$1,0))&amp;""),""))))</f>
        <v/>
      </c>
      <c r="BA346" s="21">
        <f>IF(AND(IFERROR(TRIM(INDEX($A346:$AL346,MATCH(Lists!$F$2,$A$1:$AL$1,0))&amp;""),"")&lt;&gt;"",AT346&gt;0,AU346&gt;=0,AV346&gt;AU346,AY346&lt;&gt;"Declined"),1,0)</f>
        <v/>
      </c>
      <c r="BB346" s="21">
        <f>IF(BA346=1,COUNTIFS($AS$2:$AS$501,AS346,$AT$2:$AT$501,AT346,$AU$2:$AU$501,"&lt;"&amp;AV346,$AV$2:$AV$501,"&gt;"&amp;AU346,$BA$2:$BA$501,1)-1,"")</f>
        <v/>
      </c>
      <c r="BC346" s="21">
        <f>IF(N(BB346)&gt;0,"Clashes with "&amp;INDEX($AW$2:$AW$501,SUMPRODUCT(MAX(($AS$2:$AS$501=AS346)*($AT$2:$AT$501=AT346)*($AU$2:$AU$501&lt;AV346)*($AV$2:$AV$501&gt;AU346)*($BA$2:$BA$501=1)*(ROW($AS$2:$AS$501)&lt;&gt;ROW())*ROW($AS$2:$AS$501)))-1)&amp;" ("&amp;INDEX($AY$2:$AY$501,SUMPRODUCT(MAX(($AS$2:$AS$501=AS346)*($AT$2:$AT$501=AT346)*($AU$2:$AU$501&lt;AV346)*($AV$2:$AV$501&gt;AU346)*($BA$2:$BA$501=1)*(ROW($AS$2:$AS$501)&lt;&gt;ROW())*ROW($AS$2:$AS$501)))-1)&amp;")"&amp;IF(BB346&gt;1," and "&amp;(BB346-1)&amp;" more",""),"")</f>
        <v/>
      </c>
      <c r="BD346" s="21">
        <f>IF(AND(BA346=1,AY346="Confirmed"),AT346*10000000+AU346*1000+ROW(),"")</f>
        <v/>
      </c>
      <c r="BE346" s="21">
        <f>IF(IFERROR(TRIM(INDEX($A346:$AL346,MATCH(Lists!$F$2,$A$1:$AL$1,0))&amp;""),"")="","",IFERROR(TRIM(INDEX($A346:$AL346,MATCH(Lists!$F$11,$A$1:$AL$1,0))&amp;""),""))</f>
        <v/>
      </c>
      <c r="BF346" s="21">
        <f>IF(IFERROR(TRIM(INDEX($A346:$AL346,MATCH(Lists!$F$2,$A$1:$AL$1,0))&amp;""),"")="","",IFERROR(TRIM(INDEX($A346:$AL346,MATCH(Lists!$F$12,$A$1:$AL$1,0))&amp;""),""))</f>
        <v/>
      </c>
    </row>
    <row r="347">
      <c r="AM347" s="19" t="n"/>
      <c r="AN347" s="23" t="n"/>
      <c r="AO347" s="23" t="n"/>
      <c r="AP347" s="23" t="n"/>
      <c r="AQ347" s="23" t="n"/>
      <c r="AR347" s="19" t="n"/>
      <c r="AS347" s="21">
        <f>IF(IFERROR(TRIM(INDEX($A347:$AL347,MATCH(Lists!$F$2,$A$1:$AL$1,0))&amp;""),"")="","",IF(AND(IFERROR(TRIM(INDEX($A347:$AL347,MATCH(Lists!$F$3,$A$1:$AL$1,0))&amp;""),"")="Other",IFERROR(TRIM(INDEX($A347:$AL347,MATCH(Lists!$F$4,$A$1:$AL$1,0))&amp;""),"")&lt;&gt;""),IFERROR(TRIM(INDEX($A347:$AL347,MATCH(Lists!$F$4,$A$1:$AL$1,0))&amp;""),""),IF(IFERROR(TRIM(INDEX($A347:$AL347,MATCH(Lists!$F$3,$A$1:$AL$1,0))&amp;""),"")="","(no space)",IFERROR(TRIM(INDEX($A347:$AL347,MATCH(Lists!$F$3,$A$1:$AL$1,0))&amp;""),""))))</f>
        <v/>
      </c>
      <c r="AT347" s="22">
        <f>IF(IFERROR(TRIM(INDEX($A347:$AL347,MATCH(Lists!$F$2,$A$1:$AL$1,0))&amp;""),"")="",0,N(IFERROR(IF(TRIM(INDEX($A347:$AL347,MATCH(Lists!$F$5,$A$1:$AL$1,0))&amp;"")="","",IF(ISNUMBER(INDEX($A347:$AL347,MATCH(Lists!$F$5,$A$1:$AL$1,0))),INT(INDEX($A347:$AL347,MATCH(Lists!$F$5,$A$1:$AL$1,0))),DATE(VALUE(LEFT(INDEX($A347:$AL347,MATCH(Lists!$F$5,$A$1:$AL$1,0)),4)),VALUE(MID(INDEX($A347:$AL347,MATCH(Lists!$F$5,$A$1:$AL$1,0)),6,2)),VALUE(MID(INDEX($A347:$AL347,MATCH(Lists!$F$5,$A$1:$AL$1,0)),9,2))))),"")))</f>
        <v/>
      </c>
      <c r="AU347" s="21">
        <f>IF(IFERROR(TRIM(INDEX($A347:$AL347,MATCH(Lists!$F$2,$A$1:$AL$1,0))&amp;""),"")="",-1,IF(ISNUMBER(IFERROR(IF(TRIM(INDEX($A347:$AL347,MATCH(Lists!$F$6,$A$1:$AL$1,0))&amp;"")="","",IF(ISNUMBER(INDEX($A347:$AL347,MATCH(Lists!$F$6,$A$1:$AL$1,0))),ROUND(MOD(INDEX($A347:$AL347,MATCH(Lists!$F$6,$A$1:$AL$1,0)),1)*1440,0),VALUE(LEFT(INDEX($A347:$AL347,MATCH(Lists!$F$6,$A$1:$AL$1,0)),2))*60+VALUE(MID(INDEX($A347:$AL347,MATCH(Lists!$F$6,$A$1:$AL$1,0)),4,2)))),"")),IFERROR(IF(TRIM(INDEX($A347:$AL347,MATCH(Lists!$F$6,$A$1:$AL$1,0))&amp;"")="","",IF(ISNUMBER(INDEX($A347:$AL347,MATCH(Lists!$F$6,$A$1:$AL$1,0))),ROUND(MOD(INDEX($A347:$AL347,MATCH(Lists!$F$6,$A$1:$AL$1,0)),1)*1440,0),VALUE(LEFT(INDEX($A347:$AL347,MATCH(Lists!$F$6,$A$1:$AL$1,0)),2))*60+VALUE(MID(INDEX($A347:$AL347,MATCH(Lists!$F$6,$A$1:$AL$1,0)),4,2)))),""),-1))</f>
        <v/>
      </c>
      <c r="AV347" s="21">
        <f>IF(IFERROR(TRIM(INDEX($A347:$AL347,MATCH(Lists!$F$2,$A$1:$AL$1,0))&amp;""),"")="",-1,IF(ISNUMBER(IFERROR(IF(TRIM(INDEX($A347:$AL347,MATCH(Lists!$F$7,$A$1:$AL$1,0))&amp;"")="","",IF(ISNUMBER(INDEX($A347:$AL347,MATCH(Lists!$F$7,$A$1:$AL$1,0))),ROUND(MOD(INDEX($A347:$AL347,MATCH(Lists!$F$7,$A$1:$AL$1,0)),1)*1440,0),VALUE(LEFT(INDEX($A347:$AL347,MATCH(Lists!$F$7,$A$1:$AL$1,0)),2))*60+VALUE(MID(INDEX($A347:$AL347,MATCH(Lists!$F$7,$A$1:$AL$1,0)),4,2)))),"")),IFERROR(IF(TRIM(INDEX($A347:$AL347,MATCH(Lists!$F$7,$A$1:$AL$1,0))&amp;"")="","",IF(ISNUMBER(INDEX($A347:$AL347,MATCH(Lists!$F$7,$A$1:$AL$1,0))),ROUND(MOD(INDEX($A347:$AL347,MATCH(Lists!$F$7,$A$1:$AL$1,0)),1)*1440,0),VALUE(LEFT(INDEX($A347:$AL347,MATCH(Lists!$F$7,$A$1:$AL$1,0)),2))*60+VALUE(MID(INDEX($A347:$AL347,MATCH(Lists!$F$7,$A$1:$AL$1,0)),4,2)))),""),-1))</f>
        <v/>
      </c>
      <c r="AW347" s="21">
        <f>IF(IFERROR(TRIM(INDEX($A347:$AL347,MATCH(Lists!$F$2,$A$1:$AL$1,0))&amp;""),"")="","",IF(IFERROR(TRIM(INDEX($A347:$AL347,MATCH(Lists!$F$8,$A$1:$AL$1,0))&amp;""),"")&lt;&gt;"",IFERROR(TRIM(INDEX($A347:$AL347,MATCH(Lists!$F$8,$A$1:$AL$1,0))&amp;""),""),IFERROR(TRIM(INDEX($A347:$AL347,MATCH(Lists!$F$9,$A$1:$AL$1,0))&amp;""),"")))</f>
        <v/>
      </c>
      <c r="AX347" s="21">
        <f>IFERROR(IF(TRIM(INDEX($A347:$AL347,MATCH(Lists!$F$10,$A$1:$AL$1,0))&amp;"")="","",VALUE(TRIM(INDEX($A347:$AL347,MATCH(Lists!$F$10,$A$1:$AL$1,0))&amp;""))),"")</f>
        <v/>
      </c>
      <c r="AY347" s="21">
        <f>IF(IFERROR(TRIM(INDEX($A347:$AL347,MATCH(Lists!$F$2,$A$1:$AL$1,0))&amp;""),"")="","",IF(AN347="","New",AN347))</f>
        <v/>
      </c>
      <c r="AZ347" s="21">
        <f>IF(IFERROR(TRIM(INDEX($A347:$AL347,MATCH(Lists!$F$2,$A$1:$AL$1,0))&amp;""),"")="","",IF(OR(IFERROR(TRIM(INDEX($A347:$AL347,MATCH(Lists!$F$13,$A$1:$AL$1,0))&amp;""),"")="Paid",IFERROR(TRIM(INDEX($A347:$AL347,MATCH(Lists!$F$13,$A$1:$AL$1,0))&amp;""),"")="Partially refunded"),"Paid",IF(AP347="Yes","Paid (by hand)",IFERROR(TRIM(INDEX($A347:$AL347,MATCH(Lists!$F$13,$A$1:$AL$1,0))&amp;""),""))))</f>
        <v/>
      </c>
      <c r="BA347" s="21">
        <f>IF(AND(IFERROR(TRIM(INDEX($A347:$AL347,MATCH(Lists!$F$2,$A$1:$AL$1,0))&amp;""),"")&lt;&gt;"",AT347&gt;0,AU347&gt;=0,AV347&gt;AU347,AY347&lt;&gt;"Declined"),1,0)</f>
        <v/>
      </c>
      <c r="BB347" s="21">
        <f>IF(BA347=1,COUNTIFS($AS$2:$AS$501,AS347,$AT$2:$AT$501,AT347,$AU$2:$AU$501,"&lt;"&amp;AV347,$AV$2:$AV$501,"&gt;"&amp;AU347,$BA$2:$BA$501,1)-1,"")</f>
        <v/>
      </c>
      <c r="BC347" s="21">
        <f>IF(N(BB347)&gt;0,"Clashes with "&amp;INDEX($AW$2:$AW$501,SUMPRODUCT(MAX(($AS$2:$AS$501=AS347)*($AT$2:$AT$501=AT347)*($AU$2:$AU$501&lt;AV347)*($AV$2:$AV$501&gt;AU347)*($BA$2:$BA$501=1)*(ROW($AS$2:$AS$501)&lt;&gt;ROW())*ROW($AS$2:$AS$501)))-1)&amp;" ("&amp;INDEX($AY$2:$AY$501,SUMPRODUCT(MAX(($AS$2:$AS$501=AS347)*($AT$2:$AT$501=AT347)*($AU$2:$AU$501&lt;AV347)*($AV$2:$AV$501&gt;AU347)*($BA$2:$BA$501=1)*(ROW($AS$2:$AS$501)&lt;&gt;ROW())*ROW($AS$2:$AS$501)))-1)&amp;")"&amp;IF(BB347&gt;1," and "&amp;(BB347-1)&amp;" more",""),"")</f>
        <v/>
      </c>
      <c r="BD347" s="21">
        <f>IF(AND(BA347=1,AY347="Confirmed"),AT347*10000000+AU347*1000+ROW(),"")</f>
        <v/>
      </c>
      <c r="BE347" s="21">
        <f>IF(IFERROR(TRIM(INDEX($A347:$AL347,MATCH(Lists!$F$2,$A$1:$AL$1,0))&amp;""),"")="","",IFERROR(TRIM(INDEX($A347:$AL347,MATCH(Lists!$F$11,$A$1:$AL$1,0))&amp;""),""))</f>
        <v/>
      </c>
      <c r="BF347" s="21">
        <f>IF(IFERROR(TRIM(INDEX($A347:$AL347,MATCH(Lists!$F$2,$A$1:$AL$1,0))&amp;""),"")="","",IFERROR(TRIM(INDEX($A347:$AL347,MATCH(Lists!$F$12,$A$1:$AL$1,0))&amp;""),""))</f>
        <v/>
      </c>
    </row>
    <row r="348">
      <c r="AM348" s="19" t="n"/>
      <c r="AN348" s="23" t="n"/>
      <c r="AO348" s="23" t="n"/>
      <c r="AP348" s="23" t="n"/>
      <c r="AQ348" s="23" t="n"/>
      <c r="AR348" s="19" t="n"/>
      <c r="AS348" s="21">
        <f>IF(IFERROR(TRIM(INDEX($A348:$AL348,MATCH(Lists!$F$2,$A$1:$AL$1,0))&amp;""),"")="","",IF(AND(IFERROR(TRIM(INDEX($A348:$AL348,MATCH(Lists!$F$3,$A$1:$AL$1,0))&amp;""),"")="Other",IFERROR(TRIM(INDEX($A348:$AL348,MATCH(Lists!$F$4,$A$1:$AL$1,0))&amp;""),"")&lt;&gt;""),IFERROR(TRIM(INDEX($A348:$AL348,MATCH(Lists!$F$4,$A$1:$AL$1,0))&amp;""),""),IF(IFERROR(TRIM(INDEX($A348:$AL348,MATCH(Lists!$F$3,$A$1:$AL$1,0))&amp;""),"")="","(no space)",IFERROR(TRIM(INDEX($A348:$AL348,MATCH(Lists!$F$3,$A$1:$AL$1,0))&amp;""),""))))</f>
        <v/>
      </c>
      <c r="AT348" s="22">
        <f>IF(IFERROR(TRIM(INDEX($A348:$AL348,MATCH(Lists!$F$2,$A$1:$AL$1,0))&amp;""),"")="",0,N(IFERROR(IF(TRIM(INDEX($A348:$AL348,MATCH(Lists!$F$5,$A$1:$AL$1,0))&amp;"")="","",IF(ISNUMBER(INDEX($A348:$AL348,MATCH(Lists!$F$5,$A$1:$AL$1,0))),INT(INDEX($A348:$AL348,MATCH(Lists!$F$5,$A$1:$AL$1,0))),DATE(VALUE(LEFT(INDEX($A348:$AL348,MATCH(Lists!$F$5,$A$1:$AL$1,0)),4)),VALUE(MID(INDEX($A348:$AL348,MATCH(Lists!$F$5,$A$1:$AL$1,0)),6,2)),VALUE(MID(INDEX($A348:$AL348,MATCH(Lists!$F$5,$A$1:$AL$1,0)),9,2))))),"")))</f>
        <v/>
      </c>
      <c r="AU348" s="21">
        <f>IF(IFERROR(TRIM(INDEX($A348:$AL348,MATCH(Lists!$F$2,$A$1:$AL$1,0))&amp;""),"")="",-1,IF(ISNUMBER(IFERROR(IF(TRIM(INDEX($A348:$AL348,MATCH(Lists!$F$6,$A$1:$AL$1,0))&amp;"")="","",IF(ISNUMBER(INDEX($A348:$AL348,MATCH(Lists!$F$6,$A$1:$AL$1,0))),ROUND(MOD(INDEX($A348:$AL348,MATCH(Lists!$F$6,$A$1:$AL$1,0)),1)*1440,0),VALUE(LEFT(INDEX($A348:$AL348,MATCH(Lists!$F$6,$A$1:$AL$1,0)),2))*60+VALUE(MID(INDEX($A348:$AL348,MATCH(Lists!$F$6,$A$1:$AL$1,0)),4,2)))),"")),IFERROR(IF(TRIM(INDEX($A348:$AL348,MATCH(Lists!$F$6,$A$1:$AL$1,0))&amp;"")="","",IF(ISNUMBER(INDEX($A348:$AL348,MATCH(Lists!$F$6,$A$1:$AL$1,0))),ROUND(MOD(INDEX($A348:$AL348,MATCH(Lists!$F$6,$A$1:$AL$1,0)),1)*1440,0),VALUE(LEFT(INDEX($A348:$AL348,MATCH(Lists!$F$6,$A$1:$AL$1,0)),2))*60+VALUE(MID(INDEX($A348:$AL348,MATCH(Lists!$F$6,$A$1:$AL$1,0)),4,2)))),""),-1))</f>
        <v/>
      </c>
      <c r="AV348" s="21">
        <f>IF(IFERROR(TRIM(INDEX($A348:$AL348,MATCH(Lists!$F$2,$A$1:$AL$1,0))&amp;""),"")="",-1,IF(ISNUMBER(IFERROR(IF(TRIM(INDEX($A348:$AL348,MATCH(Lists!$F$7,$A$1:$AL$1,0))&amp;"")="","",IF(ISNUMBER(INDEX($A348:$AL348,MATCH(Lists!$F$7,$A$1:$AL$1,0))),ROUND(MOD(INDEX($A348:$AL348,MATCH(Lists!$F$7,$A$1:$AL$1,0)),1)*1440,0),VALUE(LEFT(INDEX($A348:$AL348,MATCH(Lists!$F$7,$A$1:$AL$1,0)),2))*60+VALUE(MID(INDEX($A348:$AL348,MATCH(Lists!$F$7,$A$1:$AL$1,0)),4,2)))),"")),IFERROR(IF(TRIM(INDEX($A348:$AL348,MATCH(Lists!$F$7,$A$1:$AL$1,0))&amp;"")="","",IF(ISNUMBER(INDEX($A348:$AL348,MATCH(Lists!$F$7,$A$1:$AL$1,0))),ROUND(MOD(INDEX($A348:$AL348,MATCH(Lists!$F$7,$A$1:$AL$1,0)),1)*1440,0),VALUE(LEFT(INDEX($A348:$AL348,MATCH(Lists!$F$7,$A$1:$AL$1,0)),2))*60+VALUE(MID(INDEX($A348:$AL348,MATCH(Lists!$F$7,$A$1:$AL$1,0)),4,2)))),""),-1))</f>
        <v/>
      </c>
      <c r="AW348" s="21">
        <f>IF(IFERROR(TRIM(INDEX($A348:$AL348,MATCH(Lists!$F$2,$A$1:$AL$1,0))&amp;""),"")="","",IF(IFERROR(TRIM(INDEX($A348:$AL348,MATCH(Lists!$F$8,$A$1:$AL$1,0))&amp;""),"")&lt;&gt;"",IFERROR(TRIM(INDEX($A348:$AL348,MATCH(Lists!$F$8,$A$1:$AL$1,0))&amp;""),""),IFERROR(TRIM(INDEX($A348:$AL348,MATCH(Lists!$F$9,$A$1:$AL$1,0))&amp;""),"")))</f>
        <v/>
      </c>
      <c r="AX348" s="21">
        <f>IFERROR(IF(TRIM(INDEX($A348:$AL348,MATCH(Lists!$F$10,$A$1:$AL$1,0))&amp;"")="","",VALUE(TRIM(INDEX($A348:$AL348,MATCH(Lists!$F$10,$A$1:$AL$1,0))&amp;""))),"")</f>
        <v/>
      </c>
      <c r="AY348" s="21">
        <f>IF(IFERROR(TRIM(INDEX($A348:$AL348,MATCH(Lists!$F$2,$A$1:$AL$1,0))&amp;""),"")="","",IF(AN348="","New",AN348))</f>
        <v/>
      </c>
      <c r="AZ348" s="21">
        <f>IF(IFERROR(TRIM(INDEX($A348:$AL348,MATCH(Lists!$F$2,$A$1:$AL$1,0))&amp;""),"")="","",IF(OR(IFERROR(TRIM(INDEX($A348:$AL348,MATCH(Lists!$F$13,$A$1:$AL$1,0))&amp;""),"")="Paid",IFERROR(TRIM(INDEX($A348:$AL348,MATCH(Lists!$F$13,$A$1:$AL$1,0))&amp;""),"")="Partially refunded"),"Paid",IF(AP348="Yes","Paid (by hand)",IFERROR(TRIM(INDEX($A348:$AL348,MATCH(Lists!$F$13,$A$1:$AL$1,0))&amp;""),""))))</f>
        <v/>
      </c>
      <c r="BA348" s="21">
        <f>IF(AND(IFERROR(TRIM(INDEX($A348:$AL348,MATCH(Lists!$F$2,$A$1:$AL$1,0))&amp;""),"")&lt;&gt;"",AT348&gt;0,AU348&gt;=0,AV348&gt;AU348,AY348&lt;&gt;"Declined"),1,0)</f>
        <v/>
      </c>
      <c r="BB348" s="21">
        <f>IF(BA348=1,COUNTIFS($AS$2:$AS$501,AS348,$AT$2:$AT$501,AT348,$AU$2:$AU$501,"&lt;"&amp;AV348,$AV$2:$AV$501,"&gt;"&amp;AU348,$BA$2:$BA$501,1)-1,"")</f>
        <v/>
      </c>
      <c r="BC348" s="21">
        <f>IF(N(BB348)&gt;0,"Clashes with "&amp;INDEX($AW$2:$AW$501,SUMPRODUCT(MAX(($AS$2:$AS$501=AS348)*($AT$2:$AT$501=AT348)*($AU$2:$AU$501&lt;AV348)*($AV$2:$AV$501&gt;AU348)*($BA$2:$BA$501=1)*(ROW($AS$2:$AS$501)&lt;&gt;ROW())*ROW($AS$2:$AS$501)))-1)&amp;" ("&amp;INDEX($AY$2:$AY$501,SUMPRODUCT(MAX(($AS$2:$AS$501=AS348)*($AT$2:$AT$501=AT348)*($AU$2:$AU$501&lt;AV348)*($AV$2:$AV$501&gt;AU348)*($BA$2:$BA$501=1)*(ROW($AS$2:$AS$501)&lt;&gt;ROW())*ROW($AS$2:$AS$501)))-1)&amp;")"&amp;IF(BB348&gt;1," and "&amp;(BB348-1)&amp;" more",""),"")</f>
        <v/>
      </c>
      <c r="BD348" s="21">
        <f>IF(AND(BA348=1,AY348="Confirmed"),AT348*10000000+AU348*1000+ROW(),"")</f>
        <v/>
      </c>
      <c r="BE348" s="21">
        <f>IF(IFERROR(TRIM(INDEX($A348:$AL348,MATCH(Lists!$F$2,$A$1:$AL$1,0))&amp;""),"")="","",IFERROR(TRIM(INDEX($A348:$AL348,MATCH(Lists!$F$11,$A$1:$AL$1,0))&amp;""),""))</f>
        <v/>
      </c>
      <c r="BF348" s="21">
        <f>IF(IFERROR(TRIM(INDEX($A348:$AL348,MATCH(Lists!$F$2,$A$1:$AL$1,0))&amp;""),"")="","",IFERROR(TRIM(INDEX($A348:$AL348,MATCH(Lists!$F$12,$A$1:$AL$1,0))&amp;""),""))</f>
        <v/>
      </c>
    </row>
    <row r="349">
      <c r="AM349" s="19" t="n"/>
      <c r="AN349" s="23" t="n"/>
      <c r="AO349" s="23" t="n"/>
      <c r="AP349" s="23" t="n"/>
      <c r="AQ349" s="23" t="n"/>
      <c r="AR349" s="19" t="n"/>
      <c r="AS349" s="21">
        <f>IF(IFERROR(TRIM(INDEX($A349:$AL349,MATCH(Lists!$F$2,$A$1:$AL$1,0))&amp;""),"")="","",IF(AND(IFERROR(TRIM(INDEX($A349:$AL349,MATCH(Lists!$F$3,$A$1:$AL$1,0))&amp;""),"")="Other",IFERROR(TRIM(INDEX($A349:$AL349,MATCH(Lists!$F$4,$A$1:$AL$1,0))&amp;""),"")&lt;&gt;""),IFERROR(TRIM(INDEX($A349:$AL349,MATCH(Lists!$F$4,$A$1:$AL$1,0))&amp;""),""),IF(IFERROR(TRIM(INDEX($A349:$AL349,MATCH(Lists!$F$3,$A$1:$AL$1,0))&amp;""),"")="","(no space)",IFERROR(TRIM(INDEX($A349:$AL349,MATCH(Lists!$F$3,$A$1:$AL$1,0))&amp;""),""))))</f>
        <v/>
      </c>
      <c r="AT349" s="22">
        <f>IF(IFERROR(TRIM(INDEX($A349:$AL349,MATCH(Lists!$F$2,$A$1:$AL$1,0))&amp;""),"")="",0,N(IFERROR(IF(TRIM(INDEX($A349:$AL349,MATCH(Lists!$F$5,$A$1:$AL$1,0))&amp;"")="","",IF(ISNUMBER(INDEX($A349:$AL349,MATCH(Lists!$F$5,$A$1:$AL$1,0))),INT(INDEX($A349:$AL349,MATCH(Lists!$F$5,$A$1:$AL$1,0))),DATE(VALUE(LEFT(INDEX($A349:$AL349,MATCH(Lists!$F$5,$A$1:$AL$1,0)),4)),VALUE(MID(INDEX($A349:$AL349,MATCH(Lists!$F$5,$A$1:$AL$1,0)),6,2)),VALUE(MID(INDEX($A349:$AL349,MATCH(Lists!$F$5,$A$1:$AL$1,0)),9,2))))),"")))</f>
        <v/>
      </c>
      <c r="AU349" s="21">
        <f>IF(IFERROR(TRIM(INDEX($A349:$AL349,MATCH(Lists!$F$2,$A$1:$AL$1,0))&amp;""),"")="",-1,IF(ISNUMBER(IFERROR(IF(TRIM(INDEX($A349:$AL349,MATCH(Lists!$F$6,$A$1:$AL$1,0))&amp;"")="","",IF(ISNUMBER(INDEX($A349:$AL349,MATCH(Lists!$F$6,$A$1:$AL$1,0))),ROUND(MOD(INDEX($A349:$AL349,MATCH(Lists!$F$6,$A$1:$AL$1,0)),1)*1440,0),VALUE(LEFT(INDEX($A349:$AL349,MATCH(Lists!$F$6,$A$1:$AL$1,0)),2))*60+VALUE(MID(INDEX($A349:$AL349,MATCH(Lists!$F$6,$A$1:$AL$1,0)),4,2)))),"")),IFERROR(IF(TRIM(INDEX($A349:$AL349,MATCH(Lists!$F$6,$A$1:$AL$1,0))&amp;"")="","",IF(ISNUMBER(INDEX($A349:$AL349,MATCH(Lists!$F$6,$A$1:$AL$1,0))),ROUND(MOD(INDEX($A349:$AL349,MATCH(Lists!$F$6,$A$1:$AL$1,0)),1)*1440,0),VALUE(LEFT(INDEX($A349:$AL349,MATCH(Lists!$F$6,$A$1:$AL$1,0)),2))*60+VALUE(MID(INDEX($A349:$AL349,MATCH(Lists!$F$6,$A$1:$AL$1,0)),4,2)))),""),-1))</f>
        <v/>
      </c>
      <c r="AV349" s="21">
        <f>IF(IFERROR(TRIM(INDEX($A349:$AL349,MATCH(Lists!$F$2,$A$1:$AL$1,0))&amp;""),"")="",-1,IF(ISNUMBER(IFERROR(IF(TRIM(INDEX($A349:$AL349,MATCH(Lists!$F$7,$A$1:$AL$1,0))&amp;"")="","",IF(ISNUMBER(INDEX($A349:$AL349,MATCH(Lists!$F$7,$A$1:$AL$1,0))),ROUND(MOD(INDEX($A349:$AL349,MATCH(Lists!$F$7,$A$1:$AL$1,0)),1)*1440,0),VALUE(LEFT(INDEX($A349:$AL349,MATCH(Lists!$F$7,$A$1:$AL$1,0)),2))*60+VALUE(MID(INDEX($A349:$AL349,MATCH(Lists!$F$7,$A$1:$AL$1,0)),4,2)))),"")),IFERROR(IF(TRIM(INDEX($A349:$AL349,MATCH(Lists!$F$7,$A$1:$AL$1,0))&amp;"")="","",IF(ISNUMBER(INDEX($A349:$AL349,MATCH(Lists!$F$7,$A$1:$AL$1,0))),ROUND(MOD(INDEX($A349:$AL349,MATCH(Lists!$F$7,$A$1:$AL$1,0)),1)*1440,0),VALUE(LEFT(INDEX($A349:$AL349,MATCH(Lists!$F$7,$A$1:$AL$1,0)),2))*60+VALUE(MID(INDEX($A349:$AL349,MATCH(Lists!$F$7,$A$1:$AL$1,0)),4,2)))),""),-1))</f>
        <v/>
      </c>
      <c r="AW349" s="21">
        <f>IF(IFERROR(TRIM(INDEX($A349:$AL349,MATCH(Lists!$F$2,$A$1:$AL$1,0))&amp;""),"")="","",IF(IFERROR(TRIM(INDEX($A349:$AL349,MATCH(Lists!$F$8,$A$1:$AL$1,0))&amp;""),"")&lt;&gt;"",IFERROR(TRIM(INDEX($A349:$AL349,MATCH(Lists!$F$8,$A$1:$AL$1,0))&amp;""),""),IFERROR(TRIM(INDEX($A349:$AL349,MATCH(Lists!$F$9,$A$1:$AL$1,0))&amp;""),"")))</f>
        <v/>
      </c>
      <c r="AX349" s="21">
        <f>IFERROR(IF(TRIM(INDEX($A349:$AL349,MATCH(Lists!$F$10,$A$1:$AL$1,0))&amp;"")="","",VALUE(TRIM(INDEX($A349:$AL349,MATCH(Lists!$F$10,$A$1:$AL$1,0))&amp;""))),"")</f>
        <v/>
      </c>
      <c r="AY349" s="21">
        <f>IF(IFERROR(TRIM(INDEX($A349:$AL349,MATCH(Lists!$F$2,$A$1:$AL$1,0))&amp;""),"")="","",IF(AN349="","New",AN349))</f>
        <v/>
      </c>
      <c r="AZ349" s="21">
        <f>IF(IFERROR(TRIM(INDEX($A349:$AL349,MATCH(Lists!$F$2,$A$1:$AL$1,0))&amp;""),"")="","",IF(OR(IFERROR(TRIM(INDEX($A349:$AL349,MATCH(Lists!$F$13,$A$1:$AL$1,0))&amp;""),"")="Paid",IFERROR(TRIM(INDEX($A349:$AL349,MATCH(Lists!$F$13,$A$1:$AL$1,0))&amp;""),"")="Partially refunded"),"Paid",IF(AP349="Yes","Paid (by hand)",IFERROR(TRIM(INDEX($A349:$AL349,MATCH(Lists!$F$13,$A$1:$AL$1,0))&amp;""),""))))</f>
        <v/>
      </c>
      <c r="BA349" s="21">
        <f>IF(AND(IFERROR(TRIM(INDEX($A349:$AL349,MATCH(Lists!$F$2,$A$1:$AL$1,0))&amp;""),"")&lt;&gt;"",AT349&gt;0,AU349&gt;=0,AV349&gt;AU349,AY349&lt;&gt;"Declined"),1,0)</f>
        <v/>
      </c>
      <c r="BB349" s="21">
        <f>IF(BA349=1,COUNTIFS($AS$2:$AS$501,AS349,$AT$2:$AT$501,AT349,$AU$2:$AU$501,"&lt;"&amp;AV349,$AV$2:$AV$501,"&gt;"&amp;AU349,$BA$2:$BA$501,1)-1,"")</f>
        <v/>
      </c>
      <c r="BC349" s="21">
        <f>IF(N(BB349)&gt;0,"Clashes with "&amp;INDEX($AW$2:$AW$501,SUMPRODUCT(MAX(($AS$2:$AS$501=AS349)*($AT$2:$AT$501=AT349)*($AU$2:$AU$501&lt;AV349)*($AV$2:$AV$501&gt;AU349)*($BA$2:$BA$501=1)*(ROW($AS$2:$AS$501)&lt;&gt;ROW())*ROW($AS$2:$AS$501)))-1)&amp;" ("&amp;INDEX($AY$2:$AY$501,SUMPRODUCT(MAX(($AS$2:$AS$501=AS349)*($AT$2:$AT$501=AT349)*($AU$2:$AU$501&lt;AV349)*($AV$2:$AV$501&gt;AU349)*($BA$2:$BA$501=1)*(ROW($AS$2:$AS$501)&lt;&gt;ROW())*ROW($AS$2:$AS$501)))-1)&amp;")"&amp;IF(BB349&gt;1," and "&amp;(BB349-1)&amp;" more",""),"")</f>
        <v/>
      </c>
      <c r="BD349" s="21">
        <f>IF(AND(BA349=1,AY349="Confirmed"),AT349*10000000+AU349*1000+ROW(),"")</f>
        <v/>
      </c>
      <c r="BE349" s="21">
        <f>IF(IFERROR(TRIM(INDEX($A349:$AL349,MATCH(Lists!$F$2,$A$1:$AL$1,0))&amp;""),"")="","",IFERROR(TRIM(INDEX($A349:$AL349,MATCH(Lists!$F$11,$A$1:$AL$1,0))&amp;""),""))</f>
        <v/>
      </c>
      <c r="BF349" s="21">
        <f>IF(IFERROR(TRIM(INDEX($A349:$AL349,MATCH(Lists!$F$2,$A$1:$AL$1,0))&amp;""),"")="","",IFERROR(TRIM(INDEX($A349:$AL349,MATCH(Lists!$F$12,$A$1:$AL$1,0))&amp;""),""))</f>
        <v/>
      </c>
    </row>
    <row r="350">
      <c r="AM350" s="19" t="n"/>
      <c r="AN350" s="23" t="n"/>
      <c r="AO350" s="23" t="n"/>
      <c r="AP350" s="23" t="n"/>
      <c r="AQ350" s="23" t="n"/>
      <c r="AR350" s="19" t="n"/>
      <c r="AS350" s="21">
        <f>IF(IFERROR(TRIM(INDEX($A350:$AL350,MATCH(Lists!$F$2,$A$1:$AL$1,0))&amp;""),"")="","",IF(AND(IFERROR(TRIM(INDEX($A350:$AL350,MATCH(Lists!$F$3,$A$1:$AL$1,0))&amp;""),"")="Other",IFERROR(TRIM(INDEX($A350:$AL350,MATCH(Lists!$F$4,$A$1:$AL$1,0))&amp;""),"")&lt;&gt;""),IFERROR(TRIM(INDEX($A350:$AL350,MATCH(Lists!$F$4,$A$1:$AL$1,0))&amp;""),""),IF(IFERROR(TRIM(INDEX($A350:$AL350,MATCH(Lists!$F$3,$A$1:$AL$1,0))&amp;""),"")="","(no space)",IFERROR(TRIM(INDEX($A350:$AL350,MATCH(Lists!$F$3,$A$1:$AL$1,0))&amp;""),""))))</f>
        <v/>
      </c>
      <c r="AT350" s="22">
        <f>IF(IFERROR(TRIM(INDEX($A350:$AL350,MATCH(Lists!$F$2,$A$1:$AL$1,0))&amp;""),"")="",0,N(IFERROR(IF(TRIM(INDEX($A350:$AL350,MATCH(Lists!$F$5,$A$1:$AL$1,0))&amp;"")="","",IF(ISNUMBER(INDEX($A350:$AL350,MATCH(Lists!$F$5,$A$1:$AL$1,0))),INT(INDEX($A350:$AL350,MATCH(Lists!$F$5,$A$1:$AL$1,0))),DATE(VALUE(LEFT(INDEX($A350:$AL350,MATCH(Lists!$F$5,$A$1:$AL$1,0)),4)),VALUE(MID(INDEX($A350:$AL350,MATCH(Lists!$F$5,$A$1:$AL$1,0)),6,2)),VALUE(MID(INDEX($A350:$AL350,MATCH(Lists!$F$5,$A$1:$AL$1,0)),9,2))))),"")))</f>
        <v/>
      </c>
      <c r="AU350" s="21">
        <f>IF(IFERROR(TRIM(INDEX($A350:$AL350,MATCH(Lists!$F$2,$A$1:$AL$1,0))&amp;""),"")="",-1,IF(ISNUMBER(IFERROR(IF(TRIM(INDEX($A350:$AL350,MATCH(Lists!$F$6,$A$1:$AL$1,0))&amp;"")="","",IF(ISNUMBER(INDEX($A350:$AL350,MATCH(Lists!$F$6,$A$1:$AL$1,0))),ROUND(MOD(INDEX($A350:$AL350,MATCH(Lists!$F$6,$A$1:$AL$1,0)),1)*1440,0),VALUE(LEFT(INDEX($A350:$AL350,MATCH(Lists!$F$6,$A$1:$AL$1,0)),2))*60+VALUE(MID(INDEX($A350:$AL350,MATCH(Lists!$F$6,$A$1:$AL$1,0)),4,2)))),"")),IFERROR(IF(TRIM(INDEX($A350:$AL350,MATCH(Lists!$F$6,$A$1:$AL$1,0))&amp;"")="","",IF(ISNUMBER(INDEX($A350:$AL350,MATCH(Lists!$F$6,$A$1:$AL$1,0))),ROUND(MOD(INDEX($A350:$AL350,MATCH(Lists!$F$6,$A$1:$AL$1,0)),1)*1440,0),VALUE(LEFT(INDEX($A350:$AL350,MATCH(Lists!$F$6,$A$1:$AL$1,0)),2))*60+VALUE(MID(INDEX($A350:$AL350,MATCH(Lists!$F$6,$A$1:$AL$1,0)),4,2)))),""),-1))</f>
        <v/>
      </c>
      <c r="AV350" s="21">
        <f>IF(IFERROR(TRIM(INDEX($A350:$AL350,MATCH(Lists!$F$2,$A$1:$AL$1,0))&amp;""),"")="",-1,IF(ISNUMBER(IFERROR(IF(TRIM(INDEX($A350:$AL350,MATCH(Lists!$F$7,$A$1:$AL$1,0))&amp;"")="","",IF(ISNUMBER(INDEX($A350:$AL350,MATCH(Lists!$F$7,$A$1:$AL$1,0))),ROUND(MOD(INDEX($A350:$AL350,MATCH(Lists!$F$7,$A$1:$AL$1,0)),1)*1440,0),VALUE(LEFT(INDEX($A350:$AL350,MATCH(Lists!$F$7,$A$1:$AL$1,0)),2))*60+VALUE(MID(INDEX($A350:$AL350,MATCH(Lists!$F$7,$A$1:$AL$1,0)),4,2)))),"")),IFERROR(IF(TRIM(INDEX($A350:$AL350,MATCH(Lists!$F$7,$A$1:$AL$1,0))&amp;"")="","",IF(ISNUMBER(INDEX($A350:$AL350,MATCH(Lists!$F$7,$A$1:$AL$1,0))),ROUND(MOD(INDEX($A350:$AL350,MATCH(Lists!$F$7,$A$1:$AL$1,0)),1)*1440,0),VALUE(LEFT(INDEX($A350:$AL350,MATCH(Lists!$F$7,$A$1:$AL$1,0)),2))*60+VALUE(MID(INDEX($A350:$AL350,MATCH(Lists!$F$7,$A$1:$AL$1,0)),4,2)))),""),-1))</f>
        <v/>
      </c>
      <c r="AW350" s="21">
        <f>IF(IFERROR(TRIM(INDEX($A350:$AL350,MATCH(Lists!$F$2,$A$1:$AL$1,0))&amp;""),"")="","",IF(IFERROR(TRIM(INDEX($A350:$AL350,MATCH(Lists!$F$8,$A$1:$AL$1,0))&amp;""),"")&lt;&gt;"",IFERROR(TRIM(INDEX($A350:$AL350,MATCH(Lists!$F$8,$A$1:$AL$1,0))&amp;""),""),IFERROR(TRIM(INDEX($A350:$AL350,MATCH(Lists!$F$9,$A$1:$AL$1,0))&amp;""),"")))</f>
        <v/>
      </c>
      <c r="AX350" s="21">
        <f>IFERROR(IF(TRIM(INDEX($A350:$AL350,MATCH(Lists!$F$10,$A$1:$AL$1,0))&amp;"")="","",VALUE(TRIM(INDEX($A350:$AL350,MATCH(Lists!$F$10,$A$1:$AL$1,0))&amp;""))),"")</f>
        <v/>
      </c>
      <c r="AY350" s="21">
        <f>IF(IFERROR(TRIM(INDEX($A350:$AL350,MATCH(Lists!$F$2,$A$1:$AL$1,0))&amp;""),"")="","",IF(AN350="","New",AN350))</f>
        <v/>
      </c>
      <c r="AZ350" s="21">
        <f>IF(IFERROR(TRIM(INDEX($A350:$AL350,MATCH(Lists!$F$2,$A$1:$AL$1,0))&amp;""),"")="","",IF(OR(IFERROR(TRIM(INDEX($A350:$AL350,MATCH(Lists!$F$13,$A$1:$AL$1,0))&amp;""),"")="Paid",IFERROR(TRIM(INDEX($A350:$AL350,MATCH(Lists!$F$13,$A$1:$AL$1,0))&amp;""),"")="Partially refunded"),"Paid",IF(AP350="Yes","Paid (by hand)",IFERROR(TRIM(INDEX($A350:$AL350,MATCH(Lists!$F$13,$A$1:$AL$1,0))&amp;""),""))))</f>
        <v/>
      </c>
      <c r="BA350" s="21">
        <f>IF(AND(IFERROR(TRIM(INDEX($A350:$AL350,MATCH(Lists!$F$2,$A$1:$AL$1,0))&amp;""),"")&lt;&gt;"",AT350&gt;0,AU350&gt;=0,AV350&gt;AU350,AY350&lt;&gt;"Declined"),1,0)</f>
        <v/>
      </c>
      <c r="BB350" s="21">
        <f>IF(BA350=1,COUNTIFS($AS$2:$AS$501,AS350,$AT$2:$AT$501,AT350,$AU$2:$AU$501,"&lt;"&amp;AV350,$AV$2:$AV$501,"&gt;"&amp;AU350,$BA$2:$BA$501,1)-1,"")</f>
        <v/>
      </c>
      <c r="BC350" s="21">
        <f>IF(N(BB350)&gt;0,"Clashes with "&amp;INDEX($AW$2:$AW$501,SUMPRODUCT(MAX(($AS$2:$AS$501=AS350)*($AT$2:$AT$501=AT350)*($AU$2:$AU$501&lt;AV350)*($AV$2:$AV$501&gt;AU350)*($BA$2:$BA$501=1)*(ROW($AS$2:$AS$501)&lt;&gt;ROW())*ROW($AS$2:$AS$501)))-1)&amp;" ("&amp;INDEX($AY$2:$AY$501,SUMPRODUCT(MAX(($AS$2:$AS$501=AS350)*($AT$2:$AT$501=AT350)*($AU$2:$AU$501&lt;AV350)*($AV$2:$AV$501&gt;AU350)*($BA$2:$BA$501=1)*(ROW($AS$2:$AS$501)&lt;&gt;ROW())*ROW($AS$2:$AS$501)))-1)&amp;")"&amp;IF(BB350&gt;1," and "&amp;(BB350-1)&amp;" more",""),"")</f>
        <v/>
      </c>
      <c r="BD350" s="21">
        <f>IF(AND(BA350=1,AY350="Confirmed"),AT350*10000000+AU350*1000+ROW(),"")</f>
        <v/>
      </c>
      <c r="BE350" s="21">
        <f>IF(IFERROR(TRIM(INDEX($A350:$AL350,MATCH(Lists!$F$2,$A$1:$AL$1,0))&amp;""),"")="","",IFERROR(TRIM(INDEX($A350:$AL350,MATCH(Lists!$F$11,$A$1:$AL$1,0))&amp;""),""))</f>
        <v/>
      </c>
      <c r="BF350" s="21">
        <f>IF(IFERROR(TRIM(INDEX($A350:$AL350,MATCH(Lists!$F$2,$A$1:$AL$1,0))&amp;""),"")="","",IFERROR(TRIM(INDEX($A350:$AL350,MATCH(Lists!$F$12,$A$1:$AL$1,0))&amp;""),""))</f>
        <v/>
      </c>
    </row>
    <row r="351">
      <c r="AM351" s="19" t="n"/>
      <c r="AN351" s="23" t="n"/>
      <c r="AO351" s="23" t="n"/>
      <c r="AP351" s="23" t="n"/>
      <c r="AQ351" s="23" t="n"/>
      <c r="AR351" s="19" t="n"/>
      <c r="AS351" s="21">
        <f>IF(IFERROR(TRIM(INDEX($A351:$AL351,MATCH(Lists!$F$2,$A$1:$AL$1,0))&amp;""),"")="","",IF(AND(IFERROR(TRIM(INDEX($A351:$AL351,MATCH(Lists!$F$3,$A$1:$AL$1,0))&amp;""),"")="Other",IFERROR(TRIM(INDEX($A351:$AL351,MATCH(Lists!$F$4,$A$1:$AL$1,0))&amp;""),"")&lt;&gt;""),IFERROR(TRIM(INDEX($A351:$AL351,MATCH(Lists!$F$4,$A$1:$AL$1,0))&amp;""),""),IF(IFERROR(TRIM(INDEX($A351:$AL351,MATCH(Lists!$F$3,$A$1:$AL$1,0))&amp;""),"")="","(no space)",IFERROR(TRIM(INDEX($A351:$AL351,MATCH(Lists!$F$3,$A$1:$AL$1,0))&amp;""),""))))</f>
        <v/>
      </c>
      <c r="AT351" s="22">
        <f>IF(IFERROR(TRIM(INDEX($A351:$AL351,MATCH(Lists!$F$2,$A$1:$AL$1,0))&amp;""),"")="",0,N(IFERROR(IF(TRIM(INDEX($A351:$AL351,MATCH(Lists!$F$5,$A$1:$AL$1,0))&amp;"")="","",IF(ISNUMBER(INDEX($A351:$AL351,MATCH(Lists!$F$5,$A$1:$AL$1,0))),INT(INDEX($A351:$AL351,MATCH(Lists!$F$5,$A$1:$AL$1,0))),DATE(VALUE(LEFT(INDEX($A351:$AL351,MATCH(Lists!$F$5,$A$1:$AL$1,0)),4)),VALUE(MID(INDEX($A351:$AL351,MATCH(Lists!$F$5,$A$1:$AL$1,0)),6,2)),VALUE(MID(INDEX($A351:$AL351,MATCH(Lists!$F$5,$A$1:$AL$1,0)),9,2))))),"")))</f>
        <v/>
      </c>
      <c r="AU351" s="21">
        <f>IF(IFERROR(TRIM(INDEX($A351:$AL351,MATCH(Lists!$F$2,$A$1:$AL$1,0))&amp;""),"")="",-1,IF(ISNUMBER(IFERROR(IF(TRIM(INDEX($A351:$AL351,MATCH(Lists!$F$6,$A$1:$AL$1,0))&amp;"")="","",IF(ISNUMBER(INDEX($A351:$AL351,MATCH(Lists!$F$6,$A$1:$AL$1,0))),ROUND(MOD(INDEX($A351:$AL351,MATCH(Lists!$F$6,$A$1:$AL$1,0)),1)*1440,0),VALUE(LEFT(INDEX($A351:$AL351,MATCH(Lists!$F$6,$A$1:$AL$1,0)),2))*60+VALUE(MID(INDEX($A351:$AL351,MATCH(Lists!$F$6,$A$1:$AL$1,0)),4,2)))),"")),IFERROR(IF(TRIM(INDEX($A351:$AL351,MATCH(Lists!$F$6,$A$1:$AL$1,0))&amp;"")="","",IF(ISNUMBER(INDEX($A351:$AL351,MATCH(Lists!$F$6,$A$1:$AL$1,0))),ROUND(MOD(INDEX($A351:$AL351,MATCH(Lists!$F$6,$A$1:$AL$1,0)),1)*1440,0),VALUE(LEFT(INDEX($A351:$AL351,MATCH(Lists!$F$6,$A$1:$AL$1,0)),2))*60+VALUE(MID(INDEX($A351:$AL351,MATCH(Lists!$F$6,$A$1:$AL$1,0)),4,2)))),""),-1))</f>
        <v/>
      </c>
      <c r="AV351" s="21">
        <f>IF(IFERROR(TRIM(INDEX($A351:$AL351,MATCH(Lists!$F$2,$A$1:$AL$1,0))&amp;""),"")="",-1,IF(ISNUMBER(IFERROR(IF(TRIM(INDEX($A351:$AL351,MATCH(Lists!$F$7,$A$1:$AL$1,0))&amp;"")="","",IF(ISNUMBER(INDEX($A351:$AL351,MATCH(Lists!$F$7,$A$1:$AL$1,0))),ROUND(MOD(INDEX($A351:$AL351,MATCH(Lists!$F$7,$A$1:$AL$1,0)),1)*1440,0),VALUE(LEFT(INDEX($A351:$AL351,MATCH(Lists!$F$7,$A$1:$AL$1,0)),2))*60+VALUE(MID(INDEX($A351:$AL351,MATCH(Lists!$F$7,$A$1:$AL$1,0)),4,2)))),"")),IFERROR(IF(TRIM(INDEX($A351:$AL351,MATCH(Lists!$F$7,$A$1:$AL$1,0))&amp;"")="","",IF(ISNUMBER(INDEX($A351:$AL351,MATCH(Lists!$F$7,$A$1:$AL$1,0))),ROUND(MOD(INDEX($A351:$AL351,MATCH(Lists!$F$7,$A$1:$AL$1,0)),1)*1440,0),VALUE(LEFT(INDEX($A351:$AL351,MATCH(Lists!$F$7,$A$1:$AL$1,0)),2))*60+VALUE(MID(INDEX($A351:$AL351,MATCH(Lists!$F$7,$A$1:$AL$1,0)),4,2)))),""),-1))</f>
        <v/>
      </c>
      <c r="AW351" s="21">
        <f>IF(IFERROR(TRIM(INDEX($A351:$AL351,MATCH(Lists!$F$2,$A$1:$AL$1,0))&amp;""),"")="","",IF(IFERROR(TRIM(INDEX($A351:$AL351,MATCH(Lists!$F$8,$A$1:$AL$1,0))&amp;""),"")&lt;&gt;"",IFERROR(TRIM(INDEX($A351:$AL351,MATCH(Lists!$F$8,$A$1:$AL$1,0))&amp;""),""),IFERROR(TRIM(INDEX($A351:$AL351,MATCH(Lists!$F$9,$A$1:$AL$1,0))&amp;""),"")))</f>
        <v/>
      </c>
      <c r="AX351" s="21">
        <f>IFERROR(IF(TRIM(INDEX($A351:$AL351,MATCH(Lists!$F$10,$A$1:$AL$1,0))&amp;"")="","",VALUE(TRIM(INDEX($A351:$AL351,MATCH(Lists!$F$10,$A$1:$AL$1,0))&amp;""))),"")</f>
        <v/>
      </c>
      <c r="AY351" s="21">
        <f>IF(IFERROR(TRIM(INDEX($A351:$AL351,MATCH(Lists!$F$2,$A$1:$AL$1,0))&amp;""),"")="","",IF(AN351="","New",AN351))</f>
        <v/>
      </c>
      <c r="AZ351" s="21">
        <f>IF(IFERROR(TRIM(INDEX($A351:$AL351,MATCH(Lists!$F$2,$A$1:$AL$1,0))&amp;""),"")="","",IF(OR(IFERROR(TRIM(INDEX($A351:$AL351,MATCH(Lists!$F$13,$A$1:$AL$1,0))&amp;""),"")="Paid",IFERROR(TRIM(INDEX($A351:$AL351,MATCH(Lists!$F$13,$A$1:$AL$1,0))&amp;""),"")="Partially refunded"),"Paid",IF(AP351="Yes","Paid (by hand)",IFERROR(TRIM(INDEX($A351:$AL351,MATCH(Lists!$F$13,$A$1:$AL$1,0))&amp;""),""))))</f>
        <v/>
      </c>
      <c r="BA351" s="21">
        <f>IF(AND(IFERROR(TRIM(INDEX($A351:$AL351,MATCH(Lists!$F$2,$A$1:$AL$1,0))&amp;""),"")&lt;&gt;"",AT351&gt;0,AU351&gt;=0,AV351&gt;AU351,AY351&lt;&gt;"Declined"),1,0)</f>
        <v/>
      </c>
      <c r="BB351" s="21">
        <f>IF(BA351=1,COUNTIFS($AS$2:$AS$501,AS351,$AT$2:$AT$501,AT351,$AU$2:$AU$501,"&lt;"&amp;AV351,$AV$2:$AV$501,"&gt;"&amp;AU351,$BA$2:$BA$501,1)-1,"")</f>
        <v/>
      </c>
      <c r="BC351" s="21">
        <f>IF(N(BB351)&gt;0,"Clashes with "&amp;INDEX($AW$2:$AW$501,SUMPRODUCT(MAX(($AS$2:$AS$501=AS351)*($AT$2:$AT$501=AT351)*($AU$2:$AU$501&lt;AV351)*($AV$2:$AV$501&gt;AU351)*($BA$2:$BA$501=1)*(ROW($AS$2:$AS$501)&lt;&gt;ROW())*ROW($AS$2:$AS$501)))-1)&amp;" ("&amp;INDEX($AY$2:$AY$501,SUMPRODUCT(MAX(($AS$2:$AS$501=AS351)*($AT$2:$AT$501=AT351)*($AU$2:$AU$501&lt;AV351)*($AV$2:$AV$501&gt;AU351)*($BA$2:$BA$501=1)*(ROW($AS$2:$AS$501)&lt;&gt;ROW())*ROW($AS$2:$AS$501)))-1)&amp;")"&amp;IF(BB351&gt;1," and "&amp;(BB351-1)&amp;" more",""),"")</f>
        <v/>
      </c>
      <c r="BD351" s="21">
        <f>IF(AND(BA351=1,AY351="Confirmed"),AT351*10000000+AU351*1000+ROW(),"")</f>
        <v/>
      </c>
      <c r="BE351" s="21">
        <f>IF(IFERROR(TRIM(INDEX($A351:$AL351,MATCH(Lists!$F$2,$A$1:$AL$1,0))&amp;""),"")="","",IFERROR(TRIM(INDEX($A351:$AL351,MATCH(Lists!$F$11,$A$1:$AL$1,0))&amp;""),""))</f>
        <v/>
      </c>
      <c r="BF351" s="21">
        <f>IF(IFERROR(TRIM(INDEX($A351:$AL351,MATCH(Lists!$F$2,$A$1:$AL$1,0))&amp;""),"")="","",IFERROR(TRIM(INDEX($A351:$AL351,MATCH(Lists!$F$12,$A$1:$AL$1,0))&amp;""),""))</f>
        <v/>
      </c>
    </row>
    <row r="352">
      <c r="AM352" s="19" t="n"/>
      <c r="AN352" s="23" t="n"/>
      <c r="AO352" s="23" t="n"/>
      <c r="AP352" s="23" t="n"/>
      <c r="AQ352" s="23" t="n"/>
      <c r="AR352" s="19" t="n"/>
      <c r="AS352" s="21">
        <f>IF(IFERROR(TRIM(INDEX($A352:$AL352,MATCH(Lists!$F$2,$A$1:$AL$1,0))&amp;""),"")="","",IF(AND(IFERROR(TRIM(INDEX($A352:$AL352,MATCH(Lists!$F$3,$A$1:$AL$1,0))&amp;""),"")="Other",IFERROR(TRIM(INDEX($A352:$AL352,MATCH(Lists!$F$4,$A$1:$AL$1,0))&amp;""),"")&lt;&gt;""),IFERROR(TRIM(INDEX($A352:$AL352,MATCH(Lists!$F$4,$A$1:$AL$1,0))&amp;""),""),IF(IFERROR(TRIM(INDEX($A352:$AL352,MATCH(Lists!$F$3,$A$1:$AL$1,0))&amp;""),"")="","(no space)",IFERROR(TRIM(INDEX($A352:$AL352,MATCH(Lists!$F$3,$A$1:$AL$1,0))&amp;""),""))))</f>
        <v/>
      </c>
      <c r="AT352" s="22">
        <f>IF(IFERROR(TRIM(INDEX($A352:$AL352,MATCH(Lists!$F$2,$A$1:$AL$1,0))&amp;""),"")="",0,N(IFERROR(IF(TRIM(INDEX($A352:$AL352,MATCH(Lists!$F$5,$A$1:$AL$1,0))&amp;"")="","",IF(ISNUMBER(INDEX($A352:$AL352,MATCH(Lists!$F$5,$A$1:$AL$1,0))),INT(INDEX($A352:$AL352,MATCH(Lists!$F$5,$A$1:$AL$1,0))),DATE(VALUE(LEFT(INDEX($A352:$AL352,MATCH(Lists!$F$5,$A$1:$AL$1,0)),4)),VALUE(MID(INDEX($A352:$AL352,MATCH(Lists!$F$5,$A$1:$AL$1,0)),6,2)),VALUE(MID(INDEX($A352:$AL352,MATCH(Lists!$F$5,$A$1:$AL$1,0)),9,2))))),"")))</f>
        <v/>
      </c>
      <c r="AU352" s="21">
        <f>IF(IFERROR(TRIM(INDEX($A352:$AL352,MATCH(Lists!$F$2,$A$1:$AL$1,0))&amp;""),"")="",-1,IF(ISNUMBER(IFERROR(IF(TRIM(INDEX($A352:$AL352,MATCH(Lists!$F$6,$A$1:$AL$1,0))&amp;"")="","",IF(ISNUMBER(INDEX($A352:$AL352,MATCH(Lists!$F$6,$A$1:$AL$1,0))),ROUND(MOD(INDEX($A352:$AL352,MATCH(Lists!$F$6,$A$1:$AL$1,0)),1)*1440,0),VALUE(LEFT(INDEX($A352:$AL352,MATCH(Lists!$F$6,$A$1:$AL$1,0)),2))*60+VALUE(MID(INDEX($A352:$AL352,MATCH(Lists!$F$6,$A$1:$AL$1,0)),4,2)))),"")),IFERROR(IF(TRIM(INDEX($A352:$AL352,MATCH(Lists!$F$6,$A$1:$AL$1,0))&amp;"")="","",IF(ISNUMBER(INDEX($A352:$AL352,MATCH(Lists!$F$6,$A$1:$AL$1,0))),ROUND(MOD(INDEX($A352:$AL352,MATCH(Lists!$F$6,$A$1:$AL$1,0)),1)*1440,0),VALUE(LEFT(INDEX($A352:$AL352,MATCH(Lists!$F$6,$A$1:$AL$1,0)),2))*60+VALUE(MID(INDEX($A352:$AL352,MATCH(Lists!$F$6,$A$1:$AL$1,0)),4,2)))),""),-1))</f>
        <v/>
      </c>
      <c r="AV352" s="21">
        <f>IF(IFERROR(TRIM(INDEX($A352:$AL352,MATCH(Lists!$F$2,$A$1:$AL$1,0))&amp;""),"")="",-1,IF(ISNUMBER(IFERROR(IF(TRIM(INDEX($A352:$AL352,MATCH(Lists!$F$7,$A$1:$AL$1,0))&amp;"")="","",IF(ISNUMBER(INDEX($A352:$AL352,MATCH(Lists!$F$7,$A$1:$AL$1,0))),ROUND(MOD(INDEX($A352:$AL352,MATCH(Lists!$F$7,$A$1:$AL$1,0)),1)*1440,0),VALUE(LEFT(INDEX($A352:$AL352,MATCH(Lists!$F$7,$A$1:$AL$1,0)),2))*60+VALUE(MID(INDEX($A352:$AL352,MATCH(Lists!$F$7,$A$1:$AL$1,0)),4,2)))),"")),IFERROR(IF(TRIM(INDEX($A352:$AL352,MATCH(Lists!$F$7,$A$1:$AL$1,0))&amp;"")="","",IF(ISNUMBER(INDEX($A352:$AL352,MATCH(Lists!$F$7,$A$1:$AL$1,0))),ROUND(MOD(INDEX($A352:$AL352,MATCH(Lists!$F$7,$A$1:$AL$1,0)),1)*1440,0),VALUE(LEFT(INDEX($A352:$AL352,MATCH(Lists!$F$7,$A$1:$AL$1,0)),2))*60+VALUE(MID(INDEX($A352:$AL352,MATCH(Lists!$F$7,$A$1:$AL$1,0)),4,2)))),""),-1))</f>
        <v/>
      </c>
      <c r="AW352" s="21">
        <f>IF(IFERROR(TRIM(INDEX($A352:$AL352,MATCH(Lists!$F$2,$A$1:$AL$1,0))&amp;""),"")="","",IF(IFERROR(TRIM(INDEX($A352:$AL352,MATCH(Lists!$F$8,$A$1:$AL$1,0))&amp;""),"")&lt;&gt;"",IFERROR(TRIM(INDEX($A352:$AL352,MATCH(Lists!$F$8,$A$1:$AL$1,0))&amp;""),""),IFERROR(TRIM(INDEX($A352:$AL352,MATCH(Lists!$F$9,$A$1:$AL$1,0))&amp;""),"")))</f>
        <v/>
      </c>
      <c r="AX352" s="21">
        <f>IFERROR(IF(TRIM(INDEX($A352:$AL352,MATCH(Lists!$F$10,$A$1:$AL$1,0))&amp;"")="","",VALUE(TRIM(INDEX($A352:$AL352,MATCH(Lists!$F$10,$A$1:$AL$1,0))&amp;""))),"")</f>
        <v/>
      </c>
      <c r="AY352" s="21">
        <f>IF(IFERROR(TRIM(INDEX($A352:$AL352,MATCH(Lists!$F$2,$A$1:$AL$1,0))&amp;""),"")="","",IF(AN352="","New",AN352))</f>
        <v/>
      </c>
      <c r="AZ352" s="21">
        <f>IF(IFERROR(TRIM(INDEX($A352:$AL352,MATCH(Lists!$F$2,$A$1:$AL$1,0))&amp;""),"")="","",IF(OR(IFERROR(TRIM(INDEX($A352:$AL352,MATCH(Lists!$F$13,$A$1:$AL$1,0))&amp;""),"")="Paid",IFERROR(TRIM(INDEX($A352:$AL352,MATCH(Lists!$F$13,$A$1:$AL$1,0))&amp;""),"")="Partially refunded"),"Paid",IF(AP352="Yes","Paid (by hand)",IFERROR(TRIM(INDEX($A352:$AL352,MATCH(Lists!$F$13,$A$1:$AL$1,0))&amp;""),""))))</f>
        <v/>
      </c>
      <c r="BA352" s="21">
        <f>IF(AND(IFERROR(TRIM(INDEX($A352:$AL352,MATCH(Lists!$F$2,$A$1:$AL$1,0))&amp;""),"")&lt;&gt;"",AT352&gt;0,AU352&gt;=0,AV352&gt;AU352,AY352&lt;&gt;"Declined"),1,0)</f>
        <v/>
      </c>
      <c r="BB352" s="21">
        <f>IF(BA352=1,COUNTIFS($AS$2:$AS$501,AS352,$AT$2:$AT$501,AT352,$AU$2:$AU$501,"&lt;"&amp;AV352,$AV$2:$AV$501,"&gt;"&amp;AU352,$BA$2:$BA$501,1)-1,"")</f>
        <v/>
      </c>
      <c r="BC352" s="21">
        <f>IF(N(BB352)&gt;0,"Clashes with "&amp;INDEX($AW$2:$AW$501,SUMPRODUCT(MAX(($AS$2:$AS$501=AS352)*($AT$2:$AT$501=AT352)*($AU$2:$AU$501&lt;AV352)*($AV$2:$AV$501&gt;AU352)*($BA$2:$BA$501=1)*(ROW($AS$2:$AS$501)&lt;&gt;ROW())*ROW($AS$2:$AS$501)))-1)&amp;" ("&amp;INDEX($AY$2:$AY$501,SUMPRODUCT(MAX(($AS$2:$AS$501=AS352)*($AT$2:$AT$501=AT352)*($AU$2:$AU$501&lt;AV352)*($AV$2:$AV$501&gt;AU352)*($BA$2:$BA$501=1)*(ROW($AS$2:$AS$501)&lt;&gt;ROW())*ROW($AS$2:$AS$501)))-1)&amp;")"&amp;IF(BB352&gt;1," and "&amp;(BB352-1)&amp;" more",""),"")</f>
        <v/>
      </c>
      <c r="BD352" s="21">
        <f>IF(AND(BA352=1,AY352="Confirmed"),AT352*10000000+AU352*1000+ROW(),"")</f>
        <v/>
      </c>
      <c r="BE352" s="21">
        <f>IF(IFERROR(TRIM(INDEX($A352:$AL352,MATCH(Lists!$F$2,$A$1:$AL$1,0))&amp;""),"")="","",IFERROR(TRIM(INDEX($A352:$AL352,MATCH(Lists!$F$11,$A$1:$AL$1,0))&amp;""),""))</f>
        <v/>
      </c>
      <c r="BF352" s="21">
        <f>IF(IFERROR(TRIM(INDEX($A352:$AL352,MATCH(Lists!$F$2,$A$1:$AL$1,0))&amp;""),"")="","",IFERROR(TRIM(INDEX($A352:$AL352,MATCH(Lists!$F$12,$A$1:$AL$1,0))&amp;""),""))</f>
        <v/>
      </c>
    </row>
    <row r="353">
      <c r="AM353" s="19" t="n"/>
      <c r="AN353" s="23" t="n"/>
      <c r="AO353" s="23" t="n"/>
      <c r="AP353" s="23" t="n"/>
      <c r="AQ353" s="23" t="n"/>
      <c r="AR353" s="19" t="n"/>
      <c r="AS353" s="21">
        <f>IF(IFERROR(TRIM(INDEX($A353:$AL353,MATCH(Lists!$F$2,$A$1:$AL$1,0))&amp;""),"")="","",IF(AND(IFERROR(TRIM(INDEX($A353:$AL353,MATCH(Lists!$F$3,$A$1:$AL$1,0))&amp;""),"")="Other",IFERROR(TRIM(INDEX($A353:$AL353,MATCH(Lists!$F$4,$A$1:$AL$1,0))&amp;""),"")&lt;&gt;""),IFERROR(TRIM(INDEX($A353:$AL353,MATCH(Lists!$F$4,$A$1:$AL$1,0))&amp;""),""),IF(IFERROR(TRIM(INDEX($A353:$AL353,MATCH(Lists!$F$3,$A$1:$AL$1,0))&amp;""),"")="","(no space)",IFERROR(TRIM(INDEX($A353:$AL353,MATCH(Lists!$F$3,$A$1:$AL$1,0))&amp;""),""))))</f>
        <v/>
      </c>
      <c r="AT353" s="22">
        <f>IF(IFERROR(TRIM(INDEX($A353:$AL353,MATCH(Lists!$F$2,$A$1:$AL$1,0))&amp;""),"")="",0,N(IFERROR(IF(TRIM(INDEX($A353:$AL353,MATCH(Lists!$F$5,$A$1:$AL$1,0))&amp;"")="","",IF(ISNUMBER(INDEX($A353:$AL353,MATCH(Lists!$F$5,$A$1:$AL$1,0))),INT(INDEX($A353:$AL353,MATCH(Lists!$F$5,$A$1:$AL$1,0))),DATE(VALUE(LEFT(INDEX($A353:$AL353,MATCH(Lists!$F$5,$A$1:$AL$1,0)),4)),VALUE(MID(INDEX($A353:$AL353,MATCH(Lists!$F$5,$A$1:$AL$1,0)),6,2)),VALUE(MID(INDEX($A353:$AL353,MATCH(Lists!$F$5,$A$1:$AL$1,0)),9,2))))),"")))</f>
        <v/>
      </c>
      <c r="AU353" s="21">
        <f>IF(IFERROR(TRIM(INDEX($A353:$AL353,MATCH(Lists!$F$2,$A$1:$AL$1,0))&amp;""),"")="",-1,IF(ISNUMBER(IFERROR(IF(TRIM(INDEX($A353:$AL353,MATCH(Lists!$F$6,$A$1:$AL$1,0))&amp;"")="","",IF(ISNUMBER(INDEX($A353:$AL353,MATCH(Lists!$F$6,$A$1:$AL$1,0))),ROUND(MOD(INDEX($A353:$AL353,MATCH(Lists!$F$6,$A$1:$AL$1,0)),1)*1440,0),VALUE(LEFT(INDEX($A353:$AL353,MATCH(Lists!$F$6,$A$1:$AL$1,0)),2))*60+VALUE(MID(INDEX($A353:$AL353,MATCH(Lists!$F$6,$A$1:$AL$1,0)),4,2)))),"")),IFERROR(IF(TRIM(INDEX($A353:$AL353,MATCH(Lists!$F$6,$A$1:$AL$1,0))&amp;"")="","",IF(ISNUMBER(INDEX($A353:$AL353,MATCH(Lists!$F$6,$A$1:$AL$1,0))),ROUND(MOD(INDEX($A353:$AL353,MATCH(Lists!$F$6,$A$1:$AL$1,0)),1)*1440,0),VALUE(LEFT(INDEX($A353:$AL353,MATCH(Lists!$F$6,$A$1:$AL$1,0)),2))*60+VALUE(MID(INDEX($A353:$AL353,MATCH(Lists!$F$6,$A$1:$AL$1,0)),4,2)))),""),-1))</f>
        <v/>
      </c>
      <c r="AV353" s="21">
        <f>IF(IFERROR(TRIM(INDEX($A353:$AL353,MATCH(Lists!$F$2,$A$1:$AL$1,0))&amp;""),"")="",-1,IF(ISNUMBER(IFERROR(IF(TRIM(INDEX($A353:$AL353,MATCH(Lists!$F$7,$A$1:$AL$1,0))&amp;"")="","",IF(ISNUMBER(INDEX($A353:$AL353,MATCH(Lists!$F$7,$A$1:$AL$1,0))),ROUND(MOD(INDEX($A353:$AL353,MATCH(Lists!$F$7,$A$1:$AL$1,0)),1)*1440,0),VALUE(LEFT(INDEX($A353:$AL353,MATCH(Lists!$F$7,$A$1:$AL$1,0)),2))*60+VALUE(MID(INDEX($A353:$AL353,MATCH(Lists!$F$7,$A$1:$AL$1,0)),4,2)))),"")),IFERROR(IF(TRIM(INDEX($A353:$AL353,MATCH(Lists!$F$7,$A$1:$AL$1,0))&amp;"")="","",IF(ISNUMBER(INDEX($A353:$AL353,MATCH(Lists!$F$7,$A$1:$AL$1,0))),ROUND(MOD(INDEX($A353:$AL353,MATCH(Lists!$F$7,$A$1:$AL$1,0)),1)*1440,0),VALUE(LEFT(INDEX($A353:$AL353,MATCH(Lists!$F$7,$A$1:$AL$1,0)),2))*60+VALUE(MID(INDEX($A353:$AL353,MATCH(Lists!$F$7,$A$1:$AL$1,0)),4,2)))),""),-1))</f>
        <v/>
      </c>
      <c r="AW353" s="21">
        <f>IF(IFERROR(TRIM(INDEX($A353:$AL353,MATCH(Lists!$F$2,$A$1:$AL$1,0))&amp;""),"")="","",IF(IFERROR(TRIM(INDEX($A353:$AL353,MATCH(Lists!$F$8,$A$1:$AL$1,0))&amp;""),"")&lt;&gt;"",IFERROR(TRIM(INDEX($A353:$AL353,MATCH(Lists!$F$8,$A$1:$AL$1,0))&amp;""),""),IFERROR(TRIM(INDEX($A353:$AL353,MATCH(Lists!$F$9,$A$1:$AL$1,0))&amp;""),"")))</f>
        <v/>
      </c>
      <c r="AX353" s="21">
        <f>IFERROR(IF(TRIM(INDEX($A353:$AL353,MATCH(Lists!$F$10,$A$1:$AL$1,0))&amp;"")="","",VALUE(TRIM(INDEX($A353:$AL353,MATCH(Lists!$F$10,$A$1:$AL$1,0))&amp;""))),"")</f>
        <v/>
      </c>
      <c r="AY353" s="21">
        <f>IF(IFERROR(TRIM(INDEX($A353:$AL353,MATCH(Lists!$F$2,$A$1:$AL$1,0))&amp;""),"")="","",IF(AN353="","New",AN353))</f>
        <v/>
      </c>
      <c r="AZ353" s="21">
        <f>IF(IFERROR(TRIM(INDEX($A353:$AL353,MATCH(Lists!$F$2,$A$1:$AL$1,0))&amp;""),"")="","",IF(OR(IFERROR(TRIM(INDEX($A353:$AL353,MATCH(Lists!$F$13,$A$1:$AL$1,0))&amp;""),"")="Paid",IFERROR(TRIM(INDEX($A353:$AL353,MATCH(Lists!$F$13,$A$1:$AL$1,0))&amp;""),"")="Partially refunded"),"Paid",IF(AP353="Yes","Paid (by hand)",IFERROR(TRIM(INDEX($A353:$AL353,MATCH(Lists!$F$13,$A$1:$AL$1,0))&amp;""),""))))</f>
        <v/>
      </c>
      <c r="BA353" s="21">
        <f>IF(AND(IFERROR(TRIM(INDEX($A353:$AL353,MATCH(Lists!$F$2,$A$1:$AL$1,0))&amp;""),"")&lt;&gt;"",AT353&gt;0,AU353&gt;=0,AV353&gt;AU353,AY353&lt;&gt;"Declined"),1,0)</f>
        <v/>
      </c>
      <c r="BB353" s="21">
        <f>IF(BA353=1,COUNTIFS($AS$2:$AS$501,AS353,$AT$2:$AT$501,AT353,$AU$2:$AU$501,"&lt;"&amp;AV353,$AV$2:$AV$501,"&gt;"&amp;AU353,$BA$2:$BA$501,1)-1,"")</f>
        <v/>
      </c>
      <c r="BC353" s="21">
        <f>IF(N(BB353)&gt;0,"Clashes with "&amp;INDEX($AW$2:$AW$501,SUMPRODUCT(MAX(($AS$2:$AS$501=AS353)*($AT$2:$AT$501=AT353)*($AU$2:$AU$501&lt;AV353)*($AV$2:$AV$501&gt;AU353)*($BA$2:$BA$501=1)*(ROW($AS$2:$AS$501)&lt;&gt;ROW())*ROW($AS$2:$AS$501)))-1)&amp;" ("&amp;INDEX($AY$2:$AY$501,SUMPRODUCT(MAX(($AS$2:$AS$501=AS353)*($AT$2:$AT$501=AT353)*($AU$2:$AU$501&lt;AV353)*($AV$2:$AV$501&gt;AU353)*($BA$2:$BA$501=1)*(ROW($AS$2:$AS$501)&lt;&gt;ROW())*ROW($AS$2:$AS$501)))-1)&amp;")"&amp;IF(BB353&gt;1," and "&amp;(BB353-1)&amp;" more",""),"")</f>
        <v/>
      </c>
      <c r="BD353" s="21">
        <f>IF(AND(BA353=1,AY353="Confirmed"),AT353*10000000+AU353*1000+ROW(),"")</f>
        <v/>
      </c>
      <c r="BE353" s="21">
        <f>IF(IFERROR(TRIM(INDEX($A353:$AL353,MATCH(Lists!$F$2,$A$1:$AL$1,0))&amp;""),"")="","",IFERROR(TRIM(INDEX($A353:$AL353,MATCH(Lists!$F$11,$A$1:$AL$1,0))&amp;""),""))</f>
        <v/>
      </c>
      <c r="BF353" s="21">
        <f>IF(IFERROR(TRIM(INDEX($A353:$AL353,MATCH(Lists!$F$2,$A$1:$AL$1,0))&amp;""),"")="","",IFERROR(TRIM(INDEX($A353:$AL353,MATCH(Lists!$F$12,$A$1:$AL$1,0))&amp;""),""))</f>
        <v/>
      </c>
    </row>
    <row r="354">
      <c r="AM354" s="19" t="n"/>
      <c r="AN354" s="23" t="n"/>
      <c r="AO354" s="23" t="n"/>
      <c r="AP354" s="23" t="n"/>
      <c r="AQ354" s="23" t="n"/>
      <c r="AR354" s="19" t="n"/>
      <c r="AS354" s="21">
        <f>IF(IFERROR(TRIM(INDEX($A354:$AL354,MATCH(Lists!$F$2,$A$1:$AL$1,0))&amp;""),"")="","",IF(AND(IFERROR(TRIM(INDEX($A354:$AL354,MATCH(Lists!$F$3,$A$1:$AL$1,0))&amp;""),"")="Other",IFERROR(TRIM(INDEX($A354:$AL354,MATCH(Lists!$F$4,$A$1:$AL$1,0))&amp;""),"")&lt;&gt;""),IFERROR(TRIM(INDEX($A354:$AL354,MATCH(Lists!$F$4,$A$1:$AL$1,0))&amp;""),""),IF(IFERROR(TRIM(INDEX($A354:$AL354,MATCH(Lists!$F$3,$A$1:$AL$1,0))&amp;""),"")="","(no space)",IFERROR(TRIM(INDEX($A354:$AL354,MATCH(Lists!$F$3,$A$1:$AL$1,0))&amp;""),""))))</f>
        <v/>
      </c>
      <c r="AT354" s="22">
        <f>IF(IFERROR(TRIM(INDEX($A354:$AL354,MATCH(Lists!$F$2,$A$1:$AL$1,0))&amp;""),"")="",0,N(IFERROR(IF(TRIM(INDEX($A354:$AL354,MATCH(Lists!$F$5,$A$1:$AL$1,0))&amp;"")="","",IF(ISNUMBER(INDEX($A354:$AL354,MATCH(Lists!$F$5,$A$1:$AL$1,0))),INT(INDEX($A354:$AL354,MATCH(Lists!$F$5,$A$1:$AL$1,0))),DATE(VALUE(LEFT(INDEX($A354:$AL354,MATCH(Lists!$F$5,$A$1:$AL$1,0)),4)),VALUE(MID(INDEX($A354:$AL354,MATCH(Lists!$F$5,$A$1:$AL$1,0)),6,2)),VALUE(MID(INDEX($A354:$AL354,MATCH(Lists!$F$5,$A$1:$AL$1,0)),9,2))))),"")))</f>
        <v/>
      </c>
      <c r="AU354" s="21">
        <f>IF(IFERROR(TRIM(INDEX($A354:$AL354,MATCH(Lists!$F$2,$A$1:$AL$1,0))&amp;""),"")="",-1,IF(ISNUMBER(IFERROR(IF(TRIM(INDEX($A354:$AL354,MATCH(Lists!$F$6,$A$1:$AL$1,0))&amp;"")="","",IF(ISNUMBER(INDEX($A354:$AL354,MATCH(Lists!$F$6,$A$1:$AL$1,0))),ROUND(MOD(INDEX($A354:$AL354,MATCH(Lists!$F$6,$A$1:$AL$1,0)),1)*1440,0),VALUE(LEFT(INDEX($A354:$AL354,MATCH(Lists!$F$6,$A$1:$AL$1,0)),2))*60+VALUE(MID(INDEX($A354:$AL354,MATCH(Lists!$F$6,$A$1:$AL$1,0)),4,2)))),"")),IFERROR(IF(TRIM(INDEX($A354:$AL354,MATCH(Lists!$F$6,$A$1:$AL$1,0))&amp;"")="","",IF(ISNUMBER(INDEX($A354:$AL354,MATCH(Lists!$F$6,$A$1:$AL$1,0))),ROUND(MOD(INDEX($A354:$AL354,MATCH(Lists!$F$6,$A$1:$AL$1,0)),1)*1440,0),VALUE(LEFT(INDEX($A354:$AL354,MATCH(Lists!$F$6,$A$1:$AL$1,0)),2))*60+VALUE(MID(INDEX($A354:$AL354,MATCH(Lists!$F$6,$A$1:$AL$1,0)),4,2)))),""),-1))</f>
        <v/>
      </c>
      <c r="AV354" s="21">
        <f>IF(IFERROR(TRIM(INDEX($A354:$AL354,MATCH(Lists!$F$2,$A$1:$AL$1,0))&amp;""),"")="",-1,IF(ISNUMBER(IFERROR(IF(TRIM(INDEX($A354:$AL354,MATCH(Lists!$F$7,$A$1:$AL$1,0))&amp;"")="","",IF(ISNUMBER(INDEX($A354:$AL354,MATCH(Lists!$F$7,$A$1:$AL$1,0))),ROUND(MOD(INDEX($A354:$AL354,MATCH(Lists!$F$7,$A$1:$AL$1,0)),1)*1440,0),VALUE(LEFT(INDEX($A354:$AL354,MATCH(Lists!$F$7,$A$1:$AL$1,0)),2))*60+VALUE(MID(INDEX($A354:$AL354,MATCH(Lists!$F$7,$A$1:$AL$1,0)),4,2)))),"")),IFERROR(IF(TRIM(INDEX($A354:$AL354,MATCH(Lists!$F$7,$A$1:$AL$1,0))&amp;"")="","",IF(ISNUMBER(INDEX($A354:$AL354,MATCH(Lists!$F$7,$A$1:$AL$1,0))),ROUND(MOD(INDEX($A354:$AL354,MATCH(Lists!$F$7,$A$1:$AL$1,0)),1)*1440,0),VALUE(LEFT(INDEX($A354:$AL354,MATCH(Lists!$F$7,$A$1:$AL$1,0)),2))*60+VALUE(MID(INDEX($A354:$AL354,MATCH(Lists!$F$7,$A$1:$AL$1,0)),4,2)))),""),-1))</f>
        <v/>
      </c>
      <c r="AW354" s="21">
        <f>IF(IFERROR(TRIM(INDEX($A354:$AL354,MATCH(Lists!$F$2,$A$1:$AL$1,0))&amp;""),"")="","",IF(IFERROR(TRIM(INDEX($A354:$AL354,MATCH(Lists!$F$8,$A$1:$AL$1,0))&amp;""),"")&lt;&gt;"",IFERROR(TRIM(INDEX($A354:$AL354,MATCH(Lists!$F$8,$A$1:$AL$1,0))&amp;""),""),IFERROR(TRIM(INDEX($A354:$AL354,MATCH(Lists!$F$9,$A$1:$AL$1,0))&amp;""),"")))</f>
        <v/>
      </c>
      <c r="AX354" s="21">
        <f>IFERROR(IF(TRIM(INDEX($A354:$AL354,MATCH(Lists!$F$10,$A$1:$AL$1,0))&amp;"")="","",VALUE(TRIM(INDEX($A354:$AL354,MATCH(Lists!$F$10,$A$1:$AL$1,0))&amp;""))),"")</f>
        <v/>
      </c>
      <c r="AY354" s="21">
        <f>IF(IFERROR(TRIM(INDEX($A354:$AL354,MATCH(Lists!$F$2,$A$1:$AL$1,0))&amp;""),"")="","",IF(AN354="","New",AN354))</f>
        <v/>
      </c>
      <c r="AZ354" s="21">
        <f>IF(IFERROR(TRIM(INDEX($A354:$AL354,MATCH(Lists!$F$2,$A$1:$AL$1,0))&amp;""),"")="","",IF(OR(IFERROR(TRIM(INDEX($A354:$AL354,MATCH(Lists!$F$13,$A$1:$AL$1,0))&amp;""),"")="Paid",IFERROR(TRIM(INDEX($A354:$AL354,MATCH(Lists!$F$13,$A$1:$AL$1,0))&amp;""),"")="Partially refunded"),"Paid",IF(AP354="Yes","Paid (by hand)",IFERROR(TRIM(INDEX($A354:$AL354,MATCH(Lists!$F$13,$A$1:$AL$1,0))&amp;""),""))))</f>
        <v/>
      </c>
      <c r="BA354" s="21">
        <f>IF(AND(IFERROR(TRIM(INDEX($A354:$AL354,MATCH(Lists!$F$2,$A$1:$AL$1,0))&amp;""),"")&lt;&gt;"",AT354&gt;0,AU354&gt;=0,AV354&gt;AU354,AY354&lt;&gt;"Declined"),1,0)</f>
        <v/>
      </c>
      <c r="BB354" s="21">
        <f>IF(BA354=1,COUNTIFS($AS$2:$AS$501,AS354,$AT$2:$AT$501,AT354,$AU$2:$AU$501,"&lt;"&amp;AV354,$AV$2:$AV$501,"&gt;"&amp;AU354,$BA$2:$BA$501,1)-1,"")</f>
        <v/>
      </c>
      <c r="BC354" s="21">
        <f>IF(N(BB354)&gt;0,"Clashes with "&amp;INDEX($AW$2:$AW$501,SUMPRODUCT(MAX(($AS$2:$AS$501=AS354)*($AT$2:$AT$501=AT354)*($AU$2:$AU$501&lt;AV354)*($AV$2:$AV$501&gt;AU354)*($BA$2:$BA$501=1)*(ROW($AS$2:$AS$501)&lt;&gt;ROW())*ROW($AS$2:$AS$501)))-1)&amp;" ("&amp;INDEX($AY$2:$AY$501,SUMPRODUCT(MAX(($AS$2:$AS$501=AS354)*($AT$2:$AT$501=AT354)*($AU$2:$AU$501&lt;AV354)*($AV$2:$AV$501&gt;AU354)*($BA$2:$BA$501=1)*(ROW($AS$2:$AS$501)&lt;&gt;ROW())*ROW($AS$2:$AS$501)))-1)&amp;")"&amp;IF(BB354&gt;1," and "&amp;(BB354-1)&amp;" more",""),"")</f>
        <v/>
      </c>
      <c r="BD354" s="21">
        <f>IF(AND(BA354=1,AY354="Confirmed"),AT354*10000000+AU354*1000+ROW(),"")</f>
        <v/>
      </c>
      <c r="BE354" s="21">
        <f>IF(IFERROR(TRIM(INDEX($A354:$AL354,MATCH(Lists!$F$2,$A$1:$AL$1,0))&amp;""),"")="","",IFERROR(TRIM(INDEX($A354:$AL354,MATCH(Lists!$F$11,$A$1:$AL$1,0))&amp;""),""))</f>
        <v/>
      </c>
      <c r="BF354" s="21">
        <f>IF(IFERROR(TRIM(INDEX($A354:$AL354,MATCH(Lists!$F$2,$A$1:$AL$1,0))&amp;""),"")="","",IFERROR(TRIM(INDEX($A354:$AL354,MATCH(Lists!$F$12,$A$1:$AL$1,0))&amp;""),""))</f>
        <v/>
      </c>
    </row>
    <row r="355">
      <c r="AM355" s="19" t="n"/>
      <c r="AN355" s="23" t="n"/>
      <c r="AO355" s="23" t="n"/>
      <c r="AP355" s="23" t="n"/>
      <c r="AQ355" s="23" t="n"/>
      <c r="AR355" s="19" t="n"/>
      <c r="AS355" s="21">
        <f>IF(IFERROR(TRIM(INDEX($A355:$AL355,MATCH(Lists!$F$2,$A$1:$AL$1,0))&amp;""),"")="","",IF(AND(IFERROR(TRIM(INDEX($A355:$AL355,MATCH(Lists!$F$3,$A$1:$AL$1,0))&amp;""),"")="Other",IFERROR(TRIM(INDEX($A355:$AL355,MATCH(Lists!$F$4,$A$1:$AL$1,0))&amp;""),"")&lt;&gt;""),IFERROR(TRIM(INDEX($A355:$AL355,MATCH(Lists!$F$4,$A$1:$AL$1,0))&amp;""),""),IF(IFERROR(TRIM(INDEX($A355:$AL355,MATCH(Lists!$F$3,$A$1:$AL$1,0))&amp;""),"")="","(no space)",IFERROR(TRIM(INDEX($A355:$AL355,MATCH(Lists!$F$3,$A$1:$AL$1,0))&amp;""),""))))</f>
        <v/>
      </c>
      <c r="AT355" s="22">
        <f>IF(IFERROR(TRIM(INDEX($A355:$AL355,MATCH(Lists!$F$2,$A$1:$AL$1,0))&amp;""),"")="",0,N(IFERROR(IF(TRIM(INDEX($A355:$AL355,MATCH(Lists!$F$5,$A$1:$AL$1,0))&amp;"")="","",IF(ISNUMBER(INDEX($A355:$AL355,MATCH(Lists!$F$5,$A$1:$AL$1,0))),INT(INDEX($A355:$AL355,MATCH(Lists!$F$5,$A$1:$AL$1,0))),DATE(VALUE(LEFT(INDEX($A355:$AL355,MATCH(Lists!$F$5,$A$1:$AL$1,0)),4)),VALUE(MID(INDEX($A355:$AL355,MATCH(Lists!$F$5,$A$1:$AL$1,0)),6,2)),VALUE(MID(INDEX($A355:$AL355,MATCH(Lists!$F$5,$A$1:$AL$1,0)),9,2))))),"")))</f>
        <v/>
      </c>
      <c r="AU355" s="21">
        <f>IF(IFERROR(TRIM(INDEX($A355:$AL355,MATCH(Lists!$F$2,$A$1:$AL$1,0))&amp;""),"")="",-1,IF(ISNUMBER(IFERROR(IF(TRIM(INDEX($A355:$AL355,MATCH(Lists!$F$6,$A$1:$AL$1,0))&amp;"")="","",IF(ISNUMBER(INDEX($A355:$AL355,MATCH(Lists!$F$6,$A$1:$AL$1,0))),ROUND(MOD(INDEX($A355:$AL355,MATCH(Lists!$F$6,$A$1:$AL$1,0)),1)*1440,0),VALUE(LEFT(INDEX($A355:$AL355,MATCH(Lists!$F$6,$A$1:$AL$1,0)),2))*60+VALUE(MID(INDEX($A355:$AL355,MATCH(Lists!$F$6,$A$1:$AL$1,0)),4,2)))),"")),IFERROR(IF(TRIM(INDEX($A355:$AL355,MATCH(Lists!$F$6,$A$1:$AL$1,0))&amp;"")="","",IF(ISNUMBER(INDEX($A355:$AL355,MATCH(Lists!$F$6,$A$1:$AL$1,0))),ROUND(MOD(INDEX($A355:$AL355,MATCH(Lists!$F$6,$A$1:$AL$1,0)),1)*1440,0),VALUE(LEFT(INDEX($A355:$AL355,MATCH(Lists!$F$6,$A$1:$AL$1,0)),2))*60+VALUE(MID(INDEX($A355:$AL355,MATCH(Lists!$F$6,$A$1:$AL$1,0)),4,2)))),""),-1))</f>
        <v/>
      </c>
      <c r="AV355" s="21">
        <f>IF(IFERROR(TRIM(INDEX($A355:$AL355,MATCH(Lists!$F$2,$A$1:$AL$1,0))&amp;""),"")="",-1,IF(ISNUMBER(IFERROR(IF(TRIM(INDEX($A355:$AL355,MATCH(Lists!$F$7,$A$1:$AL$1,0))&amp;"")="","",IF(ISNUMBER(INDEX($A355:$AL355,MATCH(Lists!$F$7,$A$1:$AL$1,0))),ROUND(MOD(INDEX($A355:$AL355,MATCH(Lists!$F$7,$A$1:$AL$1,0)),1)*1440,0),VALUE(LEFT(INDEX($A355:$AL355,MATCH(Lists!$F$7,$A$1:$AL$1,0)),2))*60+VALUE(MID(INDEX($A355:$AL355,MATCH(Lists!$F$7,$A$1:$AL$1,0)),4,2)))),"")),IFERROR(IF(TRIM(INDEX($A355:$AL355,MATCH(Lists!$F$7,$A$1:$AL$1,0))&amp;"")="","",IF(ISNUMBER(INDEX($A355:$AL355,MATCH(Lists!$F$7,$A$1:$AL$1,0))),ROUND(MOD(INDEX($A355:$AL355,MATCH(Lists!$F$7,$A$1:$AL$1,0)),1)*1440,0),VALUE(LEFT(INDEX($A355:$AL355,MATCH(Lists!$F$7,$A$1:$AL$1,0)),2))*60+VALUE(MID(INDEX($A355:$AL355,MATCH(Lists!$F$7,$A$1:$AL$1,0)),4,2)))),""),-1))</f>
        <v/>
      </c>
      <c r="AW355" s="21">
        <f>IF(IFERROR(TRIM(INDEX($A355:$AL355,MATCH(Lists!$F$2,$A$1:$AL$1,0))&amp;""),"")="","",IF(IFERROR(TRIM(INDEX($A355:$AL355,MATCH(Lists!$F$8,$A$1:$AL$1,0))&amp;""),"")&lt;&gt;"",IFERROR(TRIM(INDEX($A355:$AL355,MATCH(Lists!$F$8,$A$1:$AL$1,0))&amp;""),""),IFERROR(TRIM(INDEX($A355:$AL355,MATCH(Lists!$F$9,$A$1:$AL$1,0))&amp;""),"")))</f>
        <v/>
      </c>
      <c r="AX355" s="21">
        <f>IFERROR(IF(TRIM(INDEX($A355:$AL355,MATCH(Lists!$F$10,$A$1:$AL$1,0))&amp;"")="","",VALUE(TRIM(INDEX($A355:$AL355,MATCH(Lists!$F$10,$A$1:$AL$1,0))&amp;""))),"")</f>
        <v/>
      </c>
      <c r="AY355" s="21">
        <f>IF(IFERROR(TRIM(INDEX($A355:$AL355,MATCH(Lists!$F$2,$A$1:$AL$1,0))&amp;""),"")="","",IF(AN355="","New",AN355))</f>
        <v/>
      </c>
      <c r="AZ355" s="21">
        <f>IF(IFERROR(TRIM(INDEX($A355:$AL355,MATCH(Lists!$F$2,$A$1:$AL$1,0))&amp;""),"")="","",IF(OR(IFERROR(TRIM(INDEX($A355:$AL355,MATCH(Lists!$F$13,$A$1:$AL$1,0))&amp;""),"")="Paid",IFERROR(TRIM(INDEX($A355:$AL355,MATCH(Lists!$F$13,$A$1:$AL$1,0))&amp;""),"")="Partially refunded"),"Paid",IF(AP355="Yes","Paid (by hand)",IFERROR(TRIM(INDEX($A355:$AL355,MATCH(Lists!$F$13,$A$1:$AL$1,0))&amp;""),""))))</f>
        <v/>
      </c>
      <c r="BA355" s="21">
        <f>IF(AND(IFERROR(TRIM(INDEX($A355:$AL355,MATCH(Lists!$F$2,$A$1:$AL$1,0))&amp;""),"")&lt;&gt;"",AT355&gt;0,AU355&gt;=0,AV355&gt;AU355,AY355&lt;&gt;"Declined"),1,0)</f>
        <v/>
      </c>
      <c r="BB355" s="21">
        <f>IF(BA355=1,COUNTIFS($AS$2:$AS$501,AS355,$AT$2:$AT$501,AT355,$AU$2:$AU$501,"&lt;"&amp;AV355,$AV$2:$AV$501,"&gt;"&amp;AU355,$BA$2:$BA$501,1)-1,"")</f>
        <v/>
      </c>
      <c r="BC355" s="21">
        <f>IF(N(BB355)&gt;0,"Clashes with "&amp;INDEX($AW$2:$AW$501,SUMPRODUCT(MAX(($AS$2:$AS$501=AS355)*($AT$2:$AT$501=AT355)*($AU$2:$AU$501&lt;AV355)*($AV$2:$AV$501&gt;AU355)*($BA$2:$BA$501=1)*(ROW($AS$2:$AS$501)&lt;&gt;ROW())*ROW($AS$2:$AS$501)))-1)&amp;" ("&amp;INDEX($AY$2:$AY$501,SUMPRODUCT(MAX(($AS$2:$AS$501=AS355)*($AT$2:$AT$501=AT355)*($AU$2:$AU$501&lt;AV355)*($AV$2:$AV$501&gt;AU355)*($BA$2:$BA$501=1)*(ROW($AS$2:$AS$501)&lt;&gt;ROW())*ROW($AS$2:$AS$501)))-1)&amp;")"&amp;IF(BB355&gt;1," and "&amp;(BB355-1)&amp;" more",""),"")</f>
        <v/>
      </c>
      <c r="BD355" s="21">
        <f>IF(AND(BA355=1,AY355="Confirmed"),AT355*10000000+AU355*1000+ROW(),"")</f>
        <v/>
      </c>
      <c r="BE355" s="21">
        <f>IF(IFERROR(TRIM(INDEX($A355:$AL355,MATCH(Lists!$F$2,$A$1:$AL$1,0))&amp;""),"")="","",IFERROR(TRIM(INDEX($A355:$AL355,MATCH(Lists!$F$11,$A$1:$AL$1,0))&amp;""),""))</f>
        <v/>
      </c>
      <c r="BF355" s="21">
        <f>IF(IFERROR(TRIM(INDEX($A355:$AL355,MATCH(Lists!$F$2,$A$1:$AL$1,0))&amp;""),"")="","",IFERROR(TRIM(INDEX($A355:$AL355,MATCH(Lists!$F$12,$A$1:$AL$1,0))&amp;""),""))</f>
        <v/>
      </c>
    </row>
    <row r="356">
      <c r="AM356" s="19" t="n"/>
      <c r="AN356" s="23" t="n"/>
      <c r="AO356" s="23" t="n"/>
      <c r="AP356" s="23" t="n"/>
      <c r="AQ356" s="23" t="n"/>
      <c r="AR356" s="19" t="n"/>
      <c r="AS356" s="21">
        <f>IF(IFERROR(TRIM(INDEX($A356:$AL356,MATCH(Lists!$F$2,$A$1:$AL$1,0))&amp;""),"")="","",IF(AND(IFERROR(TRIM(INDEX($A356:$AL356,MATCH(Lists!$F$3,$A$1:$AL$1,0))&amp;""),"")="Other",IFERROR(TRIM(INDEX($A356:$AL356,MATCH(Lists!$F$4,$A$1:$AL$1,0))&amp;""),"")&lt;&gt;""),IFERROR(TRIM(INDEX($A356:$AL356,MATCH(Lists!$F$4,$A$1:$AL$1,0))&amp;""),""),IF(IFERROR(TRIM(INDEX($A356:$AL356,MATCH(Lists!$F$3,$A$1:$AL$1,0))&amp;""),"")="","(no space)",IFERROR(TRIM(INDEX($A356:$AL356,MATCH(Lists!$F$3,$A$1:$AL$1,0))&amp;""),""))))</f>
        <v/>
      </c>
      <c r="AT356" s="22">
        <f>IF(IFERROR(TRIM(INDEX($A356:$AL356,MATCH(Lists!$F$2,$A$1:$AL$1,0))&amp;""),"")="",0,N(IFERROR(IF(TRIM(INDEX($A356:$AL356,MATCH(Lists!$F$5,$A$1:$AL$1,0))&amp;"")="","",IF(ISNUMBER(INDEX($A356:$AL356,MATCH(Lists!$F$5,$A$1:$AL$1,0))),INT(INDEX($A356:$AL356,MATCH(Lists!$F$5,$A$1:$AL$1,0))),DATE(VALUE(LEFT(INDEX($A356:$AL356,MATCH(Lists!$F$5,$A$1:$AL$1,0)),4)),VALUE(MID(INDEX($A356:$AL356,MATCH(Lists!$F$5,$A$1:$AL$1,0)),6,2)),VALUE(MID(INDEX($A356:$AL356,MATCH(Lists!$F$5,$A$1:$AL$1,0)),9,2))))),"")))</f>
        <v/>
      </c>
      <c r="AU356" s="21">
        <f>IF(IFERROR(TRIM(INDEX($A356:$AL356,MATCH(Lists!$F$2,$A$1:$AL$1,0))&amp;""),"")="",-1,IF(ISNUMBER(IFERROR(IF(TRIM(INDEX($A356:$AL356,MATCH(Lists!$F$6,$A$1:$AL$1,0))&amp;"")="","",IF(ISNUMBER(INDEX($A356:$AL356,MATCH(Lists!$F$6,$A$1:$AL$1,0))),ROUND(MOD(INDEX($A356:$AL356,MATCH(Lists!$F$6,$A$1:$AL$1,0)),1)*1440,0),VALUE(LEFT(INDEX($A356:$AL356,MATCH(Lists!$F$6,$A$1:$AL$1,0)),2))*60+VALUE(MID(INDEX($A356:$AL356,MATCH(Lists!$F$6,$A$1:$AL$1,0)),4,2)))),"")),IFERROR(IF(TRIM(INDEX($A356:$AL356,MATCH(Lists!$F$6,$A$1:$AL$1,0))&amp;"")="","",IF(ISNUMBER(INDEX($A356:$AL356,MATCH(Lists!$F$6,$A$1:$AL$1,0))),ROUND(MOD(INDEX($A356:$AL356,MATCH(Lists!$F$6,$A$1:$AL$1,0)),1)*1440,0),VALUE(LEFT(INDEX($A356:$AL356,MATCH(Lists!$F$6,$A$1:$AL$1,0)),2))*60+VALUE(MID(INDEX($A356:$AL356,MATCH(Lists!$F$6,$A$1:$AL$1,0)),4,2)))),""),-1))</f>
        <v/>
      </c>
      <c r="AV356" s="21">
        <f>IF(IFERROR(TRIM(INDEX($A356:$AL356,MATCH(Lists!$F$2,$A$1:$AL$1,0))&amp;""),"")="",-1,IF(ISNUMBER(IFERROR(IF(TRIM(INDEX($A356:$AL356,MATCH(Lists!$F$7,$A$1:$AL$1,0))&amp;"")="","",IF(ISNUMBER(INDEX($A356:$AL356,MATCH(Lists!$F$7,$A$1:$AL$1,0))),ROUND(MOD(INDEX($A356:$AL356,MATCH(Lists!$F$7,$A$1:$AL$1,0)),1)*1440,0),VALUE(LEFT(INDEX($A356:$AL356,MATCH(Lists!$F$7,$A$1:$AL$1,0)),2))*60+VALUE(MID(INDEX($A356:$AL356,MATCH(Lists!$F$7,$A$1:$AL$1,0)),4,2)))),"")),IFERROR(IF(TRIM(INDEX($A356:$AL356,MATCH(Lists!$F$7,$A$1:$AL$1,0))&amp;"")="","",IF(ISNUMBER(INDEX($A356:$AL356,MATCH(Lists!$F$7,$A$1:$AL$1,0))),ROUND(MOD(INDEX($A356:$AL356,MATCH(Lists!$F$7,$A$1:$AL$1,0)),1)*1440,0),VALUE(LEFT(INDEX($A356:$AL356,MATCH(Lists!$F$7,$A$1:$AL$1,0)),2))*60+VALUE(MID(INDEX($A356:$AL356,MATCH(Lists!$F$7,$A$1:$AL$1,0)),4,2)))),""),-1))</f>
        <v/>
      </c>
      <c r="AW356" s="21">
        <f>IF(IFERROR(TRIM(INDEX($A356:$AL356,MATCH(Lists!$F$2,$A$1:$AL$1,0))&amp;""),"")="","",IF(IFERROR(TRIM(INDEX($A356:$AL356,MATCH(Lists!$F$8,$A$1:$AL$1,0))&amp;""),"")&lt;&gt;"",IFERROR(TRIM(INDEX($A356:$AL356,MATCH(Lists!$F$8,$A$1:$AL$1,0))&amp;""),""),IFERROR(TRIM(INDEX($A356:$AL356,MATCH(Lists!$F$9,$A$1:$AL$1,0))&amp;""),"")))</f>
        <v/>
      </c>
      <c r="AX356" s="21">
        <f>IFERROR(IF(TRIM(INDEX($A356:$AL356,MATCH(Lists!$F$10,$A$1:$AL$1,0))&amp;"")="","",VALUE(TRIM(INDEX($A356:$AL356,MATCH(Lists!$F$10,$A$1:$AL$1,0))&amp;""))),"")</f>
        <v/>
      </c>
      <c r="AY356" s="21">
        <f>IF(IFERROR(TRIM(INDEX($A356:$AL356,MATCH(Lists!$F$2,$A$1:$AL$1,0))&amp;""),"")="","",IF(AN356="","New",AN356))</f>
        <v/>
      </c>
      <c r="AZ356" s="21">
        <f>IF(IFERROR(TRIM(INDEX($A356:$AL356,MATCH(Lists!$F$2,$A$1:$AL$1,0))&amp;""),"")="","",IF(OR(IFERROR(TRIM(INDEX($A356:$AL356,MATCH(Lists!$F$13,$A$1:$AL$1,0))&amp;""),"")="Paid",IFERROR(TRIM(INDEX($A356:$AL356,MATCH(Lists!$F$13,$A$1:$AL$1,0))&amp;""),"")="Partially refunded"),"Paid",IF(AP356="Yes","Paid (by hand)",IFERROR(TRIM(INDEX($A356:$AL356,MATCH(Lists!$F$13,$A$1:$AL$1,0))&amp;""),""))))</f>
        <v/>
      </c>
      <c r="BA356" s="21">
        <f>IF(AND(IFERROR(TRIM(INDEX($A356:$AL356,MATCH(Lists!$F$2,$A$1:$AL$1,0))&amp;""),"")&lt;&gt;"",AT356&gt;0,AU356&gt;=0,AV356&gt;AU356,AY356&lt;&gt;"Declined"),1,0)</f>
        <v/>
      </c>
      <c r="BB356" s="21">
        <f>IF(BA356=1,COUNTIFS($AS$2:$AS$501,AS356,$AT$2:$AT$501,AT356,$AU$2:$AU$501,"&lt;"&amp;AV356,$AV$2:$AV$501,"&gt;"&amp;AU356,$BA$2:$BA$501,1)-1,"")</f>
        <v/>
      </c>
      <c r="BC356" s="21">
        <f>IF(N(BB356)&gt;0,"Clashes with "&amp;INDEX($AW$2:$AW$501,SUMPRODUCT(MAX(($AS$2:$AS$501=AS356)*($AT$2:$AT$501=AT356)*($AU$2:$AU$501&lt;AV356)*($AV$2:$AV$501&gt;AU356)*($BA$2:$BA$501=1)*(ROW($AS$2:$AS$501)&lt;&gt;ROW())*ROW($AS$2:$AS$501)))-1)&amp;" ("&amp;INDEX($AY$2:$AY$501,SUMPRODUCT(MAX(($AS$2:$AS$501=AS356)*($AT$2:$AT$501=AT356)*($AU$2:$AU$501&lt;AV356)*($AV$2:$AV$501&gt;AU356)*($BA$2:$BA$501=1)*(ROW($AS$2:$AS$501)&lt;&gt;ROW())*ROW($AS$2:$AS$501)))-1)&amp;")"&amp;IF(BB356&gt;1," and "&amp;(BB356-1)&amp;" more",""),"")</f>
        <v/>
      </c>
      <c r="BD356" s="21">
        <f>IF(AND(BA356=1,AY356="Confirmed"),AT356*10000000+AU356*1000+ROW(),"")</f>
        <v/>
      </c>
      <c r="BE356" s="21">
        <f>IF(IFERROR(TRIM(INDEX($A356:$AL356,MATCH(Lists!$F$2,$A$1:$AL$1,0))&amp;""),"")="","",IFERROR(TRIM(INDEX($A356:$AL356,MATCH(Lists!$F$11,$A$1:$AL$1,0))&amp;""),""))</f>
        <v/>
      </c>
      <c r="BF356" s="21">
        <f>IF(IFERROR(TRIM(INDEX($A356:$AL356,MATCH(Lists!$F$2,$A$1:$AL$1,0))&amp;""),"")="","",IFERROR(TRIM(INDEX($A356:$AL356,MATCH(Lists!$F$12,$A$1:$AL$1,0))&amp;""),""))</f>
        <v/>
      </c>
    </row>
    <row r="357">
      <c r="AM357" s="19" t="n"/>
      <c r="AN357" s="23" t="n"/>
      <c r="AO357" s="23" t="n"/>
      <c r="AP357" s="23" t="n"/>
      <c r="AQ357" s="23" t="n"/>
      <c r="AR357" s="19" t="n"/>
      <c r="AS357" s="21">
        <f>IF(IFERROR(TRIM(INDEX($A357:$AL357,MATCH(Lists!$F$2,$A$1:$AL$1,0))&amp;""),"")="","",IF(AND(IFERROR(TRIM(INDEX($A357:$AL357,MATCH(Lists!$F$3,$A$1:$AL$1,0))&amp;""),"")="Other",IFERROR(TRIM(INDEX($A357:$AL357,MATCH(Lists!$F$4,$A$1:$AL$1,0))&amp;""),"")&lt;&gt;""),IFERROR(TRIM(INDEX($A357:$AL357,MATCH(Lists!$F$4,$A$1:$AL$1,0))&amp;""),""),IF(IFERROR(TRIM(INDEX($A357:$AL357,MATCH(Lists!$F$3,$A$1:$AL$1,0))&amp;""),"")="","(no space)",IFERROR(TRIM(INDEX($A357:$AL357,MATCH(Lists!$F$3,$A$1:$AL$1,0))&amp;""),""))))</f>
        <v/>
      </c>
      <c r="AT357" s="22">
        <f>IF(IFERROR(TRIM(INDEX($A357:$AL357,MATCH(Lists!$F$2,$A$1:$AL$1,0))&amp;""),"")="",0,N(IFERROR(IF(TRIM(INDEX($A357:$AL357,MATCH(Lists!$F$5,$A$1:$AL$1,0))&amp;"")="","",IF(ISNUMBER(INDEX($A357:$AL357,MATCH(Lists!$F$5,$A$1:$AL$1,0))),INT(INDEX($A357:$AL357,MATCH(Lists!$F$5,$A$1:$AL$1,0))),DATE(VALUE(LEFT(INDEX($A357:$AL357,MATCH(Lists!$F$5,$A$1:$AL$1,0)),4)),VALUE(MID(INDEX($A357:$AL357,MATCH(Lists!$F$5,$A$1:$AL$1,0)),6,2)),VALUE(MID(INDEX($A357:$AL357,MATCH(Lists!$F$5,$A$1:$AL$1,0)),9,2))))),"")))</f>
        <v/>
      </c>
      <c r="AU357" s="21">
        <f>IF(IFERROR(TRIM(INDEX($A357:$AL357,MATCH(Lists!$F$2,$A$1:$AL$1,0))&amp;""),"")="",-1,IF(ISNUMBER(IFERROR(IF(TRIM(INDEX($A357:$AL357,MATCH(Lists!$F$6,$A$1:$AL$1,0))&amp;"")="","",IF(ISNUMBER(INDEX($A357:$AL357,MATCH(Lists!$F$6,$A$1:$AL$1,0))),ROUND(MOD(INDEX($A357:$AL357,MATCH(Lists!$F$6,$A$1:$AL$1,0)),1)*1440,0),VALUE(LEFT(INDEX($A357:$AL357,MATCH(Lists!$F$6,$A$1:$AL$1,0)),2))*60+VALUE(MID(INDEX($A357:$AL357,MATCH(Lists!$F$6,$A$1:$AL$1,0)),4,2)))),"")),IFERROR(IF(TRIM(INDEX($A357:$AL357,MATCH(Lists!$F$6,$A$1:$AL$1,0))&amp;"")="","",IF(ISNUMBER(INDEX($A357:$AL357,MATCH(Lists!$F$6,$A$1:$AL$1,0))),ROUND(MOD(INDEX($A357:$AL357,MATCH(Lists!$F$6,$A$1:$AL$1,0)),1)*1440,0),VALUE(LEFT(INDEX($A357:$AL357,MATCH(Lists!$F$6,$A$1:$AL$1,0)),2))*60+VALUE(MID(INDEX($A357:$AL357,MATCH(Lists!$F$6,$A$1:$AL$1,0)),4,2)))),""),-1))</f>
        <v/>
      </c>
      <c r="AV357" s="21">
        <f>IF(IFERROR(TRIM(INDEX($A357:$AL357,MATCH(Lists!$F$2,$A$1:$AL$1,0))&amp;""),"")="",-1,IF(ISNUMBER(IFERROR(IF(TRIM(INDEX($A357:$AL357,MATCH(Lists!$F$7,$A$1:$AL$1,0))&amp;"")="","",IF(ISNUMBER(INDEX($A357:$AL357,MATCH(Lists!$F$7,$A$1:$AL$1,0))),ROUND(MOD(INDEX($A357:$AL357,MATCH(Lists!$F$7,$A$1:$AL$1,0)),1)*1440,0),VALUE(LEFT(INDEX($A357:$AL357,MATCH(Lists!$F$7,$A$1:$AL$1,0)),2))*60+VALUE(MID(INDEX($A357:$AL357,MATCH(Lists!$F$7,$A$1:$AL$1,0)),4,2)))),"")),IFERROR(IF(TRIM(INDEX($A357:$AL357,MATCH(Lists!$F$7,$A$1:$AL$1,0))&amp;"")="","",IF(ISNUMBER(INDEX($A357:$AL357,MATCH(Lists!$F$7,$A$1:$AL$1,0))),ROUND(MOD(INDEX($A357:$AL357,MATCH(Lists!$F$7,$A$1:$AL$1,0)),1)*1440,0),VALUE(LEFT(INDEX($A357:$AL357,MATCH(Lists!$F$7,$A$1:$AL$1,0)),2))*60+VALUE(MID(INDEX($A357:$AL357,MATCH(Lists!$F$7,$A$1:$AL$1,0)),4,2)))),""),-1))</f>
        <v/>
      </c>
      <c r="AW357" s="21">
        <f>IF(IFERROR(TRIM(INDEX($A357:$AL357,MATCH(Lists!$F$2,$A$1:$AL$1,0))&amp;""),"")="","",IF(IFERROR(TRIM(INDEX($A357:$AL357,MATCH(Lists!$F$8,$A$1:$AL$1,0))&amp;""),"")&lt;&gt;"",IFERROR(TRIM(INDEX($A357:$AL357,MATCH(Lists!$F$8,$A$1:$AL$1,0))&amp;""),""),IFERROR(TRIM(INDEX($A357:$AL357,MATCH(Lists!$F$9,$A$1:$AL$1,0))&amp;""),"")))</f>
        <v/>
      </c>
      <c r="AX357" s="21">
        <f>IFERROR(IF(TRIM(INDEX($A357:$AL357,MATCH(Lists!$F$10,$A$1:$AL$1,0))&amp;"")="","",VALUE(TRIM(INDEX($A357:$AL357,MATCH(Lists!$F$10,$A$1:$AL$1,0))&amp;""))),"")</f>
        <v/>
      </c>
      <c r="AY357" s="21">
        <f>IF(IFERROR(TRIM(INDEX($A357:$AL357,MATCH(Lists!$F$2,$A$1:$AL$1,0))&amp;""),"")="","",IF(AN357="","New",AN357))</f>
        <v/>
      </c>
      <c r="AZ357" s="21">
        <f>IF(IFERROR(TRIM(INDEX($A357:$AL357,MATCH(Lists!$F$2,$A$1:$AL$1,0))&amp;""),"")="","",IF(OR(IFERROR(TRIM(INDEX($A357:$AL357,MATCH(Lists!$F$13,$A$1:$AL$1,0))&amp;""),"")="Paid",IFERROR(TRIM(INDEX($A357:$AL357,MATCH(Lists!$F$13,$A$1:$AL$1,0))&amp;""),"")="Partially refunded"),"Paid",IF(AP357="Yes","Paid (by hand)",IFERROR(TRIM(INDEX($A357:$AL357,MATCH(Lists!$F$13,$A$1:$AL$1,0))&amp;""),""))))</f>
        <v/>
      </c>
      <c r="BA357" s="21">
        <f>IF(AND(IFERROR(TRIM(INDEX($A357:$AL357,MATCH(Lists!$F$2,$A$1:$AL$1,0))&amp;""),"")&lt;&gt;"",AT357&gt;0,AU357&gt;=0,AV357&gt;AU357,AY357&lt;&gt;"Declined"),1,0)</f>
        <v/>
      </c>
      <c r="BB357" s="21">
        <f>IF(BA357=1,COUNTIFS($AS$2:$AS$501,AS357,$AT$2:$AT$501,AT357,$AU$2:$AU$501,"&lt;"&amp;AV357,$AV$2:$AV$501,"&gt;"&amp;AU357,$BA$2:$BA$501,1)-1,"")</f>
        <v/>
      </c>
      <c r="BC357" s="21">
        <f>IF(N(BB357)&gt;0,"Clashes with "&amp;INDEX($AW$2:$AW$501,SUMPRODUCT(MAX(($AS$2:$AS$501=AS357)*($AT$2:$AT$501=AT357)*($AU$2:$AU$501&lt;AV357)*($AV$2:$AV$501&gt;AU357)*($BA$2:$BA$501=1)*(ROW($AS$2:$AS$501)&lt;&gt;ROW())*ROW($AS$2:$AS$501)))-1)&amp;" ("&amp;INDEX($AY$2:$AY$501,SUMPRODUCT(MAX(($AS$2:$AS$501=AS357)*($AT$2:$AT$501=AT357)*($AU$2:$AU$501&lt;AV357)*($AV$2:$AV$501&gt;AU357)*($BA$2:$BA$501=1)*(ROW($AS$2:$AS$501)&lt;&gt;ROW())*ROW($AS$2:$AS$501)))-1)&amp;")"&amp;IF(BB357&gt;1," and "&amp;(BB357-1)&amp;" more",""),"")</f>
        <v/>
      </c>
      <c r="BD357" s="21">
        <f>IF(AND(BA357=1,AY357="Confirmed"),AT357*10000000+AU357*1000+ROW(),"")</f>
        <v/>
      </c>
      <c r="BE357" s="21">
        <f>IF(IFERROR(TRIM(INDEX($A357:$AL357,MATCH(Lists!$F$2,$A$1:$AL$1,0))&amp;""),"")="","",IFERROR(TRIM(INDEX($A357:$AL357,MATCH(Lists!$F$11,$A$1:$AL$1,0))&amp;""),""))</f>
        <v/>
      </c>
      <c r="BF357" s="21">
        <f>IF(IFERROR(TRIM(INDEX($A357:$AL357,MATCH(Lists!$F$2,$A$1:$AL$1,0))&amp;""),"")="","",IFERROR(TRIM(INDEX($A357:$AL357,MATCH(Lists!$F$12,$A$1:$AL$1,0))&amp;""),""))</f>
        <v/>
      </c>
    </row>
    <row r="358">
      <c r="AM358" s="19" t="n"/>
      <c r="AN358" s="23" t="n"/>
      <c r="AO358" s="23" t="n"/>
      <c r="AP358" s="23" t="n"/>
      <c r="AQ358" s="23" t="n"/>
      <c r="AR358" s="19" t="n"/>
      <c r="AS358" s="21">
        <f>IF(IFERROR(TRIM(INDEX($A358:$AL358,MATCH(Lists!$F$2,$A$1:$AL$1,0))&amp;""),"")="","",IF(AND(IFERROR(TRIM(INDEX($A358:$AL358,MATCH(Lists!$F$3,$A$1:$AL$1,0))&amp;""),"")="Other",IFERROR(TRIM(INDEX($A358:$AL358,MATCH(Lists!$F$4,$A$1:$AL$1,0))&amp;""),"")&lt;&gt;""),IFERROR(TRIM(INDEX($A358:$AL358,MATCH(Lists!$F$4,$A$1:$AL$1,0))&amp;""),""),IF(IFERROR(TRIM(INDEX($A358:$AL358,MATCH(Lists!$F$3,$A$1:$AL$1,0))&amp;""),"")="","(no space)",IFERROR(TRIM(INDEX($A358:$AL358,MATCH(Lists!$F$3,$A$1:$AL$1,0))&amp;""),""))))</f>
        <v/>
      </c>
      <c r="AT358" s="22">
        <f>IF(IFERROR(TRIM(INDEX($A358:$AL358,MATCH(Lists!$F$2,$A$1:$AL$1,0))&amp;""),"")="",0,N(IFERROR(IF(TRIM(INDEX($A358:$AL358,MATCH(Lists!$F$5,$A$1:$AL$1,0))&amp;"")="","",IF(ISNUMBER(INDEX($A358:$AL358,MATCH(Lists!$F$5,$A$1:$AL$1,0))),INT(INDEX($A358:$AL358,MATCH(Lists!$F$5,$A$1:$AL$1,0))),DATE(VALUE(LEFT(INDEX($A358:$AL358,MATCH(Lists!$F$5,$A$1:$AL$1,0)),4)),VALUE(MID(INDEX($A358:$AL358,MATCH(Lists!$F$5,$A$1:$AL$1,0)),6,2)),VALUE(MID(INDEX($A358:$AL358,MATCH(Lists!$F$5,$A$1:$AL$1,0)),9,2))))),"")))</f>
        <v/>
      </c>
      <c r="AU358" s="21">
        <f>IF(IFERROR(TRIM(INDEX($A358:$AL358,MATCH(Lists!$F$2,$A$1:$AL$1,0))&amp;""),"")="",-1,IF(ISNUMBER(IFERROR(IF(TRIM(INDEX($A358:$AL358,MATCH(Lists!$F$6,$A$1:$AL$1,0))&amp;"")="","",IF(ISNUMBER(INDEX($A358:$AL358,MATCH(Lists!$F$6,$A$1:$AL$1,0))),ROUND(MOD(INDEX($A358:$AL358,MATCH(Lists!$F$6,$A$1:$AL$1,0)),1)*1440,0),VALUE(LEFT(INDEX($A358:$AL358,MATCH(Lists!$F$6,$A$1:$AL$1,0)),2))*60+VALUE(MID(INDEX($A358:$AL358,MATCH(Lists!$F$6,$A$1:$AL$1,0)),4,2)))),"")),IFERROR(IF(TRIM(INDEX($A358:$AL358,MATCH(Lists!$F$6,$A$1:$AL$1,0))&amp;"")="","",IF(ISNUMBER(INDEX($A358:$AL358,MATCH(Lists!$F$6,$A$1:$AL$1,0))),ROUND(MOD(INDEX($A358:$AL358,MATCH(Lists!$F$6,$A$1:$AL$1,0)),1)*1440,0),VALUE(LEFT(INDEX($A358:$AL358,MATCH(Lists!$F$6,$A$1:$AL$1,0)),2))*60+VALUE(MID(INDEX($A358:$AL358,MATCH(Lists!$F$6,$A$1:$AL$1,0)),4,2)))),""),-1))</f>
        <v/>
      </c>
      <c r="AV358" s="21">
        <f>IF(IFERROR(TRIM(INDEX($A358:$AL358,MATCH(Lists!$F$2,$A$1:$AL$1,0))&amp;""),"")="",-1,IF(ISNUMBER(IFERROR(IF(TRIM(INDEX($A358:$AL358,MATCH(Lists!$F$7,$A$1:$AL$1,0))&amp;"")="","",IF(ISNUMBER(INDEX($A358:$AL358,MATCH(Lists!$F$7,$A$1:$AL$1,0))),ROUND(MOD(INDEX($A358:$AL358,MATCH(Lists!$F$7,$A$1:$AL$1,0)),1)*1440,0),VALUE(LEFT(INDEX($A358:$AL358,MATCH(Lists!$F$7,$A$1:$AL$1,0)),2))*60+VALUE(MID(INDEX($A358:$AL358,MATCH(Lists!$F$7,$A$1:$AL$1,0)),4,2)))),"")),IFERROR(IF(TRIM(INDEX($A358:$AL358,MATCH(Lists!$F$7,$A$1:$AL$1,0))&amp;"")="","",IF(ISNUMBER(INDEX($A358:$AL358,MATCH(Lists!$F$7,$A$1:$AL$1,0))),ROUND(MOD(INDEX($A358:$AL358,MATCH(Lists!$F$7,$A$1:$AL$1,0)),1)*1440,0),VALUE(LEFT(INDEX($A358:$AL358,MATCH(Lists!$F$7,$A$1:$AL$1,0)),2))*60+VALUE(MID(INDEX($A358:$AL358,MATCH(Lists!$F$7,$A$1:$AL$1,0)),4,2)))),""),-1))</f>
        <v/>
      </c>
      <c r="AW358" s="21">
        <f>IF(IFERROR(TRIM(INDEX($A358:$AL358,MATCH(Lists!$F$2,$A$1:$AL$1,0))&amp;""),"")="","",IF(IFERROR(TRIM(INDEX($A358:$AL358,MATCH(Lists!$F$8,$A$1:$AL$1,0))&amp;""),"")&lt;&gt;"",IFERROR(TRIM(INDEX($A358:$AL358,MATCH(Lists!$F$8,$A$1:$AL$1,0))&amp;""),""),IFERROR(TRIM(INDEX($A358:$AL358,MATCH(Lists!$F$9,$A$1:$AL$1,0))&amp;""),"")))</f>
        <v/>
      </c>
      <c r="AX358" s="21">
        <f>IFERROR(IF(TRIM(INDEX($A358:$AL358,MATCH(Lists!$F$10,$A$1:$AL$1,0))&amp;"")="","",VALUE(TRIM(INDEX($A358:$AL358,MATCH(Lists!$F$10,$A$1:$AL$1,0))&amp;""))),"")</f>
        <v/>
      </c>
      <c r="AY358" s="21">
        <f>IF(IFERROR(TRIM(INDEX($A358:$AL358,MATCH(Lists!$F$2,$A$1:$AL$1,0))&amp;""),"")="","",IF(AN358="","New",AN358))</f>
        <v/>
      </c>
      <c r="AZ358" s="21">
        <f>IF(IFERROR(TRIM(INDEX($A358:$AL358,MATCH(Lists!$F$2,$A$1:$AL$1,0))&amp;""),"")="","",IF(OR(IFERROR(TRIM(INDEX($A358:$AL358,MATCH(Lists!$F$13,$A$1:$AL$1,0))&amp;""),"")="Paid",IFERROR(TRIM(INDEX($A358:$AL358,MATCH(Lists!$F$13,$A$1:$AL$1,0))&amp;""),"")="Partially refunded"),"Paid",IF(AP358="Yes","Paid (by hand)",IFERROR(TRIM(INDEX($A358:$AL358,MATCH(Lists!$F$13,$A$1:$AL$1,0))&amp;""),""))))</f>
        <v/>
      </c>
      <c r="BA358" s="21">
        <f>IF(AND(IFERROR(TRIM(INDEX($A358:$AL358,MATCH(Lists!$F$2,$A$1:$AL$1,0))&amp;""),"")&lt;&gt;"",AT358&gt;0,AU358&gt;=0,AV358&gt;AU358,AY358&lt;&gt;"Declined"),1,0)</f>
        <v/>
      </c>
      <c r="BB358" s="21">
        <f>IF(BA358=1,COUNTIFS($AS$2:$AS$501,AS358,$AT$2:$AT$501,AT358,$AU$2:$AU$501,"&lt;"&amp;AV358,$AV$2:$AV$501,"&gt;"&amp;AU358,$BA$2:$BA$501,1)-1,"")</f>
        <v/>
      </c>
      <c r="BC358" s="21">
        <f>IF(N(BB358)&gt;0,"Clashes with "&amp;INDEX($AW$2:$AW$501,SUMPRODUCT(MAX(($AS$2:$AS$501=AS358)*($AT$2:$AT$501=AT358)*($AU$2:$AU$501&lt;AV358)*($AV$2:$AV$501&gt;AU358)*($BA$2:$BA$501=1)*(ROW($AS$2:$AS$501)&lt;&gt;ROW())*ROW($AS$2:$AS$501)))-1)&amp;" ("&amp;INDEX($AY$2:$AY$501,SUMPRODUCT(MAX(($AS$2:$AS$501=AS358)*($AT$2:$AT$501=AT358)*($AU$2:$AU$501&lt;AV358)*($AV$2:$AV$501&gt;AU358)*($BA$2:$BA$501=1)*(ROW($AS$2:$AS$501)&lt;&gt;ROW())*ROW($AS$2:$AS$501)))-1)&amp;")"&amp;IF(BB358&gt;1," and "&amp;(BB358-1)&amp;" more",""),"")</f>
        <v/>
      </c>
      <c r="BD358" s="21">
        <f>IF(AND(BA358=1,AY358="Confirmed"),AT358*10000000+AU358*1000+ROW(),"")</f>
        <v/>
      </c>
      <c r="BE358" s="21">
        <f>IF(IFERROR(TRIM(INDEX($A358:$AL358,MATCH(Lists!$F$2,$A$1:$AL$1,0))&amp;""),"")="","",IFERROR(TRIM(INDEX($A358:$AL358,MATCH(Lists!$F$11,$A$1:$AL$1,0))&amp;""),""))</f>
        <v/>
      </c>
      <c r="BF358" s="21">
        <f>IF(IFERROR(TRIM(INDEX($A358:$AL358,MATCH(Lists!$F$2,$A$1:$AL$1,0))&amp;""),"")="","",IFERROR(TRIM(INDEX($A358:$AL358,MATCH(Lists!$F$12,$A$1:$AL$1,0))&amp;""),""))</f>
        <v/>
      </c>
    </row>
    <row r="359">
      <c r="AM359" s="19" t="n"/>
      <c r="AN359" s="23" t="n"/>
      <c r="AO359" s="23" t="n"/>
      <c r="AP359" s="23" t="n"/>
      <c r="AQ359" s="23" t="n"/>
      <c r="AR359" s="19" t="n"/>
      <c r="AS359" s="21">
        <f>IF(IFERROR(TRIM(INDEX($A359:$AL359,MATCH(Lists!$F$2,$A$1:$AL$1,0))&amp;""),"")="","",IF(AND(IFERROR(TRIM(INDEX($A359:$AL359,MATCH(Lists!$F$3,$A$1:$AL$1,0))&amp;""),"")="Other",IFERROR(TRIM(INDEX($A359:$AL359,MATCH(Lists!$F$4,$A$1:$AL$1,0))&amp;""),"")&lt;&gt;""),IFERROR(TRIM(INDEX($A359:$AL359,MATCH(Lists!$F$4,$A$1:$AL$1,0))&amp;""),""),IF(IFERROR(TRIM(INDEX($A359:$AL359,MATCH(Lists!$F$3,$A$1:$AL$1,0))&amp;""),"")="","(no space)",IFERROR(TRIM(INDEX($A359:$AL359,MATCH(Lists!$F$3,$A$1:$AL$1,0))&amp;""),""))))</f>
        <v/>
      </c>
      <c r="AT359" s="22">
        <f>IF(IFERROR(TRIM(INDEX($A359:$AL359,MATCH(Lists!$F$2,$A$1:$AL$1,0))&amp;""),"")="",0,N(IFERROR(IF(TRIM(INDEX($A359:$AL359,MATCH(Lists!$F$5,$A$1:$AL$1,0))&amp;"")="","",IF(ISNUMBER(INDEX($A359:$AL359,MATCH(Lists!$F$5,$A$1:$AL$1,0))),INT(INDEX($A359:$AL359,MATCH(Lists!$F$5,$A$1:$AL$1,0))),DATE(VALUE(LEFT(INDEX($A359:$AL359,MATCH(Lists!$F$5,$A$1:$AL$1,0)),4)),VALUE(MID(INDEX($A359:$AL359,MATCH(Lists!$F$5,$A$1:$AL$1,0)),6,2)),VALUE(MID(INDEX($A359:$AL359,MATCH(Lists!$F$5,$A$1:$AL$1,0)),9,2))))),"")))</f>
        <v/>
      </c>
      <c r="AU359" s="21">
        <f>IF(IFERROR(TRIM(INDEX($A359:$AL359,MATCH(Lists!$F$2,$A$1:$AL$1,0))&amp;""),"")="",-1,IF(ISNUMBER(IFERROR(IF(TRIM(INDEX($A359:$AL359,MATCH(Lists!$F$6,$A$1:$AL$1,0))&amp;"")="","",IF(ISNUMBER(INDEX($A359:$AL359,MATCH(Lists!$F$6,$A$1:$AL$1,0))),ROUND(MOD(INDEX($A359:$AL359,MATCH(Lists!$F$6,$A$1:$AL$1,0)),1)*1440,0),VALUE(LEFT(INDEX($A359:$AL359,MATCH(Lists!$F$6,$A$1:$AL$1,0)),2))*60+VALUE(MID(INDEX($A359:$AL359,MATCH(Lists!$F$6,$A$1:$AL$1,0)),4,2)))),"")),IFERROR(IF(TRIM(INDEX($A359:$AL359,MATCH(Lists!$F$6,$A$1:$AL$1,0))&amp;"")="","",IF(ISNUMBER(INDEX($A359:$AL359,MATCH(Lists!$F$6,$A$1:$AL$1,0))),ROUND(MOD(INDEX($A359:$AL359,MATCH(Lists!$F$6,$A$1:$AL$1,0)),1)*1440,0),VALUE(LEFT(INDEX($A359:$AL359,MATCH(Lists!$F$6,$A$1:$AL$1,0)),2))*60+VALUE(MID(INDEX($A359:$AL359,MATCH(Lists!$F$6,$A$1:$AL$1,0)),4,2)))),""),-1))</f>
        <v/>
      </c>
      <c r="AV359" s="21">
        <f>IF(IFERROR(TRIM(INDEX($A359:$AL359,MATCH(Lists!$F$2,$A$1:$AL$1,0))&amp;""),"")="",-1,IF(ISNUMBER(IFERROR(IF(TRIM(INDEX($A359:$AL359,MATCH(Lists!$F$7,$A$1:$AL$1,0))&amp;"")="","",IF(ISNUMBER(INDEX($A359:$AL359,MATCH(Lists!$F$7,$A$1:$AL$1,0))),ROUND(MOD(INDEX($A359:$AL359,MATCH(Lists!$F$7,$A$1:$AL$1,0)),1)*1440,0),VALUE(LEFT(INDEX($A359:$AL359,MATCH(Lists!$F$7,$A$1:$AL$1,0)),2))*60+VALUE(MID(INDEX($A359:$AL359,MATCH(Lists!$F$7,$A$1:$AL$1,0)),4,2)))),"")),IFERROR(IF(TRIM(INDEX($A359:$AL359,MATCH(Lists!$F$7,$A$1:$AL$1,0))&amp;"")="","",IF(ISNUMBER(INDEX($A359:$AL359,MATCH(Lists!$F$7,$A$1:$AL$1,0))),ROUND(MOD(INDEX($A359:$AL359,MATCH(Lists!$F$7,$A$1:$AL$1,0)),1)*1440,0),VALUE(LEFT(INDEX($A359:$AL359,MATCH(Lists!$F$7,$A$1:$AL$1,0)),2))*60+VALUE(MID(INDEX($A359:$AL359,MATCH(Lists!$F$7,$A$1:$AL$1,0)),4,2)))),""),-1))</f>
        <v/>
      </c>
      <c r="AW359" s="21">
        <f>IF(IFERROR(TRIM(INDEX($A359:$AL359,MATCH(Lists!$F$2,$A$1:$AL$1,0))&amp;""),"")="","",IF(IFERROR(TRIM(INDEX($A359:$AL359,MATCH(Lists!$F$8,$A$1:$AL$1,0))&amp;""),"")&lt;&gt;"",IFERROR(TRIM(INDEX($A359:$AL359,MATCH(Lists!$F$8,$A$1:$AL$1,0))&amp;""),""),IFERROR(TRIM(INDEX($A359:$AL359,MATCH(Lists!$F$9,$A$1:$AL$1,0))&amp;""),"")))</f>
        <v/>
      </c>
      <c r="AX359" s="21">
        <f>IFERROR(IF(TRIM(INDEX($A359:$AL359,MATCH(Lists!$F$10,$A$1:$AL$1,0))&amp;"")="","",VALUE(TRIM(INDEX($A359:$AL359,MATCH(Lists!$F$10,$A$1:$AL$1,0))&amp;""))),"")</f>
        <v/>
      </c>
      <c r="AY359" s="21">
        <f>IF(IFERROR(TRIM(INDEX($A359:$AL359,MATCH(Lists!$F$2,$A$1:$AL$1,0))&amp;""),"")="","",IF(AN359="","New",AN359))</f>
        <v/>
      </c>
      <c r="AZ359" s="21">
        <f>IF(IFERROR(TRIM(INDEX($A359:$AL359,MATCH(Lists!$F$2,$A$1:$AL$1,0))&amp;""),"")="","",IF(OR(IFERROR(TRIM(INDEX($A359:$AL359,MATCH(Lists!$F$13,$A$1:$AL$1,0))&amp;""),"")="Paid",IFERROR(TRIM(INDEX($A359:$AL359,MATCH(Lists!$F$13,$A$1:$AL$1,0))&amp;""),"")="Partially refunded"),"Paid",IF(AP359="Yes","Paid (by hand)",IFERROR(TRIM(INDEX($A359:$AL359,MATCH(Lists!$F$13,$A$1:$AL$1,0))&amp;""),""))))</f>
        <v/>
      </c>
      <c r="BA359" s="21">
        <f>IF(AND(IFERROR(TRIM(INDEX($A359:$AL359,MATCH(Lists!$F$2,$A$1:$AL$1,0))&amp;""),"")&lt;&gt;"",AT359&gt;0,AU359&gt;=0,AV359&gt;AU359,AY359&lt;&gt;"Declined"),1,0)</f>
        <v/>
      </c>
      <c r="BB359" s="21">
        <f>IF(BA359=1,COUNTIFS($AS$2:$AS$501,AS359,$AT$2:$AT$501,AT359,$AU$2:$AU$501,"&lt;"&amp;AV359,$AV$2:$AV$501,"&gt;"&amp;AU359,$BA$2:$BA$501,1)-1,"")</f>
        <v/>
      </c>
      <c r="BC359" s="21">
        <f>IF(N(BB359)&gt;0,"Clashes with "&amp;INDEX($AW$2:$AW$501,SUMPRODUCT(MAX(($AS$2:$AS$501=AS359)*($AT$2:$AT$501=AT359)*($AU$2:$AU$501&lt;AV359)*($AV$2:$AV$501&gt;AU359)*($BA$2:$BA$501=1)*(ROW($AS$2:$AS$501)&lt;&gt;ROW())*ROW($AS$2:$AS$501)))-1)&amp;" ("&amp;INDEX($AY$2:$AY$501,SUMPRODUCT(MAX(($AS$2:$AS$501=AS359)*($AT$2:$AT$501=AT359)*($AU$2:$AU$501&lt;AV359)*($AV$2:$AV$501&gt;AU359)*($BA$2:$BA$501=1)*(ROW($AS$2:$AS$501)&lt;&gt;ROW())*ROW($AS$2:$AS$501)))-1)&amp;")"&amp;IF(BB359&gt;1," and "&amp;(BB359-1)&amp;" more",""),"")</f>
        <v/>
      </c>
      <c r="BD359" s="21">
        <f>IF(AND(BA359=1,AY359="Confirmed"),AT359*10000000+AU359*1000+ROW(),"")</f>
        <v/>
      </c>
      <c r="BE359" s="21">
        <f>IF(IFERROR(TRIM(INDEX($A359:$AL359,MATCH(Lists!$F$2,$A$1:$AL$1,0))&amp;""),"")="","",IFERROR(TRIM(INDEX($A359:$AL359,MATCH(Lists!$F$11,$A$1:$AL$1,0))&amp;""),""))</f>
        <v/>
      </c>
      <c r="BF359" s="21">
        <f>IF(IFERROR(TRIM(INDEX($A359:$AL359,MATCH(Lists!$F$2,$A$1:$AL$1,0))&amp;""),"")="","",IFERROR(TRIM(INDEX($A359:$AL359,MATCH(Lists!$F$12,$A$1:$AL$1,0))&amp;""),""))</f>
        <v/>
      </c>
    </row>
    <row r="360">
      <c r="AM360" s="19" t="n"/>
      <c r="AN360" s="23" t="n"/>
      <c r="AO360" s="23" t="n"/>
      <c r="AP360" s="23" t="n"/>
      <c r="AQ360" s="23" t="n"/>
      <c r="AR360" s="19" t="n"/>
      <c r="AS360" s="21">
        <f>IF(IFERROR(TRIM(INDEX($A360:$AL360,MATCH(Lists!$F$2,$A$1:$AL$1,0))&amp;""),"")="","",IF(AND(IFERROR(TRIM(INDEX($A360:$AL360,MATCH(Lists!$F$3,$A$1:$AL$1,0))&amp;""),"")="Other",IFERROR(TRIM(INDEX($A360:$AL360,MATCH(Lists!$F$4,$A$1:$AL$1,0))&amp;""),"")&lt;&gt;""),IFERROR(TRIM(INDEX($A360:$AL360,MATCH(Lists!$F$4,$A$1:$AL$1,0))&amp;""),""),IF(IFERROR(TRIM(INDEX($A360:$AL360,MATCH(Lists!$F$3,$A$1:$AL$1,0))&amp;""),"")="","(no space)",IFERROR(TRIM(INDEX($A360:$AL360,MATCH(Lists!$F$3,$A$1:$AL$1,0))&amp;""),""))))</f>
        <v/>
      </c>
      <c r="AT360" s="22">
        <f>IF(IFERROR(TRIM(INDEX($A360:$AL360,MATCH(Lists!$F$2,$A$1:$AL$1,0))&amp;""),"")="",0,N(IFERROR(IF(TRIM(INDEX($A360:$AL360,MATCH(Lists!$F$5,$A$1:$AL$1,0))&amp;"")="","",IF(ISNUMBER(INDEX($A360:$AL360,MATCH(Lists!$F$5,$A$1:$AL$1,0))),INT(INDEX($A360:$AL360,MATCH(Lists!$F$5,$A$1:$AL$1,0))),DATE(VALUE(LEFT(INDEX($A360:$AL360,MATCH(Lists!$F$5,$A$1:$AL$1,0)),4)),VALUE(MID(INDEX($A360:$AL360,MATCH(Lists!$F$5,$A$1:$AL$1,0)),6,2)),VALUE(MID(INDEX($A360:$AL360,MATCH(Lists!$F$5,$A$1:$AL$1,0)),9,2))))),"")))</f>
        <v/>
      </c>
      <c r="AU360" s="21">
        <f>IF(IFERROR(TRIM(INDEX($A360:$AL360,MATCH(Lists!$F$2,$A$1:$AL$1,0))&amp;""),"")="",-1,IF(ISNUMBER(IFERROR(IF(TRIM(INDEX($A360:$AL360,MATCH(Lists!$F$6,$A$1:$AL$1,0))&amp;"")="","",IF(ISNUMBER(INDEX($A360:$AL360,MATCH(Lists!$F$6,$A$1:$AL$1,0))),ROUND(MOD(INDEX($A360:$AL360,MATCH(Lists!$F$6,$A$1:$AL$1,0)),1)*1440,0),VALUE(LEFT(INDEX($A360:$AL360,MATCH(Lists!$F$6,$A$1:$AL$1,0)),2))*60+VALUE(MID(INDEX($A360:$AL360,MATCH(Lists!$F$6,$A$1:$AL$1,0)),4,2)))),"")),IFERROR(IF(TRIM(INDEX($A360:$AL360,MATCH(Lists!$F$6,$A$1:$AL$1,0))&amp;"")="","",IF(ISNUMBER(INDEX($A360:$AL360,MATCH(Lists!$F$6,$A$1:$AL$1,0))),ROUND(MOD(INDEX($A360:$AL360,MATCH(Lists!$F$6,$A$1:$AL$1,0)),1)*1440,0),VALUE(LEFT(INDEX($A360:$AL360,MATCH(Lists!$F$6,$A$1:$AL$1,0)),2))*60+VALUE(MID(INDEX($A360:$AL360,MATCH(Lists!$F$6,$A$1:$AL$1,0)),4,2)))),""),-1))</f>
        <v/>
      </c>
      <c r="AV360" s="21">
        <f>IF(IFERROR(TRIM(INDEX($A360:$AL360,MATCH(Lists!$F$2,$A$1:$AL$1,0))&amp;""),"")="",-1,IF(ISNUMBER(IFERROR(IF(TRIM(INDEX($A360:$AL360,MATCH(Lists!$F$7,$A$1:$AL$1,0))&amp;"")="","",IF(ISNUMBER(INDEX($A360:$AL360,MATCH(Lists!$F$7,$A$1:$AL$1,0))),ROUND(MOD(INDEX($A360:$AL360,MATCH(Lists!$F$7,$A$1:$AL$1,0)),1)*1440,0),VALUE(LEFT(INDEX($A360:$AL360,MATCH(Lists!$F$7,$A$1:$AL$1,0)),2))*60+VALUE(MID(INDEX($A360:$AL360,MATCH(Lists!$F$7,$A$1:$AL$1,0)),4,2)))),"")),IFERROR(IF(TRIM(INDEX($A360:$AL360,MATCH(Lists!$F$7,$A$1:$AL$1,0))&amp;"")="","",IF(ISNUMBER(INDEX($A360:$AL360,MATCH(Lists!$F$7,$A$1:$AL$1,0))),ROUND(MOD(INDEX($A360:$AL360,MATCH(Lists!$F$7,$A$1:$AL$1,0)),1)*1440,0),VALUE(LEFT(INDEX($A360:$AL360,MATCH(Lists!$F$7,$A$1:$AL$1,0)),2))*60+VALUE(MID(INDEX($A360:$AL360,MATCH(Lists!$F$7,$A$1:$AL$1,0)),4,2)))),""),-1))</f>
        <v/>
      </c>
      <c r="AW360" s="21">
        <f>IF(IFERROR(TRIM(INDEX($A360:$AL360,MATCH(Lists!$F$2,$A$1:$AL$1,0))&amp;""),"")="","",IF(IFERROR(TRIM(INDEX($A360:$AL360,MATCH(Lists!$F$8,$A$1:$AL$1,0))&amp;""),"")&lt;&gt;"",IFERROR(TRIM(INDEX($A360:$AL360,MATCH(Lists!$F$8,$A$1:$AL$1,0))&amp;""),""),IFERROR(TRIM(INDEX($A360:$AL360,MATCH(Lists!$F$9,$A$1:$AL$1,0))&amp;""),"")))</f>
        <v/>
      </c>
      <c r="AX360" s="21">
        <f>IFERROR(IF(TRIM(INDEX($A360:$AL360,MATCH(Lists!$F$10,$A$1:$AL$1,0))&amp;"")="","",VALUE(TRIM(INDEX($A360:$AL360,MATCH(Lists!$F$10,$A$1:$AL$1,0))&amp;""))),"")</f>
        <v/>
      </c>
      <c r="AY360" s="21">
        <f>IF(IFERROR(TRIM(INDEX($A360:$AL360,MATCH(Lists!$F$2,$A$1:$AL$1,0))&amp;""),"")="","",IF(AN360="","New",AN360))</f>
        <v/>
      </c>
      <c r="AZ360" s="21">
        <f>IF(IFERROR(TRIM(INDEX($A360:$AL360,MATCH(Lists!$F$2,$A$1:$AL$1,0))&amp;""),"")="","",IF(OR(IFERROR(TRIM(INDEX($A360:$AL360,MATCH(Lists!$F$13,$A$1:$AL$1,0))&amp;""),"")="Paid",IFERROR(TRIM(INDEX($A360:$AL360,MATCH(Lists!$F$13,$A$1:$AL$1,0))&amp;""),"")="Partially refunded"),"Paid",IF(AP360="Yes","Paid (by hand)",IFERROR(TRIM(INDEX($A360:$AL360,MATCH(Lists!$F$13,$A$1:$AL$1,0))&amp;""),""))))</f>
        <v/>
      </c>
      <c r="BA360" s="21">
        <f>IF(AND(IFERROR(TRIM(INDEX($A360:$AL360,MATCH(Lists!$F$2,$A$1:$AL$1,0))&amp;""),"")&lt;&gt;"",AT360&gt;0,AU360&gt;=0,AV360&gt;AU360,AY360&lt;&gt;"Declined"),1,0)</f>
        <v/>
      </c>
      <c r="BB360" s="21">
        <f>IF(BA360=1,COUNTIFS($AS$2:$AS$501,AS360,$AT$2:$AT$501,AT360,$AU$2:$AU$501,"&lt;"&amp;AV360,$AV$2:$AV$501,"&gt;"&amp;AU360,$BA$2:$BA$501,1)-1,"")</f>
        <v/>
      </c>
      <c r="BC360" s="21">
        <f>IF(N(BB360)&gt;0,"Clashes with "&amp;INDEX($AW$2:$AW$501,SUMPRODUCT(MAX(($AS$2:$AS$501=AS360)*($AT$2:$AT$501=AT360)*($AU$2:$AU$501&lt;AV360)*($AV$2:$AV$501&gt;AU360)*($BA$2:$BA$501=1)*(ROW($AS$2:$AS$501)&lt;&gt;ROW())*ROW($AS$2:$AS$501)))-1)&amp;" ("&amp;INDEX($AY$2:$AY$501,SUMPRODUCT(MAX(($AS$2:$AS$501=AS360)*($AT$2:$AT$501=AT360)*($AU$2:$AU$501&lt;AV360)*($AV$2:$AV$501&gt;AU360)*($BA$2:$BA$501=1)*(ROW($AS$2:$AS$501)&lt;&gt;ROW())*ROW($AS$2:$AS$501)))-1)&amp;")"&amp;IF(BB360&gt;1," and "&amp;(BB360-1)&amp;" more",""),"")</f>
        <v/>
      </c>
      <c r="BD360" s="21">
        <f>IF(AND(BA360=1,AY360="Confirmed"),AT360*10000000+AU360*1000+ROW(),"")</f>
        <v/>
      </c>
      <c r="BE360" s="21">
        <f>IF(IFERROR(TRIM(INDEX($A360:$AL360,MATCH(Lists!$F$2,$A$1:$AL$1,0))&amp;""),"")="","",IFERROR(TRIM(INDEX($A360:$AL360,MATCH(Lists!$F$11,$A$1:$AL$1,0))&amp;""),""))</f>
        <v/>
      </c>
      <c r="BF360" s="21">
        <f>IF(IFERROR(TRIM(INDEX($A360:$AL360,MATCH(Lists!$F$2,$A$1:$AL$1,0))&amp;""),"")="","",IFERROR(TRIM(INDEX($A360:$AL360,MATCH(Lists!$F$12,$A$1:$AL$1,0))&amp;""),""))</f>
        <v/>
      </c>
    </row>
    <row r="361">
      <c r="AM361" s="19" t="n"/>
      <c r="AN361" s="23" t="n"/>
      <c r="AO361" s="23" t="n"/>
      <c r="AP361" s="23" t="n"/>
      <c r="AQ361" s="23" t="n"/>
      <c r="AR361" s="19" t="n"/>
      <c r="AS361" s="21">
        <f>IF(IFERROR(TRIM(INDEX($A361:$AL361,MATCH(Lists!$F$2,$A$1:$AL$1,0))&amp;""),"")="","",IF(AND(IFERROR(TRIM(INDEX($A361:$AL361,MATCH(Lists!$F$3,$A$1:$AL$1,0))&amp;""),"")="Other",IFERROR(TRIM(INDEX($A361:$AL361,MATCH(Lists!$F$4,$A$1:$AL$1,0))&amp;""),"")&lt;&gt;""),IFERROR(TRIM(INDEX($A361:$AL361,MATCH(Lists!$F$4,$A$1:$AL$1,0))&amp;""),""),IF(IFERROR(TRIM(INDEX($A361:$AL361,MATCH(Lists!$F$3,$A$1:$AL$1,0))&amp;""),"")="","(no space)",IFERROR(TRIM(INDEX($A361:$AL361,MATCH(Lists!$F$3,$A$1:$AL$1,0))&amp;""),""))))</f>
        <v/>
      </c>
      <c r="AT361" s="22">
        <f>IF(IFERROR(TRIM(INDEX($A361:$AL361,MATCH(Lists!$F$2,$A$1:$AL$1,0))&amp;""),"")="",0,N(IFERROR(IF(TRIM(INDEX($A361:$AL361,MATCH(Lists!$F$5,$A$1:$AL$1,0))&amp;"")="","",IF(ISNUMBER(INDEX($A361:$AL361,MATCH(Lists!$F$5,$A$1:$AL$1,0))),INT(INDEX($A361:$AL361,MATCH(Lists!$F$5,$A$1:$AL$1,0))),DATE(VALUE(LEFT(INDEX($A361:$AL361,MATCH(Lists!$F$5,$A$1:$AL$1,0)),4)),VALUE(MID(INDEX($A361:$AL361,MATCH(Lists!$F$5,$A$1:$AL$1,0)),6,2)),VALUE(MID(INDEX($A361:$AL361,MATCH(Lists!$F$5,$A$1:$AL$1,0)),9,2))))),"")))</f>
        <v/>
      </c>
      <c r="AU361" s="21">
        <f>IF(IFERROR(TRIM(INDEX($A361:$AL361,MATCH(Lists!$F$2,$A$1:$AL$1,0))&amp;""),"")="",-1,IF(ISNUMBER(IFERROR(IF(TRIM(INDEX($A361:$AL361,MATCH(Lists!$F$6,$A$1:$AL$1,0))&amp;"")="","",IF(ISNUMBER(INDEX($A361:$AL361,MATCH(Lists!$F$6,$A$1:$AL$1,0))),ROUND(MOD(INDEX($A361:$AL361,MATCH(Lists!$F$6,$A$1:$AL$1,0)),1)*1440,0),VALUE(LEFT(INDEX($A361:$AL361,MATCH(Lists!$F$6,$A$1:$AL$1,0)),2))*60+VALUE(MID(INDEX($A361:$AL361,MATCH(Lists!$F$6,$A$1:$AL$1,0)),4,2)))),"")),IFERROR(IF(TRIM(INDEX($A361:$AL361,MATCH(Lists!$F$6,$A$1:$AL$1,0))&amp;"")="","",IF(ISNUMBER(INDEX($A361:$AL361,MATCH(Lists!$F$6,$A$1:$AL$1,0))),ROUND(MOD(INDEX($A361:$AL361,MATCH(Lists!$F$6,$A$1:$AL$1,0)),1)*1440,0),VALUE(LEFT(INDEX($A361:$AL361,MATCH(Lists!$F$6,$A$1:$AL$1,0)),2))*60+VALUE(MID(INDEX($A361:$AL361,MATCH(Lists!$F$6,$A$1:$AL$1,0)),4,2)))),""),-1))</f>
        <v/>
      </c>
      <c r="AV361" s="21">
        <f>IF(IFERROR(TRIM(INDEX($A361:$AL361,MATCH(Lists!$F$2,$A$1:$AL$1,0))&amp;""),"")="",-1,IF(ISNUMBER(IFERROR(IF(TRIM(INDEX($A361:$AL361,MATCH(Lists!$F$7,$A$1:$AL$1,0))&amp;"")="","",IF(ISNUMBER(INDEX($A361:$AL361,MATCH(Lists!$F$7,$A$1:$AL$1,0))),ROUND(MOD(INDEX($A361:$AL361,MATCH(Lists!$F$7,$A$1:$AL$1,0)),1)*1440,0),VALUE(LEFT(INDEX($A361:$AL361,MATCH(Lists!$F$7,$A$1:$AL$1,0)),2))*60+VALUE(MID(INDEX($A361:$AL361,MATCH(Lists!$F$7,$A$1:$AL$1,0)),4,2)))),"")),IFERROR(IF(TRIM(INDEX($A361:$AL361,MATCH(Lists!$F$7,$A$1:$AL$1,0))&amp;"")="","",IF(ISNUMBER(INDEX($A361:$AL361,MATCH(Lists!$F$7,$A$1:$AL$1,0))),ROUND(MOD(INDEX($A361:$AL361,MATCH(Lists!$F$7,$A$1:$AL$1,0)),1)*1440,0),VALUE(LEFT(INDEX($A361:$AL361,MATCH(Lists!$F$7,$A$1:$AL$1,0)),2))*60+VALUE(MID(INDEX($A361:$AL361,MATCH(Lists!$F$7,$A$1:$AL$1,0)),4,2)))),""),-1))</f>
        <v/>
      </c>
      <c r="AW361" s="21">
        <f>IF(IFERROR(TRIM(INDEX($A361:$AL361,MATCH(Lists!$F$2,$A$1:$AL$1,0))&amp;""),"")="","",IF(IFERROR(TRIM(INDEX($A361:$AL361,MATCH(Lists!$F$8,$A$1:$AL$1,0))&amp;""),"")&lt;&gt;"",IFERROR(TRIM(INDEX($A361:$AL361,MATCH(Lists!$F$8,$A$1:$AL$1,0))&amp;""),""),IFERROR(TRIM(INDEX($A361:$AL361,MATCH(Lists!$F$9,$A$1:$AL$1,0))&amp;""),"")))</f>
        <v/>
      </c>
      <c r="AX361" s="21">
        <f>IFERROR(IF(TRIM(INDEX($A361:$AL361,MATCH(Lists!$F$10,$A$1:$AL$1,0))&amp;"")="","",VALUE(TRIM(INDEX($A361:$AL361,MATCH(Lists!$F$10,$A$1:$AL$1,0))&amp;""))),"")</f>
        <v/>
      </c>
      <c r="AY361" s="21">
        <f>IF(IFERROR(TRIM(INDEX($A361:$AL361,MATCH(Lists!$F$2,$A$1:$AL$1,0))&amp;""),"")="","",IF(AN361="","New",AN361))</f>
        <v/>
      </c>
      <c r="AZ361" s="21">
        <f>IF(IFERROR(TRIM(INDEX($A361:$AL361,MATCH(Lists!$F$2,$A$1:$AL$1,0))&amp;""),"")="","",IF(OR(IFERROR(TRIM(INDEX($A361:$AL361,MATCH(Lists!$F$13,$A$1:$AL$1,0))&amp;""),"")="Paid",IFERROR(TRIM(INDEX($A361:$AL361,MATCH(Lists!$F$13,$A$1:$AL$1,0))&amp;""),"")="Partially refunded"),"Paid",IF(AP361="Yes","Paid (by hand)",IFERROR(TRIM(INDEX($A361:$AL361,MATCH(Lists!$F$13,$A$1:$AL$1,0))&amp;""),""))))</f>
        <v/>
      </c>
      <c r="BA361" s="21">
        <f>IF(AND(IFERROR(TRIM(INDEX($A361:$AL361,MATCH(Lists!$F$2,$A$1:$AL$1,0))&amp;""),"")&lt;&gt;"",AT361&gt;0,AU361&gt;=0,AV361&gt;AU361,AY361&lt;&gt;"Declined"),1,0)</f>
        <v/>
      </c>
      <c r="BB361" s="21">
        <f>IF(BA361=1,COUNTIFS($AS$2:$AS$501,AS361,$AT$2:$AT$501,AT361,$AU$2:$AU$501,"&lt;"&amp;AV361,$AV$2:$AV$501,"&gt;"&amp;AU361,$BA$2:$BA$501,1)-1,"")</f>
        <v/>
      </c>
      <c r="BC361" s="21">
        <f>IF(N(BB361)&gt;0,"Clashes with "&amp;INDEX($AW$2:$AW$501,SUMPRODUCT(MAX(($AS$2:$AS$501=AS361)*($AT$2:$AT$501=AT361)*($AU$2:$AU$501&lt;AV361)*($AV$2:$AV$501&gt;AU361)*($BA$2:$BA$501=1)*(ROW($AS$2:$AS$501)&lt;&gt;ROW())*ROW($AS$2:$AS$501)))-1)&amp;" ("&amp;INDEX($AY$2:$AY$501,SUMPRODUCT(MAX(($AS$2:$AS$501=AS361)*($AT$2:$AT$501=AT361)*($AU$2:$AU$501&lt;AV361)*($AV$2:$AV$501&gt;AU361)*($BA$2:$BA$501=1)*(ROW($AS$2:$AS$501)&lt;&gt;ROW())*ROW($AS$2:$AS$501)))-1)&amp;")"&amp;IF(BB361&gt;1," and "&amp;(BB361-1)&amp;" more",""),"")</f>
        <v/>
      </c>
      <c r="BD361" s="21">
        <f>IF(AND(BA361=1,AY361="Confirmed"),AT361*10000000+AU361*1000+ROW(),"")</f>
        <v/>
      </c>
      <c r="BE361" s="21">
        <f>IF(IFERROR(TRIM(INDEX($A361:$AL361,MATCH(Lists!$F$2,$A$1:$AL$1,0))&amp;""),"")="","",IFERROR(TRIM(INDEX($A361:$AL361,MATCH(Lists!$F$11,$A$1:$AL$1,0))&amp;""),""))</f>
        <v/>
      </c>
      <c r="BF361" s="21">
        <f>IF(IFERROR(TRIM(INDEX($A361:$AL361,MATCH(Lists!$F$2,$A$1:$AL$1,0))&amp;""),"")="","",IFERROR(TRIM(INDEX($A361:$AL361,MATCH(Lists!$F$12,$A$1:$AL$1,0))&amp;""),""))</f>
        <v/>
      </c>
    </row>
    <row r="362">
      <c r="AM362" s="19" t="n"/>
      <c r="AN362" s="23" t="n"/>
      <c r="AO362" s="23" t="n"/>
      <c r="AP362" s="23" t="n"/>
      <c r="AQ362" s="23" t="n"/>
      <c r="AR362" s="19" t="n"/>
      <c r="AS362" s="21">
        <f>IF(IFERROR(TRIM(INDEX($A362:$AL362,MATCH(Lists!$F$2,$A$1:$AL$1,0))&amp;""),"")="","",IF(AND(IFERROR(TRIM(INDEX($A362:$AL362,MATCH(Lists!$F$3,$A$1:$AL$1,0))&amp;""),"")="Other",IFERROR(TRIM(INDEX($A362:$AL362,MATCH(Lists!$F$4,$A$1:$AL$1,0))&amp;""),"")&lt;&gt;""),IFERROR(TRIM(INDEX($A362:$AL362,MATCH(Lists!$F$4,$A$1:$AL$1,0))&amp;""),""),IF(IFERROR(TRIM(INDEX($A362:$AL362,MATCH(Lists!$F$3,$A$1:$AL$1,0))&amp;""),"")="","(no space)",IFERROR(TRIM(INDEX($A362:$AL362,MATCH(Lists!$F$3,$A$1:$AL$1,0))&amp;""),""))))</f>
        <v/>
      </c>
      <c r="AT362" s="22">
        <f>IF(IFERROR(TRIM(INDEX($A362:$AL362,MATCH(Lists!$F$2,$A$1:$AL$1,0))&amp;""),"")="",0,N(IFERROR(IF(TRIM(INDEX($A362:$AL362,MATCH(Lists!$F$5,$A$1:$AL$1,0))&amp;"")="","",IF(ISNUMBER(INDEX($A362:$AL362,MATCH(Lists!$F$5,$A$1:$AL$1,0))),INT(INDEX($A362:$AL362,MATCH(Lists!$F$5,$A$1:$AL$1,0))),DATE(VALUE(LEFT(INDEX($A362:$AL362,MATCH(Lists!$F$5,$A$1:$AL$1,0)),4)),VALUE(MID(INDEX($A362:$AL362,MATCH(Lists!$F$5,$A$1:$AL$1,0)),6,2)),VALUE(MID(INDEX($A362:$AL362,MATCH(Lists!$F$5,$A$1:$AL$1,0)),9,2))))),"")))</f>
        <v/>
      </c>
      <c r="AU362" s="21">
        <f>IF(IFERROR(TRIM(INDEX($A362:$AL362,MATCH(Lists!$F$2,$A$1:$AL$1,0))&amp;""),"")="",-1,IF(ISNUMBER(IFERROR(IF(TRIM(INDEX($A362:$AL362,MATCH(Lists!$F$6,$A$1:$AL$1,0))&amp;"")="","",IF(ISNUMBER(INDEX($A362:$AL362,MATCH(Lists!$F$6,$A$1:$AL$1,0))),ROUND(MOD(INDEX($A362:$AL362,MATCH(Lists!$F$6,$A$1:$AL$1,0)),1)*1440,0),VALUE(LEFT(INDEX($A362:$AL362,MATCH(Lists!$F$6,$A$1:$AL$1,0)),2))*60+VALUE(MID(INDEX($A362:$AL362,MATCH(Lists!$F$6,$A$1:$AL$1,0)),4,2)))),"")),IFERROR(IF(TRIM(INDEX($A362:$AL362,MATCH(Lists!$F$6,$A$1:$AL$1,0))&amp;"")="","",IF(ISNUMBER(INDEX($A362:$AL362,MATCH(Lists!$F$6,$A$1:$AL$1,0))),ROUND(MOD(INDEX($A362:$AL362,MATCH(Lists!$F$6,$A$1:$AL$1,0)),1)*1440,0),VALUE(LEFT(INDEX($A362:$AL362,MATCH(Lists!$F$6,$A$1:$AL$1,0)),2))*60+VALUE(MID(INDEX($A362:$AL362,MATCH(Lists!$F$6,$A$1:$AL$1,0)),4,2)))),""),-1))</f>
        <v/>
      </c>
      <c r="AV362" s="21">
        <f>IF(IFERROR(TRIM(INDEX($A362:$AL362,MATCH(Lists!$F$2,$A$1:$AL$1,0))&amp;""),"")="",-1,IF(ISNUMBER(IFERROR(IF(TRIM(INDEX($A362:$AL362,MATCH(Lists!$F$7,$A$1:$AL$1,0))&amp;"")="","",IF(ISNUMBER(INDEX($A362:$AL362,MATCH(Lists!$F$7,$A$1:$AL$1,0))),ROUND(MOD(INDEX($A362:$AL362,MATCH(Lists!$F$7,$A$1:$AL$1,0)),1)*1440,0),VALUE(LEFT(INDEX($A362:$AL362,MATCH(Lists!$F$7,$A$1:$AL$1,0)),2))*60+VALUE(MID(INDEX($A362:$AL362,MATCH(Lists!$F$7,$A$1:$AL$1,0)),4,2)))),"")),IFERROR(IF(TRIM(INDEX($A362:$AL362,MATCH(Lists!$F$7,$A$1:$AL$1,0))&amp;"")="","",IF(ISNUMBER(INDEX($A362:$AL362,MATCH(Lists!$F$7,$A$1:$AL$1,0))),ROUND(MOD(INDEX($A362:$AL362,MATCH(Lists!$F$7,$A$1:$AL$1,0)),1)*1440,0),VALUE(LEFT(INDEX($A362:$AL362,MATCH(Lists!$F$7,$A$1:$AL$1,0)),2))*60+VALUE(MID(INDEX($A362:$AL362,MATCH(Lists!$F$7,$A$1:$AL$1,0)),4,2)))),""),-1))</f>
        <v/>
      </c>
      <c r="AW362" s="21">
        <f>IF(IFERROR(TRIM(INDEX($A362:$AL362,MATCH(Lists!$F$2,$A$1:$AL$1,0))&amp;""),"")="","",IF(IFERROR(TRIM(INDEX($A362:$AL362,MATCH(Lists!$F$8,$A$1:$AL$1,0))&amp;""),"")&lt;&gt;"",IFERROR(TRIM(INDEX($A362:$AL362,MATCH(Lists!$F$8,$A$1:$AL$1,0))&amp;""),""),IFERROR(TRIM(INDEX($A362:$AL362,MATCH(Lists!$F$9,$A$1:$AL$1,0))&amp;""),"")))</f>
        <v/>
      </c>
      <c r="AX362" s="21">
        <f>IFERROR(IF(TRIM(INDEX($A362:$AL362,MATCH(Lists!$F$10,$A$1:$AL$1,0))&amp;"")="","",VALUE(TRIM(INDEX($A362:$AL362,MATCH(Lists!$F$10,$A$1:$AL$1,0))&amp;""))),"")</f>
        <v/>
      </c>
      <c r="AY362" s="21">
        <f>IF(IFERROR(TRIM(INDEX($A362:$AL362,MATCH(Lists!$F$2,$A$1:$AL$1,0))&amp;""),"")="","",IF(AN362="","New",AN362))</f>
        <v/>
      </c>
      <c r="AZ362" s="21">
        <f>IF(IFERROR(TRIM(INDEX($A362:$AL362,MATCH(Lists!$F$2,$A$1:$AL$1,0))&amp;""),"")="","",IF(OR(IFERROR(TRIM(INDEX($A362:$AL362,MATCH(Lists!$F$13,$A$1:$AL$1,0))&amp;""),"")="Paid",IFERROR(TRIM(INDEX($A362:$AL362,MATCH(Lists!$F$13,$A$1:$AL$1,0))&amp;""),"")="Partially refunded"),"Paid",IF(AP362="Yes","Paid (by hand)",IFERROR(TRIM(INDEX($A362:$AL362,MATCH(Lists!$F$13,$A$1:$AL$1,0))&amp;""),""))))</f>
        <v/>
      </c>
      <c r="BA362" s="21">
        <f>IF(AND(IFERROR(TRIM(INDEX($A362:$AL362,MATCH(Lists!$F$2,$A$1:$AL$1,0))&amp;""),"")&lt;&gt;"",AT362&gt;0,AU362&gt;=0,AV362&gt;AU362,AY362&lt;&gt;"Declined"),1,0)</f>
        <v/>
      </c>
      <c r="BB362" s="21">
        <f>IF(BA362=1,COUNTIFS($AS$2:$AS$501,AS362,$AT$2:$AT$501,AT362,$AU$2:$AU$501,"&lt;"&amp;AV362,$AV$2:$AV$501,"&gt;"&amp;AU362,$BA$2:$BA$501,1)-1,"")</f>
        <v/>
      </c>
      <c r="BC362" s="21">
        <f>IF(N(BB362)&gt;0,"Clashes with "&amp;INDEX($AW$2:$AW$501,SUMPRODUCT(MAX(($AS$2:$AS$501=AS362)*($AT$2:$AT$501=AT362)*($AU$2:$AU$501&lt;AV362)*($AV$2:$AV$501&gt;AU362)*($BA$2:$BA$501=1)*(ROW($AS$2:$AS$501)&lt;&gt;ROW())*ROW($AS$2:$AS$501)))-1)&amp;" ("&amp;INDEX($AY$2:$AY$501,SUMPRODUCT(MAX(($AS$2:$AS$501=AS362)*($AT$2:$AT$501=AT362)*($AU$2:$AU$501&lt;AV362)*($AV$2:$AV$501&gt;AU362)*($BA$2:$BA$501=1)*(ROW($AS$2:$AS$501)&lt;&gt;ROW())*ROW($AS$2:$AS$501)))-1)&amp;")"&amp;IF(BB362&gt;1," and "&amp;(BB362-1)&amp;" more",""),"")</f>
        <v/>
      </c>
      <c r="BD362" s="21">
        <f>IF(AND(BA362=1,AY362="Confirmed"),AT362*10000000+AU362*1000+ROW(),"")</f>
        <v/>
      </c>
      <c r="BE362" s="21">
        <f>IF(IFERROR(TRIM(INDEX($A362:$AL362,MATCH(Lists!$F$2,$A$1:$AL$1,0))&amp;""),"")="","",IFERROR(TRIM(INDEX($A362:$AL362,MATCH(Lists!$F$11,$A$1:$AL$1,0))&amp;""),""))</f>
        <v/>
      </c>
      <c r="BF362" s="21">
        <f>IF(IFERROR(TRIM(INDEX($A362:$AL362,MATCH(Lists!$F$2,$A$1:$AL$1,0))&amp;""),"")="","",IFERROR(TRIM(INDEX($A362:$AL362,MATCH(Lists!$F$12,$A$1:$AL$1,0))&amp;""),""))</f>
        <v/>
      </c>
    </row>
    <row r="363">
      <c r="AM363" s="19" t="n"/>
      <c r="AN363" s="23" t="n"/>
      <c r="AO363" s="23" t="n"/>
      <c r="AP363" s="23" t="n"/>
      <c r="AQ363" s="23" t="n"/>
      <c r="AR363" s="19" t="n"/>
      <c r="AS363" s="21">
        <f>IF(IFERROR(TRIM(INDEX($A363:$AL363,MATCH(Lists!$F$2,$A$1:$AL$1,0))&amp;""),"")="","",IF(AND(IFERROR(TRIM(INDEX($A363:$AL363,MATCH(Lists!$F$3,$A$1:$AL$1,0))&amp;""),"")="Other",IFERROR(TRIM(INDEX($A363:$AL363,MATCH(Lists!$F$4,$A$1:$AL$1,0))&amp;""),"")&lt;&gt;""),IFERROR(TRIM(INDEX($A363:$AL363,MATCH(Lists!$F$4,$A$1:$AL$1,0))&amp;""),""),IF(IFERROR(TRIM(INDEX($A363:$AL363,MATCH(Lists!$F$3,$A$1:$AL$1,0))&amp;""),"")="","(no space)",IFERROR(TRIM(INDEX($A363:$AL363,MATCH(Lists!$F$3,$A$1:$AL$1,0))&amp;""),""))))</f>
        <v/>
      </c>
      <c r="AT363" s="22">
        <f>IF(IFERROR(TRIM(INDEX($A363:$AL363,MATCH(Lists!$F$2,$A$1:$AL$1,0))&amp;""),"")="",0,N(IFERROR(IF(TRIM(INDEX($A363:$AL363,MATCH(Lists!$F$5,$A$1:$AL$1,0))&amp;"")="","",IF(ISNUMBER(INDEX($A363:$AL363,MATCH(Lists!$F$5,$A$1:$AL$1,0))),INT(INDEX($A363:$AL363,MATCH(Lists!$F$5,$A$1:$AL$1,0))),DATE(VALUE(LEFT(INDEX($A363:$AL363,MATCH(Lists!$F$5,$A$1:$AL$1,0)),4)),VALUE(MID(INDEX($A363:$AL363,MATCH(Lists!$F$5,$A$1:$AL$1,0)),6,2)),VALUE(MID(INDEX($A363:$AL363,MATCH(Lists!$F$5,$A$1:$AL$1,0)),9,2))))),"")))</f>
        <v/>
      </c>
      <c r="AU363" s="21">
        <f>IF(IFERROR(TRIM(INDEX($A363:$AL363,MATCH(Lists!$F$2,$A$1:$AL$1,0))&amp;""),"")="",-1,IF(ISNUMBER(IFERROR(IF(TRIM(INDEX($A363:$AL363,MATCH(Lists!$F$6,$A$1:$AL$1,0))&amp;"")="","",IF(ISNUMBER(INDEX($A363:$AL363,MATCH(Lists!$F$6,$A$1:$AL$1,0))),ROUND(MOD(INDEX($A363:$AL363,MATCH(Lists!$F$6,$A$1:$AL$1,0)),1)*1440,0),VALUE(LEFT(INDEX($A363:$AL363,MATCH(Lists!$F$6,$A$1:$AL$1,0)),2))*60+VALUE(MID(INDEX($A363:$AL363,MATCH(Lists!$F$6,$A$1:$AL$1,0)),4,2)))),"")),IFERROR(IF(TRIM(INDEX($A363:$AL363,MATCH(Lists!$F$6,$A$1:$AL$1,0))&amp;"")="","",IF(ISNUMBER(INDEX($A363:$AL363,MATCH(Lists!$F$6,$A$1:$AL$1,0))),ROUND(MOD(INDEX($A363:$AL363,MATCH(Lists!$F$6,$A$1:$AL$1,0)),1)*1440,0),VALUE(LEFT(INDEX($A363:$AL363,MATCH(Lists!$F$6,$A$1:$AL$1,0)),2))*60+VALUE(MID(INDEX($A363:$AL363,MATCH(Lists!$F$6,$A$1:$AL$1,0)),4,2)))),""),-1))</f>
        <v/>
      </c>
      <c r="AV363" s="21">
        <f>IF(IFERROR(TRIM(INDEX($A363:$AL363,MATCH(Lists!$F$2,$A$1:$AL$1,0))&amp;""),"")="",-1,IF(ISNUMBER(IFERROR(IF(TRIM(INDEX($A363:$AL363,MATCH(Lists!$F$7,$A$1:$AL$1,0))&amp;"")="","",IF(ISNUMBER(INDEX($A363:$AL363,MATCH(Lists!$F$7,$A$1:$AL$1,0))),ROUND(MOD(INDEX($A363:$AL363,MATCH(Lists!$F$7,$A$1:$AL$1,0)),1)*1440,0),VALUE(LEFT(INDEX($A363:$AL363,MATCH(Lists!$F$7,$A$1:$AL$1,0)),2))*60+VALUE(MID(INDEX($A363:$AL363,MATCH(Lists!$F$7,$A$1:$AL$1,0)),4,2)))),"")),IFERROR(IF(TRIM(INDEX($A363:$AL363,MATCH(Lists!$F$7,$A$1:$AL$1,0))&amp;"")="","",IF(ISNUMBER(INDEX($A363:$AL363,MATCH(Lists!$F$7,$A$1:$AL$1,0))),ROUND(MOD(INDEX($A363:$AL363,MATCH(Lists!$F$7,$A$1:$AL$1,0)),1)*1440,0),VALUE(LEFT(INDEX($A363:$AL363,MATCH(Lists!$F$7,$A$1:$AL$1,0)),2))*60+VALUE(MID(INDEX($A363:$AL363,MATCH(Lists!$F$7,$A$1:$AL$1,0)),4,2)))),""),-1))</f>
        <v/>
      </c>
      <c r="AW363" s="21">
        <f>IF(IFERROR(TRIM(INDEX($A363:$AL363,MATCH(Lists!$F$2,$A$1:$AL$1,0))&amp;""),"")="","",IF(IFERROR(TRIM(INDEX($A363:$AL363,MATCH(Lists!$F$8,$A$1:$AL$1,0))&amp;""),"")&lt;&gt;"",IFERROR(TRIM(INDEX($A363:$AL363,MATCH(Lists!$F$8,$A$1:$AL$1,0))&amp;""),""),IFERROR(TRIM(INDEX($A363:$AL363,MATCH(Lists!$F$9,$A$1:$AL$1,0))&amp;""),"")))</f>
        <v/>
      </c>
      <c r="AX363" s="21">
        <f>IFERROR(IF(TRIM(INDEX($A363:$AL363,MATCH(Lists!$F$10,$A$1:$AL$1,0))&amp;"")="","",VALUE(TRIM(INDEX($A363:$AL363,MATCH(Lists!$F$10,$A$1:$AL$1,0))&amp;""))),"")</f>
        <v/>
      </c>
      <c r="AY363" s="21">
        <f>IF(IFERROR(TRIM(INDEX($A363:$AL363,MATCH(Lists!$F$2,$A$1:$AL$1,0))&amp;""),"")="","",IF(AN363="","New",AN363))</f>
        <v/>
      </c>
      <c r="AZ363" s="21">
        <f>IF(IFERROR(TRIM(INDEX($A363:$AL363,MATCH(Lists!$F$2,$A$1:$AL$1,0))&amp;""),"")="","",IF(OR(IFERROR(TRIM(INDEX($A363:$AL363,MATCH(Lists!$F$13,$A$1:$AL$1,0))&amp;""),"")="Paid",IFERROR(TRIM(INDEX($A363:$AL363,MATCH(Lists!$F$13,$A$1:$AL$1,0))&amp;""),"")="Partially refunded"),"Paid",IF(AP363="Yes","Paid (by hand)",IFERROR(TRIM(INDEX($A363:$AL363,MATCH(Lists!$F$13,$A$1:$AL$1,0))&amp;""),""))))</f>
        <v/>
      </c>
      <c r="BA363" s="21">
        <f>IF(AND(IFERROR(TRIM(INDEX($A363:$AL363,MATCH(Lists!$F$2,$A$1:$AL$1,0))&amp;""),"")&lt;&gt;"",AT363&gt;0,AU363&gt;=0,AV363&gt;AU363,AY363&lt;&gt;"Declined"),1,0)</f>
        <v/>
      </c>
      <c r="BB363" s="21">
        <f>IF(BA363=1,COUNTIFS($AS$2:$AS$501,AS363,$AT$2:$AT$501,AT363,$AU$2:$AU$501,"&lt;"&amp;AV363,$AV$2:$AV$501,"&gt;"&amp;AU363,$BA$2:$BA$501,1)-1,"")</f>
        <v/>
      </c>
      <c r="BC363" s="21">
        <f>IF(N(BB363)&gt;0,"Clashes with "&amp;INDEX($AW$2:$AW$501,SUMPRODUCT(MAX(($AS$2:$AS$501=AS363)*($AT$2:$AT$501=AT363)*($AU$2:$AU$501&lt;AV363)*($AV$2:$AV$501&gt;AU363)*($BA$2:$BA$501=1)*(ROW($AS$2:$AS$501)&lt;&gt;ROW())*ROW($AS$2:$AS$501)))-1)&amp;" ("&amp;INDEX($AY$2:$AY$501,SUMPRODUCT(MAX(($AS$2:$AS$501=AS363)*($AT$2:$AT$501=AT363)*($AU$2:$AU$501&lt;AV363)*($AV$2:$AV$501&gt;AU363)*($BA$2:$BA$501=1)*(ROW($AS$2:$AS$501)&lt;&gt;ROW())*ROW($AS$2:$AS$501)))-1)&amp;")"&amp;IF(BB363&gt;1," and "&amp;(BB363-1)&amp;" more",""),"")</f>
        <v/>
      </c>
      <c r="BD363" s="21">
        <f>IF(AND(BA363=1,AY363="Confirmed"),AT363*10000000+AU363*1000+ROW(),"")</f>
        <v/>
      </c>
      <c r="BE363" s="21">
        <f>IF(IFERROR(TRIM(INDEX($A363:$AL363,MATCH(Lists!$F$2,$A$1:$AL$1,0))&amp;""),"")="","",IFERROR(TRIM(INDEX($A363:$AL363,MATCH(Lists!$F$11,$A$1:$AL$1,0))&amp;""),""))</f>
        <v/>
      </c>
      <c r="BF363" s="21">
        <f>IF(IFERROR(TRIM(INDEX($A363:$AL363,MATCH(Lists!$F$2,$A$1:$AL$1,0))&amp;""),"")="","",IFERROR(TRIM(INDEX($A363:$AL363,MATCH(Lists!$F$12,$A$1:$AL$1,0))&amp;""),""))</f>
        <v/>
      </c>
    </row>
    <row r="364">
      <c r="AM364" s="19" t="n"/>
      <c r="AN364" s="23" t="n"/>
      <c r="AO364" s="23" t="n"/>
      <c r="AP364" s="23" t="n"/>
      <c r="AQ364" s="23" t="n"/>
      <c r="AR364" s="19" t="n"/>
      <c r="AS364" s="21">
        <f>IF(IFERROR(TRIM(INDEX($A364:$AL364,MATCH(Lists!$F$2,$A$1:$AL$1,0))&amp;""),"")="","",IF(AND(IFERROR(TRIM(INDEX($A364:$AL364,MATCH(Lists!$F$3,$A$1:$AL$1,0))&amp;""),"")="Other",IFERROR(TRIM(INDEX($A364:$AL364,MATCH(Lists!$F$4,$A$1:$AL$1,0))&amp;""),"")&lt;&gt;""),IFERROR(TRIM(INDEX($A364:$AL364,MATCH(Lists!$F$4,$A$1:$AL$1,0))&amp;""),""),IF(IFERROR(TRIM(INDEX($A364:$AL364,MATCH(Lists!$F$3,$A$1:$AL$1,0))&amp;""),"")="","(no space)",IFERROR(TRIM(INDEX($A364:$AL364,MATCH(Lists!$F$3,$A$1:$AL$1,0))&amp;""),""))))</f>
        <v/>
      </c>
      <c r="AT364" s="22">
        <f>IF(IFERROR(TRIM(INDEX($A364:$AL364,MATCH(Lists!$F$2,$A$1:$AL$1,0))&amp;""),"")="",0,N(IFERROR(IF(TRIM(INDEX($A364:$AL364,MATCH(Lists!$F$5,$A$1:$AL$1,0))&amp;"")="","",IF(ISNUMBER(INDEX($A364:$AL364,MATCH(Lists!$F$5,$A$1:$AL$1,0))),INT(INDEX($A364:$AL364,MATCH(Lists!$F$5,$A$1:$AL$1,0))),DATE(VALUE(LEFT(INDEX($A364:$AL364,MATCH(Lists!$F$5,$A$1:$AL$1,0)),4)),VALUE(MID(INDEX($A364:$AL364,MATCH(Lists!$F$5,$A$1:$AL$1,0)),6,2)),VALUE(MID(INDEX($A364:$AL364,MATCH(Lists!$F$5,$A$1:$AL$1,0)),9,2))))),"")))</f>
        <v/>
      </c>
      <c r="AU364" s="21">
        <f>IF(IFERROR(TRIM(INDEX($A364:$AL364,MATCH(Lists!$F$2,$A$1:$AL$1,0))&amp;""),"")="",-1,IF(ISNUMBER(IFERROR(IF(TRIM(INDEX($A364:$AL364,MATCH(Lists!$F$6,$A$1:$AL$1,0))&amp;"")="","",IF(ISNUMBER(INDEX($A364:$AL364,MATCH(Lists!$F$6,$A$1:$AL$1,0))),ROUND(MOD(INDEX($A364:$AL364,MATCH(Lists!$F$6,$A$1:$AL$1,0)),1)*1440,0),VALUE(LEFT(INDEX($A364:$AL364,MATCH(Lists!$F$6,$A$1:$AL$1,0)),2))*60+VALUE(MID(INDEX($A364:$AL364,MATCH(Lists!$F$6,$A$1:$AL$1,0)),4,2)))),"")),IFERROR(IF(TRIM(INDEX($A364:$AL364,MATCH(Lists!$F$6,$A$1:$AL$1,0))&amp;"")="","",IF(ISNUMBER(INDEX($A364:$AL364,MATCH(Lists!$F$6,$A$1:$AL$1,0))),ROUND(MOD(INDEX($A364:$AL364,MATCH(Lists!$F$6,$A$1:$AL$1,0)),1)*1440,0),VALUE(LEFT(INDEX($A364:$AL364,MATCH(Lists!$F$6,$A$1:$AL$1,0)),2))*60+VALUE(MID(INDEX($A364:$AL364,MATCH(Lists!$F$6,$A$1:$AL$1,0)),4,2)))),""),-1))</f>
        <v/>
      </c>
      <c r="AV364" s="21">
        <f>IF(IFERROR(TRIM(INDEX($A364:$AL364,MATCH(Lists!$F$2,$A$1:$AL$1,0))&amp;""),"")="",-1,IF(ISNUMBER(IFERROR(IF(TRIM(INDEX($A364:$AL364,MATCH(Lists!$F$7,$A$1:$AL$1,0))&amp;"")="","",IF(ISNUMBER(INDEX($A364:$AL364,MATCH(Lists!$F$7,$A$1:$AL$1,0))),ROUND(MOD(INDEX($A364:$AL364,MATCH(Lists!$F$7,$A$1:$AL$1,0)),1)*1440,0),VALUE(LEFT(INDEX($A364:$AL364,MATCH(Lists!$F$7,$A$1:$AL$1,0)),2))*60+VALUE(MID(INDEX($A364:$AL364,MATCH(Lists!$F$7,$A$1:$AL$1,0)),4,2)))),"")),IFERROR(IF(TRIM(INDEX($A364:$AL364,MATCH(Lists!$F$7,$A$1:$AL$1,0))&amp;"")="","",IF(ISNUMBER(INDEX($A364:$AL364,MATCH(Lists!$F$7,$A$1:$AL$1,0))),ROUND(MOD(INDEX($A364:$AL364,MATCH(Lists!$F$7,$A$1:$AL$1,0)),1)*1440,0),VALUE(LEFT(INDEX($A364:$AL364,MATCH(Lists!$F$7,$A$1:$AL$1,0)),2))*60+VALUE(MID(INDEX($A364:$AL364,MATCH(Lists!$F$7,$A$1:$AL$1,0)),4,2)))),""),-1))</f>
        <v/>
      </c>
      <c r="AW364" s="21">
        <f>IF(IFERROR(TRIM(INDEX($A364:$AL364,MATCH(Lists!$F$2,$A$1:$AL$1,0))&amp;""),"")="","",IF(IFERROR(TRIM(INDEX($A364:$AL364,MATCH(Lists!$F$8,$A$1:$AL$1,0))&amp;""),"")&lt;&gt;"",IFERROR(TRIM(INDEX($A364:$AL364,MATCH(Lists!$F$8,$A$1:$AL$1,0))&amp;""),""),IFERROR(TRIM(INDEX($A364:$AL364,MATCH(Lists!$F$9,$A$1:$AL$1,0))&amp;""),"")))</f>
        <v/>
      </c>
      <c r="AX364" s="21">
        <f>IFERROR(IF(TRIM(INDEX($A364:$AL364,MATCH(Lists!$F$10,$A$1:$AL$1,0))&amp;"")="","",VALUE(TRIM(INDEX($A364:$AL364,MATCH(Lists!$F$10,$A$1:$AL$1,0))&amp;""))),"")</f>
        <v/>
      </c>
      <c r="AY364" s="21">
        <f>IF(IFERROR(TRIM(INDEX($A364:$AL364,MATCH(Lists!$F$2,$A$1:$AL$1,0))&amp;""),"")="","",IF(AN364="","New",AN364))</f>
        <v/>
      </c>
      <c r="AZ364" s="21">
        <f>IF(IFERROR(TRIM(INDEX($A364:$AL364,MATCH(Lists!$F$2,$A$1:$AL$1,0))&amp;""),"")="","",IF(OR(IFERROR(TRIM(INDEX($A364:$AL364,MATCH(Lists!$F$13,$A$1:$AL$1,0))&amp;""),"")="Paid",IFERROR(TRIM(INDEX($A364:$AL364,MATCH(Lists!$F$13,$A$1:$AL$1,0))&amp;""),"")="Partially refunded"),"Paid",IF(AP364="Yes","Paid (by hand)",IFERROR(TRIM(INDEX($A364:$AL364,MATCH(Lists!$F$13,$A$1:$AL$1,0))&amp;""),""))))</f>
        <v/>
      </c>
      <c r="BA364" s="21">
        <f>IF(AND(IFERROR(TRIM(INDEX($A364:$AL364,MATCH(Lists!$F$2,$A$1:$AL$1,0))&amp;""),"")&lt;&gt;"",AT364&gt;0,AU364&gt;=0,AV364&gt;AU364,AY364&lt;&gt;"Declined"),1,0)</f>
        <v/>
      </c>
      <c r="BB364" s="21">
        <f>IF(BA364=1,COUNTIFS($AS$2:$AS$501,AS364,$AT$2:$AT$501,AT364,$AU$2:$AU$501,"&lt;"&amp;AV364,$AV$2:$AV$501,"&gt;"&amp;AU364,$BA$2:$BA$501,1)-1,"")</f>
        <v/>
      </c>
      <c r="BC364" s="21">
        <f>IF(N(BB364)&gt;0,"Clashes with "&amp;INDEX($AW$2:$AW$501,SUMPRODUCT(MAX(($AS$2:$AS$501=AS364)*($AT$2:$AT$501=AT364)*($AU$2:$AU$501&lt;AV364)*($AV$2:$AV$501&gt;AU364)*($BA$2:$BA$501=1)*(ROW($AS$2:$AS$501)&lt;&gt;ROW())*ROW($AS$2:$AS$501)))-1)&amp;" ("&amp;INDEX($AY$2:$AY$501,SUMPRODUCT(MAX(($AS$2:$AS$501=AS364)*($AT$2:$AT$501=AT364)*($AU$2:$AU$501&lt;AV364)*($AV$2:$AV$501&gt;AU364)*($BA$2:$BA$501=1)*(ROW($AS$2:$AS$501)&lt;&gt;ROW())*ROW($AS$2:$AS$501)))-1)&amp;")"&amp;IF(BB364&gt;1," and "&amp;(BB364-1)&amp;" more",""),"")</f>
        <v/>
      </c>
      <c r="BD364" s="21">
        <f>IF(AND(BA364=1,AY364="Confirmed"),AT364*10000000+AU364*1000+ROW(),"")</f>
        <v/>
      </c>
      <c r="BE364" s="21">
        <f>IF(IFERROR(TRIM(INDEX($A364:$AL364,MATCH(Lists!$F$2,$A$1:$AL$1,0))&amp;""),"")="","",IFERROR(TRIM(INDEX($A364:$AL364,MATCH(Lists!$F$11,$A$1:$AL$1,0))&amp;""),""))</f>
        <v/>
      </c>
      <c r="BF364" s="21">
        <f>IF(IFERROR(TRIM(INDEX($A364:$AL364,MATCH(Lists!$F$2,$A$1:$AL$1,0))&amp;""),"")="","",IFERROR(TRIM(INDEX($A364:$AL364,MATCH(Lists!$F$12,$A$1:$AL$1,0))&amp;""),""))</f>
        <v/>
      </c>
    </row>
    <row r="365">
      <c r="AM365" s="19" t="n"/>
      <c r="AN365" s="23" t="n"/>
      <c r="AO365" s="23" t="n"/>
      <c r="AP365" s="23" t="n"/>
      <c r="AQ365" s="23" t="n"/>
      <c r="AR365" s="19" t="n"/>
      <c r="AS365" s="21">
        <f>IF(IFERROR(TRIM(INDEX($A365:$AL365,MATCH(Lists!$F$2,$A$1:$AL$1,0))&amp;""),"")="","",IF(AND(IFERROR(TRIM(INDEX($A365:$AL365,MATCH(Lists!$F$3,$A$1:$AL$1,0))&amp;""),"")="Other",IFERROR(TRIM(INDEX($A365:$AL365,MATCH(Lists!$F$4,$A$1:$AL$1,0))&amp;""),"")&lt;&gt;""),IFERROR(TRIM(INDEX($A365:$AL365,MATCH(Lists!$F$4,$A$1:$AL$1,0))&amp;""),""),IF(IFERROR(TRIM(INDEX($A365:$AL365,MATCH(Lists!$F$3,$A$1:$AL$1,0))&amp;""),"")="","(no space)",IFERROR(TRIM(INDEX($A365:$AL365,MATCH(Lists!$F$3,$A$1:$AL$1,0))&amp;""),""))))</f>
        <v/>
      </c>
      <c r="AT365" s="22">
        <f>IF(IFERROR(TRIM(INDEX($A365:$AL365,MATCH(Lists!$F$2,$A$1:$AL$1,0))&amp;""),"")="",0,N(IFERROR(IF(TRIM(INDEX($A365:$AL365,MATCH(Lists!$F$5,$A$1:$AL$1,0))&amp;"")="","",IF(ISNUMBER(INDEX($A365:$AL365,MATCH(Lists!$F$5,$A$1:$AL$1,0))),INT(INDEX($A365:$AL365,MATCH(Lists!$F$5,$A$1:$AL$1,0))),DATE(VALUE(LEFT(INDEX($A365:$AL365,MATCH(Lists!$F$5,$A$1:$AL$1,0)),4)),VALUE(MID(INDEX($A365:$AL365,MATCH(Lists!$F$5,$A$1:$AL$1,0)),6,2)),VALUE(MID(INDEX($A365:$AL365,MATCH(Lists!$F$5,$A$1:$AL$1,0)),9,2))))),"")))</f>
        <v/>
      </c>
      <c r="AU365" s="21">
        <f>IF(IFERROR(TRIM(INDEX($A365:$AL365,MATCH(Lists!$F$2,$A$1:$AL$1,0))&amp;""),"")="",-1,IF(ISNUMBER(IFERROR(IF(TRIM(INDEX($A365:$AL365,MATCH(Lists!$F$6,$A$1:$AL$1,0))&amp;"")="","",IF(ISNUMBER(INDEX($A365:$AL365,MATCH(Lists!$F$6,$A$1:$AL$1,0))),ROUND(MOD(INDEX($A365:$AL365,MATCH(Lists!$F$6,$A$1:$AL$1,0)),1)*1440,0),VALUE(LEFT(INDEX($A365:$AL365,MATCH(Lists!$F$6,$A$1:$AL$1,0)),2))*60+VALUE(MID(INDEX($A365:$AL365,MATCH(Lists!$F$6,$A$1:$AL$1,0)),4,2)))),"")),IFERROR(IF(TRIM(INDEX($A365:$AL365,MATCH(Lists!$F$6,$A$1:$AL$1,0))&amp;"")="","",IF(ISNUMBER(INDEX($A365:$AL365,MATCH(Lists!$F$6,$A$1:$AL$1,0))),ROUND(MOD(INDEX($A365:$AL365,MATCH(Lists!$F$6,$A$1:$AL$1,0)),1)*1440,0),VALUE(LEFT(INDEX($A365:$AL365,MATCH(Lists!$F$6,$A$1:$AL$1,0)),2))*60+VALUE(MID(INDEX($A365:$AL365,MATCH(Lists!$F$6,$A$1:$AL$1,0)),4,2)))),""),-1))</f>
        <v/>
      </c>
      <c r="AV365" s="21">
        <f>IF(IFERROR(TRIM(INDEX($A365:$AL365,MATCH(Lists!$F$2,$A$1:$AL$1,0))&amp;""),"")="",-1,IF(ISNUMBER(IFERROR(IF(TRIM(INDEX($A365:$AL365,MATCH(Lists!$F$7,$A$1:$AL$1,0))&amp;"")="","",IF(ISNUMBER(INDEX($A365:$AL365,MATCH(Lists!$F$7,$A$1:$AL$1,0))),ROUND(MOD(INDEX($A365:$AL365,MATCH(Lists!$F$7,$A$1:$AL$1,0)),1)*1440,0),VALUE(LEFT(INDEX($A365:$AL365,MATCH(Lists!$F$7,$A$1:$AL$1,0)),2))*60+VALUE(MID(INDEX($A365:$AL365,MATCH(Lists!$F$7,$A$1:$AL$1,0)),4,2)))),"")),IFERROR(IF(TRIM(INDEX($A365:$AL365,MATCH(Lists!$F$7,$A$1:$AL$1,0))&amp;"")="","",IF(ISNUMBER(INDEX($A365:$AL365,MATCH(Lists!$F$7,$A$1:$AL$1,0))),ROUND(MOD(INDEX($A365:$AL365,MATCH(Lists!$F$7,$A$1:$AL$1,0)),1)*1440,0),VALUE(LEFT(INDEX($A365:$AL365,MATCH(Lists!$F$7,$A$1:$AL$1,0)),2))*60+VALUE(MID(INDEX($A365:$AL365,MATCH(Lists!$F$7,$A$1:$AL$1,0)),4,2)))),""),-1))</f>
        <v/>
      </c>
      <c r="AW365" s="21">
        <f>IF(IFERROR(TRIM(INDEX($A365:$AL365,MATCH(Lists!$F$2,$A$1:$AL$1,0))&amp;""),"")="","",IF(IFERROR(TRIM(INDEX($A365:$AL365,MATCH(Lists!$F$8,$A$1:$AL$1,0))&amp;""),"")&lt;&gt;"",IFERROR(TRIM(INDEX($A365:$AL365,MATCH(Lists!$F$8,$A$1:$AL$1,0))&amp;""),""),IFERROR(TRIM(INDEX($A365:$AL365,MATCH(Lists!$F$9,$A$1:$AL$1,0))&amp;""),"")))</f>
        <v/>
      </c>
      <c r="AX365" s="21">
        <f>IFERROR(IF(TRIM(INDEX($A365:$AL365,MATCH(Lists!$F$10,$A$1:$AL$1,0))&amp;"")="","",VALUE(TRIM(INDEX($A365:$AL365,MATCH(Lists!$F$10,$A$1:$AL$1,0))&amp;""))),"")</f>
        <v/>
      </c>
      <c r="AY365" s="21">
        <f>IF(IFERROR(TRIM(INDEX($A365:$AL365,MATCH(Lists!$F$2,$A$1:$AL$1,0))&amp;""),"")="","",IF(AN365="","New",AN365))</f>
        <v/>
      </c>
      <c r="AZ365" s="21">
        <f>IF(IFERROR(TRIM(INDEX($A365:$AL365,MATCH(Lists!$F$2,$A$1:$AL$1,0))&amp;""),"")="","",IF(OR(IFERROR(TRIM(INDEX($A365:$AL365,MATCH(Lists!$F$13,$A$1:$AL$1,0))&amp;""),"")="Paid",IFERROR(TRIM(INDEX($A365:$AL365,MATCH(Lists!$F$13,$A$1:$AL$1,0))&amp;""),"")="Partially refunded"),"Paid",IF(AP365="Yes","Paid (by hand)",IFERROR(TRIM(INDEX($A365:$AL365,MATCH(Lists!$F$13,$A$1:$AL$1,0))&amp;""),""))))</f>
        <v/>
      </c>
      <c r="BA365" s="21">
        <f>IF(AND(IFERROR(TRIM(INDEX($A365:$AL365,MATCH(Lists!$F$2,$A$1:$AL$1,0))&amp;""),"")&lt;&gt;"",AT365&gt;0,AU365&gt;=0,AV365&gt;AU365,AY365&lt;&gt;"Declined"),1,0)</f>
        <v/>
      </c>
      <c r="BB365" s="21">
        <f>IF(BA365=1,COUNTIFS($AS$2:$AS$501,AS365,$AT$2:$AT$501,AT365,$AU$2:$AU$501,"&lt;"&amp;AV365,$AV$2:$AV$501,"&gt;"&amp;AU365,$BA$2:$BA$501,1)-1,"")</f>
        <v/>
      </c>
      <c r="BC365" s="21">
        <f>IF(N(BB365)&gt;0,"Clashes with "&amp;INDEX($AW$2:$AW$501,SUMPRODUCT(MAX(($AS$2:$AS$501=AS365)*($AT$2:$AT$501=AT365)*($AU$2:$AU$501&lt;AV365)*($AV$2:$AV$501&gt;AU365)*($BA$2:$BA$501=1)*(ROW($AS$2:$AS$501)&lt;&gt;ROW())*ROW($AS$2:$AS$501)))-1)&amp;" ("&amp;INDEX($AY$2:$AY$501,SUMPRODUCT(MAX(($AS$2:$AS$501=AS365)*($AT$2:$AT$501=AT365)*($AU$2:$AU$501&lt;AV365)*($AV$2:$AV$501&gt;AU365)*($BA$2:$BA$501=1)*(ROW($AS$2:$AS$501)&lt;&gt;ROW())*ROW($AS$2:$AS$501)))-1)&amp;")"&amp;IF(BB365&gt;1," and "&amp;(BB365-1)&amp;" more",""),"")</f>
        <v/>
      </c>
      <c r="BD365" s="21">
        <f>IF(AND(BA365=1,AY365="Confirmed"),AT365*10000000+AU365*1000+ROW(),"")</f>
        <v/>
      </c>
      <c r="BE365" s="21">
        <f>IF(IFERROR(TRIM(INDEX($A365:$AL365,MATCH(Lists!$F$2,$A$1:$AL$1,0))&amp;""),"")="","",IFERROR(TRIM(INDEX($A365:$AL365,MATCH(Lists!$F$11,$A$1:$AL$1,0))&amp;""),""))</f>
        <v/>
      </c>
      <c r="BF365" s="21">
        <f>IF(IFERROR(TRIM(INDEX($A365:$AL365,MATCH(Lists!$F$2,$A$1:$AL$1,0))&amp;""),"")="","",IFERROR(TRIM(INDEX($A365:$AL365,MATCH(Lists!$F$12,$A$1:$AL$1,0))&amp;""),""))</f>
        <v/>
      </c>
    </row>
    <row r="366">
      <c r="AM366" s="19" t="n"/>
      <c r="AN366" s="23" t="n"/>
      <c r="AO366" s="23" t="n"/>
      <c r="AP366" s="23" t="n"/>
      <c r="AQ366" s="23" t="n"/>
      <c r="AR366" s="19" t="n"/>
      <c r="AS366" s="21">
        <f>IF(IFERROR(TRIM(INDEX($A366:$AL366,MATCH(Lists!$F$2,$A$1:$AL$1,0))&amp;""),"")="","",IF(AND(IFERROR(TRIM(INDEX($A366:$AL366,MATCH(Lists!$F$3,$A$1:$AL$1,0))&amp;""),"")="Other",IFERROR(TRIM(INDEX($A366:$AL366,MATCH(Lists!$F$4,$A$1:$AL$1,0))&amp;""),"")&lt;&gt;""),IFERROR(TRIM(INDEX($A366:$AL366,MATCH(Lists!$F$4,$A$1:$AL$1,0))&amp;""),""),IF(IFERROR(TRIM(INDEX($A366:$AL366,MATCH(Lists!$F$3,$A$1:$AL$1,0))&amp;""),"")="","(no space)",IFERROR(TRIM(INDEX($A366:$AL366,MATCH(Lists!$F$3,$A$1:$AL$1,0))&amp;""),""))))</f>
        <v/>
      </c>
      <c r="AT366" s="22">
        <f>IF(IFERROR(TRIM(INDEX($A366:$AL366,MATCH(Lists!$F$2,$A$1:$AL$1,0))&amp;""),"")="",0,N(IFERROR(IF(TRIM(INDEX($A366:$AL366,MATCH(Lists!$F$5,$A$1:$AL$1,0))&amp;"")="","",IF(ISNUMBER(INDEX($A366:$AL366,MATCH(Lists!$F$5,$A$1:$AL$1,0))),INT(INDEX($A366:$AL366,MATCH(Lists!$F$5,$A$1:$AL$1,0))),DATE(VALUE(LEFT(INDEX($A366:$AL366,MATCH(Lists!$F$5,$A$1:$AL$1,0)),4)),VALUE(MID(INDEX($A366:$AL366,MATCH(Lists!$F$5,$A$1:$AL$1,0)),6,2)),VALUE(MID(INDEX($A366:$AL366,MATCH(Lists!$F$5,$A$1:$AL$1,0)),9,2))))),"")))</f>
        <v/>
      </c>
      <c r="AU366" s="21">
        <f>IF(IFERROR(TRIM(INDEX($A366:$AL366,MATCH(Lists!$F$2,$A$1:$AL$1,0))&amp;""),"")="",-1,IF(ISNUMBER(IFERROR(IF(TRIM(INDEX($A366:$AL366,MATCH(Lists!$F$6,$A$1:$AL$1,0))&amp;"")="","",IF(ISNUMBER(INDEX($A366:$AL366,MATCH(Lists!$F$6,$A$1:$AL$1,0))),ROUND(MOD(INDEX($A366:$AL366,MATCH(Lists!$F$6,$A$1:$AL$1,0)),1)*1440,0),VALUE(LEFT(INDEX($A366:$AL366,MATCH(Lists!$F$6,$A$1:$AL$1,0)),2))*60+VALUE(MID(INDEX($A366:$AL366,MATCH(Lists!$F$6,$A$1:$AL$1,0)),4,2)))),"")),IFERROR(IF(TRIM(INDEX($A366:$AL366,MATCH(Lists!$F$6,$A$1:$AL$1,0))&amp;"")="","",IF(ISNUMBER(INDEX($A366:$AL366,MATCH(Lists!$F$6,$A$1:$AL$1,0))),ROUND(MOD(INDEX($A366:$AL366,MATCH(Lists!$F$6,$A$1:$AL$1,0)),1)*1440,0),VALUE(LEFT(INDEX($A366:$AL366,MATCH(Lists!$F$6,$A$1:$AL$1,0)),2))*60+VALUE(MID(INDEX($A366:$AL366,MATCH(Lists!$F$6,$A$1:$AL$1,0)),4,2)))),""),-1))</f>
        <v/>
      </c>
      <c r="AV366" s="21">
        <f>IF(IFERROR(TRIM(INDEX($A366:$AL366,MATCH(Lists!$F$2,$A$1:$AL$1,0))&amp;""),"")="",-1,IF(ISNUMBER(IFERROR(IF(TRIM(INDEX($A366:$AL366,MATCH(Lists!$F$7,$A$1:$AL$1,0))&amp;"")="","",IF(ISNUMBER(INDEX($A366:$AL366,MATCH(Lists!$F$7,$A$1:$AL$1,0))),ROUND(MOD(INDEX($A366:$AL366,MATCH(Lists!$F$7,$A$1:$AL$1,0)),1)*1440,0),VALUE(LEFT(INDEX($A366:$AL366,MATCH(Lists!$F$7,$A$1:$AL$1,0)),2))*60+VALUE(MID(INDEX($A366:$AL366,MATCH(Lists!$F$7,$A$1:$AL$1,0)),4,2)))),"")),IFERROR(IF(TRIM(INDEX($A366:$AL366,MATCH(Lists!$F$7,$A$1:$AL$1,0))&amp;"")="","",IF(ISNUMBER(INDEX($A366:$AL366,MATCH(Lists!$F$7,$A$1:$AL$1,0))),ROUND(MOD(INDEX($A366:$AL366,MATCH(Lists!$F$7,$A$1:$AL$1,0)),1)*1440,0),VALUE(LEFT(INDEX($A366:$AL366,MATCH(Lists!$F$7,$A$1:$AL$1,0)),2))*60+VALUE(MID(INDEX($A366:$AL366,MATCH(Lists!$F$7,$A$1:$AL$1,0)),4,2)))),""),-1))</f>
        <v/>
      </c>
      <c r="AW366" s="21">
        <f>IF(IFERROR(TRIM(INDEX($A366:$AL366,MATCH(Lists!$F$2,$A$1:$AL$1,0))&amp;""),"")="","",IF(IFERROR(TRIM(INDEX($A366:$AL366,MATCH(Lists!$F$8,$A$1:$AL$1,0))&amp;""),"")&lt;&gt;"",IFERROR(TRIM(INDEX($A366:$AL366,MATCH(Lists!$F$8,$A$1:$AL$1,0))&amp;""),""),IFERROR(TRIM(INDEX($A366:$AL366,MATCH(Lists!$F$9,$A$1:$AL$1,0))&amp;""),"")))</f>
        <v/>
      </c>
      <c r="AX366" s="21">
        <f>IFERROR(IF(TRIM(INDEX($A366:$AL366,MATCH(Lists!$F$10,$A$1:$AL$1,0))&amp;"")="","",VALUE(TRIM(INDEX($A366:$AL366,MATCH(Lists!$F$10,$A$1:$AL$1,0))&amp;""))),"")</f>
        <v/>
      </c>
      <c r="AY366" s="21">
        <f>IF(IFERROR(TRIM(INDEX($A366:$AL366,MATCH(Lists!$F$2,$A$1:$AL$1,0))&amp;""),"")="","",IF(AN366="","New",AN366))</f>
        <v/>
      </c>
      <c r="AZ366" s="21">
        <f>IF(IFERROR(TRIM(INDEX($A366:$AL366,MATCH(Lists!$F$2,$A$1:$AL$1,0))&amp;""),"")="","",IF(OR(IFERROR(TRIM(INDEX($A366:$AL366,MATCH(Lists!$F$13,$A$1:$AL$1,0))&amp;""),"")="Paid",IFERROR(TRIM(INDEX($A366:$AL366,MATCH(Lists!$F$13,$A$1:$AL$1,0))&amp;""),"")="Partially refunded"),"Paid",IF(AP366="Yes","Paid (by hand)",IFERROR(TRIM(INDEX($A366:$AL366,MATCH(Lists!$F$13,$A$1:$AL$1,0))&amp;""),""))))</f>
        <v/>
      </c>
      <c r="BA366" s="21">
        <f>IF(AND(IFERROR(TRIM(INDEX($A366:$AL366,MATCH(Lists!$F$2,$A$1:$AL$1,0))&amp;""),"")&lt;&gt;"",AT366&gt;0,AU366&gt;=0,AV366&gt;AU366,AY366&lt;&gt;"Declined"),1,0)</f>
        <v/>
      </c>
      <c r="BB366" s="21">
        <f>IF(BA366=1,COUNTIFS($AS$2:$AS$501,AS366,$AT$2:$AT$501,AT366,$AU$2:$AU$501,"&lt;"&amp;AV366,$AV$2:$AV$501,"&gt;"&amp;AU366,$BA$2:$BA$501,1)-1,"")</f>
        <v/>
      </c>
      <c r="BC366" s="21">
        <f>IF(N(BB366)&gt;0,"Clashes with "&amp;INDEX($AW$2:$AW$501,SUMPRODUCT(MAX(($AS$2:$AS$501=AS366)*($AT$2:$AT$501=AT366)*($AU$2:$AU$501&lt;AV366)*($AV$2:$AV$501&gt;AU366)*($BA$2:$BA$501=1)*(ROW($AS$2:$AS$501)&lt;&gt;ROW())*ROW($AS$2:$AS$501)))-1)&amp;" ("&amp;INDEX($AY$2:$AY$501,SUMPRODUCT(MAX(($AS$2:$AS$501=AS366)*($AT$2:$AT$501=AT366)*($AU$2:$AU$501&lt;AV366)*($AV$2:$AV$501&gt;AU366)*($BA$2:$BA$501=1)*(ROW($AS$2:$AS$501)&lt;&gt;ROW())*ROW($AS$2:$AS$501)))-1)&amp;")"&amp;IF(BB366&gt;1," and "&amp;(BB366-1)&amp;" more",""),"")</f>
        <v/>
      </c>
      <c r="BD366" s="21">
        <f>IF(AND(BA366=1,AY366="Confirmed"),AT366*10000000+AU366*1000+ROW(),"")</f>
        <v/>
      </c>
      <c r="BE366" s="21">
        <f>IF(IFERROR(TRIM(INDEX($A366:$AL366,MATCH(Lists!$F$2,$A$1:$AL$1,0))&amp;""),"")="","",IFERROR(TRIM(INDEX($A366:$AL366,MATCH(Lists!$F$11,$A$1:$AL$1,0))&amp;""),""))</f>
        <v/>
      </c>
      <c r="BF366" s="21">
        <f>IF(IFERROR(TRIM(INDEX($A366:$AL366,MATCH(Lists!$F$2,$A$1:$AL$1,0))&amp;""),"")="","",IFERROR(TRIM(INDEX($A366:$AL366,MATCH(Lists!$F$12,$A$1:$AL$1,0))&amp;""),""))</f>
        <v/>
      </c>
    </row>
    <row r="367">
      <c r="AM367" s="19" t="n"/>
      <c r="AN367" s="23" t="n"/>
      <c r="AO367" s="23" t="n"/>
      <c r="AP367" s="23" t="n"/>
      <c r="AQ367" s="23" t="n"/>
      <c r="AR367" s="19" t="n"/>
      <c r="AS367" s="21">
        <f>IF(IFERROR(TRIM(INDEX($A367:$AL367,MATCH(Lists!$F$2,$A$1:$AL$1,0))&amp;""),"")="","",IF(AND(IFERROR(TRIM(INDEX($A367:$AL367,MATCH(Lists!$F$3,$A$1:$AL$1,0))&amp;""),"")="Other",IFERROR(TRIM(INDEX($A367:$AL367,MATCH(Lists!$F$4,$A$1:$AL$1,0))&amp;""),"")&lt;&gt;""),IFERROR(TRIM(INDEX($A367:$AL367,MATCH(Lists!$F$4,$A$1:$AL$1,0))&amp;""),""),IF(IFERROR(TRIM(INDEX($A367:$AL367,MATCH(Lists!$F$3,$A$1:$AL$1,0))&amp;""),"")="","(no space)",IFERROR(TRIM(INDEX($A367:$AL367,MATCH(Lists!$F$3,$A$1:$AL$1,0))&amp;""),""))))</f>
        <v/>
      </c>
      <c r="AT367" s="22">
        <f>IF(IFERROR(TRIM(INDEX($A367:$AL367,MATCH(Lists!$F$2,$A$1:$AL$1,0))&amp;""),"")="",0,N(IFERROR(IF(TRIM(INDEX($A367:$AL367,MATCH(Lists!$F$5,$A$1:$AL$1,0))&amp;"")="","",IF(ISNUMBER(INDEX($A367:$AL367,MATCH(Lists!$F$5,$A$1:$AL$1,0))),INT(INDEX($A367:$AL367,MATCH(Lists!$F$5,$A$1:$AL$1,0))),DATE(VALUE(LEFT(INDEX($A367:$AL367,MATCH(Lists!$F$5,$A$1:$AL$1,0)),4)),VALUE(MID(INDEX($A367:$AL367,MATCH(Lists!$F$5,$A$1:$AL$1,0)),6,2)),VALUE(MID(INDEX($A367:$AL367,MATCH(Lists!$F$5,$A$1:$AL$1,0)),9,2))))),"")))</f>
        <v/>
      </c>
      <c r="AU367" s="21">
        <f>IF(IFERROR(TRIM(INDEX($A367:$AL367,MATCH(Lists!$F$2,$A$1:$AL$1,0))&amp;""),"")="",-1,IF(ISNUMBER(IFERROR(IF(TRIM(INDEX($A367:$AL367,MATCH(Lists!$F$6,$A$1:$AL$1,0))&amp;"")="","",IF(ISNUMBER(INDEX($A367:$AL367,MATCH(Lists!$F$6,$A$1:$AL$1,0))),ROUND(MOD(INDEX($A367:$AL367,MATCH(Lists!$F$6,$A$1:$AL$1,0)),1)*1440,0),VALUE(LEFT(INDEX($A367:$AL367,MATCH(Lists!$F$6,$A$1:$AL$1,0)),2))*60+VALUE(MID(INDEX($A367:$AL367,MATCH(Lists!$F$6,$A$1:$AL$1,0)),4,2)))),"")),IFERROR(IF(TRIM(INDEX($A367:$AL367,MATCH(Lists!$F$6,$A$1:$AL$1,0))&amp;"")="","",IF(ISNUMBER(INDEX($A367:$AL367,MATCH(Lists!$F$6,$A$1:$AL$1,0))),ROUND(MOD(INDEX($A367:$AL367,MATCH(Lists!$F$6,$A$1:$AL$1,0)),1)*1440,0),VALUE(LEFT(INDEX($A367:$AL367,MATCH(Lists!$F$6,$A$1:$AL$1,0)),2))*60+VALUE(MID(INDEX($A367:$AL367,MATCH(Lists!$F$6,$A$1:$AL$1,0)),4,2)))),""),-1))</f>
        <v/>
      </c>
      <c r="AV367" s="21">
        <f>IF(IFERROR(TRIM(INDEX($A367:$AL367,MATCH(Lists!$F$2,$A$1:$AL$1,0))&amp;""),"")="",-1,IF(ISNUMBER(IFERROR(IF(TRIM(INDEX($A367:$AL367,MATCH(Lists!$F$7,$A$1:$AL$1,0))&amp;"")="","",IF(ISNUMBER(INDEX($A367:$AL367,MATCH(Lists!$F$7,$A$1:$AL$1,0))),ROUND(MOD(INDEX($A367:$AL367,MATCH(Lists!$F$7,$A$1:$AL$1,0)),1)*1440,0),VALUE(LEFT(INDEX($A367:$AL367,MATCH(Lists!$F$7,$A$1:$AL$1,0)),2))*60+VALUE(MID(INDEX($A367:$AL367,MATCH(Lists!$F$7,$A$1:$AL$1,0)),4,2)))),"")),IFERROR(IF(TRIM(INDEX($A367:$AL367,MATCH(Lists!$F$7,$A$1:$AL$1,0))&amp;"")="","",IF(ISNUMBER(INDEX($A367:$AL367,MATCH(Lists!$F$7,$A$1:$AL$1,0))),ROUND(MOD(INDEX($A367:$AL367,MATCH(Lists!$F$7,$A$1:$AL$1,0)),1)*1440,0),VALUE(LEFT(INDEX($A367:$AL367,MATCH(Lists!$F$7,$A$1:$AL$1,0)),2))*60+VALUE(MID(INDEX($A367:$AL367,MATCH(Lists!$F$7,$A$1:$AL$1,0)),4,2)))),""),-1))</f>
        <v/>
      </c>
      <c r="AW367" s="21">
        <f>IF(IFERROR(TRIM(INDEX($A367:$AL367,MATCH(Lists!$F$2,$A$1:$AL$1,0))&amp;""),"")="","",IF(IFERROR(TRIM(INDEX($A367:$AL367,MATCH(Lists!$F$8,$A$1:$AL$1,0))&amp;""),"")&lt;&gt;"",IFERROR(TRIM(INDEX($A367:$AL367,MATCH(Lists!$F$8,$A$1:$AL$1,0))&amp;""),""),IFERROR(TRIM(INDEX($A367:$AL367,MATCH(Lists!$F$9,$A$1:$AL$1,0))&amp;""),"")))</f>
        <v/>
      </c>
      <c r="AX367" s="21">
        <f>IFERROR(IF(TRIM(INDEX($A367:$AL367,MATCH(Lists!$F$10,$A$1:$AL$1,0))&amp;"")="","",VALUE(TRIM(INDEX($A367:$AL367,MATCH(Lists!$F$10,$A$1:$AL$1,0))&amp;""))),"")</f>
        <v/>
      </c>
      <c r="AY367" s="21">
        <f>IF(IFERROR(TRIM(INDEX($A367:$AL367,MATCH(Lists!$F$2,$A$1:$AL$1,0))&amp;""),"")="","",IF(AN367="","New",AN367))</f>
        <v/>
      </c>
      <c r="AZ367" s="21">
        <f>IF(IFERROR(TRIM(INDEX($A367:$AL367,MATCH(Lists!$F$2,$A$1:$AL$1,0))&amp;""),"")="","",IF(OR(IFERROR(TRIM(INDEX($A367:$AL367,MATCH(Lists!$F$13,$A$1:$AL$1,0))&amp;""),"")="Paid",IFERROR(TRIM(INDEX($A367:$AL367,MATCH(Lists!$F$13,$A$1:$AL$1,0))&amp;""),"")="Partially refunded"),"Paid",IF(AP367="Yes","Paid (by hand)",IFERROR(TRIM(INDEX($A367:$AL367,MATCH(Lists!$F$13,$A$1:$AL$1,0))&amp;""),""))))</f>
        <v/>
      </c>
      <c r="BA367" s="21">
        <f>IF(AND(IFERROR(TRIM(INDEX($A367:$AL367,MATCH(Lists!$F$2,$A$1:$AL$1,0))&amp;""),"")&lt;&gt;"",AT367&gt;0,AU367&gt;=0,AV367&gt;AU367,AY367&lt;&gt;"Declined"),1,0)</f>
        <v/>
      </c>
      <c r="BB367" s="21">
        <f>IF(BA367=1,COUNTIFS($AS$2:$AS$501,AS367,$AT$2:$AT$501,AT367,$AU$2:$AU$501,"&lt;"&amp;AV367,$AV$2:$AV$501,"&gt;"&amp;AU367,$BA$2:$BA$501,1)-1,"")</f>
        <v/>
      </c>
      <c r="BC367" s="21">
        <f>IF(N(BB367)&gt;0,"Clashes with "&amp;INDEX($AW$2:$AW$501,SUMPRODUCT(MAX(($AS$2:$AS$501=AS367)*($AT$2:$AT$501=AT367)*($AU$2:$AU$501&lt;AV367)*($AV$2:$AV$501&gt;AU367)*($BA$2:$BA$501=1)*(ROW($AS$2:$AS$501)&lt;&gt;ROW())*ROW($AS$2:$AS$501)))-1)&amp;" ("&amp;INDEX($AY$2:$AY$501,SUMPRODUCT(MAX(($AS$2:$AS$501=AS367)*($AT$2:$AT$501=AT367)*($AU$2:$AU$501&lt;AV367)*($AV$2:$AV$501&gt;AU367)*($BA$2:$BA$501=1)*(ROW($AS$2:$AS$501)&lt;&gt;ROW())*ROW($AS$2:$AS$501)))-1)&amp;")"&amp;IF(BB367&gt;1," and "&amp;(BB367-1)&amp;" more",""),"")</f>
        <v/>
      </c>
      <c r="BD367" s="21">
        <f>IF(AND(BA367=1,AY367="Confirmed"),AT367*10000000+AU367*1000+ROW(),"")</f>
        <v/>
      </c>
      <c r="BE367" s="21">
        <f>IF(IFERROR(TRIM(INDEX($A367:$AL367,MATCH(Lists!$F$2,$A$1:$AL$1,0))&amp;""),"")="","",IFERROR(TRIM(INDEX($A367:$AL367,MATCH(Lists!$F$11,$A$1:$AL$1,0))&amp;""),""))</f>
        <v/>
      </c>
      <c r="BF367" s="21">
        <f>IF(IFERROR(TRIM(INDEX($A367:$AL367,MATCH(Lists!$F$2,$A$1:$AL$1,0))&amp;""),"")="","",IFERROR(TRIM(INDEX($A367:$AL367,MATCH(Lists!$F$12,$A$1:$AL$1,0))&amp;""),""))</f>
        <v/>
      </c>
    </row>
    <row r="368">
      <c r="AM368" s="19" t="n"/>
      <c r="AN368" s="23" t="n"/>
      <c r="AO368" s="23" t="n"/>
      <c r="AP368" s="23" t="n"/>
      <c r="AQ368" s="23" t="n"/>
      <c r="AR368" s="19" t="n"/>
      <c r="AS368" s="21">
        <f>IF(IFERROR(TRIM(INDEX($A368:$AL368,MATCH(Lists!$F$2,$A$1:$AL$1,0))&amp;""),"")="","",IF(AND(IFERROR(TRIM(INDEX($A368:$AL368,MATCH(Lists!$F$3,$A$1:$AL$1,0))&amp;""),"")="Other",IFERROR(TRIM(INDEX($A368:$AL368,MATCH(Lists!$F$4,$A$1:$AL$1,0))&amp;""),"")&lt;&gt;""),IFERROR(TRIM(INDEX($A368:$AL368,MATCH(Lists!$F$4,$A$1:$AL$1,0))&amp;""),""),IF(IFERROR(TRIM(INDEX($A368:$AL368,MATCH(Lists!$F$3,$A$1:$AL$1,0))&amp;""),"")="","(no space)",IFERROR(TRIM(INDEX($A368:$AL368,MATCH(Lists!$F$3,$A$1:$AL$1,0))&amp;""),""))))</f>
        <v/>
      </c>
      <c r="AT368" s="22">
        <f>IF(IFERROR(TRIM(INDEX($A368:$AL368,MATCH(Lists!$F$2,$A$1:$AL$1,0))&amp;""),"")="",0,N(IFERROR(IF(TRIM(INDEX($A368:$AL368,MATCH(Lists!$F$5,$A$1:$AL$1,0))&amp;"")="","",IF(ISNUMBER(INDEX($A368:$AL368,MATCH(Lists!$F$5,$A$1:$AL$1,0))),INT(INDEX($A368:$AL368,MATCH(Lists!$F$5,$A$1:$AL$1,0))),DATE(VALUE(LEFT(INDEX($A368:$AL368,MATCH(Lists!$F$5,$A$1:$AL$1,0)),4)),VALUE(MID(INDEX($A368:$AL368,MATCH(Lists!$F$5,$A$1:$AL$1,0)),6,2)),VALUE(MID(INDEX($A368:$AL368,MATCH(Lists!$F$5,$A$1:$AL$1,0)),9,2))))),"")))</f>
        <v/>
      </c>
      <c r="AU368" s="21">
        <f>IF(IFERROR(TRIM(INDEX($A368:$AL368,MATCH(Lists!$F$2,$A$1:$AL$1,0))&amp;""),"")="",-1,IF(ISNUMBER(IFERROR(IF(TRIM(INDEX($A368:$AL368,MATCH(Lists!$F$6,$A$1:$AL$1,0))&amp;"")="","",IF(ISNUMBER(INDEX($A368:$AL368,MATCH(Lists!$F$6,$A$1:$AL$1,0))),ROUND(MOD(INDEX($A368:$AL368,MATCH(Lists!$F$6,$A$1:$AL$1,0)),1)*1440,0),VALUE(LEFT(INDEX($A368:$AL368,MATCH(Lists!$F$6,$A$1:$AL$1,0)),2))*60+VALUE(MID(INDEX($A368:$AL368,MATCH(Lists!$F$6,$A$1:$AL$1,0)),4,2)))),"")),IFERROR(IF(TRIM(INDEX($A368:$AL368,MATCH(Lists!$F$6,$A$1:$AL$1,0))&amp;"")="","",IF(ISNUMBER(INDEX($A368:$AL368,MATCH(Lists!$F$6,$A$1:$AL$1,0))),ROUND(MOD(INDEX($A368:$AL368,MATCH(Lists!$F$6,$A$1:$AL$1,0)),1)*1440,0),VALUE(LEFT(INDEX($A368:$AL368,MATCH(Lists!$F$6,$A$1:$AL$1,0)),2))*60+VALUE(MID(INDEX($A368:$AL368,MATCH(Lists!$F$6,$A$1:$AL$1,0)),4,2)))),""),-1))</f>
        <v/>
      </c>
      <c r="AV368" s="21">
        <f>IF(IFERROR(TRIM(INDEX($A368:$AL368,MATCH(Lists!$F$2,$A$1:$AL$1,0))&amp;""),"")="",-1,IF(ISNUMBER(IFERROR(IF(TRIM(INDEX($A368:$AL368,MATCH(Lists!$F$7,$A$1:$AL$1,0))&amp;"")="","",IF(ISNUMBER(INDEX($A368:$AL368,MATCH(Lists!$F$7,$A$1:$AL$1,0))),ROUND(MOD(INDEX($A368:$AL368,MATCH(Lists!$F$7,$A$1:$AL$1,0)),1)*1440,0),VALUE(LEFT(INDEX($A368:$AL368,MATCH(Lists!$F$7,$A$1:$AL$1,0)),2))*60+VALUE(MID(INDEX($A368:$AL368,MATCH(Lists!$F$7,$A$1:$AL$1,0)),4,2)))),"")),IFERROR(IF(TRIM(INDEX($A368:$AL368,MATCH(Lists!$F$7,$A$1:$AL$1,0))&amp;"")="","",IF(ISNUMBER(INDEX($A368:$AL368,MATCH(Lists!$F$7,$A$1:$AL$1,0))),ROUND(MOD(INDEX($A368:$AL368,MATCH(Lists!$F$7,$A$1:$AL$1,0)),1)*1440,0),VALUE(LEFT(INDEX($A368:$AL368,MATCH(Lists!$F$7,$A$1:$AL$1,0)),2))*60+VALUE(MID(INDEX($A368:$AL368,MATCH(Lists!$F$7,$A$1:$AL$1,0)),4,2)))),""),-1))</f>
        <v/>
      </c>
      <c r="AW368" s="21">
        <f>IF(IFERROR(TRIM(INDEX($A368:$AL368,MATCH(Lists!$F$2,$A$1:$AL$1,0))&amp;""),"")="","",IF(IFERROR(TRIM(INDEX($A368:$AL368,MATCH(Lists!$F$8,$A$1:$AL$1,0))&amp;""),"")&lt;&gt;"",IFERROR(TRIM(INDEX($A368:$AL368,MATCH(Lists!$F$8,$A$1:$AL$1,0))&amp;""),""),IFERROR(TRIM(INDEX($A368:$AL368,MATCH(Lists!$F$9,$A$1:$AL$1,0))&amp;""),"")))</f>
        <v/>
      </c>
      <c r="AX368" s="21">
        <f>IFERROR(IF(TRIM(INDEX($A368:$AL368,MATCH(Lists!$F$10,$A$1:$AL$1,0))&amp;"")="","",VALUE(TRIM(INDEX($A368:$AL368,MATCH(Lists!$F$10,$A$1:$AL$1,0))&amp;""))),"")</f>
        <v/>
      </c>
      <c r="AY368" s="21">
        <f>IF(IFERROR(TRIM(INDEX($A368:$AL368,MATCH(Lists!$F$2,$A$1:$AL$1,0))&amp;""),"")="","",IF(AN368="","New",AN368))</f>
        <v/>
      </c>
      <c r="AZ368" s="21">
        <f>IF(IFERROR(TRIM(INDEX($A368:$AL368,MATCH(Lists!$F$2,$A$1:$AL$1,0))&amp;""),"")="","",IF(OR(IFERROR(TRIM(INDEX($A368:$AL368,MATCH(Lists!$F$13,$A$1:$AL$1,0))&amp;""),"")="Paid",IFERROR(TRIM(INDEX($A368:$AL368,MATCH(Lists!$F$13,$A$1:$AL$1,0))&amp;""),"")="Partially refunded"),"Paid",IF(AP368="Yes","Paid (by hand)",IFERROR(TRIM(INDEX($A368:$AL368,MATCH(Lists!$F$13,$A$1:$AL$1,0))&amp;""),""))))</f>
        <v/>
      </c>
      <c r="BA368" s="21">
        <f>IF(AND(IFERROR(TRIM(INDEX($A368:$AL368,MATCH(Lists!$F$2,$A$1:$AL$1,0))&amp;""),"")&lt;&gt;"",AT368&gt;0,AU368&gt;=0,AV368&gt;AU368,AY368&lt;&gt;"Declined"),1,0)</f>
        <v/>
      </c>
      <c r="BB368" s="21">
        <f>IF(BA368=1,COUNTIFS($AS$2:$AS$501,AS368,$AT$2:$AT$501,AT368,$AU$2:$AU$501,"&lt;"&amp;AV368,$AV$2:$AV$501,"&gt;"&amp;AU368,$BA$2:$BA$501,1)-1,"")</f>
        <v/>
      </c>
      <c r="BC368" s="21">
        <f>IF(N(BB368)&gt;0,"Clashes with "&amp;INDEX($AW$2:$AW$501,SUMPRODUCT(MAX(($AS$2:$AS$501=AS368)*($AT$2:$AT$501=AT368)*($AU$2:$AU$501&lt;AV368)*($AV$2:$AV$501&gt;AU368)*($BA$2:$BA$501=1)*(ROW($AS$2:$AS$501)&lt;&gt;ROW())*ROW($AS$2:$AS$501)))-1)&amp;" ("&amp;INDEX($AY$2:$AY$501,SUMPRODUCT(MAX(($AS$2:$AS$501=AS368)*($AT$2:$AT$501=AT368)*($AU$2:$AU$501&lt;AV368)*($AV$2:$AV$501&gt;AU368)*($BA$2:$BA$501=1)*(ROW($AS$2:$AS$501)&lt;&gt;ROW())*ROW($AS$2:$AS$501)))-1)&amp;")"&amp;IF(BB368&gt;1," and "&amp;(BB368-1)&amp;" more",""),"")</f>
        <v/>
      </c>
      <c r="BD368" s="21">
        <f>IF(AND(BA368=1,AY368="Confirmed"),AT368*10000000+AU368*1000+ROW(),"")</f>
        <v/>
      </c>
      <c r="BE368" s="21">
        <f>IF(IFERROR(TRIM(INDEX($A368:$AL368,MATCH(Lists!$F$2,$A$1:$AL$1,0))&amp;""),"")="","",IFERROR(TRIM(INDEX($A368:$AL368,MATCH(Lists!$F$11,$A$1:$AL$1,0))&amp;""),""))</f>
        <v/>
      </c>
      <c r="BF368" s="21">
        <f>IF(IFERROR(TRIM(INDEX($A368:$AL368,MATCH(Lists!$F$2,$A$1:$AL$1,0))&amp;""),"")="","",IFERROR(TRIM(INDEX($A368:$AL368,MATCH(Lists!$F$12,$A$1:$AL$1,0))&amp;""),""))</f>
        <v/>
      </c>
    </row>
    <row r="369">
      <c r="AM369" s="19" t="n"/>
      <c r="AN369" s="23" t="n"/>
      <c r="AO369" s="23" t="n"/>
      <c r="AP369" s="23" t="n"/>
      <c r="AQ369" s="23" t="n"/>
      <c r="AR369" s="19" t="n"/>
      <c r="AS369" s="21">
        <f>IF(IFERROR(TRIM(INDEX($A369:$AL369,MATCH(Lists!$F$2,$A$1:$AL$1,0))&amp;""),"")="","",IF(AND(IFERROR(TRIM(INDEX($A369:$AL369,MATCH(Lists!$F$3,$A$1:$AL$1,0))&amp;""),"")="Other",IFERROR(TRIM(INDEX($A369:$AL369,MATCH(Lists!$F$4,$A$1:$AL$1,0))&amp;""),"")&lt;&gt;""),IFERROR(TRIM(INDEX($A369:$AL369,MATCH(Lists!$F$4,$A$1:$AL$1,0))&amp;""),""),IF(IFERROR(TRIM(INDEX($A369:$AL369,MATCH(Lists!$F$3,$A$1:$AL$1,0))&amp;""),"")="","(no space)",IFERROR(TRIM(INDEX($A369:$AL369,MATCH(Lists!$F$3,$A$1:$AL$1,0))&amp;""),""))))</f>
        <v/>
      </c>
      <c r="AT369" s="22">
        <f>IF(IFERROR(TRIM(INDEX($A369:$AL369,MATCH(Lists!$F$2,$A$1:$AL$1,0))&amp;""),"")="",0,N(IFERROR(IF(TRIM(INDEX($A369:$AL369,MATCH(Lists!$F$5,$A$1:$AL$1,0))&amp;"")="","",IF(ISNUMBER(INDEX($A369:$AL369,MATCH(Lists!$F$5,$A$1:$AL$1,0))),INT(INDEX($A369:$AL369,MATCH(Lists!$F$5,$A$1:$AL$1,0))),DATE(VALUE(LEFT(INDEX($A369:$AL369,MATCH(Lists!$F$5,$A$1:$AL$1,0)),4)),VALUE(MID(INDEX($A369:$AL369,MATCH(Lists!$F$5,$A$1:$AL$1,0)),6,2)),VALUE(MID(INDEX($A369:$AL369,MATCH(Lists!$F$5,$A$1:$AL$1,0)),9,2))))),"")))</f>
        <v/>
      </c>
      <c r="AU369" s="21">
        <f>IF(IFERROR(TRIM(INDEX($A369:$AL369,MATCH(Lists!$F$2,$A$1:$AL$1,0))&amp;""),"")="",-1,IF(ISNUMBER(IFERROR(IF(TRIM(INDEX($A369:$AL369,MATCH(Lists!$F$6,$A$1:$AL$1,0))&amp;"")="","",IF(ISNUMBER(INDEX($A369:$AL369,MATCH(Lists!$F$6,$A$1:$AL$1,0))),ROUND(MOD(INDEX($A369:$AL369,MATCH(Lists!$F$6,$A$1:$AL$1,0)),1)*1440,0),VALUE(LEFT(INDEX($A369:$AL369,MATCH(Lists!$F$6,$A$1:$AL$1,0)),2))*60+VALUE(MID(INDEX($A369:$AL369,MATCH(Lists!$F$6,$A$1:$AL$1,0)),4,2)))),"")),IFERROR(IF(TRIM(INDEX($A369:$AL369,MATCH(Lists!$F$6,$A$1:$AL$1,0))&amp;"")="","",IF(ISNUMBER(INDEX($A369:$AL369,MATCH(Lists!$F$6,$A$1:$AL$1,0))),ROUND(MOD(INDEX($A369:$AL369,MATCH(Lists!$F$6,$A$1:$AL$1,0)),1)*1440,0),VALUE(LEFT(INDEX($A369:$AL369,MATCH(Lists!$F$6,$A$1:$AL$1,0)),2))*60+VALUE(MID(INDEX($A369:$AL369,MATCH(Lists!$F$6,$A$1:$AL$1,0)),4,2)))),""),-1))</f>
        <v/>
      </c>
      <c r="AV369" s="21">
        <f>IF(IFERROR(TRIM(INDEX($A369:$AL369,MATCH(Lists!$F$2,$A$1:$AL$1,0))&amp;""),"")="",-1,IF(ISNUMBER(IFERROR(IF(TRIM(INDEX($A369:$AL369,MATCH(Lists!$F$7,$A$1:$AL$1,0))&amp;"")="","",IF(ISNUMBER(INDEX($A369:$AL369,MATCH(Lists!$F$7,$A$1:$AL$1,0))),ROUND(MOD(INDEX($A369:$AL369,MATCH(Lists!$F$7,$A$1:$AL$1,0)),1)*1440,0),VALUE(LEFT(INDEX($A369:$AL369,MATCH(Lists!$F$7,$A$1:$AL$1,0)),2))*60+VALUE(MID(INDEX($A369:$AL369,MATCH(Lists!$F$7,$A$1:$AL$1,0)),4,2)))),"")),IFERROR(IF(TRIM(INDEX($A369:$AL369,MATCH(Lists!$F$7,$A$1:$AL$1,0))&amp;"")="","",IF(ISNUMBER(INDEX($A369:$AL369,MATCH(Lists!$F$7,$A$1:$AL$1,0))),ROUND(MOD(INDEX($A369:$AL369,MATCH(Lists!$F$7,$A$1:$AL$1,0)),1)*1440,0),VALUE(LEFT(INDEX($A369:$AL369,MATCH(Lists!$F$7,$A$1:$AL$1,0)),2))*60+VALUE(MID(INDEX($A369:$AL369,MATCH(Lists!$F$7,$A$1:$AL$1,0)),4,2)))),""),-1))</f>
        <v/>
      </c>
      <c r="AW369" s="21">
        <f>IF(IFERROR(TRIM(INDEX($A369:$AL369,MATCH(Lists!$F$2,$A$1:$AL$1,0))&amp;""),"")="","",IF(IFERROR(TRIM(INDEX($A369:$AL369,MATCH(Lists!$F$8,$A$1:$AL$1,0))&amp;""),"")&lt;&gt;"",IFERROR(TRIM(INDEX($A369:$AL369,MATCH(Lists!$F$8,$A$1:$AL$1,0))&amp;""),""),IFERROR(TRIM(INDEX($A369:$AL369,MATCH(Lists!$F$9,$A$1:$AL$1,0))&amp;""),"")))</f>
        <v/>
      </c>
      <c r="AX369" s="21">
        <f>IFERROR(IF(TRIM(INDEX($A369:$AL369,MATCH(Lists!$F$10,$A$1:$AL$1,0))&amp;"")="","",VALUE(TRIM(INDEX($A369:$AL369,MATCH(Lists!$F$10,$A$1:$AL$1,0))&amp;""))),"")</f>
        <v/>
      </c>
      <c r="AY369" s="21">
        <f>IF(IFERROR(TRIM(INDEX($A369:$AL369,MATCH(Lists!$F$2,$A$1:$AL$1,0))&amp;""),"")="","",IF(AN369="","New",AN369))</f>
        <v/>
      </c>
      <c r="AZ369" s="21">
        <f>IF(IFERROR(TRIM(INDEX($A369:$AL369,MATCH(Lists!$F$2,$A$1:$AL$1,0))&amp;""),"")="","",IF(OR(IFERROR(TRIM(INDEX($A369:$AL369,MATCH(Lists!$F$13,$A$1:$AL$1,0))&amp;""),"")="Paid",IFERROR(TRIM(INDEX($A369:$AL369,MATCH(Lists!$F$13,$A$1:$AL$1,0))&amp;""),"")="Partially refunded"),"Paid",IF(AP369="Yes","Paid (by hand)",IFERROR(TRIM(INDEX($A369:$AL369,MATCH(Lists!$F$13,$A$1:$AL$1,0))&amp;""),""))))</f>
        <v/>
      </c>
      <c r="BA369" s="21">
        <f>IF(AND(IFERROR(TRIM(INDEX($A369:$AL369,MATCH(Lists!$F$2,$A$1:$AL$1,0))&amp;""),"")&lt;&gt;"",AT369&gt;0,AU369&gt;=0,AV369&gt;AU369,AY369&lt;&gt;"Declined"),1,0)</f>
        <v/>
      </c>
      <c r="BB369" s="21">
        <f>IF(BA369=1,COUNTIFS($AS$2:$AS$501,AS369,$AT$2:$AT$501,AT369,$AU$2:$AU$501,"&lt;"&amp;AV369,$AV$2:$AV$501,"&gt;"&amp;AU369,$BA$2:$BA$501,1)-1,"")</f>
        <v/>
      </c>
      <c r="BC369" s="21">
        <f>IF(N(BB369)&gt;0,"Clashes with "&amp;INDEX($AW$2:$AW$501,SUMPRODUCT(MAX(($AS$2:$AS$501=AS369)*($AT$2:$AT$501=AT369)*($AU$2:$AU$501&lt;AV369)*($AV$2:$AV$501&gt;AU369)*($BA$2:$BA$501=1)*(ROW($AS$2:$AS$501)&lt;&gt;ROW())*ROW($AS$2:$AS$501)))-1)&amp;" ("&amp;INDEX($AY$2:$AY$501,SUMPRODUCT(MAX(($AS$2:$AS$501=AS369)*($AT$2:$AT$501=AT369)*($AU$2:$AU$501&lt;AV369)*($AV$2:$AV$501&gt;AU369)*($BA$2:$BA$501=1)*(ROW($AS$2:$AS$501)&lt;&gt;ROW())*ROW($AS$2:$AS$501)))-1)&amp;")"&amp;IF(BB369&gt;1," and "&amp;(BB369-1)&amp;" more",""),"")</f>
        <v/>
      </c>
      <c r="BD369" s="21">
        <f>IF(AND(BA369=1,AY369="Confirmed"),AT369*10000000+AU369*1000+ROW(),"")</f>
        <v/>
      </c>
      <c r="BE369" s="21">
        <f>IF(IFERROR(TRIM(INDEX($A369:$AL369,MATCH(Lists!$F$2,$A$1:$AL$1,0))&amp;""),"")="","",IFERROR(TRIM(INDEX($A369:$AL369,MATCH(Lists!$F$11,$A$1:$AL$1,0))&amp;""),""))</f>
        <v/>
      </c>
      <c r="BF369" s="21">
        <f>IF(IFERROR(TRIM(INDEX($A369:$AL369,MATCH(Lists!$F$2,$A$1:$AL$1,0))&amp;""),"")="","",IFERROR(TRIM(INDEX($A369:$AL369,MATCH(Lists!$F$12,$A$1:$AL$1,0))&amp;""),""))</f>
        <v/>
      </c>
    </row>
    <row r="370">
      <c r="AM370" s="19" t="n"/>
      <c r="AN370" s="23" t="n"/>
      <c r="AO370" s="23" t="n"/>
      <c r="AP370" s="23" t="n"/>
      <c r="AQ370" s="23" t="n"/>
      <c r="AR370" s="19" t="n"/>
      <c r="AS370" s="21">
        <f>IF(IFERROR(TRIM(INDEX($A370:$AL370,MATCH(Lists!$F$2,$A$1:$AL$1,0))&amp;""),"")="","",IF(AND(IFERROR(TRIM(INDEX($A370:$AL370,MATCH(Lists!$F$3,$A$1:$AL$1,0))&amp;""),"")="Other",IFERROR(TRIM(INDEX($A370:$AL370,MATCH(Lists!$F$4,$A$1:$AL$1,0))&amp;""),"")&lt;&gt;""),IFERROR(TRIM(INDEX($A370:$AL370,MATCH(Lists!$F$4,$A$1:$AL$1,0))&amp;""),""),IF(IFERROR(TRIM(INDEX($A370:$AL370,MATCH(Lists!$F$3,$A$1:$AL$1,0))&amp;""),"")="","(no space)",IFERROR(TRIM(INDEX($A370:$AL370,MATCH(Lists!$F$3,$A$1:$AL$1,0))&amp;""),""))))</f>
        <v/>
      </c>
      <c r="AT370" s="22">
        <f>IF(IFERROR(TRIM(INDEX($A370:$AL370,MATCH(Lists!$F$2,$A$1:$AL$1,0))&amp;""),"")="",0,N(IFERROR(IF(TRIM(INDEX($A370:$AL370,MATCH(Lists!$F$5,$A$1:$AL$1,0))&amp;"")="","",IF(ISNUMBER(INDEX($A370:$AL370,MATCH(Lists!$F$5,$A$1:$AL$1,0))),INT(INDEX($A370:$AL370,MATCH(Lists!$F$5,$A$1:$AL$1,0))),DATE(VALUE(LEFT(INDEX($A370:$AL370,MATCH(Lists!$F$5,$A$1:$AL$1,0)),4)),VALUE(MID(INDEX($A370:$AL370,MATCH(Lists!$F$5,$A$1:$AL$1,0)),6,2)),VALUE(MID(INDEX($A370:$AL370,MATCH(Lists!$F$5,$A$1:$AL$1,0)),9,2))))),"")))</f>
        <v/>
      </c>
      <c r="AU370" s="21">
        <f>IF(IFERROR(TRIM(INDEX($A370:$AL370,MATCH(Lists!$F$2,$A$1:$AL$1,0))&amp;""),"")="",-1,IF(ISNUMBER(IFERROR(IF(TRIM(INDEX($A370:$AL370,MATCH(Lists!$F$6,$A$1:$AL$1,0))&amp;"")="","",IF(ISNUMBER(INDEX($A370:$AL370,MATCH(Lists!$F$6,$A$1:$AL$1,0))),ROUND(MOD(INDEX($A370:$AL370,MATCH(Lists!$F$6,$A$1:$AL$1,0)),1)*1440,0),VALUE(LEFT(INDEX($A370:$AL370,MATCH(Lists!$F$6,$A$1:$AL$1,0)),2))*60+VALUE(MID(INDEX($A370:$AL370,MATCH(Lists!$F$6,$A$1:$AL$1,0)),4,2)))),"")),IFERROR(IF(TRIM(INDEX($A370:$AL370,MATCH(Lists!$F$6,$A$1:$AL$1,0))&amp;"")="","",IF(ISNUMBER(INDEX($A370:$AL370,MATCH(Lists!$F$6,$A$1:$AL$1,0))),ROUND(MOD(INDEX($A370:$AL370,MATCH(Lists!$F$6,$A$1:$AL$1,0)),1)*1440,0),VALUE(LEFT(INDEX($A370:$AL370,MATCH(Lists!$F$6,$A$1:$AL$1,0)),2))*60+VALUE(MID(INDEX($A370:$AL370,MATCH(Lists!$F$6,$A$1:$AL$1,0)),4,2)))),""),-1))</f>
        <v/>
      </c>
      <c r="AV370" s="21">
        <f>IF(IFERROR(TRIM(INDEX($A370:$AL370,MATCH(Lists!$F$2,$A$1:$AL$1,0))&amp;""),"")="",-1,IF(ISNUMBER(IFERROR(IF(TRIM(INDEX($A370:$AL370,MATCH(Lists!$F$7,$A$1:$AL$1,0))&amp;"")="","",IF(ISNUMBER(INDEX($A370:$AL370,MATCH(Lists!$F$7,$A$1:$AL$1,0))),ROUND(MOD(INDEX($A370:$AL370,MATCH(Lists!$F$7,$A$1:$AL$1,0)),1)*1440,0),VALUE(LEFT(INDEX($A370:$AL370,MATCH(Lists!$F$7,$A$1:$AL$1,0)),2))*60+VALUE(MID(INDEX($A370:$AL370,MATCH(Lists!$F$7,$A$1:$AL$1,0)),4,2)))),"")),IFERROR(IF(TRIM(INDEX($A370:$AL370,MATCH(Lists!$F$7,$A$1:$AL$1,0))&amp;"")="","",IF(ISNUMBER(INDEX($A370:$AL370,MATCH(Lists!$F$7,$A$1:$AL$1,0))),ROUND(MOD(INDEX($A370:$AL370,MATCH(Lists!$F$7,$A$1:$AL$1,0)),1)*1440,0),VALUE(LEFT(INDEX($A370:$AL370,MATCH(Lists!$F$7,$A$1:$AL$1,0)),2))*60+VALUE(MID(INDEX($A370:$AL370,MATCH(Lists!$F$7,$A$1:$AL$1,0)),4,2)))),""),-1))</f>
        <v/>
      </c>
      <c r="AW370" s="21">
        <f>IF(IFERROR(TRIM(INDEX($A370:$AL370,MATCH(Lists!$F$2,$A$1:$AL$1,0))&amp;""),"")="","",IF(IFERROR(TRIM(INDEX($A370:$AL370,MATCH(Lists!$F$8,$A$1:$AL$1,0))&amp;""),"")&lt;&gt;"",IFERROR(TRIM(INDEX($A370:$AL370,MATCH(Lists!$F$8,$A$1:$AL$1,0))&amp;""),""),IFERROR(TRIM(INDEX($A370:$AL370,MATCH(Lists!$F$9,$A$1:$AL$1,0))&amp;""),"")))</f>
        <v/>
      </c>
      <c r="AX370" s="21">
        <f>IFERROR(IF(TRIM(INDEX($A370:$AL370,MATCH(Lists!$F$10,$A$1:$AL$1,0))&amp;"")="","",VALUE(TRIM(INDEX($A370:$AL370,MATCH(Lists!$F$10,$A$1:$AL$1,0))&amp;""))),"")</f>
        <v/>
      </c>
      <c r="AY370" s="21">
        <f>IF(IFERROR(TRIM(INDEX($A370:$AL370,MATCH(Lists!$F$2,$A$1:$AL$1,0))&amp;""),"")="","",IF(AN370="","New",AN370))</f>
        <v/>
      </c>
      <c r="AZ370" s="21">
        <f>IF(IFERROR(TRIM(INDEX($A370:$AL370,MATCH(Lists!$F$2,$A$1:$AL$1,0))&amp;""),"")="","",IF(OR(IFERROR(TRIM(INDEX($A370:$AL370,MATCH(Lists!$F$13,$A$1:$AL$1,0))&amp;""),"")="Paid",IFERROR(TRIM(INDEX($A370:$AL370,MATCH(Lists!$F$13,$A$1:$AL$1,0))&amp;""),"")="Partially refunded"),"Paid",IF(AP370="Yes","Paid (by hand)",IFERROR(TRIM(INDEX($A370:$AL370,MATCH(Lists!$F$13,$A$1:$AL$1,0))&amp;""),""))))</f>
        <v/>
      </c>
      <c r="BA370" s="21">
        <f>IF(AND(IFERROR(TRIM(INDEX($A370:$AL370,MATCH(Lists!$F$2,$A$1:$AL$1,0))&amp;""),"")&lt;&gt;"",AT370&gt;0,AU370&gt;=0,AV370&gt;AU370,AY370&lt;&gt;"Declined"),1,0)</f>
        <v/>
      </c>
      <c r="BB370" s="21">
        <f>IF(BA370=1,COUNTIFS($AS$2:$AS$501,AS370,$AT$2:$AT$501,AT370,$AU$2:$AU$501,"&lt;"&amp;AV370,$AV$2:$AV$501,"&gt;"&amp;AU370,$BA$2:$BA$501,1)-1,"")</f>
        <v/>
      </c>
      <c r="BC370" s="21">
        <f>IF(N(BB370)&gt;0,"Clashes with "&amp;INDEX($AW$2:$AW$501,SUMPRODUCT(MAX(($AS$2:$AS$501=AS370)*($AT$2:$AT$501=AT370)*($AU$2:$AU$501&lt;AV370)*($AV$2:$AV$501&gt;AU370)*($BA$2:$BA$501=1)*(ROW($AS$2:$AS$501)&lt;&gt;ROW())*ROW($AS$2:$AS$501)))-1)&amp;" ("&amp;INDEX($AY$2:$AY$501,SUMPRODUCT(MAX(($AS$2:$AS$501=AS370)*($AT$2:$AT$501=AT370)*($AU$2:$AU$501&lt;AV370)*($AV$2:$AV$501&gt;AU370)*($BA$2:$BA$501=1)*(ROW($AS$2:$AS$501)&lt;&gt;ROW())*ROW($AS$2:$AS$501)))-1)&amp;")"&amp;IF(BB370&gt;1," and "&amp;(BB370-1)&amp;" more",""),"")</f>
        <v/>
      </c>
      <c r="BD370" s="21">
        <f>IF(AND(BA370=1,AY370="Confirmed"),AT370*10000000+AU370*1000+ROW(),"")</f>
        <v/>
      </c>
      <c r="BE370" s="21">
        <f>IF(IFERROR(TRIM(INDEX($A370:$AL370,MATCH(Lists!$F$2,$A$1:$AL$1,0))&amp;""),"")="","",IFERROR(TRIM(INDEX($A370:$AL370,MATCH(Lists!$F$11,$A$1:$AL$1,0))&amp;""),""))</f>
        <v/>
      </c>
      <c r="BF370" s="21">
        <f>IF(IFERROR(TRIM(INDEX($A370:$AL370,MATCH(Lists!$F$2,$A$1:$AL$1,0))&amp;""),"")="","",IFERROR(TRIM(INDEX($A370:$AL370,MATCH(Lists!$F$12,$A$1:$AL$1,0))&amp;""),""))</f>
        <v/>
      </c>
    </row>
    <row r="371">
      <c r="AM371" s="19" t="n"/>
      <c r="AN371" s="23" t="n"/>
      <c r="AO371" s="23" t="n"/>
      <c r="AP371" s="23" t="n"/>
      <c r="AQ371" s="23" t="n"/>
      <c r="AR371" s="19" t="n"/>
      <c r="AS371" s="21">
        <f>IF(IFERROR(TRIM(INDEX($A371:$AL371,MATCH(Lists!$F$2,$A$1:$AL$1,0))&amp;""),"")="","",IF(AND(IFERROR(TRIM(INDEX($A371:$AL371,MATCH(Lists!$F$3,$A$1:$AL$1,0))&amp;""),"")="Other",IFERROR(TRIM(INDEX($A371:$AL371,MATCH(Lists!$F$4,$A$1:$AL$1,0))&amp;""),"")&lt;&gt;""),IFERROR(TRIM(INDEX($A371:$AL371,MATCH(Lists!$F$4,$A$1:$AL$1,0))&amp;""),""),IF(IFERROR(TRIM(INDEX($A371:$AL371,MATCH(Lists!$F$3,$A$1:$AL$1,0))&amp;""),"")="","(no space)",IFERROR(TRIM(INDEX($A371:$AL371,MATCH(Lists!$F$3,$A$1:$AL$1,0))&amp;""),""))))</f>
        <v/>
      </c>
      <c r="AT371" s="22">
        <f>IF(IFERROR(TRIM(INDEX($A371:$AL371,MATCH(Lists!$F$2,$A$1:$AL$1,0))&amp;""),"")="",0,N(IFERROR(IF(TRIM(INDEX($A371:$AL371,MATCH(Lists!$F$5,$A$1:$AL$1,0))&amp;"")="","",IF(ISNUMBER(INDEX($A371:$AL371,MATCH(Lists!$F$5,$A$1:$AL$1,0))),INT(INDEX($A371:$AL371,MATCH(Lists!$F$5,$A$1:$AL$1,0))),DATE(VALUE(LEFT(INDEX($A371:$AL371,MATCH(Lists!$F$5,$A$1:$AL$1,0)),4)),VALUE(MID(INDEX($A371:$AL371,MATCH(Lists!$F$5,$A$1:$AL$1,0)),6,2)),VALUE(MID(INDEX($A371:$AL371,MATCH(Lists!$F$5,$A$1:$AL$1,0)),9,2))))),"")))</f>
        <v/>
      </c>
      <c r="AU371" s="21">
        <f>IF(IFERROR(TRIM(INDEX($A371:$AL371,MATCH(Lists!$F$2,$A$1:$AL$1,0))&amp;""),"")="",-1,IF(ISNUMBER(IFERROR(IF(TRIM(INDEX($A371:$AL371,MATCH(Lists!$F$6,$A$1:$AL$1,0))&amp;"")="","",IF(ISNUMBER(INDEX($A371:$AL371,MATCH(Lists!$F$6,$A$1:$AL$1,0))),ROUND(MOD(INDEX($A371:$AL371,MATCH(Lists!$F$6,$A$1:$AL$1,0)),1)*1440,0),VALUE(LEFT(INDEX($A371:$AL371,MATCH(Lists!$F$6,$A$1:$AL$1,0)),2))*60+VALUE(MID(INDEX($A371:$AL371,MATCH(Lists!$F$6,$A$1:$AL$1,0)),4,2)))),"")),IFERROR(IF(TRIM(INDEX($A371:$AL371,MATCH(Lists!$F$6,$A$1:$AL$1,0))&amp;"")="","",IF(ISNUMBER(INDEX($A371:$AL371,MATCH(Lists!$F$6,$A$1:$AL$1,0))),ROUND(MOD(INDEX($A371:$AL371,MATCH(Lists!$F$6,$A$1:$AL$1,0)),1)*1440,0),VALUE(LEFT(INDEX($A371:$AL371,MATCH(Lists!$F$6,$A$1:$AL$1,0)),2))*60+VALUE(MID(INDEX($A371:$AL371,MATCH(Lists!$F$6,$A$1:$AL$1,0)),4,2)))),""),-1))</f>
        <v/>
      </c>
      <c r="AV371" s="21">
        <f>IF(IFERROR(TRIM(INDEX($A371:$AL371,MATCH(Lists!$F$2,$A$1:$AL$1,0))&amp;""),"")="",-1,IF(ISNUMBER(IFERROR(IF(TRIM(INDEX($A371:$AL371,MATCH(Lists!$F$7,$A$1:$AL$1,0))&amp;"")="","",IF(ISNUMBER(INDEX($A371:$AL371,MATCH(Lists!$F$7,$A$1:$AL$1,0))),ROUND(MOD(INDEX($A371:$AL371,MATCH(Lists!$F$7,$A$1:$AL$1,0)),1)*1440,0),VALUE(LEFT(INDEX($A371:$AL371,MATCH(Lists!$F$7,$A$1:$AL$1,0)),2))*60+VALUE(MID(INDEX($A371:$AL371,MATCH(Lists!$F$7,$A$1:$AL$1,0)),4,2)))),"")),IFERROR(IF(TRIM(INDEX($A371:$AL371,MATCH(Lists!$F$7,$A$1:$AL$1,0))&amp;"")="","",IF(ISNUMBER(INDEX($A371:$AL371,MATCH(Lists!$F$7,$A$1:$AL$1,0))),ROUND(MOD(INDEX($A371:$AL371,MATCH(Lists!$F$7,$A$1:$AL$1,0)),1)*1440,0),VALUE(LEFT(INDEX($A371:$AL371,MATCH(Lists!$F$7,$A$1:$AL$1,0)),2))*60+VALUE(MID(INDEX($A371:$AL371,MATCH(Lists!$F$7,$A$1:$AL$1,0)),4,2)))),""),-1))</f>
        <v/>
      </c>
      <c r="AW371" s="21">
        <f>IF(IFERROR(TRIM(INDEX($A371:$AL371,MATCH(Lists!$F$2,$A$1:$AL$1,0))&amp;""),"")="","",IF(IFERROR(TRIM(INDEX($A371:$AL371,MATCH(Lists!$F$8,$A$1:$AL$1,0))&amp;""),"")&lt;&gt;"",IFERROR(TRIM(INDEX($A371:$AL371,MATCH(Lists!$F$8,$A$1:$AL$1,0))&amp;""),""),IFERROR(TRIM(INDEX($A371:$AL371,MATCH(Lists!$F$9,$A$1:$AL$1,0))&amp;""),"")))</f>
        <v/>
      </c>
      <c r="AX371" s="21">
        <f>IFERROR(IF(TRIM(INDEX($A371:$AL371,MATCH(Lists!$F$10,$A$1:$AL$1,0))&amp;"")="","",VALUE(TRIM(INDEX($A371:$AL371,MATCH(Lists!$F$10,$A$1:$AL$1,0))&amp;""))),"")</f>
        <v/>
      </c>
      <c r="AY371" s="21">
        <f>IF(IFERROR(TRIM(INDEX($A371:$AL371,MATCH(Lists!$F$2,$A$1:$AL$1,0))&amp;""),"")="","",IF(AN371="","New",AN371))</f>
        <v/>
      </c>
      <c r="AZ371" s="21">
        <f>IF(IFERROR(TRIM(INDEX($A371:$AL371,MATCH(Lists!$F$2,$A$1:$AL$1,0))&amp;""),"")="","",IF(OR(IFERROR(TRIM(INDEX($A371:$AL371,MATCH(Lists!$F$13,$A$1:$AL$1,0))&amp;""),"")="Paid",IFERROR(TRIM(INDEX($A371:$AL371,MATCH(Lists!$F$13,$A$1:$AL$1,0))&amp;""),"")="Partially refunded"),"Paid",IF(AP371="Yes","Paid (by hand)",IFERROR(TRIM(INDEX($A371:$AL371,MATCH(Lists!$F$13,$A$1:$AL$1,0))&amp;""),""))))</f>
        <v/>
      </c>
      <c r="BA371" s="21">
        <f>IF(AND(IFERROR(TRIM(INDEX($A371:$AL371,MATCH(Lists!$F$2,$A$1:$AL$1,0))&amp;""),"")&lt;&gt;"",AT371&gt;0,AU371&gt;=0,AV371&gt;AU371,AY371&lt;&gt;"Declined"),1,0)</f>
        <v/>
      </c>
      <c r="BB371" s="21">
        <f>IF(BA371=1,COUNTIFS($AS$2:$AS$501,AS371,$AT$2:$AT$501,AT371,$AU$2:$AU$501,"&lt;"&amp;AV371,$AV$2:$AV$501,"&gt;"&amp;AU371,$BA$2:$BA$501,1)-1,"")</f>
        <v/>
      </c>
      <c r="BC371" s="21">
        <f>IF(N(BB371)&gt;0,"Clashes with "&amp;INDEX($AW$2:$AW$501,SUMPRODUCT(MAX(($AS$2:$AS$501=AS371)*($AT$2:$AT$501=AT371)*($AU$2:$AU$501&lt;AV371)*($AV$2:$AV$501&gt;AU371)*($BA$2:$BA$501=1)*(ROW($AS$2:$AS$501)&lt;&gt;ROW())*ROW($AS$2:$AS$501)))-1)&amp;" ("&amp;INDEX($AY$2:$AY$501,SUMPRODUCT(MAX(($AS$2:$AS$501=AS371)*($AT$2:$AT$501=AT371)*($AU$2:$AU$501&lt;AV371)*($AV$2:$AV$501&gt;AU371)*($BA$2:$BA$501=1)*(ROW($AS$2:$AS$501)&lt;&gt;ROW())*ROW($AS$2:$AS$501)))-1)&amp;")"&amp;IF(BB371&gt;1," and "&amp;(BB371-1)&amp;" more",""),"")</f>
        <v/>
      </c>
      <c r="BD371" s="21">
        <f>IF(AND(BA371=1,AY371="Confirmed"),AT371*10000000+AU371*1000+ROW(),"")</f>
        <v/>
      </c>
      <c r="BE371" s="21">
        <f>IF(IFERROR(TRIM(INDEX($A371:$AL371,MATCH(Lists!$F$2,$A$1:$AL$1,0))&amp;""),"")="","",IFERROR(TRIM(INDEX($A371:$AL371,MATCH(Lists!$F$11,$A$1:$AL$1,0))&amp;""),""))</f>
        <v/>
      </c>
      <c r="BF371" s="21">
        <f>IF(IFERROR(TRIM(INDEX($A371:$AL371,MATCH(Lists!$F$2,$A$1:$AL$1,0))&amp;""),"")="","",IFERROR(TRIM(INDEX($A371:$AL371,MATCH(Lists!$F$12,$A$1:$AL$1,0))&amp;""),""))</f>
        <v/>
      </c>
    </row>
    <row r="372">
      <c r="AM372" s="19" t="n"/>
      <c r="AN372" s="23" t="n"/>
      <c r="AO372" s="23" t="n"/>
      <c r="AP372" s="23" t="n"/>
      <c r="AQ372" s="23" t="n"/>
      <c r="AR372" s="19" t="n"/>
      <c r="AS372" s="21">
        <f>IF(IFERROR(TRIM(INDEX($A372:$AL372,MATCH(Lists!$F$2,$A$1:$AL$1,0))&amp;""),"")="","",IF(AND(IFERROR(TRIM(INDEX($A372:$AL372,MATCH(Lists!$F$3,$A$1:$AL$1,0))&amp;""),"")="Other",IFERROR(TRIM(INDEX($A372:$AL372,MATCH(Lists!$F$4,$A$1:$AL$1,0))&amp;""),"")&lt;&gt;""),IFERROR(TRIM(INDEX($A372:$AL372,MATCH(Lists!$F$4,$A$1:$AL$1,0))&amp;""),""),IF(IFERROR(TRIM(INDEX($A372:$AL372,MATCH(Lists!$F$3,$A$1:$AL$1,0))&amp;""),"")="","(no space)",IFERROR(TRIM(INDEX($A372:$AL372,MATCH(Lists!$F$3,$A$1:$AL$1,0))&amp;""),""))))</f>
        <v/>
      </c>
      <c r="AT372" s="22">
        <f>IF(IFERROR(TRIM(INDEX($A372:$AL372,MATCH(Lists!$F$2,$A$1:$AL$1,0))&amp;""),"")="",0,N(IFERROR(IF(TRIM(INDEX($A372:$AL372,MATCH(Lists!$F$5,$A$1:$AL$1,0))&amp;"")="","",IF(ISNUMBER(INDEX($A372:$AL372,MATCH(Lists!$F$5,$A$1:$AL$1,0))),INT(INDEX($A372:$AL372,MATCH(Lists!$F$5,$A$1:$AL$1,0))),DATE(VALUE(LEFT(INDEX($A372:$AL372,MATCH(Lists!$F$5,$A$1:$AL$1,0)),4)),VALUE(MID(INDEX($A372:$AL372,MATCH(Lists!$F$5,$A$1:$AL$1,0)),6,2)),VALUE(MID(INDEX($A372:$AL372,MATCH(Lists!$F$5,$A$1:$AL$1,0)),9,2))))),"")))</f>
        <v/>
      </c>
      <c r="AU372" s="21">
        <f>IF(IFERROR(TRIM(INDEX($A372:$AL372,MATCH(Lists!$F$2,$A$1:$AL$1,0))&amp;""),"")="",-1,IF(ISNUMBER(IFERROR(IF(TRIM(INDEX($A372:$AL372,MATCH(Lists!$F$6,$A$1:$AL$1,0))&amp;"")="","",IF(ISNUMBER(INDEX($A372:$AL372,MATCH(Lists!$F$6,$A$1:$AL$1,0))),ROUND(MOD(INDEX($A372:$AL372,MATCH(Lists!$F$6,$A$1:$AL$1,0)),1)*1440,0),VALUE(LEFT(INDEX($A372:$AL372,MATCH(Lists!$F$6,$A$1:$AL$1,0)),2))*60+VALUE(MID(INDEX($A372:$AL372,MATCH(Lists!$F$6,$A$1:$AL$1,0)),4,2)))),"")),IFERROR(IF(TRIM(INDEX($A372:$AL372,MATCH(Lists!$F$6,$A$1:$AL$1,0))&amp;"")="","",IF(ISNUMBER(INDEX($A372:$AL372,MATCH(Lists!$F$6,$A$1:$AL$1,0))),ROUND(MOD(INDEX($A372:$AL372,MATCH(Lists!$F$6,$A$1:$AL$1,0)),1)*1440,0),VALUE(LEFT(INDEX($A372:$AL372,MATCH(Lists!$F$6,$A$1:$AL$1,0)),2))*60+VALUE(MID(INDEX($A372:$AL372,MATCH(Lists!$F$6,$A$1:$AL$1,0)),4,2)))),""),-1))</f>
        <v/>
      </c>
      <c r="AV372" s="21">
        <f>IF(IFERROR(TRIM(INDEX($A372:$AL372,MATCH(Lists!$F$2,$A$1:$AL$1,0))&amp;""),"")="",-1,IF(ISNUMBER(IFERROR(IF(TRIM(INDEX($A372:$AL372,MATCH(Lists!$F$7,$A$1:$AL$1,0))&amp;"")="","",IF(ISNUMBER(INDEX($A372:$AL372,MATCH(Lists!$F$7,$A$1:$AL$1,0))),ROUND(MOD(INDEX($A372:$AL372,MATCH(Lists!$F$7,$A$1:$AL$1,0)),1)*1440,0),VALUE(LEFT(INDEX($A372:$AL372,MATCH(Lists!$F$7,$A$1:$AL$1,0)),2))*60+VALUE(MID(INDEX($A372:$AL372,MATCH(Lists!$F$7,$A$1:$AL$1,0)),4,2)))),"")),IFERROR(IF(TRIM(INDEX($A372:$AL372,MATCH(Lists!$F$7,$A$1:$AL$1,0))&amp;"")="","",IF(ISNUMBER(INDEX($A372:$AL372,MATCH(Lists!$F$7,$A$1:$AL$1,0))),ROUND(MOD(INDEX($A372:$AL372,MATCH(Lists!$F$7,$A$1:$AL$1,0)),1)*1440,0),VALUE(LEFT(INDEX($A372:$AL372,MATCH(Lists!$F$7,$A$1:$AL$1,0)),2))*60+VALUE(MID(INDEX($A372:$AL372,MATCH(Lists!$F$7,$A$1:$AL$1,0)),4,2)))),""),-1))</f>
        <v/>
      </c>
      <c r="AW372" s="21">
        <f>IF(IFERROR(TRIM(INDEX($A372:$AL372,MATCH(Lists!$F$2,$A$1:$AL$1,0))&amp;""),"")="","",IF(IFERROR(TRIM(INDEX($A372:$AL372,MATCH(Lists!$F$8,$A$1:$AL$1,0))&amp;""),"")&lt;&gt;"",IFERROR(TRIM(INDEX($A372:$AL372,MATCH(Lists!$F$8,$A$1:$AL$1,0))&amp;""),""),IFERROR(TRIM(INDEX($A372:$AL372,MATCH(Lists!$F$9,$A$1:$AL$1,0))&amp;""),"")))</f>
        <v/>
      </c>
      <c r="AX372" s="21">
        <f>IFERROR(IF(TRIM(INDEX($A372:$AL372,MATCH(Lists!$F$10,$A$1:$AL$1,0))&amp;"")="","",VALUE(TRIM(INDEX($A372:$AL372,MATCH(Lists!$F$10,$A$1:$AL$1,0))&amp;""))),"")</f>
        <v/>
      </c>
      <c r="AY372" s="21">
        <f>IF(IFERROR(TRIM(INDEX($A372:$AL372,MATCH(Lists!$F$2,$A$1:$AL$1,0))&amp;""),"")="","",IF(AN372="","New",AN372))</f>
        <v/>
      </c>
      <c r="AZ372" s="21">
        <f>IF(IFERROR(TRIM(INDEX($A372:$AL372,MATCH(Lists!$F$2,$A$1:$AL$1,0))&amp;""),"")="","",IF(OR(IFERROR(TRIM(INDEX($A372:$AL372,MATCH(Lists!$F$13,$A$1:$AL$1,0))&amp;""),"")="Paid",IFERROR(TRIM(INDEX($A372:$AL372,MATCH(Lists!$F$13,$A$1:$AL$1,0))&amp;""),"")="Partially refunded"),"Paid",IF(AP372="Yes","Paid (by hand)",IFERROR(TRIM(INDEX($A372:$AL372,MATCH(Lists!$F$13,$A$1:$AL$1,0))&amp;""),""))))</f>
        <v/>
      </c>
      <c r="BA372" s="21">
        <f>IF(AND(IFERROR(TRIM(INDEX($A372:$AL372,MATCH(Lists!$F$2,$A$1:$AL$1,0))&amp;""),"")&lt;&gt;"",AT372&gt;0,AU372&gt;=0,AV372&gt;AU372,AY372&lt;&gt;"Declined"),1,0)</f>
        <v/>
      </c>
      <c r="BB372" s="21">
        <f>IF(BA372=1,COUNTIFS($AS$2:$AS$501,AS372,$AT$2:$AT$501,AT372,$AU$2:$AU$501,"&lt;"&amp;AV372,$AV$2:$AV$501,"&gt;"&amp;AU372,$BA$2:$BA$501,1)-1,"")</f>
        <v/>
      </c>
      <c r="BC372" s="21">
        <f>IF(N(BB372)&gt;0,"Clashes with "&amp;INDEX($AW$2:$AW$501,SUMPRODUCT(MAX(($AS$2:$AS$501=AS372)*($AT$2:$AT$501=AT372)*($AU$2:$AU$501&lt;AV372)*($AV$2:$AV$501&gt;AU372)*($BA$2:$BA$501=1)*(ROW($AS$2:$AS$501)&lt;&gt;ROW())*ROW($AS$2:$AS$501)))-1)&amp;" ("&amp;INDEX($AY$2:$AY$501,SUMPRODUCT(MAX(($AS$2:$AS$501=AS372)*($AT$2:$AT$501=AT372)*($AU$2:$AU$501&lt;AV372)*($AV$2:$AV$501&gt;AU372)*($BA$2:$BA$501=1)*(ROW($AS$2:$AS$501)&lt;&gt;ROW())*ROW($AS$2:$AS$501)))-1)&amp;")"&amp;IF(BB372&gt;1," and "&amp;(BB372-1)&amp;" more",""),"")</f>
        <v/>
      </c>
      <c r="BD372" s="21">
        <f>IF(AND(BA372=1,AY372="Confirmed"),AT372*10000000+AU372*1000+ROW(),"")</f>
        <v/>
      </c>
      <c r="BE372" s="21">
        <f>IF(IFERROR(TRIM(INDEX($A372:$AL372,MATCH(Lists!$F$2,$A$1:$AL$1,0))&amp;""),"")="","",IFERROR(TRIM(INDEX($A372:$AL372,MATCH(Lists!$F$11,$A$1:$AL$1,0))&amp;""),""))</f>
        <v/>
      </c>
      <c r="BF372" s="21">
        <f>IF(IFERROR(TRIM(INDEX($A372:$AL372,MATCH(Lists!$F$2,$A$1:$AL$1,0))&amp;""),"")="","",IFERROR(TRIM(INDEX($A372:$AL372,MATCH(Lists!$F$12,$A$1:$AL$1,0))&amp;""),""))</f>
        <v/>
      </c>
    </row>
    <row r="373">
      <c r="AM373" s="19" t="n"/>
      <c r="AN373" s="23" t="n"/>
      <c r="AO373" s="23" t="n"/>
      <c r="AP373" s="23" t="n"/>
      <c r="AQ373" s="23" t="n"/>
      <c r="AR373" s="19" t="n"/>
      <c r="AS373" s="21">
        <f>IF(IFERROR(TRIM(INDEX($A373:$AL373,MATCH(Lists!$F$2,$A$1:$AL$1,0))&amp;""),"")="","",IF(AND(IFERROR(TRIM(INDEX($A373:$AL373,MATCH(Lists!$F$3,$A$1:$AL$1,0))&amp;""),"")="Other",IFERROR(TRIM(INDEX($A373:$AL373,MATCH(Lists!$F$4,$A$1:$AL$1,0))&amp;""),"")&lt;&gt;""),IFERROR(TRIM(INDEX($A373:$AL373,MATCH(Lists!$F$4,$A$1:$AL$1,0))&amp;""),""),IF(IFERROR(TRIM(INDEX($A373:$AL373,MATCH(Lists!$F$3,$A$1:$AL$1,0))&amp;""),"")="","(no space)",IFERROR(TRIM(INDEX($A373:$AL373,MATCH(Lists!$F$3,$A$1:$AL$1,0))&amp;""),""))))</f>
        <v/>
      </c>
      <c r="AT373" s="22">
        <f>IF(IFERROR(TRIM(INDEX($A373:$AL373,MATCH(Lists!$F$2,$A$1:$AL$1,0))&amp;""),"")="",0,N(IFERROR(IF(TRIM(INDEX($A373:$AL373,MATCH(Lists!$F$5,$A$1:$AL$1,0))&amp;"")="","",IF(ISNUMBER(INDEX($A373:$AL373,MATCH(Lists!$F$5,$A$1:$AL$1,0))),INT(INDEX($A373:$AL373,MATCH(Lists!$F$5,$A$1:$AL$1,0))),DATE(VALUE(LEFT(INDEX($A373:$AL373,MATCH(Lists!$F$5,$A$1:$AL$1,0)),4)),VALUE(MID(INDEX($A373:$AL373,MATCH(Lists!$F$5,$A$1:$AL$1,0)),6,2)),VALUE(MID(INDEX($A373:$AL373,MATCH(Lists!$F$5,$A$1:$AL$1,0)),9,2))))),"")))</f>
        <v/>
      </c>
      <c r="AU373" s="21">
        <f>IF(IFERROR(TRIM(INDEX($A373:$AL373,MATCH(Lists!$F$2,$A$1:$AL$1,0))&amp;""),"")="",-1,IF(ISNUMBER(IFERROR(IF(TRIM(INDEX($A373:$AL373,MATCH(Lists!$F$6,$A$1:$AL$1,0))&amp;"")="","",IF(ISNUMBER(INDEX($A373:$AL373,MATCH(Lists!$F$6,$A$1:$AL$1,0))),ROUND(MOD(INDEX($A373:$AL373,MATCH(Lists!$F$6,$A$1:$AL$1,0)),1)*1440,0),VALUE(LEFT(INDEX($A373:$AL373,MATCH(Lists!$F$6,$A$1:$AL$1,0)),2))*60+VALUE(MID(INDEX($A373:$AL373,MATCH(Lists!$F$6,$A$1:$AL$1,0)),4,2)))),"")),IFERROR(IF(TRIM(INDEX($A373:$AL373,MATCH(Lists!$F$6,$A$1:$AL$1,0))&amp;"")="","",IF(ISNUMBER(INDEX($A373:$AL373,MATCH(Lists!$F$6,$A$1:$AL$1,0))),ROUND(MOD(INDEX($A373:$AL373,MATCH(Lists!$F$6,$A$1:$AL$1,0)),1)*1440,0),VALUE(LEFT(INDEX($A373:$AL373,MATCH(Lists!$F$6,$A$1:$AL$1,0)),2))*60+VALUE(MID(INDEX($A373:$AL373,MATCH(Lists!$F$6,$A$1:$AL$1,0)),4,2)))),""),-1))</f>
        <v/>
      </c>
      <c r="AV373" s="21">
        <f>IF(IFERROR(TRIM(INDEX($A373:$AL373,MATCH(Lists!$F$2,$A$1:$AL$1,0))&amp;""),"")="",-1,IF(ISNUMBER(IFERROR(IF(TRIM(INDEX($A373:$AL373,MATCH(Lists!$F$7,$A$1:$AL$1,0))&amp;"")="","",IF(ISNUMBER(INDEX($A373:$AL373,MATCH(Lists!$F$7,$A$1:$AL$1,0))),ROUND(MOD(INDEX($A373:$AL373,MATCH(Lists!$F$7,$A$1:$AL$1,0)),1)*1440,0),VALUE(LEFT(INDEX($A373:$AL373,MATCH(Lists!$F$7,$A$1:$AL$1,0)),2))*60+VALUE(MID(INDEX($A373:$AL373,MATCH(Lists!$F$7,$A$1:$AL$1,0)),4,2)))),"")),IFERROR(IF(TRIM(INDEX($A373:$AL373,MATCH(Lists!$F$7,$A$1:$AL$1,0))&amp;"")="","",IF(ISNUMBER(INDEX($A373:$AL373,MATCH(Lists!$F$7,$A$1:$AL$1,0))),ROUND(MOD(INDEX($A373:$AL373,MATCH(Lists!$F$7,$A$1:$AL$1,0)),1)*1440,0),VALUE(LEFT(INDEX($A373:$AL373,MATCH(Lists!$F$7,$A$1:$AL$1,0)),2))*60+VALUE(MID(INDEX($A373:$AL373,MATCH(Lists!$F$7,$A$1:$AL$1,0)),4,2)))),""),-1))</f>
        <v/>
      </c>
      <c r="AW373" s="21">
        <f>IF(IFERROR(TRIM(INDEX($A373:$AL373,MATCH(Lists!$F$2,$A$1:$AL$1,0))&amp;""),"")="","",IF(IFERROR(TRIM(INDEX($A373:$AL373,MATCH(Lists!$F$8,$A$1:$AL$1,0))&amp;""),"")&lt;&gt;"",IFERROR(TRIM(INDEX($A373:$AL373,MATCH(Lists!$F$8,$A$1:$AL$1,0))&amp;""),""),IFERROR(TRIM(INDEX($A373:$AL373,MATCH(Lists!$F$9,$A$1:$AL$1,0))&amp;""),"")))</f>
        <v/>
      </c>
      <c r="AX373" s="21">
        <f>IFERROR(IF(TRIM(INDEX($A373:$AL373,MATCH(Lists!$F$10,$A$1:$AL$1,0))&amp;"")="","",VALUE(TRIM(INDEX($A373:$AL373,MATCH(Lists!$F$10,$A$1:$AL$1,0))&amp;""))),"")</f>
        <v/>
      </c>
      <c r="AY373" s="21">
        <f>IF(IFERROR(TRIM(INDEX($A373:$AL373,MATCH(Lists!$F$2,$A$1:$AL$1,0))&amp;""),"")="","",IF(AN373="","New",AN373))</f>
        <v/>
      </c>
      <c r="AZ373" s="21">
        <f>IF(IFERROR(TRIM(INDEX($A373:$AL373,MATCH(Lists!$F$2,$A$1:$AL$1,0))&amp;""),"")="","",IF(OR(IFERROR(TRIM(INDEX($A373:$AL373,MATCH(Lists!$F$13,$A$1:$AL$1,0))&amp;""),"")="Paid",IFERROR(TRIM(INDEX($A373:$AL373,MATCH(Lists!$F$13,$A$1:$AL$1,0))&amp;""),"")="Partially refunded"),"Paid",IF(AP373="Yes","Paid (by hand)",IFERROR(TRIM(INDEX($A373:$AL373,MATCH(Lists!$F$13,$A$1:$AL$1,0))&amp;""),""))))</f>
        <v/>
      </c>
      <c r="BA373" s="21">
        <f>IF(AND(IFERROR(TRIM(INDEX($A373:$AL373,MATCH(Lists!$F$2,$A$1:$AL$1,0))&amp;""),"")&lt;&gt;"",AT373&gt;0,AU373&gt;=0,AV373&gt;AU373,AY373&lt;&gt;"Declined"),1,0)</f>
        <v/>
      </c>
      <c r="BB373" s="21">
        <f>IF(BA373=1,COUNTIFS($AS$2:$AS$501,AS373,$AT$2:$AT$501,AT373,$AU$2:$AU$501,"&lt;"&amp;AV373,$AV$2:$AV$501,"&gt;"&amp;AU373,$BA$2:$BA$501,1)-1,"")</f>
        <v/>
      </c>
      <c r="BC373" s="21">
        <f>IF(N(BB373)&gt;0,"Clashes with "&amp;INDEX($AW$2:$AW$501,SUMPRODUCT(MAX(($AS$2:$AS$501=AS373)*($AT$2:$AT$501=AT373)*($AU$2:$AU$501&lt;AV373)*($AV$2:$AV$501&gt;AU373)*($BA$2:$BA$501=1)*(ROW($AS$2:$AS$501)&lt;&gt;ROW())*ROW($AS$2:$AS$501)))-1)&amp;" ("&amp;INDEX($AY$2:$AY$501,SUMPRODUCT(MAX(($AS$2:$AS$501=AS373)*($AT$2:$AT$501=AT373)*($AU$2:$AU$501&lt;AV373)*($AV$2:$AV$501&gt;AU373)*($BA$2:$BA$501=1)*(ROW($AS$2:$AS$501)&lt;&gt;ROW())*ROW($AS$2:$AS$501)))-1)&amp;")"&amp;IF(BB373&gt;1," and "&amp;(BB373-1)&amp;" more",""),"")</f>
        <v/>
      </c>
      <c r="BD373" s="21">
        <f>IF(AND(BA373=1,AY373="Confirmed"),AT373*10000000+AU373*1000+ROW(),"")</f>
        <v/>
      </c>
      <c r="BE373" s="21">
        <f>IF(IFERROR(TRIM(INDEX($A373:$AL373,MATCH(Lists!$F$2,$A$1:$AL$1,0))&amp;""),"")="","",IFERROR(TRIM(INDEX($A373:$AL373,MATCH(Lists!$F$11,$A$1:$AL$1,0))&amp;""),""))</f>
        <v/>
      </c>
      <c r="BF373" s="21">
        <f>IF(IFERROR(TRIM(INDEX($A373:$AL373,MATCH(Lists!$F$2,$A$1:$AL$1,0))&amp;""),"")="","",IFERROR(TRIM(INDEX($A373:$AL373,MATCH(Lists!$F$12,$A$1:$AL$1,0))&amp;""),""))</f>
        <v/>
      </c>
    </row>
    <row r="374">
      <c r="AM374" s="19" t="n"/>
      <c r="AN374" s="23" t="n"/>
      <c r="AO374" s="23" t="n"/>
      <c r="AP374" s="23" t="n"/>
      <c r="AQ374" s="23" t="n"/>
      <c r="AR374" s="19" t="n"/>
      <c r="AS374" s="21">
        <f>IF(IFERROR(TRIM(INDEX($A374:$AL374,MATCH(Lists!$F$2,$A$1:$AL$1,0))&amp;""),"")="","",IF(AND(IFERROR(TRIM(INDEX($A374:$AL374,MATCH(Lists!$F$3,$A$1:$AL$1,0))&amp;""),"")="Other",IFERROR(TRIM(INDEX($A374:$AL374,MATCH(Lists!$F$4,$A$1:$AL$1,0))&amp;""),"")&lt;&gt;""),IFERROR(TRIM(INDEX($A374:$AL374,MATCH(Lists!$F$4,$A$1:$AL$1,0))&amp;""),""),IF(IFERROR(TRIM(INDEX($A374:$AL374,MATCH(Lists!$F$3,$A$1:$AL$1,0))&amp;""),"")="","(no space)",IFERROR(TRIM(INDEX($A374:$AL374,MATCH(Lists!$F$3,$A$1:$AL$1,0))&amp;""),""))))</f>
        <v/>
      </c>
      <c r="AT374" s="22">
        <f>IF(IFERROR(TRIM(INDEX($A374:$AL374,MATCH(Lists!$F$2,$A$1:$AL$1,0))&amp;""),"")="",0,N(IFERROR(IF(TRIM(INDEX($A374:$AL374,MATCH(Lists!$F$5,$A$1:$AL$1,0))&amp;"")="","",IF(ISNUMBER(INDEX($A374:$AL374,MATCH(Lists!$F$5,$A$1:$AL$1,0))),INT(INDEX($A374:$AL374,MATCH(Lists!$F$5,$A$1:$AL$1,0))),DATE(VALUE(LEFT(INDEX($A374:$AL374,MATCH(Lists!$F$5,$A$1:$AL$1,0)),4)),VALUE(MID(INDEX($A374:$AL374,MATCH(Lists!$F$5,$A$1:$AL$1,0)),6,2)),VALUE(MID(INDEX($A374:$AL374,MATCH(Lists!$F$5,$A$1:$AL$1,0)),9,2))))),"")))</f>
        <v/>
      </c>
      <c r="AU374" s="21">
        <f>IF(IFERROR(TRIM(INDEX($A374:$AL374,MATCH(Lists!$F$2,$A$1:$AL$1,0))&amp;""),"")="",-1,IF(ISNUMBER(IFERROR(IF(TRIM(INDEX($A374:$AL374,MATCH(Lists!$F$6,$A$1:$AL$1,0))&amp;"")="","",IF(ISNUMBER(INDEX($A374:$AL374,MATCH(Lists!$F$6,$A$1:$AL$1,0))),ROUND(MOD(INDEX($A374:$AL374,MATCH(Lists!$F$6,$A$1:$AL$1,0)),1)*1440,0),VALUE(LEFT(INDEX($A374:$AL374,MATCH(Lists!$F$6,$A$1:$AL$1,0)),2))*60+VALUE(MID(INDEX($A374:$AL374,MATCH(Lists!$F$6,$A$1:$AL$1,0)),4,2)))),"")),IFERROR(IF(TRIM(INDEX($A374:$AL374,MATCH(Lists!$F$6,$A$1:$AL$1,0))&amp;"")="","",IF(ISNUMBER(INDEX($A374:$AL374,MATCH(Lists!$F$6,$A$1:$AL$1,0))),ROUND(MOD(INDEX($A374:$AL374,MATCH(Lists!$F$6,$A$1:$AL$1,0)),1)*1440,0),VALUE(LEFT(INDEX($A374:$AL374,MATCH(Lists!$F$6,$A$1:$AL$1,0)),2))*60+VALUE(MID(INDEX($A374:$AL374,MATCH(Lists!$F$6,$A$1:$AL$1,0)),4,2)))),""),-1))</f>
        <v/>
      </c>
      <c r="AV374" s="21">
        <f>IF(IFERROR(TRIM(INDEX($A374:$AL374,MATCH(Lists!$F$2,$A$1:$AL$1,0))&amp;""),"")="",-1,IF(ISNUMBER(IFERROR(IF(TRIM(INDEX($A374:$AL374,MATCH(Lists!$F$7,$A$1:$AL$1,0))&amp;"")="","",IF(ISNUMBER(INDEX($A374:$AL374,MATCH(Lists!$F$7,$A$1:$AL$1,0))),ROUND(MOD(INDEX($A374:$AL374,MATCH(Lists!$F$7,$A$1:$AL$1,0)),1)*1440,0),VALUE(LEFT(INDEX($A374:$AL374,MATCH(Lists!$F$7,$A$1:$AL$1,0)),2))*60+VALUE(MID(INDEX($A374:$AL374,MATCH(Lists!$F$7,$A$1:$AL$1,0)),4,2)))),"")),IFERROR(IF(TRIM(INDEX($A374:$AL374,MATCH(Lists!$F$7,$A$1:$AL$1,0))&amp;"")="","",IF(ISNUMBER(INDEX($A374:$AL374,MATCH(Lists!$F$7,$A$1:$AL$1,0))),ROUND(MOD(INDEX($A374:$AL374,MATCH(Lists!$F$7,$A$1:$AL$1,0)),1)*1440,0),VALUE(LEFT(INDEX($A374:$AL374,MATCH(Lists!$F$7,$A$1:$AL$1,0)),2))*60+VALUE(MID(INDEX($A374:$AL374,MATCH(Lists!$F$7,$A$1:$AL$1,0)),4,2)))),""),-1))</f>
        <v/>
      </c>
      <c r="AW374" s="21">
        <f>IF(IFERROR(TRIM(INDEX($A374:$AL374,MATCH(Lists!$F$2,$A$1:$AL$1,0))&amp;""),"")="","",IF(IFERROR(TRIM(INDEX($A374:$AL374,MATCH(Lists!$F$8,$A$1:$AL$1,0))&amp;""),"")&lt;&gt;"",IFERROR(TRIM(INDEX($A374:$AL374,MATCH(Lists!$F$8,$A$1:$AL$1,0))&amp;""),""),IFERROR(TRIM(INDEX($A374:$AL374,MATCH(Lists!$F$9,$A$1:$AL$1,0))&amp;""),"")))</f>
        <v/>
      </c>
      <c r="AX374" s="21">
        <f>IFERROR(IF(TRIM(INDEX($A374:$AL374,MATCH(Lists!$F$10,$A$1:$AL$1,0))&amp;"")="","",VALUE(TRIM(INDEX($A374:$AL374,MATCH(Lists!$F$10,$A$1:$AL$1,0))&amp;""))),"")</f>
        <v/>
      </c>
      <c r="AY374" s="21">
        <f>IF(IFERROR(TRIM(INDEX($A374:$AL374,MATCH(Lists!$F$2,$A$1:$AL$1,0))&amp;""),"")="","",IF(AN374="","New",AN374))</f>
        <v/>
      </c>
      <c r="AZ374" s="21">
        <f>IF(IFERROR(TRIM(INDEX($A374:$AL374,MATCH(Lists!$F$2,$A$1:$AL$1,0))&amp;""),"")="","",IF(OR(IFERROR(TRIM(INDEX($A374:$AL374,MATCH(Lists!$F$13,$A$1:$AL$1,0))&amp;""),"")="Paid",IFERROR(TRIM(INDEX($A374:$AL374,MATCH(Lists!$F$13,$A$1:$AL$1,0))&amp;""),"")="Partially refunded"),"Paid",IF(AP374="Yes","Paid (by hand)",IFERROR(TRIM(INDEX($A374:$AL374,MATCH(Lists!$F$13,$A$1:$AL$1,0))&amp;""),""))))</f>
        <v/>
      </c>
      <c r="BA374" s="21">
        <f>IF(AND(IFERROR(TRIM(INDEX($A374:$AL374,MATCH(Lists!$F$2,$A$1:$AL$1,0))&amp;""),"")&lt;&gt;"",AT374&gt;0,AU374&gt;=0,AV374&gt;AU374,AY374&lt;&gt;"Declined"),1,0)</f>
        <v/>
      </c>
      <c r="BB374" s="21">
        <f>IF(BA374=1,COUNTIFS($AS$2:$AS$501,AS374,$AT$2:$AT$501,AT374,$AU$2:$AU$501,"&lt;"&amp;AV374,$AV$2:$AV$501,"&gt;"&amp;AU374,$BA$2:$BA$501,1)-1,"")</f>
        <v/>
      </c>
      <c r="BC374" s="21">
        <f>IF(N(BB374)&gt;0,"Clashes with "&amp;INDEX($AW$2:$AW$501,SUMPRODUCT(MAX(($AS$2:$AS$501=AS374)*($AT$2:$AT$501=AT374)*($AU$2:$AU$501&lt;AV374)*($AV$2:$AV$501&gt;AU374)*($BA$2:$BA$501=1)*(ROW($AS$2:$AS$501)&lt;&gt;ROW())*ROW($AS$2:$AS$501)))-1)&amp;" ("&amp;INDEX($AY$2:$AY$501,SUMPRODUCT(MAX(($AS$2:$AS$501=AS374)*($AT$2:$AT$501=AT374)*($AU$2:$AU$501&lt;AV374)*($AV$2:$AV$501&gt;AU374)*($BA$2:$BA$501=1)*(ROW($AS$2:$AS$501)&lt;&gt;ROW())*ROW($AS$2:$AS$501)))-1)&amp;")"&amp;IF(BB374&gt;1," and "&amp;(BB374-1)&amp;" more",""),"")</f>
        <v/>
      </c>
      <c r="BD374" s="21">
        <f>IF(AND(BA374=1,AY374="Confirmed"),AT374*10000000+AU374*1000+ROW(),"")</f>
        <v/>
      </c>
      <c r="BE374" s="21">
        <f>IF(IFERROR(TRIM(INDEX($A374:$AL374,MATCH(Lists!$F$2,$A$1:$AL$1,0))&amp;""),"")="","",IFERROR(TRIM(INDEX($A374:$AL374,MATCH(Lists!$F$11,$A$1:$AL$1,0))&amp;""),""))</f>
        <v/>
      </c>
      <c r="BF374" s="21">
        <f>IF(IFERROR(TRIM(INDEX($A374:$AL374,MATCH(Lists!$F$2,$A$1:$AL$1,0))&amp;""),"")="","",IFERROR(TRIM(INDEX($A374:$AL374,MATCH(Lists!$F$12,$A$1:$AL$1,0))&amp;""),""))</f>
        <v/>
      </c>
    </row>
    <row r="375">
      <c r="AM375" s="19" t="n"/>
      <c r="AN375" s="23" t="n"/>
      <c r="AO375" s="23" t="n"/>
      <c r="AP375" s="23" t="n"/>
      <c r="AQ375" s="23" t="n"/>
      <c r="AR375" s="19" t="n"/>
      <c r="AS375" s="21">
        <f>IF(IFERROR(TRIM(INDEX($A375:$AL375,MATCH(Lists!$F$2,$A$1:$AL$1,0))&amp;""),"")="","",IF(AND(IFERROR(TRIM(INDEX($A375:$AL375,MATCH(Lists!$F$3,$A$1:$AL$1,0))&amp;""),"")="Other",IFERROR(TRIM(INDEX($A375:$AL375,MATCH(Lists!$F$4,$A$1:$AL$1,0))&amp;""),"")&lt;&gt;""),IFERROR(TRIM(INDEX($A375:$AL375,MATCH(Lists!$F$4,$A$1:$AL$1,0))&amp;""),""),IF(IFERROR(TRIM(INDEX($A375:$AL375,MATCH(Lists!$F$3,$A$1:$AL$1,0))&amp;""),"")="","(no space)",IFERROR(TRIM(INDEX($A375:$AL375,MATCH(Lists!$F$3,$A$1:$AL$1,0))&amp;""),""))))</f>
        <v/>
      </c>
      <c r="AT375" s="22">
        <f>IF(IFERROR(TRIM(INDEX($A375:$AL375,MATCH(Lists!$F$2,$A$1:$AL$1,0))&amp;""),"")="",0,N(IFERROR(IF(TRIM(INDEX($A375:$AL375,MATCH(Lists!$F$5,$A$1:$AL$1,0))&amp;"")="","",IF(ISNUMBER(INDEX($A375:$AL375,MATCH(Lists!$F$5,$A$1:$AL$1,0))),INT(INDEX($A375:$AL375,MATCH(Lists!$F$5,$A$1:$AL$1,0))),DATE(VALUE(LEFT(INDEX($A375:$AL375,MATCH(Lists!$F$5,$A$1:$AL$1,0)),4)),VALUE(MID(INDEX($A375:$AL375,MATCH(Lists!$F$5,$A$1:$AL$1,0)),6,2)),VALUE(MID(INDEX($A375:$AL375,MATCH(Lists!$F$5,$A$1:$AL$1,0)),9,2))))),"")))</f>
        <v/>
      </c>
      <c r="AU375" s="21">
        <f>IF(IFERROR(TRIM(INDEX($A375:$AL375,MATCH(Lists!$F$2,$A$1:$AL$1,0))&amp;""),"")="",-1,IF(ISNUMBER(IFERROR(IF(TRIM(INDEX($A375:$AL375,MATCH(Lists!$F$6,$A$1:$AL$1,0))&amp;"")="","",IF(ISNUMBER(INDEX($A375:$AL375,MATCH(Lists!$F$6,$A$1:$AL$1,0))),ROUND(MOD(INDEX($A375:$AL375,MATCH(Lists!$F$6,$A$1:$AL$1,0)),1)*1440,0),VALUE(LEFT(INDEX($A375:$AL375,MATCH(Lists!$F$6,$A$1:$AL$1,0)),2))*60+VALUE(MID(INDEX($A375:$AL375,MATCH(Lists!$F$6,$A$1:$AL$1,0)),4,2)))),"")),IFERROR(IF(TRIM(INDEX($A375:$AL375,MATCH(Lists!$F$6,$A$1:$AL$1,0))&amp;"")="","",IF(ISNUMBER(INDEX($A375:$AL375,MATCH(Lists!$F$6,$A$1:$AL$1,0))),ROUND(MOD(INDEX($A375:$AL375,MATCH(Lists!$F$6,$A$1:$AL$1,0)),1)*1440,0),VALUE(LEFT(INDEX($A375:$AL375,MATCH(Lists!$F$6,$A$1:$AL$1,0)),2))*60+VALUE(MID(INDEX($A375:$AL375,MATCH(Lists!$F$6,$A$1:$AL$1,0)),4,2)))),""),-1))</f>
        <v/>
      </c>
      <c r="AV375" s="21">
        <f>IF(IFERROR(TRIM(INDEX($A375:$AL375,MATCH(Lists!$F$2,$A$1:$AL$1,0))&amp;""),"")="",-1,IF(ISNUMBER(IFERROR(IF(TRIM(INDEX($A375:$AL375,MATCH(Lists!$F$7,$A$1:$AL$1,0))&amp;"")="","",IF(ISNUMBER(INDEX($A375:$AL375,MATCH(Lists!$F$7,$A$1:$AL$1,0))),ROUND(MOD(INDEX($A375:$AL375,MATCH(Lists!$F$7,$A$1:$AL$1,0)),1)*1440,0),VALUE(LEFT(INDEX($A375:$AL375,MATCH(Lists!$F$7,$A$1:$AL$1,0)),2))*60+VALUE(MID(INDEX($A375:$AL375,MATCH(Lists!$F$7,$A$1:$AL$1,0)),4,2)))),"")),IFERROR(IF(TRIM(INDEX($A375:$AL375,MATCH(Lists!$F$7,$A$1:$AL$1,0))&amp;"")="","",IF(ISNUMBER(INDEX($A375:$AL375,MATCH(Lists!$F$7,$A$1:$AL$1,0))),ROUND(MOD(INDEX($A375:$AL375,MATCH(Lists!$F$7,$A$1:$AL$1,0)),1)*1440,0),VALUE(LEFT(INDEX($A375:$AL375,MATCH(Lists!$F$7,$A$1:$AL$1,0)),2))*60+VALUE(MID(INDEX($A375:$AL375,MATCH(Lists!$F$7,$A$1:$AL$1,0)),4,2)))),""),-1))</f>
        <v/>
      </c>
      <c r="AW375" s="21">
        <f>IF(IFERROR(TRIM(INDEX($A375:$AL375,MATCH(Lists!$F$2,$A$1:$AL$1,0))&amp;""),"")="","",IF(IFERROR(TRIM(INDEX($A375:$AL375,MATCH(Lists!$F$8,$A$1:$AL$1,0))&amp;""),"")&lt;&gt;"",IFERROR(TRIM(INDEX($A375:$AL375,MATCH(Lists!$F$8,$A$1:$AL$1,0))&amp;""),""),IFERROR(TRIM(INDEX($A375:$AL375,MATCH(Lists!$F$9,$A$1:$AL$1,0))&amp;""),"")))</f>
        <v/>
      </c>
      <c r="AX375" s="21">
        <f>IFERROR(IF(TRIM(INDEX($A375:$AL375,MATCH(Lists!$F$10,$A$1:$AL$1,0))&amp;"")="","",VALUE(TRIM(INDEX($A375:$AL375,MATCH(Lists!$F$10,$A$1:$AL$1,0))&amp;""))),"")</f>
        <v/>
      </c>
      <c r="AY375" s="21">
        <f>IF(IFERROR(TRIM(INDEX($A375:$AL375,MATCH(Lists!$F$2,$A$1:$AL$1,0))&amp;""),"")="","",IF(AN375="","New",AN375))</f>
        <v/>
      </c>
      <c r="AZ375" s="21">
        <f>IF(IFERROR(TRIM(INDEX($A375:$AL375,MATCH(Lists!$F$2,$A$1:$AL$1,0))&amp;""),"")="","",IF(OR(IFERROR(TRIM(INDEX($A375:$AL375,MATCH(Lists!$F$13,$A$1:$AL$1,0))&amp;""),"")="Paid",IFERROR(TRIM(INDEX($A375:$AL375,MATCH(Lists!$F$13,$A$1:$AL$1,0))&amp;""),"")="Partially refunded"),"Paid",IF(AP375="Yes","Paid (by hand)",IFERROR(TRIM(INDEX($A375:$AL375,MATCH(Lists!$F$13,$A$1:$AL$1,0))&amp;""),""))))</f>
        <v/>
      </c>
      <c r="BA375" s="21">
        <f>IF(AND(IFERROR(TRIM(INDEX($A375:$AL375,MATCH(Lists!$F$2,$A$1:$AL$1,0))&amp;""),"")&lt;&gt;"",AT375&gt;0,AU375&gt;=0,AV375&gt;AU375,AY375&lt;&gt;"Declined"),1,0)</f>
        <v/>
      </c>
      <c r="BB375" s="21">
        <f>IF(BA375=1,COUNTIFS($AS$2:$AS$501,AS375,$AT$2:$AT$501,AT375,$AU$2:$AU$501,"&lt;"&amp;AV375,$AV$2:$AV$501,"&gt;"&amp;AU375,$BA$2:$BA$501,1)-1,"")</f>
        <v/>
      </c>
      <c r="BC375" s="21">
        <f>IF(N(BB375)&gt;0,"Clashes with "&amp;INDEX($AW$2:$AW$501,SUMPRODUCT(MAX(($AS$2:$AS$501=AS375)*($AT$2:$AT$501=AT375)*($AU$2:$AU$501&lt;AV375)*($AV$2:$AV$501&gt;AU375)*($BA$2:$BA$501=1)*(ROW($AS$2:$AS$501)&lt;&gt;ROW())*ROW($AS$2:$AS$501)))-1)&amp;" ("&amp;INDEX($AY$2:$AY$501,SUMPRODUCT(MAX(($AS$2:$AS$501=AS375)*($AT$2:$AT$501=AT375)*($AU$2:$AU$501&lt;AV375)*($AV$2:$AV$501&gt;AU375)*($BA$2:$BA$501=1)*(ROW($AS$2:$AS$501)&lt;&gt;ROW())*ROW($AS$2:$AS$501)))-1)&amp;")"&amp;IF(BB375&gt;1," and "&amp;(BB375-1)&amp;" more",""),"")</f>
        <v/>
      </c>
      <c r="BD375" s="21">
        <f>IF(AND(BA375=1,AY375="Confirmed"),AT375*10000000+AU375*1000+ROW(),"")</f>
        <v/>
      </c>
      <c r="BE375" s="21">
        <f>IF(IFERROR(TRIM(INDEX($A375:$AL375,MATCH(Lists!$F$2,$A$1:$AL$1,0))&amp;""),"")="","",IFERROR(TRIM(INDEX($A375:$AL375,MATCH(Lists!$F$11,$A$1:$AL$1,0))&amp;""),""))</f>
        <v/>
      </c>
      <c r="BF375" s="21">
        <f>IF(IFERROR(TRIM(INDEX($A375:$AL375,MATCH(Lists!$F$2,$A$1:$AL$1,0))&amp;""),"")="","",IFERROR(TRIM(INDEX($A375:$AL375,MATCH(Lists!$F$12,$A$1:$AL$1,0))&amp;""),""))</f>
        <v/>
      </c>
    </row>
    <row r="376">
      <c r="AM376" s="19" t="n"/>
      <c r="AN376" s="23" t="n"/>
      <c r="AO376" s="23" t="n"/>
      <c r="AP376" s="23" t="n"/>
      <c r="AQ376" s="23" t="n"/>
      <c r="AR376" s="19" t="n"/>
      <c r="AS376" s="21">
        <f>IF(IFERROR(TRIM(INDEX($A376:$AL376,MATCH(Lists!$F$2,$A$1:$AL$1,0))&amp;""),"")="","",IF(AND(IFERROR(TRIM(INDEX($A376:$AL376,MATCH(Lists!$F$3,$A$1:$AL$1,0))&amp;""),"")="Other",IFERROR(TRIM(INDEX($A376:$AL376,MATCH(Lists!$F$4,$A$1:$AL$1,0))&amp;""),"")&lt;&gt;""),IFERROR(TRIM(INDEX($A376:$AL376,MATCH(Lists!$F$4,$A$1:$AL$1,0))&amp;""),""),IF(IFERROR(TRIM(INDEX($A376:$AL376,MATCH(Lists!$F$3,$A$1:$AL$1,0))&amp;""),"")="","(no space)",IFERROR(TRIM(INDEX($A376:$AL376,MATCH(Lists!$F$3,$A$1:$AL$1,0))&amp;""),""))))</f>
        <v/>
      </c>
      <c r="AT376" s="22">
        <f>IF(IFERROR(TRIM(INDEX($A376:$AL376,MATCH(Lists!$F$2,$A$1:$AL$1,0))&amp;""),"")="",0,N(IFERROR(IF(TRIM(INDEX($A376:$AL376,MATCH(Lists!$F$5,$A$1:$AL$1,0))&amp;"")="","",IF(ISNUMBER(INDEX($A376:$AL376,MATCH(Lists!$F$5,$A$1:$AL$1,0))),INT(INDEX($A376:$AL376,MATCH(Lists!$F$5,$A$1:$AL$1,0))),DATE(VALUE(LEFT(INDEX($A376:$AL376,MATCH(Lists!$F$5,$A$1:$AL$1,0)),4)),VALUE(MID(INDEX($A376:$AL376,MATCH(Lists!$F$5,$A$1:$AL$1,0)),6,2)),VALUE(MID(INDEX($A376:$AL376,MATCH(Lists!$F$5,$A$1:$AL$1,0)),9,2))))),"")))</f>
        <v/>
      </c>
      <c r="AU376" s="21">
        <f>IF(IFERROR(TRIM(INDEX($A376:$AL376,MATCH(Lists!$F$2,$A$1:$AL$1,0))&amp;""),"")="",-1,IF(ISNUMBER(IFERROR(IF(TRIM(INDEX($A376:$AL376,MATCH(Lists!$F$6,$A$1:$AL$1,0))&amp;"")="","",IF(ISNUMBER(INDEX($A376:$AL376,MATCH(Lists!$F$6,$A$1:$AL$1,0))),ROUND(MOD(INDEX($A376:$AL376,MATCH(Lists!$F$6,$A$1:$AL$1,0)),1)*1440,0),VALUE(LEFT(INDEX($A376:$AL376,MATCH(Lists!$F$6,$A$1:$AL$1,0)),2))*60+VALUE(MID(INDEX($A376:$AL376,MATCH(Lists!$F$6,$A$1:$AL$1,0)),4,2)))),"")),IFERROR(IF(TRIM(INDEX($A376:$AL376,MATCH(Lists!$F$6,$A$1:$AL$1,0))&amp;"")="","",IF(ISNUMBER(INDEX($A376:$AL376,MATCH(Lists!$F$6,$A$1:$AL$1,0))),ROUND(MOD(INDEX($A376:$AL376,MATCH(Lists!$F$6,$A$1:$AL$1,0)),1)*1440,0),VALUE(LEFT(INDEX($A376:$AL376,MATCH(Lists!$F$6,$A$1:$AL$1,0)),2))*60+VALUE(MID(INDEX($A376:$AL376,MATCH(Lists!$F$6,$A$1:$AL$1,0)),4,2)))),""),-1))</f>
        <v/>
      </c>
      <c r="AV376" s="21">
        <f>IF(IFERROR(TRIM(INDEX($A376:$AL376,MATCH(Lists!$F$2,$A$1:$AL$1,0))&amp;""),"")="",-1,IF(ISNUMBER(IFERROR(IF(TRIM(INDEX($A376:$AL376,MATCH(Lists!$F$7,$A$1:$AL$1,0))&amp;"")="","",IF(ISNUMBER(INDEX($A376:$AL376,MATCH(Lists!$F$7,$A$1:$AL$1,0))),ROUND(MOD(INDEX($A376:$AL376,MATCH(Lists!$F$7,$A$1:$AL$1,0)),1)*1440,0),VALUE(LEFT(INDEX($A376:$AL376,MATCH(Lists!$F$7,$A$1:$AL$1,0)),2))*60+VALUE(MID(INDEX($A376:$AL376,MATCH(Lists!$F$7,$A$1:$AL$1,0)),4,2)))),"")),IFERROR(IF(TRIM(INDEX($A376:$AL376,MATCH(Lists!$F$7,$A$1:$AL$1,0))&amp;"")="","",IF(ISNUMBER(INDEX($A376:$AL376,MATCH(Lists!$F$7,$A$1:$AL$1,0))),ROUND(MOD(INDEX($A376:$AL376,MATCH(Lists!$F$7,$A$1:$AL$1,0)),1)*1440,0),VALUE(LEFT(INDEX($A376:$AL376,MATCH(Lists!$F$7,$A$1:$AL$1,0)),2))*60+VALUE(MID(INDEX($A376:$AL376,MATCH(Lists!$F$7,$A$1:$AL$1,0)),4,2)))),""),-1))</f>
        <v/>
      </c>
      <c r="AW376" s="21">
        <f>IF(IFERROR(TRIM(INDEX($A376:$AL376,MATCH(Lists!$F$2,$A$1:$AL$1,0))&amp;""),"")="","",IF(IFERROR(TRIM(INDEX($A376:$AL376,MATCH(Lists!$F$8,$A$1:$AL$1,0))&amp;""),"")&lt;&gt;"",IFERROR(TRIM(INDEX($A376:$AL376,MATCH(Lists!$F$8,$A$1:$AL$1,0))&amp;""),""),IFERROR(TRIM(INDEX($A376:$AL376,MATCH(Lists!$F$9,$A$1:$AL$1,0))&amp;""),"")))</f>
        <v/>
      </c>
      <c r="AX376" s="21">
        <f>IFERROR(IF(TRIM(INDEX($A376:$AL376,MATCH(Lists!$F$10,$A$1:$AL$1,0))&amp;"")="","",VALUE(TRIM(INDEX($A376:$AL376,MATCH(Lists!$F$10,$A$1:$AL$1,0))&amp;""))),"")</f>
        <v/>
      </c>
      <c r="AY376" s="21">
        <f>IF(IFERROR(TRIM(INDEX($A376:$AL376,MATCH(Lists!$F$2,$A$1:$AL$1,0))&amp;""),"")="","",IF(AN376="","New",AN376))</f>
        <v/>
      </c>
      <c r="AZ376" s="21">
        <f>IF(IFERROR(TRIM(INDEX($A376:$AL376,MATCH(Lists!$F$2,$A$1:$AL$1,0))&amp;""),"")="","",IF(OR(IFERROR(TRIM(INDEX($A376:$AL376,MATCH(Lists!$F$13,$A$1:$AL$1,0))&amp;""),"")="Paid",IFERROR(TRIM(INDEX($A376:$AL376,MATCH(Lists!$F$13,$A$1:$AL$1,0))&amp;""),"")="Partially refunded"),"Paid",IF(AP376="Yes","Paid (by hand)",IFERROR(TRIM(INDEX($A376:$AL376,MATCH(Lists!$F$13,$A$1:$AL$1,0))&amp;""),""))))</f>
        <v/>
      </c>
      <c r="BA376" s="21">
        <f>IF(AND(IFERROR(TRIM(INDEX($A376:$AL376,MATCH(Lists!$F$2,$A$1:$AL$1,0))&amp;""),"")&lt;&gt;"",AT376&gt;0,AU376&gt;=0,AV376&gt;AU376,AY376&lt;&gt;"Declined"),1,0)</f>
        <v/>
      </c>
      <c r="BB376" s="21">
        <f>IF(BA376=1,COUNTIFS($AS$2:$AS$501,AS376,$AT$2:$AT$501,AT376,$AU$2:$AU$501,"&lt;"&amp;AV376,$AV$2:$AV$501,"&gt;"&amp;AU376,$BA$2:$BA$501,1)-1,"")</f>
        <v/>
      </c>
      <c r="BC376" s="21">
        <f>IF(N(BB376)&gt;0,"Clashes with "&amp;INDEX($AW$2:$AW$501,SUMPRODUCT(MAX(($AS$2:$AS$501=AS376)*($AT$2:$AT$501=AT376)*($AU$2:$AU$501&lt;AV376)*($AV$2:$AV$501&gt;AU376)*($BA$2:$BA$501=1)*(ROW($AS$2:$AS$501)&lt;&gt;ROW())*ROW($AS$2:$AS$501)))-1)&amp;" ("&amp;INDEX($AY$2:$AY$501,SUMPRODUCT(MAX(($AS$2:$AS$501=AS376)*($AT$2:$AT$501=AT376)*($AU$2:$AU$501&lt;AV376)*($AV$2:$AV$501&gt;AU376)*($BA$2:$BA$501=1)*(ROW($AS$2:$AS$501)&lt;&gt;ROW())*ROW($AS$2:$AS$501)))-1)&amp;")"&amp;IF(BB376&gt;1," and "&amp;(BB376-1)&amp;" more",""),"")</f>
        <v/>
      </c>
      <c r="BD376" s="21">
        <f>IF(AND(BA376=1,AY376="Confirmed"),AT376*10000000+AU376*1000+ROW(),"")</f>
        <v/>
      </c>
      <c r="BE376" s="21">
        <f>IF(IFERROR(TRIM(INDEX($A376:$AL376,MATCH(Lists!$F$2,$A$1:$AL$1,0))&amp;""),"")="","",IFERROR(TRIM(INDEX($A376:$AL376,MATCH(Lists!$F$11,$A$1:$AL$1,0))&amp;""),""))</f>
        <v/>
      </c>
      <c r="BF376" s="21">
        <f>IF(IFERROR(TRIM(INDEX($A376:$AL376,MATCH(Lists!$F$2,$A$1:$AL$1,0))&amp;""),"")="","",IFERROR(TRIM(INDEX($A376:$AL376,MATCH(Lists!$F$12,$A$1:$AL$1,0))&amp;""),""))</f>
        <v/>
      </c>
    </row>
    <row r="377">
      <c r="AM377" s="19" t="n"/>
      <c r="AN377" s="23" t="n"/>
      <c r="AO377" s="23" t="n"/>
      <c r="AP377" s="23" t="n"/>
      <c r="AQ377" s="23" t="n"/>
      <c r="AR377" s="19" t="n"/>
      <c r="AS377" s="21">
        <f>IF(IFERROR(TRIM(INDEX($A377:$AL377,MATCH(Lists!$F$2,$A$1:$AL$1,0))&amp;""),"")="","",IF(AND(IFERROR(TRIM(INDEX($A377:$AL377,MATCH(Lists!$F$3,$A$1:$AL$1,0))&amp;""),"")="Other",IFERROR(TRIM(INDEX($A377:$AL377,MATCH(Lists!$F$4,$A$1:$AL$1,0))&amp;""),"")&lt;&gt;""),IFERROR(TRIM(INDEX($A377:$AL377,MATCH(Lists!$F$4,$A$1:$AL$1,0))&amp;""),""),IF(IFERROR(TRIM(INDEX($A377:$AL377,MATCH(Lists!$F$3,$A$1:$AL$1,0))&amp;""),"")="","(no space)",IFERROR(TRIM(INDEX($A377:$AL377,MATCH(Lists!$F$3,$A$1:$AL$1,0))&amp;""),""))))</f>
        <v/>
      </c>
      <c r="AT377" s="22">
        <f>IF(IFERROR(TRIM(INDEX($A377:$AL377,MATCH(Lists!$F$2,$A$1:$AL$1,0))&amp;""),"")="",0,N(IFERROR(IF(TRIM(INDEX($A377:$AL377,MATCH(Lists!$F$5,$A$1:$AL$1,0))&amp;"")="","",IF(ISNUMBER(INDEX($A377:$AL377,MATCH(Lists!$F$5,$A$1:$AL$1,0))),INT(INDEX($A377:$AL377,MATCH(Lists!$F$5,$A$1:$AL$1,0))),DATE(VALUE(LEFT(INDEX($A377:$AL377,MATCH(Lists!$F$5,$A$1:$AL$1,0)),4)),VALUE(MID(INDEX($A377:$AL377,MATCH(Lists!$F$5,$A$1:$AL$1,0)),6,2)),VALUE(MID(INDEX($A377:$AL377,MATCH(Lists!$F$5,$A$1:$AL$1,0)),9,2))))),"")))</f>
        <v/>
      </c>
      <c r="AU377" s="21">
        <f>IF(IFERROR(TRIM(INDEX($A377:$AL377,MATCH(Lists!$F$2,$A$1:$AL$1,0))&amp;""),"")="",-1,IF(ISNUMBER(IFERROR(IF(TRIM(INDEX($A377:$AL377,MATCH(Lists!$F$6,$A$1:$AL$1,0))&amp;"")="","",IF(ISNUMBER(INDEX($A377:$AL377,MATCH(Lists!$F$6,$A$1:$AL$1,0))),ROUND(MOD(INDEX($A377:$AL377,MATCH(Lists!$F$6,$A$1:$AL$1,0)),1)*1440,0),VALUE(LEFT(INDEX($A377:$AL377,MATCH(Lists!$F$6,$A$1:$AL$1,0)),2))*60+VALUE(MID(INDEX($A377:$AL377,MATCH(Lists!$F$6,$A$1:$AL$1,0)),4,2)))),"")),IFERROR(IF(TRIM(INDEX($A377:$AL377,MATCH(Lists!$F$6,$A$1:$AL$1,0))&amp;"")="","",IF(ISNUMBER(INDEX($A377:$AL377,MATCH(Lists!$F$6,$A$1:$AL$1,0))),ROUND(MOD(INDEX($A377:$AL377,MATCH(Lists!$F$6,$A$1:$AL$1,0)),1)*1440,0),VALUE(LEFT(INDEX($A377:$AL377,MATCH(Lists!$F$6,$A$1:$AL$1,0)),2))*60+VALUE(MID(INDEX($A377:$AL377,MATCH(Lists!$F$6,$A$1:$AL$1,0)),4,2)))),""),-1))</f>
        <v/>
      </c>
      <c r="AV377" s="21">
        <f>IF(IFERROR(TRIM(INDEX($A377:$AL377,MATCH(Lists!$F$2,$A$1:$AL$1,0))&amp;""),"")="",-1,IF(ISNUMBER(IFERROR(IF(TRIM(INDEX($A377:$AL377,MATCH(Lists!$F$7,$A$1:$AL$1,0))&amp;"")="","",IF(ISNUMBER(INDEX($A377:$AL377,MATCH(Lists!$F$7,$A$1:$AL$1,0))),ROUND(MOD(INDEX($A377:$AL377,MATCH(Lists!$F$7,$A$1:$AL$1,0)),1)*1440,0),VALUE(LEFT(INDEX($A377:$AL377,MATCH(Lists!$F$7,$A$1:$AL$1,0)),2))*60+VALUE(MID(INDEX($A377:$AL377,MATCH(Lists!$F$7,$A$1:$AL$1,0)),4,2)))),"")),IFERROR(IF(TRIM(INDEX($A377:$AL377,MATCH(Lists!$F$7,$A$1:$AL$1,0))&amp;"")="","",IF(ISNUMBER(INDEX($A377:$AL377,MATCH(Lists!$F$7,$A$1:$AL$1,0))),ROUND(MOD(INDEX($A377:$AL377,MATCH(Lists!$F$7,$A$1:$AL$1,0)),1)*1440,0),VALUE(LEFT(INDEX($A377:$AL377,MATCH(Lists!$F$7,$A$1:$AL$1,0)),2))*60+VALUE(MID(INDEX($A377:$AL377,MATCH(Lists!$F$7,$A$1:$AL$1,0)),4,2)))),""),-1))</f>
        <v/>
      </c>
      <c r="AW377" s="21">
        <f>IF(IFERROR(TRIM(INDEX($A377:$AL377,MATCH(Lists!$F$2,$A$1:$AL$1,0))&amp;""),"")="","",IF(IFERROR(TRIM(INDEX($A377:$AL377,MATCH(Lists!$F$8,$A$1:$AL$1,0))&amp;""),"")&lt;&gt;"",IFERROR(TRIM(INDEX($A377:$AL377,MATCH(Lists!$F$8,$A$1:$AL$1,0))&amp;""),""),IFERROR(TRIM(INDEX($A377:$AL377,MATCH(Lists!$F$9,$A$1:$AL$1,0))&amp;""),"")))</f>
        <v/>
      </c>
      <c r="AX377" s="21">
        <f>IFERROR(IF(TRIM(INDEX($A377:$AL377,MATCH(Lists!$F$10,$A$1:$AL$1,0))&amp;"")="","",VALUE(TRIM(INDEX($A377:$AL377,MATCH(Lists!$F$10,$A$1:$AL$1,0))&amp;""))),"")</f>
        <v/>
      </c>
      <c r="AY377" s="21">
        <f>IF(IFERROR(TRIM(INDEX($A377:$AL377,MATCH(Lists!$F$2,$A$1:$AL$1,0))&amp;""),"")="","",IF(AN377="","New",AN377))</f>
        <v/>
      </c>
      <c r="AZ377" s="21">
        <f>IF(IFERROR(TRIM(INDEX($A377:$AL377,MATCH(Lists!$F$2,$A$1:$AL$1,0))&amp;""),"")="","",IF(OR(IFERROR(TRIM(INDEX($A377:$AL377,MATCH(Lists!$F$13,$A$1:$AL$1,0))&amp;""),"")="Paid",IFERROR(TRIM(INDEX($A377:$AL377,MATCH(Lists!$F$13,$A$1:$AL$1,0))&amp;""),"")="Partially refunded"),"Paid",IF(AP377="Yes","Paid (by hand)",IFERROR(TRIM(INDEX($A377:$AL377,MATCH(Lists!$F$13,$A$1:$AL$1,0))&amp;""),""))))</f>
        <v/>
      </c>
      <c r="BA377" s="21">
        <f>IF(AND(IFERROR(TRIM(INDEX($A377:$AL377,MATCH(Lists!$F$2,$A$1:$AL$1,0))&amp;""),"")&lt;&gt;"",AT377&gt;0,AU377&gt;=0,AV377&gt;AU377,AY377&lt;&gt;"Declined"),1,0)</f>
        <v/>
      </c>
      <c r="BB377" s="21">
        <f>IF(BA377=1,COUNTIFS($AS$2:$AS$501,AS377,$AT$2:$AT$501,AT377,$AU$2:$AU$501,"&lt;"&amp;AV377,$AV$2:$AV$501,"&gt;"&amp;AU377,$BA$2:$BA$501,1)-1,"")</f>
        <v/>
      </c>
      <c r="BC377" s="21">
        <f>IF(N(BB377)&gt;0,"Clashes with "&amp;INDEX($AW$2:$AW$501,SUMPRODUCT(MAX(($AS$2:$AS$501=AS377)*($AT$2:$AT$501=AT377)*($AU$2:$AU$501&lt;AV377)*($AV$2:$AV$501&gt;AU377)*($BA$2:$BA$501=1)*(ROW($AS$2:$AS$501)&lt;&gt;ROW())*ROW($AS$2:$AS$501)))-1)&amp;" ("&amp;INDEX($AY$2:$AY$501,SUMPRODUCT(MAX(($AS$2:$AS$501=AS377)*($AT$2:$AT$501=AT377)*($AU$2:$AU$501&lt;AV377)*($AV$2:$AV$501&gt;AU377)*($BA$2:$BA$501=1)*(ROW($AS$2:$AS$501)&lt;&gt;ROW())*ROW($AS$2:$AS$501)))-1)&amp;")"&amp;IF(BB377&gt;1," and "&amp;(BB377-1)&amp;" more",""),"")</f>
        <v/>
      </c>
      <c r="BD377" s="21">
        <f>IF(AND(BA377=1,AY377="Confirmed"),AT377*10000000+AU377*1000+ROW(),"")</f>
        <v/>
      </c>
      <c r="BE377" s="21">
        <f>IF(IFERROR(TRIM(INDEX($A377:$AL377,MATCH(Lists!$F$2,$A$1:$AL$1,0))&amp;""),"")="","",IFERROR(TRIM(INDEX($A377:$AL377,MATCH(Lists!$F$11,$A$1:$AL$1,0))&amp;""),""))</f>
        <v/>
      </c>
      <c r="BF377" s="21">
        <f>IF(IFERROR(TRIM(INDEX($A377:$AL377,MATCH(Lists!$F$2,$A$1:$AL$1,0))&amp;""),"")="","",IFERROR(TRIM(INDEX($A377:$AL377,MATCH(Lists!$F$12,$A$1:$AL$1,0))&amp;""),""))</f>
        <v/>
      </c>
    </row>
    <row r="378">
      <c r="AM378" s="19" t="n"/>
      <c r="AN378" s="23" t="n"/>
      <c r="AO378" s="23" t="n"/>
      <c r="AP378" s="23" t="n"/>
      <c r="AQ378" s="23" t="n"/>
      <c r="AR378" s="19" t="n"/>
      <c r="AS378" s="21">
        <f>IF(IFERROR(TRIM(INDEX($A378:$AL378,MATCH(Lists!$F$2,$A$1:$AL$1,0))&amp;""),"")="","",IF(AND(IFERROR(TRIM(INDEX($A378:$AL378,MATCH(Lists!$F$3,$A$1:$AL$1,0))&amp;""),"")="Other",IFERROR(TRIM(INDEX($A378:$AL378,MATCH(Lists!$F$4,$A$1:$AL$1,0))&amp;""),"")&lt;&gt;""),IFERROR(TRIM(INDEX($A378:$AL378,MATCH(Lists!$F$4,$A$1:$AL$1,0))&amp;""),""),IF(IFERROR(TRIM(INDEX($A378:$AL378,MATCH(Lists!$F$3,$A$1:$AL$1,0))&amp;""),"")="","(no space)",IFERROR(TRIM(INDEX($A378:$AL378,MATCH(Lists!$F$3,$A$1:$AL$1,0))&amp;""),""))))</f>
        <v/>
      </c>
      <c r="AT378" s="22">
        <f>IF(IFERROR(TRIM(INDEX($A378:$AL378,MATCH(Lists!$F$2,$A$1:$AL$1,0))&amp;""),"")="",0,N(IFERROR(IF(TRIM(INDEX($A378:$AL378,MATCH(Lists!$F$5,$A$1:$AL$1,0))&amp;"")="","",IF(ISNUMBER(INDEX($A378:$AL378,MATCH(Lists!$F$5,$A$1:$AL$1,0))),INT(INDEX($A378:$AL378,MATCH(Lists!$F$5,$A$1:$AL$1,0))),DATE(VALUE(LEFT(INDEX($A378:$AL378,MATCH(Lists!$F$5,$A$1:$AL$1,0)),4)),VALUE(MID(INDEX($A378:$AL378,MATCH(Lists!$F$5,$A$1:$AL$1,0)),6,2)),VALUE(MID(INDEX($A378:$AL378,MATCH(Lists!$F$5,$A$1:$AL$1,0)),9,2))))),"")))</f>
        <v/>
      </c>
      <c r="AU378" s="21">
        <f>IF(IFERROR(TRIM(INDEX($A378:$AL378,MATCH(Lists!$F$2,$A$1:$AL$1,0))&amp;""),"")="",-1,IF(ISNUMBER(IFERROR(IF(TRIM(INDEX($A378:$AL378,MATCH(Lists!$F$6,$A$1:$AL$1,0))&amp;"")="","",IF(ISNUMBER(INDEX($A378:$AL378,MATCH(Lists!$F$6,$A$1:$AL$1,0))),ROUND(MOD(INDEX($A378:$AL378,MATCH(Lists!$F$6,$A$1:$AL$1,0)),1)*1440,0),VALUE(LEFT(INDEX($A378:$AL378,MATCH(Lists!$F$6,$A$1:$AL$1,0)),2))*60+VALUE(MID(INDEX($A378:$AL378,MATCH(Lists!$F$6,$A$1:$AL$1,0)),4,2)))),"")),IFERROR(IF(TRIM(INDEX($A378:$AL378,MATCH(Lists!$F$6,$A$1:$AL$1,0))&amp;"")="","",IF(ISNUMBER(INDEX($A378:$AL378,MATCH(Lists!$F$6,$A$1:$AL$1,0))),ROUND(MOD(INDEX($A378:$AL378,MATCH(Lists!$F$6,$A$1:$AL$1,0)),1)*1440,0),VALUE(LEFT(INDEX($A378:$AL378,MATCH(Lists!$F$6,$A$1:$AL$1,0)),2))*60+VALUE(MID(INDEX($A378:$AL378,MATCH(Lists!$F$6,$A$1:$AL$1,0)),4,2)))),""),-1))</f>
        <v/>
      </c>
      <c r="AV378" s="21">
        <f>IF(IFERROR(TRIM(INDEX($A378:$AL378,MATCH(Lists!$F$2,$A$1:$AL$1,0))&amp;""),"")="",-1,IF(ISNUMBER(IFERROR(IF(TRIM(INDEX($A378:$AL378,MATCH(Lists!$F$7,$A$1:$AL$1,0))&amp;"")="","",IF(ISNUMBER(INDEX($A378:$AL378,MATCH(Lists!$F$7,$A$1:$AL$1,0))),ROUND(MOD(INDEX($A378:$AL378,MATCH(Lists!$F$7,$A$1:$AL$1,0)),1)*1440,0),VALUE(LEFT(INDEX($A378:$AL378,MATCH(Lists!$F$7,$A$1:$AL$1,0)),2))*60+VALUE(MID(INDEX($A378:$AL378,MATCH(Lists!$F$7,$A$1:$AL$1,0)),4,2)))),"")),IFERROR(IF(TRIM(INDEX($A378:$AL378,MATCH(Lists!$F$7,$A$1:$AL$1,0))&amp;"")="","",IF(ISNUMBER(INDEX($A378:$AL378,MATCH(Lists!$F$7,$A$1:$AL$1,0))),ROUND(MOD(INDEX($A378:$AL378,MATCH(Lists!$F$7,$A$1:$AL$1,0)),1)*1440,0),VALUE(LEFT(INDEX($A378:$AL378,MATCH(Lists!$F$7,$A$1:$AL$1,0)),2))*60+VALUE(MID(INDEX($A378:$AL378,MATCH(Lists!$F$7,$A$1:$AL$1,0)),4,2)))),""),-1))</f>
        <v/>
      </c>
      <c r="AW378" s="21">
        <f>IF(IFERROR(TRIM(INDEX($A378:$AL378,MATCH(Lists!$F$2,$A$1:$AL$1,0))&amp;""),"")="","",IF(IFERROR(TRIM(INDEX($A378:$AL378,MATCH(Lists!$F$8,$A$1:$AL$1,0))&amp;""),"")&lt;&gt;"",IFERROR(TRIM(INDEX($A378:$AL378,MATCH(Lists!$F$8,$A$1:$AL$1,0))&amp;""),""),IFERROR(TRIM(INDEX($A378:$AL378,MATCH(Lists!$F$9,$A$1:$AL$1,0))&amp;""),"")))</f>
        <v/>
      </c>
      <c r="AX378" s="21">
        <f>IFERROR(IF(TRIM(INDEX($A378:$AL378,MATCH(Lists!$F$10,$A$1:$AL$1,0))&amp;"")="","",VALUE(TRIM(INDEX($A378:$AL378,MATCH(Lists!$F$10,$A$1:$AL$1,0))&amp;""))),"")</f>
        <v/>
      </c>
      <c r="AY378" s="21">
        <f>IF(IFERROR(TRIM(INDEX($A378:$AL378,MATCH(Lists!$F$2,$A$1:$AL$1,0))&amp;""),"")="","",IF(AN378="","New",AN378))</f>
        <v/>
      </c>
      <c r="AZ378" s="21">
        <f>IF(IFERROR(TRIM(INDEX($A378:$AL378,MATCH(Lists!$F$2,$A$1:$AL$1,0))&amp;""),"")="","",IF(OR(IFERROR(TRIM(INDEX($A378:$AL378,MATCH(Lists!$F$13,$A$1:$AL$1,0))&amp;""),"")="Paid",IFERROR(TRIM(INDEX($A378:$AL378,MATCH(Lists!$F$13,$A$1:$AL$1,0))&amp;""),"")="Partially refunded"),"Paid",IF(AP378="Yes","Paid (by hand)",IFERROR(TRIM(INDEX($A378:$AL378,MATCH(Lists!$F$13,$A$1:$AL$1,0))&amp;""),""))))</f>
        <v/>
      </c>
      <c r="BA378" s="21">
        <f>IF(AND(IFERROR(TRIM(INDEX($A378:$AL378,MATCH(Lists!$F$2,$A$1:$AL$1,0))&amp;""),"")&lt;&gt;"",AT378&gt;0,AU378&gt;=0,AV378&gt;AU378,AY378&lt;&gt;"Declined"),1,0)</f>
        <v/>
      </c>
      <c r="BB378" s="21">
        <f>IF(BA378=1,COUNTIFS($AS$2:$AS$501,AS378,$AT$2:$AT$501,AT378,$AU$2:$AU$501,"&lt;"&amp;AV378,$AV$2:$AV$501,"&gt;"&amp;AU378,$BA$2:$BA$501,1)-1,"")</f>
        <v/>
      </c>
      <c r="BC378" s="21">
        <f>IF(N(BB378)&gt;0,"Clashes with "&amp;INDEX($AW$2:$AW$501,SUMPRODUCT(MAX(($AS$2:$AS$501=AS378)*($AT$2:$AT$501=AT378)*($AU$2:$AU$501&lt;AV378)*($AV$2:$AV$501&gt;AU378)*($BA$2:$BA$501=1)*(ROW($AS$2:$AS$501)&lt;&gt;ROW())*ROW($AS$2:$AS$501)))-1)&amp;" ("&amp;INDEX($AY$2:$AY$501,SUMPRODUCT(MAX(($AS$2:$AS$501=AS378)*($AT$2:$AT$501=AT378)*($AU$2:$AU$501&lt;AV378)*($AV$2:$AV$501&gt;AU378)*($BA$2:$BA$501=1)*(ROW($AS$2:$AS$501)&lt;&gt;ROW())*ROW($AS$2:$AS$501)))-1)&amp;")"&amp;IF(BB378&gt;1," and "&amp;(BB378-1)&amp;" more",""),"")</f>
        <v/>
      </c>
      <c r="BD378" s="21">
        <f>IF(AND(BA378=1,AY378="Confirmed"),AT378*10000000+AU378*1000+ROW(),"")</f>
        <v/>
      </c>
      <c r="BE378" s="21">
        <f>IF(IFERROR(TRIM(INDEX($A378:$AL378,MATCH(Lists!$F$2,$A$1:$AL$1,0))&amp;""),"")="","",IFERROR(TRIM(INDEX($A378:$AL378,MATCH(Lists!$F$11,$A$1:$AL$1,0))&amp;""),""))</f>
        <v/>
      </c>
      <c r="BF378" s="21">
        <f>IF(IFERROR(TRIM(INDEX($A378:$AL378,MATCH(Lists!$F$2,$A$1:$AL$1,0))&amp;""),"")="","",IFERROR(TRIM(INDEX($A378:$AL378,MATCH(Lists!$F$12,$A$1:$AL$1,0))&amp;""),""))</f>
        <v/>
      </c>
    </row>
    <row r="379">
      <c r="AM379" s="19" t="n"/>
      <c r="AN379" s="23" t="n"/>
      <c r="AO379" s="23" t="n"/>
      <c r="AP379" s="23" t="n"/>
      <c r="AQ379" s="23" t="n"/>
      <c r="AR379" s="19" t="n"/>
      <c r="AS379" s="21">
        <f>IF(IFERROR(TRIM(INDEX($A379:$AL379,MATCH(Lists!$F$2,$A$1:$AL$1,0))&amp;""),"")="","",IF(AND(IFERROR(TRIM(INDEX($A379:$AL379,MATCH(Lists!$F$3,$A$1:$AL$1,0))&amp;""),"")="Other",IFERROR(TRIM(INDEX($A379:$AL379,MATCH(Lists!$F$4,$A$1:$AL$1,0))&amp;""),"")&lt;&gt;""),IFERROR(TRIM(INDEX($A379:$AL379,MATCH(Lists!$F$4,$A$1:$AL$1,0))&amp;""),""),IF(IFERROR(TRIM(INDEX($A379:$AL379,MATCH(Lists!$F$3,$A$1:$AL$1,0))&amp;""),"")="","(no space)",IFERROR(TRIM(INDEX($A379:$AL379,MATCH(Lists!$F$3,$A$1:$AL$1,0))&amp;""),""))))</f>
        <v/>
      </c>
      <c r="AT379" s="22">
        <f>IF(IFERROR(TRIM(INDEX($A379:$AL379,MATCH(Lists!$F$2,$A$1:$AL$1,0))&amp;""),"")="",0,N(IFERROR(IF(TRIM(INDEX($A379:$AL379,MATCH(Lists!$F$5,$A$1:$AL$1,0))&amp;"")="","",IF(ISNUMBER(INDEX($A379:$AL379,MATCH(Lists!$F$5,$A$1:$AL$1,0))),INT(INDEX($A379:$AL379,MATCH(Lists!$F$5,$A$1:$AL$1,0))),DATE(VALUE(LEFT(INDEX($A379:$AL379,MATCH(Lists!$F$5,$A$1:$AL$1,0)),4)),VALUE(MID(INDEX($A379:$AL379,MATCH(Lists!$F$5,$A$1:$AL$1,0)),6,2)),VALUE(MID(INDEX($A379:$AL379,MATCH(Lists!$F$5,$A$1:$AL$1,0)),9,2))))),"")))</f>
        <v/>
      </c>
      <c r="AU379" s="21">
        <f>IF(IFERROR(TRIM(INDEX($A379:$AL379,MATCH(Lists!$F$2,$A$1:$AL$1,0))&amp;""),"")="",-1,IF(ISNUMBER(IFERROR(IF(TRIM(INDEX($A379:$AL379,MATCH(Lists!$F$6,$A$1:$AL$1,0))&amp;"")="","",IF(ISNUMBER(INDEX($A379:$AL379,MATCH(Lists!$F$6,$A$1:$AL$1,0))),ROUND(MOD(INDEX($A379:$AL379,MATCH(Lists!$F$6,$A$1:$AL$1,0)),1)*1440,0),VALUE(LEFT(INDEX($A379:$AL379,MATCH(Lists!$F$6,$A$1:$AL$1,0)),2))*60+VALUE(MID(INDEX($A379:$AL379,MATCH(Lists!$F$6,$A$1:$AL$1,0)),4,2)))),"")),IFERROR(IF(TRIM(INDEX($A379:$AL379,MATCH(Lists!$F$6,$A$1:$AL$1,0))&amp;"")="","",IF(ISNUMBER(INDEX($A379:$AL379,MATCH(Lists!$F$6,$A$1:$AL$1,0))),ROUND(MOD(INDEX($A379:$AL379,MATCH(Lists!$F$6,$A$1:$AL$1,0)),1)*1440,0),VALUE(LEFT(INDEX($A379:$AL379,MATCH(Lists!$F$6,$A$1:$AL$1,0)),2))*60+VALUE(MID(INDEX($A379:$AL379,MATCH(Lists!$F$6,$A$1:$AL$1,0)),4,2)))),""),-1))</f>
        <v/>
      </c>
      <c r="AV379" s="21">
        <f>IF(IFERROR(TRIM(INDEX($A379:$AL379,MATCH(Lists!$F$2,$A$1:$AL$1,0))&amp;""),"")="",-1,IF(ISNUMBER(IFERROR(IF(TRIM(INDEX($A379:$AL379,MATCH(Lists!$F$7,$A$1:$AL$1,0))&amp;"")="","",IF(ISNUMBER(INDEX($A379:$AL379,MATCH(Lists!$F$7,$A$1:$AL$1,0))),ROUND(MOD(INDEX($A379:$AL379,MATCH(Lists!$F$7,$A$1:$AL$1,0)),1)*1440,0),VALUE(LEFT(INDEX($A379:$AL379,MATCH(Lists!$F$7,$A$1:$AL$1,0)),2))*60+VALUE(MID(INDEX($A379:$AL379,MATCH(Lists!$F$7,$A$1:$AL$1,0)),4,2)))),"")),IFERROR(IF(TRIM(INDEX($A379:$AL379,MATCH(Lists!$F$7,$A$1:$AL$1,0))&amp;"")="","",IF(ISNUMBER(INDEX($A379:$AL379,MATCH(Lists!$F$7,$A$1:$AL$1,0))),ROUND(MOD(INDEX($A379:$AL379,MATCH(Lists!$F$7,$A$1:$AL$1,0)),1)*1440,0),VALUE(LEFT(INDEX($A379:$AL379,MATCH(Lists!$F$7,$A$1:$AL$1,0)),2))*60+VALUE(MID(INDEX($A379:$AL379,MATCH(Lists!$F$7,$A$1:$AL$1,0)),4,2)))),""),-1))</f>
        <v/>
      </c>
      <c r="AW379" s="21">
        <f>IF(IFERROR(TRIM(INDEX($A379:$AL379,MATCH(Lists!$F$2,$A$1:$AL$1,0))&amp;""),"")="","",IF(IFERROR(TRIM(INDEX($A379:$AL379,MATCH(Lists!$F$8,$A$1:$AL$1,0))&amp;""),"")&lt;&gt;"",IFERROR(TRIM(INDEX($A379:$AL379,MATCH(Lists!$F$8,$A$1:$AL$1,0))&amp;""),""),IFERROR(TRIM(INDEX($A379:$AL379,MATCH(Lists!$F$9,$A$1:$AL$1,0))&amp;""),"")))</f>
        <v/>
      </c>
      <c r="AX379" s="21">
        <f>IFERROR(IF(TRIM(INDEX($A379:$AL379,MATCH(Lists!$F$10,$A$1:$AL$1,0))&amp;"")="","",VALUE(TRIM(INDEX($A379:$AL379,MATCH(Lists!$F$10,$A$1:$AL$1,0))&amp;""))),"")</f>
        <v/>
      </c>
      <c r="AY379" s="21">
        <f>IF(IFERROR(TRIM(INDEX($A379:$AL379,MATCH(Lists!$F$2,$A$1:$AL$1,0))&amp;""),"")="","",IF(AN379="","New",AN379))</f>
        <v/>
      </c>
      <c r="AZ379" s="21">
        <f>IF(IFERROR(TRIM(INDEX($A379:$AL379,MATCH(Lists!$F$2,$A$1:$AL$1,0))&amp;""),"")="","",IF(OR(IFERROR(TRIM(INDEX($A379:$AL379,MATCH(Lists!$F$13,$A$1:$AL$1,0))&amp;""),"")="Paid",IFERROR(TRIM(INDEX($A379:$AL379,MATCH(Lists!$F$13,$A$1:$AL$1,0))&amp;""),"")="Partially refunded"),"Paid",IF(AP379="Yes","Paid (by hand)",IFERROR(TRIM(INDEX($A379:$AL379,MATCH(Lists!$F$13,$A$1:$AL$1,0))&amp;""),""))))</f>
        <v/>
      </c>
      <c r="BA379" s="21">
        <f>IF(AND(IFERROR(TRIM(INDEX($A379:$AL379,MATCH(Lists!$F$2,$A$1:$AL$1,0))&amp;""),"")&lt;&gt;"",AT379&gt;0,AU379&gt;=0,AV379&gt;AU379,AY379&lt;&gt;"Declined"),1,0)</f>
        <v/>
      </c>
      <c r="BB379" s="21">
        <f>IF(BA379=1,COUNTIFS($AS$2:$AS$501,AS379,$AT$2:$AT$501,AT379,$AU$2:$AU$501,"&lt;"&amp;AV379,$AV$2:$AV$501,"&gt;"&amp;AU379,$BA$2:$BA$501,1)-1,"")</f>
        <v/>
      </c>
      <c r="BC379" s="21">
        <f>IF(N(BB379)&gt;0,"Clashes with "&amp;INDEX($AW$2:$AW$501,SUMPRODUCT(MAX(($AS$2:$AS$501=AS379)*($AT$2:$AT$501=AT379)*($AU$2:$AU$501&lt;AV379)*($AV$2:$AV$501&gt;AU379)*($BA$2:$BA$501=1)*(ROW($AS$2:$AS$501)&lt;&gt;ROW())*ROW($AS$2:$AS$501)))-1)&amp;" ("&amp;INDEX($AY$2:$AY$501,SUMPRODUCT(MAX(($AS$2:$AS$501=AS379)*($AT$2:$AT$501=AT379)*($AU$2:$AU$501&lt;AV379)*($AV$2:$AV$501&gt;AU379)*($BA$2:$BA$501=1)*(ROW($AS$2:$AS$501)&lt;&gt;ROW())*ROW($AS$2:$AS$501)))-1)&amp;")"&amp;IF(BB379&gt;1," and "&amp;(BB379-1)&amp;" more",""),"")</f>
        <v/>
      </c>
      <c r="BD379" s="21">
        <f>IF(AND(BA379=1,AY379="Confirmed"),AT379*10000000+AU379*1000+ROW(),"")</f>
        <v/>
      </c>
      <c r="BE379" s="21">
        <f>IF(IFERROR(TRIM(INDEX($A379:$AL379,MATCH(Lists!$F$2,$A$1:$AL$1,0))&amp;""),"")="","",IFERROR(TRIM(INDEX($A379:$AL379,MATCH(Lists!$F$11,$A$1:$AL$1,0))&amp;""),""))</f>
        <v/>
      </c>
      <c r="BF379" s="21">
        <f>IF(IFERROR(TRIM(INDEX($A379:$AL379,MATCH(Lists!$F$2,$A$1:$AL$1,0))&amp;""),"")="","",IFERROR(TRIM(INDEX($A379:$AL379,MATCH(Lists!$F$12,$A$1:$AL$1,0))&amp;""),""))</f>
        <v/>
      </c>
    </row>
    <row r="380">
      <c r="AM380" s="19" t="n"/>
      <c r="AN380" s="23" t="n"/>
      <c r="AO380" s="23" t="n"/>
      <c r="AP380" s="23" t="n"/>
      <c r="AQ380" s="23" t="n"/>
      <c r="AR380" s="19" t="n"/>
      <c r="AS380" s="21">
        <f>IF(IFERROR(TRIM(INDEX($A380:$AL380,MATCH(Lists!$F$2,$A$1:$AL$1,0))&amp;""),"")="","",IF(AND(IFERROR(TRIM(INDEX($A380:$AL380,MATCH(Lists!$F$3,$A$1:$AL$1,0))&amp;""),"")="Other",IFERROR(TRIM(INDEX($A380:$AL380,MATCH(Lists!$F$4,$A$1:$AL$1,0))&amp;""),"")&lt;&gt;""),IFERROR(TRIM(INDEX($A380:$AL380,MATCH(Lists!$F$4,$A$1:$AL$1,0))&amp;""),""),IF(IFERROR(TRIM(INDEX($A380:$AL380,MATCH(Lists!$F$3,$A$1:$AL$1,0))&amp;""),"")="","(no space)",IFERROR(TRIM(INDEX($A380:$AL380,MATCH(Lists!$F$3,$A$1:$AL$1,0))&amp;""),""))))</f>
        <v/>
      </c>
      <c r="AT380" s="22">
        <f>IF(IFERROR(TRIM(INDEX($A380:$AL380,MATCH(Lists!$F$2,$A$1:$AL$1,0))&amp;""),"")="",0,N(IFERROR(IF(TRIM(INDEX($A380:$AL380,MATCH(Lists!$F$5,$A$1:$AL$1,0))&amp;"")="","",IF(ISNUMBER(INDEX($A380:$AL380,MATCH(Lists!$F$5,$A$1:$AL$1,0))),INT(INDEX($A380:$AL380,MATCH(Lists!$F$5,$A$1:$AL$1,0))),DATE(VALUE(LEFT(INDEX($A380:$AL380,MATCH(Lists!$F$5,$A$1:$AL$1,0)),4)),VALUE(MID(INDEX($A380:$AL380,MATCH(Lists!$F$5,$A$1:$AL$1,0)),6,2)),VALUE(MID(INDEX($A380:$AL380,MATCH(Lists!$F$5,$A$1:$AL$1,0)),9,2))))),"")))</f>
        <v/>
      </c>
      <c r="AU380" s="21">
        <f>IF(IFERROR(TRIM(INDEX($A380:$AL380,MATCH(Lists!$F$2,$A$1:$AL$1,0))&amp;""),"")="",-1,IF(ISNUMBER(IFERROR(IF(TRIM(INDEX($A380:$AL380,MATCH(Lists!$F$6,$A$1:$AL$1,0))&amp;"")="","",IF(ISNUMBER(INDEX($A380:$AL380,MATCH(Lists!$F$6,$A$1:$AL$1,0))),ROUND(MOD(INDEX($A380:$AL380,MATCH(Lists!$F$6,$A$1:$AL$1,0)),1)*1440,0),VALUE(LEFT(INDEX($A380:$AL380,MATCH(Lists!$F$6,$A$1:$AL$1,0)),2))*60+VALUE(MID(INDEX($A380:$AL380,MATCH(Lists!$F$6,$A$1:$AL$1,0)),4,2)))),"")),IFERROR(IF(TRIM(INDEX($A380:$AL380,MATCH(Lists!$F$6,$A$1:$AL$1,0))&amp;"")="","",IF(ISNUMBER(INDEX($A380:$AL380,MATCH(Lists!$F$6,$A$1:$AL$1,0))),ROUND(MOD(INDEX($A380:$AL380,MATCH(Lists!$F$6,$A$1:$AL$1,0)),1)*1440,0),VALUE(LEFT(INDEX($A380:$AL380,MATCH(Lists!$F$6,$A$1:$AL$1,0)),2))*60+VALUE(MID(INDEX($A380:$AL380,MATCH(Lists!$F$6,$A$1:$AL$1,0)),4,2)))),""),-1))</f>
        <v/>
      </c>
      <c r="AV380" s="21">
        <f>IF(IFERROR(TRIM(INDEX($A380:$AL380,MATCH(Lists!$F$2,$A$1:$AL$1,0))&amp;""),"")="",-1,IF(ISNUMBER(IFERROR(IF(TRIM(INDEX($A380:$AL380,MATCH(Lists!$F$7,$A$1:$AL$1,0))&amp;"")="","",IF(ISNUMBER(INDEX($A380:$AL380,MATCH(Lists!$F$7,$A$1:$AL$1,0))),ROUND(MOD(INDEX($A380:$AL380,MATCH(Lists!$F$7,$A$1:$AL$1,0)),1)*1440,0),VALUE(LEFT(INDEX($A380:$AL380,MATCH(Lists!$F$7,$A$1:$AL$1,0)),2))*60+VALUE(MID(INDEX($A380:$AL380,MATCH(Lists!$F$7,$A$1:$AL$1,0)),4,2)))),"")),IFERROR(IF(TRIM(INDEX($A380:$AL380,MATCH(Lists!$F$7,$A$1:$AL$1,0))&amp;"")="","",IF(ISNUMBER(INDEX($A380:$AL380,MATCH(Lists!$F$7,$A$1:$AL$1,0))),ROUND(MOD(INDEX($A380:$AL380,MATCH(Lists!$F$7,$A$1:$AL$1,0)),1)*1440,0),VALUE(LEFT(INDEX($A380:$AL380,MATCH(Lists!$F$7,$A$1:$AL$1,0)),2))*60+VALUE(MID(INDEX($A380:$AL380,MATCH(Lists!$F$7,$A$1:$AL$1,0)),4,2)))),""),-1))</f>
        <v/>
      </c>
      <c r="AW380" s="21">
        <f>IF(IFERROR(TRIM(INDEX($A380:$AL380,MATCH(Lists!$F$2,$A$1:$AL$1,0))&amp;""),"")="","",IF(IFERROR(TRIM(INDEX($A380:$AL380,MATCH(Lists!$F$8,$A$1:$AL$1,0))&amp;""),"")&lt;&gt;"",IFERROR(TRIM(INDEX($A380:$AL380,MATCH(Lists!$F$8,$A$1:$AL$1,0))&amp;""),""),IFERROR(TRIM(INDEX($A380:$AL380,MATCH(Lists!$F$9,$A$1:$AL$1,0))&amp;""),"")))</f>
        <v/>
      </c>
      <c r="AX380" s="21">
        <f>IFERROR(IF(TRIM(INDEX($A380:$AL380,MATCH(Lists!$F$10,$A$1:$AL$1,0))&amp;"")="","",VALUE(TRIM(INDEX($A380:$AL380,MATCH(Lists!$F$10,$A$1:$AL$1,0))&amp;""))),"")</f>
        <v/>
      </c>
      <c r="AY380" s="21">
        <f>IF(IFERROR(TRIM(INDEX($A380:$AL380,MATCH(Lists!$F$2,$A$1:$AL$1,0))&amp;""),"")="","",IF(AN380="","New",AN380))</f>
        <v/>
      </c>
      <c r="AZ380" s="21">
        <f>IF(IFERROR(TRIM(INDEX($A380:$AL380,MATCH(Lists!$F$2,$A$1:$AL$1,0))&amp;""),"")="","",IF(OR(IFERROR(TRIM(INDEX($A380:$AL380,MATCH(Lists!$F$13,$A$1:$AL$1,0))&amp;""),"")="Paid",IFERROR(TRIM(INDEX($A380:$AL380,MATCH(Lists!$F$13,$A$1:$AL$1,0))&amp;""),"")="Partially refunded"),"Paid",IF(AP380="Yes","Paid (by hand)",IFERROR(TRIM(INDEX($A380:$AL380,MATCH(Lists!$F$13,$A$1:$AL$1,0))&amp;""),""))))</f>
        <v/>
      </c>
      <c r="BA380" s="21">
        <f>IF(AND(IFERROR(TRIM(INDEX($A380:$AL380,MATCH(Lists!$F$2,$A$1:$AL$1,0))&amp;""),"")&lt;&gt;"",AT380&gt;0,AU380&gt;=0,AV380&gt;AU380,AY380&lt;&gt;"Declined"),1,0)</f>
        <v/>
      </c>
      <c r="BB380" s="21">
        <f>IF(BA380=1,COUNTIFS($AS$2:$AS$501,AS380,$AT$2:$AT$501,AT380,$AU$2:$AU$501,"&lt;"&amp;AV380,$AV$2:$AV$501,"&gt;"&amp;AU380,$BA$2:$BA$501,1)-1,"")</f>
        <v/>
      </c>
      <c r="BC380" s="21">
        <f>IF(N(BB380)&gt;0,"Clashes with "&amp;INDEX($AW$2:$AW$501,SUMPRODUCT(MAX(($AS$2:$AS$501=AS380)*($AT$2:$AT$501=AT380)*($AU$2:$AU$501&lt;AV380)*($AV$2:$AV$501&gt;AU380)*($BA$2:$BA$501=1)*(ROW($AS$2:$AS$501)&lt;&gt;ROW())*ROW($AS$2:$AS$501)))-1)&amp;" ("&amp;INDEX($AY$2:$AY$501,SUMPRODUCT(MAX(($AS$2:$AS$501=AS380)*($AT$2:$AT$501=AT380)*($AU$2:$AU$501&lt;AV380)*($AV$2:$AV$501&gt;AU380)*($BA$2:$BA$501=1)*(ROW($AS$2:$AS$501)&lt;&gt;ROW())*ROW($AS$2:$AS$501)))-1)&amp;")"&amp;IF(BB380&gt;1," and "&amp;(BB380-1)&amp;" more",""),"")</f>
        <v/>
      </c>
      <c r="BD380" s="21">
        <f>IF(AND(BA380=1,AY380="Confirmed"),AT380*10000000+AU380*1000+ROW(),"")</f>
        <v/>
      </c>
      <c r="BE380" s="21">
        <f>IF(IFERROR(TRIM(INDEX($A380:$AL380,MATCH(Lists!$F$2,$A$1:$AL$1,0))&amp;""),"")="","",IFERROR(TRIM(INDEX($A380:$AL380,MATCH(Lists!$F$11,$A$1:$AL$1,0))&amp;""),""))</f>
        <v/>
      </c>
      <c r="BF380" s="21">
        <f>IF(IFERROR(TRIM(INDEX($A380:$AL380,MATCH(Lists!$F$2,$A$1:$AL$1,0))&amp;""),"")="","",IFERROR(TRIM(INDEX($A380:$AL380,MATCH(Lists!$F$12,$A$1:$AL$1,0))&amp;""),""))</f>
        <v/>
      </c>
    </row>
    <row r="381">
      <c r="AM381" s="19" t="n"/>
      <c r="AN381" s="23" t="n"/>
      <c r="AO381" s="23" t="n"/>
      <c r="AP381" s="23" t="n"/>
      <c r="AQ381" s="23" t="n"/>
      <c r="AR381" s="19" t="n"/>
      <c r="AS381" s="21">
        <f>IF(IFERROR(TRIM(INDEX($A381:$AL381,MATCH(Lists!$F$2,$A$1:$AL$1,0))&amp;""),"")="","",IF(AND(IFERROR(TRIM(INDEX($A381:$AL381,MATCH(Lists!$F$3,$A$1:$AL$1,0))&amp;""),"")="Other",IFERROR(TRIM(INDEX($A381:$AL381,MATCH(Lists!$F$4,$A$1:$AL$1,0))&amp;""),"")&lt;&gt;""),IFERROR(TRIM(INDEX($A381:$AL381,MATCH(Lists!$F$4,$A$1:$AL$1,0))&amp;""),""),IF(IFERROR(TRIM(INDEX($A381:$AL381,MATCH(Lists!$F$3,$A$1:$AL$1,0))&amp;""),"")="","(no space)",IFERROR(TRIM(INDEX($A381:$AL381,MATCH(Lists!$F$3,$A$1:$AL$1,0))&amp;""),""))))</f>
        <v/>
      </c>
      <c r="AT381" s="22">
        <f>IF(IFERROR(TRIM(INDEX($A381:$AL381,MATCH(Lists!$F$2,$A$1:$AL$1,0))&amp;""),"")="",0,N(IFERROR(IF(TRIM(INDEX($A381:$AL381,MATCH(Lists!$F$5,$A$1:$AL$1,0))&amp;"")="","",IF(ISNUMBER(INDEX($A381:$AL381,MATCH(Lists!$F$5,$A$1:$AL$1,0))),INT(INDEX($A381:$AL381,MATCH(Lists!$F$5,$A$1:$AL$1,0))),DATE(VALUE(LEFT(INDEX($A381:$AL381,MATCH(Lists!$F$5,$A$1:$AL$1,0)),4)),VALUE(MID(INDEX($A381:$AL381,MATCH(Lists!$F$5,$A$1:$AL$1,0)),6,2)),VALUE(MID(INDEX($A381:$AL381,MATCH(Lists!$F$5,$A$1:$AL$1,0)),9,2))))),"")))</f>
        <v/>
      </c>
      <c r="AU381" s="21">
        <f>IF(IFERROR(TRIM(INDEX($A381:$AL381,MATCH(Lists!$F$2,$A$1:$AL$1,0))&amp;""),"")="",-1,IF(ISNUMBER(IFERROR(IF(TRIM(INDEX($A381:$AL381,MATCH(Lists!$F$6,$A$1:$AL$1,0))&amp;"")="","",IF(ISNUMBER(INDEX($A381:$AL381,MATCH(Lists!$F$6,$A$1:$AL$1,0))),ROUND(MOD(INDEX($A381:$AL381,MATCH(Lists!$F$6,$A$1:$AL$1,0)),1)*1440,0),VALUE(LEFT(INDEX($A381:$AL381,MATCH(Lists!$F$6,$A$1:$AL$1,0)),2))*60+VALUE(MID(INDEX($A381:$AL381,MATCH(Lists!$F$6,$A$1:$AL$1,0)),4,2)))),"")),IFERROR(IF(TRIM(INDEX($A381:$AL381,MATCH(Lists!$F$6,$A$1:$AL$1,0))&amp;"")="","",IF(ISNUMBER(INDEX($A381:$AL381,MATCH(Lists!$F$6,$A$1:$AL$1,0))),ROUND(MOD(INDEX($A381:$AL381,MATCH(Lists!$F$6,$A$1:$AL$1,0)),1)*1440,0),VALUE(LEFT(INDEX($A381:$AL381,MATCH(Lists!$F$6,$A$1:$AL$1,0)),2))*60+VALUE(MID(INDEX($A381:$AL381,MATCH(Lists!$F$6,$A$1:$AL$1,0)),4,2)))),""),-1))</f>
        <v/>
      </c>
      <c r="AV381" s="21">
        <f>IF(IFERROR(TRIM(INDEX($A381:$AL381,MATCH(Lists!$F$2,$A$1:$AL$1,0))&amp;""),"")="",-1,IF(ISNUMBER(IFERROR(IF(TRIM(INDEX($A381:$AL381,MATCH(Lists!$F$7,$A$1:$AL$1,0))&amp;"")="","",IF(ISNUMBER(INDEX($A381:$AL381,MATCH(Lists!$F$7,$A$1:$AL$1,0))),ROUND(MOD(INDEX($A381:$AL381,MATCH(Lists!$F$7,$A$1:$AL$1,0)),1)*1440,0),VALUE(LEFT(INDEX($A381:$AL381,MATCH(Lists!$F$7,$A$1:$AL$1,0)),2))*60+VALUE(MID(INDEX($A381:$AL381,MATCH(Lists!$F$7,$A$1:$AL$1,0)),4,2)))),"")),IFERROR(IF(TRIM(INDEX($A381:$AL381,MATCH(Lists!$F$7,$A$1:$AL$1,0))&amp;"")="","",IF(ISNUMBER(INDEX($A381:$AL381,MATCH(Lists!$F$7,$A$1:$AL$1,0))),ROUND(MOD(INDEX($A381:$AL381,MATCH(Lists!$F$7,$A$1:$AL$1,0)),1)*1440,0),VALUE(LEFT(INDEX($A381:$AL381,MATCH(Lists!$F$7,$A$1:$AL$1,0)),2))*60+VALUE(MID(INDEX($A381:$AL381,MATCH(Lists!$F$7,$A$1:$AL$1,0)),4,2)))),""),-1))</f>
        <v/>
      </c>
      <c r="AW381" s="21">
        <f>IF(IFERROR(TRIM(INDEX($A381:$AL381,MATCH(Lists!$F$2,$A$1:$AL$1,0))&amp;""),"")="","",IF(IFERROR(TRIM(INDEX($A381:$AL381,MATCH(Lists!$F$8,$A$1:$AL$1,0))&amp;""),"")&lt;&gt;"",IFERROR(TRIM(INDEX($A381:$AL381,MATCH(Lists!$F$8,$A$1:$AL$1,0))&amp;""),""),IFERROR(TRIM(INDEX($A381:$AL381,MATCH(Lists!$F$9,$A$1:$AL$1,0))&amp;""),"")))</f>
        <v/>
      </c>
      <c r="AX381" s="21">
        <f>IFERROR(IF(TRIM(INDEX($A381:$AL381,MATCH(Lists!$F$10,$A$1:$AL$1,0))&amp;"")="","",VALUE(TRIM(INDEX($A381:$AL381,MATCH(Lists!$F$10,$A$1:$AL$1,0))&amp;""))),"")</f>
        <v/>
      </c>
      <c r="AY381" s="21">
        <f>IF(IFERROR(TRIM(INDEX($A381:$AL381,MATCH(Lists!$F$2,$A$1:$AL$1,0))&amp;""),"")="","",IF(AN381="","New",AN381))</f>
        <v/>
      </c>
      <c r="AZ381" s="21">
        <f>IF(IFERROR(TRIM(INDEX($A381:$AL381,MATCH(Lists!$F$2,$A$1:$AL$1,0))&amp;""),"")="","",IF(OR(IFERROR(TRIM(INDEX($A381:$AL381,MATCH(Lists!$F$13,$A$1:$AL$1,0))&amp;""),"")="Paid",IFERROR(TRIM(INDEX($A381:$AL381,MATCH(Lists!$F$13,$A$1:$AL$1,0))&amp;""),"")="Partially refunded"),"Paid",IF(AP381="Yes","Paid (by hand)",IFERROR(TRIM(INDEX($A381:$AL381,MATCH(Lists!$F$13,$A$1:$AL$1,0))&amp;""),""))))</f>
        <v/>
      </c>
      <c r="BA381" s="21">
        <f>IF(AND(IFERROR(TRIM(INDEX($A381:$AL381,MATCH(Lists!$F$2,$A$1:$AL$1,0))&amp;""),"")&lt;&gt;"",AT381&gt;0,AU381&gt;=0,AV381&gt;AU381,AY381&lt;&gt;"Declined"),1,0)</f>
        <v/>
      </c>
      <c r="BB381" s="21">
        <f>IF(BA381=1,COUNTIFS($AS$2:$AS$501,AS381,$AT$2:$AT$501,AT381,$AU$2:$AU$501,"&lt;"&amp;AV381,$AV$2:$AV$501,"&gt;"&amp;AU381,$BA$2:$BA$501,1)-1,"")</f>
        <v/>
      </c>
      <c r="BC381" s="21">
        <f>IF(N(BB381)&gt;0,"Clashes with "&amp;INDEX($AW$2:$AW$501,SUMPRODUCT(MAX(($AS$2:$AS$501=AS381)*($AT$2:$AT$501=AT381)*($AU$2:$AU$501&lt;AV381)*($AV$2:$AV$501&gt;AU381)*($BA$2:$BA$501=1)*(ROW($AS$2:$AS$501)&lt;&gt;ROW())*ROW($AS$2:$AS$501)))-1)&amp;" ("&amp;INDEX($AY$2:$AY$501,SUMPRODUCT(MAX(($AS$2:$AS$501=AS381)*($AT$2:$AT$501=AT381)*($AU$2:$AU$501&lt;AV381)*($AV$2:$AV$501&gt;AU381)*($BA$2:$BA$501=1)*(ROW($AS$2:$AS$501)&lt;&gt;ROW())*ROW($AS$2:$AS$501)))-1)&amp;")"&amp;IF(BB381&gt;1," and "&amp;(BB381-1)&amp;" more",""),"")</f>
        <v/>
      </c>
      <c r="BD381" s="21">
        <f>IF(AND(BA381=1,AY381="Confirmed"),AT381*10000000+AU381*1000+ROW(),"")</f>
        <v/>
      </c>
      <c r="BE381" s="21">
        <f>IF(IFERROR(TRIM(INDEX($A381:$AL381,MATCH(Lists!$F$2,$A$1:$AL$1,0))&amp;""),"")="","",IFERROR(TRIM(INDEX($A381:$AL381,MATCH(Lists!$F$11,$A$1:$AL$1,0))&amp;""),""))</f>
        <v/>
      </c>
      <c r="BF381" s="21">
        <f>IF(IFERROR(TRIM(INDEX($A381:$AL381,MATCH(Lists!$F$2,$A$1:$AL$1,0))&amp;""),"")="","",IFERROR(TRIM(INDEX($A381:$AL381,MATCH(Lists!$F$12,$A$1:$AL$1,0))&amp;""),""))</f>
        <v/>
      </c>
    </row>
    <row r="382">
      <c r="AM382" s="19" t="n"/>
      <c r="AN382" s="23" t="n"/>
      <c r="AO382" s="23" t="n"/>
      <c r="AP382" s="23" t="n"/>
      <c r="AQ382" s="23" t="n"/>
      <c r="AR382" s="19" t="n"/>
      <c r="AS382" s="21">
        <f>IF(IFERROR(TRIM(INDEX($A382:$AL382,MATCH(Lists!$F$2,$A$1:$AL$1,0))&amp;""),"")="","",IF(AND(IFERROR(TRIM(INDEX($A382:$AL382,MATCH(Lists!$F$3,$A$1:$AL$1,0))&amp;""),"")="Other",IFERROR(TRIM(INDEX($A382:$AL382,MATCH(Lists!$F$4,$A$1:$AL$1,0))&amp;""),"")&lt;&gt;""),IFERROR(TRIM(INDEX($A382:$AL382,MATCH(Lists!$F$4,$A$1:$AL$1,0))&amp;""),""),IF(IFERROR(TRIM(INDEX($A382:$AL382,MATCH(Lists!$F$3,$A$1:$AL$1,0))&amp;""),"")="","(no space)",IFERROR(TRIM(INDEX($A382:$AL382,MATCH(Lists!$F$3,$A$1:$AL$1,0))&amp;""),""))))</f>
        <v/>
      </c>
      <c r="AT382" s="22">
        <f>IF(IFERROR(TRIM(INDEX($A382:$AL382,MATCH(Lists!$F$2,$A$1:$AL$1,0))&amp;""),"")="",0,N(IFERROR(IF(TRIM(INDEX($A382:$AL382,MATCH(Lists!$F$5,$A$1:$AL$1,0))&amp;"")="","",IF(ISNUMBER(INDEX($A382:$AL382,MATCH(Lists!$F$5,$A$1:$AL$1,0))),INT(INDEX($A382:$AL382,MATCH(Lists!$F$5,$A$1:$AL$1,0))),DATE(VALUE(LEFT(INDEX($A382:$AL382,MATCH(Lists!$F$5,$A$1:$AL$1,0)),4)),VALUE(MID(INDEX($A382:$AL382,MATCH(Lists!$F$5,$A$1:$AL$1,0)),6,2)),VALUE(MID(INDEX($A382:$AL382,MATCH(Lists!$F$5,$A$1:$AL$1,0)),9,2))))),"")))</f>
        <v/>
      </c>
      <c r="AU382" s="21">
        <f>IF(IFERROR(TRIM(INDEX($A382:$AL382,MATCH(Lists!$F$2,$A$1:$AL$1,0))&amp;""),"")="",-1,IF(ISNUMBER(IFERROR(IF(TRIM(INDEX($A382:$AL382,MATCH(Lists!$F$6,$A$1:$AL$1,0))&amp;"")="","",IF(ISNUMBER(INDEX($A382:$AL382,MATCH(Lists!$F$6,$A$1:$AL$1,0))),ROUND(MOD(INDEX($A382:$AL382,MATCH(Lists!$F$6,$A$1:$AL$1,0)),1)*1440,0),VALUE(LEFT(INDEX($A382:$AL382,MATCH(Lists!$F$6,$A$1:$AL$1,0)),2))*60+VALUE(MID(INDEX($A382:$AL382,MATCH(Lists!$F$6,$A$1:$AL$1,0)),4,2)))),"")),IFERROR(IF(TRIM(INDEX($A382:$AL382,MATCH(Lists!$F$6,$A$1:$AL$1,0))&amp;"")="","",IF(ISNUMBER(INDEX($A382:$AL382,MATCH(Lists!$F$6,$A$1:$AL$1,0))),ROUND(MOD(INDEX($A382:$AL382,MATCH(Lists!$F$6,$A$1:$AL$1,0)),1)*1440,0),VALUE(LEFT(INDEX($A382:$AL382,MATCH(Lists!$F$6,$A$1:$AL$1,0)),2))*60+VALUE(MID(INDEX($A382:$AL382,MATCH(Lists!$F$6,$A$1:$AL$1,0)),4,2)))),""),-1))</f>
        <v/>
      </c>
      <c r="AV382" s="21">
        <f>IF(IFERROR(TRIM(INDEX($A382:$AL382,MATCH(Lists!$F$2,$A$1:$AL$1,0))&amp;""),"")="",-1,IF(ISNUMBER(IFERROR(IF(TRIM(INDEX($A382:$AL382,MATCH(Lists!$F$7,$A$1:$AL$1,0))&amp;"")="","",IF(ISNUMBER(INDEX($A382:$AL382,MATCH(Lists!$F$7,$A$1:$AL$1,0))),ROUND(MOD(INDEX($A382:$AL382,MATCH(Lists!$F$7,$A$1:$AL$1,0)),1)*1440,0),VALUE(LEFT(INDEX($A382:$AL382,MATCH(Lists!$F$7,$A$1:$AL$1,0)),2))*60+VALUE(MID(INDEX($A382:$AL382,MATCH(Lists!$F$7,$A$1:$AL$1,0)),4,2)))),"")),IFERROR(IF(TRIM(INDEX($A382:$AL382,MATCH(Lists!$F$7,$A$1:$AL$1,0))&amp;"")="","",IF(ISNUMBER(INDEX($A382:$AL382,MATCH(Lists!$F$7,$A$1:$AL$1,0))),ROUND(MOD(INDEX($A382:$AL382,MATCH(Lists!$F$7,$A$1:$AL$1,0)),1)*1440,0),VALUE(LEFT(INDEX($A382:$AL382,MATCH(Lists!$F$7,$A$1:$AL$1,0)),2))*60+VALUE(MID(INDEX($A382:$AL382,MATCH(Lists!$F$7,$A$1:$AL$1,0)),4,2)))),""),-1))</f>
        <v/>
      </c>
      <c r="AW382" s="21">
        <f>IF(IFERROR(TRIM(INDEX($A382:$AL382,MATCH(Lists!$F$2,$A$1:$AL$1,0))&amp;""),"")="","",IF(IFERROR(TRIM(INDEX($A382:$AL382,MATCH(Lists!$F$8,$A$1:$AL$1,0))&amp;""),"")&lt;&gt;"",IFERROR(TRIM(INDEX($A382:$AL382,MATCH(Lists!$F$8,$A$1:$AL$1,0))&amp;""),""),IFERROR(TRIM(INDEX($A382:$AL382,MATCH(Lists!$F$9,$A$1:$AL$1,0))&amp;""),"")))</f>
        <v/>
      </c>
      <c r="AX382" s="21">
        <f>IFERROR(IF(TRIM(INDEX($A382:$AL382,MATCH(Lists!$F$10,$A$1:$AL$1,0))&amp;"")="","",VALUE(TRIM(INDEX($A382:$AL382,MATCH(Lists!$F$10,$A$1:$AL$1,0))&amp;""))),"")</f>
        <v/>
      </c>
      <c r="AY382" s="21">
        <f>IF(IFERROR(TRIM(INDEX($A382:$AL382,MATCH(Lists!$F$2,$A$1:$AL$1,0))&amp;""),"")="","",IF(AN382="","New",AN382))</f>
        <v/>
      </c>
      <c r="AZ382" s="21">
        <f>IF(IFERROR(TRIM(INDEX($A382:$AL382,MATCH(Lists!$F$2,$A$1:$AL$1,0))&amp;""),"")="","",IF(OR(IFERROR(TRIM(INDEX($A382:$AL382,MATCH(Lists!$F$13,$A$1:$AL$1,0))&amp;""),"")="Paid",IFERROR(TRIM(INDEX($A382:$AL382,MATCH(Lists!$F$13,$A$1:$AL$1,0))&amp;""),"")="Partially refunded"),"Paid",IF(AP382="Yes","Paid (by hand)",IFERROR(TRIM(INDEX($A382:$AL382,MATCH(Lists!$F$13,$A$1:$AL$1,0))&amp;""),""))))</f>
        <v/>
      </c>
      <c r="BA382" s="21">
        <f>IF(AND(IFERROR(TRIM(INDEX($A382:$AL382,MATCH(Lists!$F$2,$A$1:$AL$1,0))&amp;""),"")&lt;&gt;"",AT382&gt;0,AU382&gt;=0,AV382&gt;AU382,AY382&lt;&gt;"Declined"),1,0)</f>
        <v/>
      </c>
      <c r="BB382" s="21">
        <f>IF(BA382=1,COUNTIFS($AS$2:$AS$501,AS382,$AT$2:$AT$501,AT382,$AU$2:$AU$501,"&lt;"&amp;AV382,$AV$2:$AV$501,"&gt;"&amp;AU382,$BA$2:$BA$501,1)-1,"")</f>
        <v/>
      </c>
      <c r="BC382" s="21">
        <f>IF(N(BB382)&gt;0,"Clashes with "&amp;INDEX($AW$2:$AW$501,SUMPRODUCT(MAX(($AS$2:$AS$501=AS382)*($AT$2:$AT$501=AT382)*($AU$2:$AU$501&lt;AV382)*($AV$2:$AV$501&gt;AU382)*($BA$2:$BA$501=1)*(ROW($AS$2:$AS$501)&lt;&gt;ROW())*ROW($AS$2:$AS$501)))-1)&amp;" ("&amp;INDEX($AY$2:$AY$501,SUMPRODUCT(MAX(($AS$2:$AS$501=AS382)*($AT$2:$AT$501=AT382)*($AU$2:$AU$501&lt;AV382)*($AV$2:$AV$501&gt;AU382)*($BA$2:$BA$501=1)*(ROW($AS$2:$AS$501)&lt;&gt;ROW())*ROW($AS$2:$AS$501)))-1)&amp;")"&amp;IF(BB382&gt;1," and "&amp;(BB382-1)&amp;" more",""),"")</f>
        <v/>
      </c>
      <c r="BD382" s="21">
        <f>IF(AND(BA382=1,AY382="Confirmed"),AT382*10000000+AU382*1000+ROW(),"")</f>
        <v/>
      </c>
      <c r="BE382" s="21">
        <f>IF(IFERROR(TRIM(INDEX($A382:$AL382,MATCH(Lists!$F$2,$A$1:$AL$1,0))&amp;""),"")="","",IFERROR(TRIM(INDEX($A382:$AL382,MATCH(Lists!$F$11,$A$1:$AL$1,0))&amp;""),""))</f>
        <v/>
      </c>
      <c r="BF382" s="21">
        <f>IF(IFERROR(TRIM(INDEX($A382:$AL382,MATCH(Lists!$F$2,$A$1:$AL$1,0))&amp;""),"")="","",IFERROR(TRIM(INDEX($A382:$AL382,MATCH(Lists!$F$12,$A$1:$AL$1,0))&amp;""),""))</f>
        <v/>
      </c>
    </row>
    <row r="383">
      <c r="AM383" s="19" t="n"/>
      <c r="AN383" s="23" t="n"/>
      <c r="AO383" s="23" t="n"/>
      <c r="AP383" s="23" t="n"/>
      <c r="AQ383" s="23" t="n"/>
      <c r="AR383" s="19" t="n"/>
      <c r="AS383" s="21">
        <f>IF(IFERROR(TRIM(INDEX($A383:$AL383,MATCH(Lists!$F$2,$A$1:$AL$1,0))&amp;""),"")="","",IF(AND(IFERROR(TRIM(INDEX($A383:$AL383,MATCH(Lists!$F$3,$A$1:$AL$1,0))&amp;""),"")="Other",IFERROR(TRIM(INDEX($A383:$AL383,MATCH(Lists!$F$4,$A$1:$AL$1,0))&amp;""),"")&lt;&gt;""),IFERROR(TRIM(INDEX($A383:$AL383,MATCH(Lists!$F$4,$A$1:$AL$1,0))&amp;""),""),IF(IFERROR(TRIM(INDEX($A383:$AL383,MATCH(Lists!$F$3,$A$1:$AL$1,0))&amp;""),"")="","(no space)",IFERROR(TRIM(INDEX($A383:$AL383,MATCH(Lists!$F$3,$A$1:$AL$1,0))&amp;""),""))))</f>
        <v/>
      </c>
      <c r="AT383" s="22">
        <f>IF(IFERROR(TRIM(INDEX($A383:$AL383,MATCH(Lists!$F$2,$A$1:$AL$1,0))&amp;""),"")="",0,N(IFERROR(IF(TRIM(INDEX($A383:$AL383,MATCH(Lists!$F$5,$A$1:$AL$1,0))&amp;"")="","",IF(ISNUMBER(INDEX($A383:$AL383,MATCH(Lists!$F$5,$A$1:$AL$1,0))),INT(INDEX($A383:$AL383,MATCH(Lists!$F$5,$A$1:$AL$1,0))),DATE(VALUE(LEFT(INDEX($A383:$AL383,MATCH(Lists!$F$5,$A$1:$AL$1,0)),4)),VALUE(MID(INDEX($A383:$AL383,MATCH(Lists!$F$5,$A$1:$AL$1,0)),6,2)),VALUE(MID(INDEX($A383:$AL383,MATCH(Lists!$F$5,$A$1:$AL$1,0)),9,2))))),"")))</f>
        <v/>
      </c>
      <c r="AU383" s="21">
        <f>IF(IFERROR(TRIM(INDEX($A383:$AL383,MATCH(Lists!$F$2,$A$1:$AL$1,0))&amp;""),"")="",-1,IF(ISNUMBER(IFERROR(IF(TRIM(INDEX($A383:$AL383,MATCH(Lists!$F$6,$A$1:$AL$1,0))&amp;"")="","",IF(ISNUMBER(INDEX($A383:$AL383,MATCH(Lists!$F$6,$A$1:$AL$1,0))),ROUND(MOD(INDEX($A383:$AL383,MATCH(Lists!$F$6,$A$1:$AL$1,0)),1)*1440,0),VALUE(LEFT(INDEX($A383:$AL383,MATCH(Lists!$F$6,$A$1:$AL$1,0)),2))*60+VALUE(MID(INDEX($A383:$AL383,MATCH(Lists!$F$6,$A$1:$AL$1,0)),4,2)))),"")),IFERROR(IF(TRIM(INDEX($A383:$AL383,MATCH(Lists!$F$6,$A$1:$AL$1,0))&amp;"")="","",IF(ISNUMBER(INDEX($A383:$AL383,MATCH(Lists!$F$6,$A$1:$AL$1,0))),ROUND(MOD(INDEX($A383:$AL383,MATCH(Lists!$F$6,$A$1:$AL$1,0)),1)*1440,0),VALUE(LEFT(INDEX($A383:$AL383,MATCH(Lists!$F$6,$A$1:$AL$1,0)),2))*60+VALUE(MID(INDEX($A383:$AL383,MATCH(Lists!$F$6,$A$1:$AL$1,0)),4,2)))),""),-1))</f>
        <v/>
      </c>
      <c r="AV383" s="21">
        <f>IF(IFERROR(TRIM(INDEX($A383:$AL383,MATCH(Lists!$F$2,$A$1:$AL$1,0))&amp;""),"")="",-1,IF(ISNUMBER(IFERROR(IF(TRIM(INDEX($A383:$AL383,MATCH(Lists!$F$7,$A$1:$AL$1,0))&amp;"")="","",IF(ISNUMBER(INDEX($A383:$AL383,MATCH(Lists!$F$7,$A$1:$AL$1,0))),ROUND(MOD(INDEX($A383:$AL383,MATCH(Lists!$F$7,$A$1:$AL$1,0)),1)*1440,0),VALUE(LEFT(INDEX($A383:$AL383,MATCH(Lists!$F$7,$A$1:$AL$1,0)),2))*60+VALUE(MID(INDEX($A383:$AL383,MATCH(Lists!$F$7,$A$1:$AL$1,0)),4,2)))),"")),IFERROR(IF(TRIM(INDEX($A383:$AL383,MATCH(Lists!$F$7,$A$1:$AL$1,0))&amp;"")="","",IF(ISNUMBER(INDEX($A383:$AL383,MATCH(Lists!$F$7,$A$1:$AL$1,0))),ROUND(MOD(INDEX($A383:$AL383,MATCH(Lists!$F$7,$A$1:$AL$1,0)),1)*1440,0),VALUE(LEFT(INDEX($A383:$AL383,MATCH(Lists!$F$7,$A$1:$AL$1,0)),2))*60+VALUE(MID(INDEX($A383:$AL383,MATCH(Lists!$F$7,$A$1:$AL$1,0)),4,2)))),""),-1))</f>
        <v/>
      </c>
      <c r="AW383" s="21">
        <f>IF(IFERROR(TRIM(INDEX($A383:$AL383,MATCH(Lists!$F$2,$A$1:$AL$1,0))&amp;""),"")="","",IF(IFERROR(TRIM(INDEX($A383:$AL383,MATCH(Lists!$F$8,$A$1:$AL$1,0))&amp;""),"")&lt;&gt;"",IFERROR(TRIM(INDEX($A383:$AL383,MATCH(Lists!$F$8,$A$1:$AL$1,0))&amp;""),""),IFERROR(TRIM(INDEX($A383:$AL383,MATCH(Lists!$F$9,$A$1:$AL$1,0))&amp;""),"")))</f>
        <v/>
      </c>
      <c r="AX383" s="21">
        <f>IFERROR(IF(TRIM(INDEX($A383:$AL383,MATCH(Lists!$F$10,$A$1:$AL$1,0))&amp;"")="","",VALUE(TRIM(INDEX($A383:$AL383,MATCH(Lists!$F$10,$A$1:$AL$1,0))&amp;""))),"")</f>
        <v/>
      </c>
      <c r="AY383" s="21">
        <f>IF(IFERROR(TRIM(INDEX($A383:$AL383,MATCH(Lists!$F$2,$A$1:$AL$1,0))&amp;""),"")="","",IF(AN383="","New",AN383))</f>
        <v/>
      </c>
      <c r="AZ383" s="21">
        <f>IF(IFERROR(TRIM(INDEX($A383:$AL383,MATCH(Lists!$F$2,$A$1:$AL$1,0))&amp;""),"")="","",IF(OR(IFERROR(TRIM(INDEX($A383:$AL383,MATCH(Lists!$F$13,$A$1:$AL$1,0))&amp;""),"")="Paid",IFERROR(TRIM(INDEX($A383:$AL383,MATCH(Lists!$F$13,$A$1:$AL$1,0))&amp;""),"")="Partially refunded"),"Paid",IF(AP383="Yes","Paid (by hand)",IFERROR(TRIM(INDEX($A383:$AL383,MATCH(Lists!$F$13,$A$1:$AL$1,0))&amp;""),""))))</f>
        <v/>
      </c>
      <c r="BA383" s="21">
        <f>IF(AND(IFERROR(TRIM(INDEX($A383:$AL383,MATCH(Lists!$F$2,$A$1:$AL$1,0))&amp;""),"")&lt;&gt;"",AT383&gt;0,AU383&gt;=0,AV383&gt;AU383,AY383&lt;&gt;"Declined"),1,0)</f>
        <v/>
      </c>
      <c r="BB383" s="21">
        <f>IF(BA383=1,COUNTIFS($AS$2:$AS$501,AS383,$AT$2:$AT$501,AT383,$AU$2:$AU$501,"&lt;"&amp;AV383,$AV$2:$AV$501,"&gt;"&amp;AU383,$BA$2:$BA$501,1)-1,"")</f>
        <v/>
      </c>
      <c r="BC383" s="21">
        <f>IF(N(BB383)&gt;0,"Clashes with "&amp;INDEX($AW$2:$AW$501,SUMPRODUCT(MAX(($AS$2:$AS$501=AS383)*($AT$2:$AT$501=AT383)*($AU$2:$AU$501&lt;AV383)*($AV$2:$AV$501&gt;AU383)*($BA$2:$BA$501=1)*(ROW($AS$2:$AS$501)&lt;&gt;ROW())*ROW($AS$2:$AS$501)))-1)&amp;" ("&amp;INDEX($AY$2:$AY$501,SUMPRODUCT(MAX(($AS$2:$AS$501=AS383)*($AT$2:$AT$501=AT383)*($AU$2:$AU$501&lt;AV383)*($AV$2:$AV$501&gt;AU383)*($BA$2:$BA$501=1)*(ROW($AS$2:$AS$501)&lt;&gt;ROW())*ROW($AS$2:$AS$501)))-1)&amp;")"&amp;IF(BB383&gt;1," and "&amp;(BB383-1)&amp;" more",""),"")</f>
        <v/>
      </c>
      <c r="BD383" s="21">
        <f>IF(AND(BA383=1,AY383="Confirmed"),AT383*10000000+AU383*1000+ROW(),"")</f>
        <v/>
      </c>
      <c r="BE383" s="21">
        <f>IF(IFERROR(TRIM(INDEX($A383:$AL383,MATCH(Lists!$F$2,$A$1:$AL$1,0))&amp;""),"")="","",IFERROR(TRIM(INDEX($A383:$AL383,MATCH(Lists!$F$11,$A$1:$AL$1,0))&amp;""),""))</f>
        <v/>
      </c>
      <c r="BF383" s="21">
        <f>IF(IFERROR(TRIM(INDEX($A383:$AL383,MATCH(Lists!$F$2,$A$1:$AL$1,0))&amp;""),"")="","",IFERROR(TRIM(INDEX($A383:$AL383,MATCH(Lists!$F$12,$A$1:$AL$1,0))&amp;""),""))</f>
        <v/>
      </c>
    </row>
    <row r="384">
      <c r="AM384" s="19" t="n"/>
      <c r="AN384" s="23" t="n"/>
      <c r="AO384" s="23" t="n"/>
      <c r="AP384" s="23" t="n"/>
      <c r="AQ384" s="23" t="n"/>
      <c r="AR384" s="19" t="n"/>
      <c r="AS384" s="21">
        <f>IF(IFERROR(TRIM(INDEX($A384:$AL384,MATCH(Lists!$F$2,$A$1:$AL$1,0))&amp;""),"")="","",IF(AND(IFERROR(TRIM(INDEX($A384:$AL384,MATCH(Lists!$F$3,$A$1:$AL$1,0))&amp;""),"")="Other",IFERROR(TRIM(INDEX($A384:$AL384,MATCH(Lists!$F$4,$A$1:$AL$1,0))&amp;""),"")&lt;&gt;""),IFERROR(TRIM(INDEX($A384:$AL384,MATCH(Lists!$F$4,$A$1:$AL$1,0))&amp;""),""),IF(IFERROR(TRIM(INDEX($A384:$AL384,MATCH(Lists!$F$3,$A$1:$AL$1,0))&amp;""),"")="","(no space)",IFERROR(TRIM(INDEX($A384:$AL384,MATCH(Lists!$F$3,$A$1:$AL$1,0))&amp;""),""))))</f>
        <v/>
      </c>
      <c r="AT384" s="22">
        <f>IF(IFERROR(TRIM(INDEX($A384:$AL384,MATCH(Lists!$F$2,$A$1:$AL$1,0))&amp;""),"")="",0,N(IFERROR(IF(TRIM(INDEX($A384:$AL384,MATCH(Lists!$F$5,$A$1:$AL$1,0))&amp;"")="","",IF(ISNUMBER(INDEX($A384:$AL384,MATCH(Lists!$F$5,$A$1:$AL$1,0))),INT(INDEX($A384:$AL384,MATCH(Lists!$F$5,$A$1:$AL$1,0))),DATE(VALUE(LEFT(INDEX($A384:$AL384,MATCH(Lists!$F$5,$A$1:$AL$1,0)),4)),VALUE(MID(INDEX($A384:$AL384,MATCH(Lists!$F$5,$A$1:$AL$1,0)),6,2)),VALUE(MID(INDEX($A384:$AL384,MATCH(Lists!$F$5,$A$1:$AL$1,0)),9,2))))),"")))</f>
        <v/>
      </c>
      <c r="AU384" s="21">
        <f>IF(IFERROR(TRIM(INDEX($A384:$AL384,MATCH(Lists!$F$2,$A$1:$AL$1,0))&amp;""),"")="",-1,IF(ISNUMBER(IFERROR(IF(TRIM(INDEX($A384:$AL384,MATCH(Lists!$F$6,$A$1:$AL$1,0))&amp;"")="","",IF(ISNUMBER(INDEX($A384:$AL384,MATCH(Lists!$F$6,$A$1:$AL$1,0))),ROUND(MOD(INDEX($A384:$AL384,MATCH(Lists!$F$6,$A$1:$AL$1,0)),1)*1440,0),VALUE(LEFT(INDEX($A384:$AL384,MATCH(Lists!$F$6,$A$1:$AL$1,0)),2))*60+VALUE(MID(INDEX($A384:$AL384,MATCH(Lists!$F$6,$A$1:$AL$1,0)),4,2)))),"")),IFERROR(IF(TRIM(INDEX($A384:$AL384,MATCH(Lists!$F$6,$A$1:$AL$1,0))&amp;"")="","",IF(ISNUMBER(INDEX($A384:$AL384,MATCH(Lists!$F$6,$A$1:$AL$1,0))),ROUND(MOD(INDEX($A384:$AL384,MATCH(Lists!$F$6,$A$1:$AL$1,0)),1)*1440,0),VALUE(LEFT(INDEX($A384:$AL384,MATCH(Lists!$F$6,$A$1:$AL$1,0)),2))*60+VALUE(MID(INDEX($A384:$AL384,MATCH(Lists!$F$6,$A$1:$AL$1,0)),4,2)))),""),-1))</f>
        <v/>
      </c>
      <c r="AV384" s="21">
        <f>IF(IFERROR(TRIM(INDEX($A384:$AL384,MATCH(Lists!$F$2,$A$1:$AL$1,0))&amp;""),"")="",-1,IF(ISNUMBER(IFERROR(IF(TRIM(INDEX($A384:$AL384,MATCH(Lists!$F$7,$A$1:$AL$1,0))&amp;"")="","",IF(ISNUMBER(INDEX($A384:$AL384,MATCH(Lists!$F$7,$A$1:$AL$1,0))),ROUND(MOD(INDEX($A384:$AL384,MATCH(Lists!$F$7,$A$1:$AL$1,0)),1)*1440,0),VALUE(LEFT(INDEX($A384:$AL384,MATCH(Lists!$F$7,$A$1:$AL$1,0)),2))*60+VALUE(MID(INDEX($A384:$AL384,MATCH(Lists!$F$7,$A$1:$AL$1,0)),4,2)))),"")),IFERROR(IF(TRIM(INDEX($A384:$AL384,MATCH(Lists!$F$7,$A$1:$AL$1,0))&amp;"")="","",IF(ISNUMBER(INDEX($A384:$AL384,MATCH(Lists!$F$7,$A$1:$AL$1,0))),ROUND(MOD(INDEX($A384:$AL384,MATCH(Lists!$F$7,$A$1:$AL$1,0)),1)*1440,0),VALUE(LEFT(INDEX($A384:$AL384,MATCH(Lists!$F$7,$A$1:$AL$1,0)),2))*60+VALUE(MID(INDEX($A384:$AL384,MATCH(Lists!$F$7,$A$1:$AL$1,0)),4,2)))),""),-1))</f>
        <v/>
      </c>
      <c r="AW384" s="21">
        <f>IF(IFERROR(TRIM(INDEX($A384:$AL384,MATCH(Lists!$F$2,$A$1:$AL$1,0))&amp;""),"")="","",IF(IFERROR(TRIM(INDEX($A384:$AL384,MATCH(Lists!$F$8,$A$1:$AL$1,0))&amp;""),"")&lt;&gt;"",IFERROR(TRIM(INDEX($A384:$AL384,MATCH(Lists!$F$8,$A$1:$AL$1,0))&amp;""),""),IFERROR(TRIM(INDEX($A384:$AL384,MATCH(Lists!$F$9,$A$1:$AL$1,0))&amp;""),"")))</f>
        <v/>
      </c>
      <c r="AX384" s="21">
        <f>IFERROR(IF(TRIM(INDEX($A384:$AL384,MATCH(Lists!$F$10,$A$1:$AL$1,0))&amp;"")="","",VALUE(TRIM(INDEX($A384:$AL384,MATCH(Lists!$F$10,$A$1:$AL$1,0))&amp;""))),"")</f>
        <v/>
      </c>
      <c r="AY384" s="21">
        <f>IF(IFERROR(TRIM(INDEX($A384:$AL384,MATCH(Lists!$F$2,$A$1:$AL$1,0))&amp;""),"")="","",IF(AN384="","New",AN384))</f>
        <v/>
      </c>
      <c r="AZ384" s="21">
        <f>IF(IFERROR(TRIM(INDEX($A384:$AL384,MATCH(Lists!$F$2,$A$1:$AL$1,0))&amp;""),"")="","",IF(OR(IFERROR(TRIM(INDEX($A384:$AL384,MATCH(Lists!$F$13,$A$1:$AL$1,0))&amp;""),"")="Paid",IFERROR(TRIM(INDEX($A384:$AL384,MATCH(Lists!$F$13,$A$1:$AL$1,0))&amp;""),"")="Partially refunded"),"Paid",IF(AP384="Yes","Paid (by hand)",IFERROR(TRIM(INDEX($A384:$AL384,MATCH(Lists!$F$13,$A$1:$AL$1,0))&amp;""),""))))</f>
        <v/>
      </c>
      <c r="BA384" s="21">
        <f>IF(AND(IFERROR(TRIM(INDEX($A384:$AL384,MATCH(Lists!$F$2,$A$1:$AL$1,0))&amp;""),"")&lt;&gt;"",AT384&gt;0,AU384&gt;=0,AV384&gt;AU384,AY384&lt;&gt;"Declined"),1,0)</f>
        <v/>
      </c>
      <c r="BB384" s="21">
        <f>IF(BA384=1,COUNTIFS($AS$2:$AS$501,AS384,$AT$2:$AT$501,AT384,$AU$2:$AU$501,"&lt;"&amp;AV384,$AV$2:$AV$501,"&gt;"&amp;AU384,$BA$2:$BA$501,1)-1,"")</f>
        <v/>
      </c>
      <c r="BC384" s="21">
        <f>IF(N(BB384)&gt;0,"Clashes with "&amp;INDEX($AW$2:$AW$501,SUMPRODUCT(MAX(($AS$2:$AS$501=AS384)*($AT$2:$AT$501=AT384)*($AU$2:$AU$501&lt;AV384)*($AV$2:$AV$501&gt;AU384)*($BA$2:$BA$501=1)*(ROW($AS$2:$AS$501)&lt;&gt;ROW())*ROW($AS$2:$AS$501)))-1)&amp;" ("&amp;INDEX($AY$2:$AY$501,SUMPRODUCT(MAX(($AS$2:$AS$501=AS384)*($AT$2:$AT$501=AT384)*($AU$2:$AU$501&lt;AV384)*($AV$2:$AV$501&gt;AU384)*($BA$2:$BA$501=1)*(ROW($AS$2:$AS$501)&lt;&gt;ROW())*ROW($AS$2:$AS$501)))-1)&amp;")"&amp;IF(BB384&gt;1," and "&amp;(BB384-1)&amp;" more",""),"")</f>
        <v/>
      </c>
      <c r="BD384" s="21">
        <f>IF(AND(BA384=1,AY384="Confirmed"),AT384*10000000+AU384*1000+ROW(),"")</f>
        <v/>
      </c>
      <c r="BE384" s="21">
        <f>IF(IFERROR(TRIM(INDEX($A384:$AL384,MATCH(Lists!$F$2,$A$1:$AL$1,0))&amp;""),"")="","",IFERROR(TRIM(INDEX($A384:$AL384,MATCH(Lists!$F$11,$A$1:$AL$1,0))&amp;""),""))</f>
        <v/>
      </c>
      <c r="BF384" s="21">
        <f>IF(IFERROR(TRIM(INDEX($A384:$AL384,MATCH(Lists!$F$2,$A$1:$AL$1,0))&amp;""),"")="","",IFERROR(TRIM(INDEX($A384:$AL384,MATCH(Lists!$F$12,$A$1:$AL$1,0))&amp;""),""))</f>
        <v/>
      </c>
    </row>
    <row r="385">
      <c r="AM385" s="19" t="n"/>
      <c r="AN385" s="23" t="n"/>
      <c r="AO385" s="23" t="n"/>
      <c r="AP385" s="23" t="n"/>
      <c r="AQ385" s="23" t="n"/>
      <c r="AR385" s="19" t="n"/>
      <c r="AS385" s="21">
        <f>IF(IFERROR(TRIM(INDEX($A385:$AL385,MATCH(Lists!$F$2,$A$1:$AL$1,0))&amp;""),"")="","",IF(AND(IFERROR(TRIM(INDEX($A385:$AL385,MATCH(Lists!$F$3,$A$1:$AL$1,0))&amp;""),"")="Other",IFERROR(TRIM(INDEX($A385:$AL385,MATCH(Lists!$F$4,$A$1:$AL$1,0))&amp;""),"")&lt;&gt;""),IFERROR(TRIM(INDEX($A385:$AL385,MATCH(Lists!$F$4,$A$1:$AL$1,0))&amp;""),""),IF(IFERROR(TRIM(INDEX($A385:$AL385,MATCH(Lists!$F$3,$A$1:$AL$1,0))&amp;""),"")="","(no space)",IFERROR(TRIM(INDEX($A385:$AL385,MATCH(Lists!$F$3,$A$1:$AL$1,0))&amp;""),""))))</f>
        <v/>
      </c>
      <c r="AT385" s="22">
        <f>IF(IFERROR(TRIM(INDEX($A385:$AL385,MATCH(Lists!$F$2,$A$1:$AL$1,0))&amp;""),"")="",0,N(IFERROR(IF(TRIM(INDEX($A385:$AL385,MATCH(Lists!$F$5,$A$1:$AL$1,0))&amp;"")="","",IF(ISNUMBER(INDEX($A385:$AL385,MATCH(Lists!$F$5,$A$1:$AL$1,0))),INT(INDEX($A385:$AL385,MATCH(Lists!$F$5,$A$1:$AL$1,0))),DATE(VALUE(LEFT(INDEX($A385:$AL385,MATCH(Lists!$F$5,$A$1:$AL$1,0)),4)),VALUE(MID(INDEX($A385:$AL385,MATCH(Lists!$F$5,$A$1:$AL$1,0)),6,2)),VALUE(MID(INDEX($A385:$AL385,MATCH(Lists!$F$5,$A$1:$AL$1,0)),9,2))))),"")))</f>
        <v/>
      </c>
      <c r="AU385" s="21">
        <f>IF(IFERROR(TRIM(INDEX($A385:$AL385,MATCH(Lists!$F$2,$A$1:$AL$1,0))&amp;""),"")="",-1,IF(ISNUMBER(IFERROR(IF(TRIM(INDEX($A385:$AL385,MATCH(Lists!$F$6,$A$1:$AL$1,0))&amp;"")="","",IF(ISNUMBER(INDEX($A385:$AL385,MATCH(Lists!$F$6,$A$1:$AL$1,0))),ROUND(MOD(INDEX($A385:$AL385,MATCH(Lists!$F$6,$A$1:$AL$1,0)),1)*1440,0),VALUE(LEFT(INDEX($A385:$AL385,MATCH(Lists!$F$6,$A$1:$AL$1,0)),2))*60+VALUE(MID(INDEX($A385:$AL385,MATCH(Lists!$F$6,$A$1:$AL$1,0)),4,2)))),"")),IFERROR(IF(TRIM(INDEX($A385:$AL385,MATCH(Lists!$F$6,$A$1:$AL$1,0))&amp;"")="","",IF(ISNUMBER(INDEX($A385:$AL385,MATCH(Lists!$F$6,$A$1:$AL$1,0))),ROUND(MOD(INDEX($A385:$AL385,MATCH(Lists!$F$6,$A$1:$AL$1,0)),1)*1440,0),VALUE(LEFT(INDEX($A385:$AL385,MATCH(Lists!$F$6,$A$1:$AL$1,0)),2))*60+VALUE(MID(INDEX($A385:$AL385,MATCH(Lists!$F$6,$A$1:$AL$1,0)),4,2)))),""),-1))</f>
        <v/>
      </c>
      <c r="AV385" s="21">
        <f>IF(IFERROR(TRIM(INDEX($A385:$AL385,MATCH(Lists!$F$2,$A$1:$AL$1,0))&amp;""),"")="",-1,IF(ISNUMBER(IFERROR(IF(TRIM(INDEX($A385:$AL385,MATCH(Lists!$F$7,$A$1:$AL$1,0))&amp;"")="","",IF(ISNUMBER(INDEX($A385:$AL385,MATCH(Lists!$F$7,$A$1:$AL$1,0))),ROUND(MOD(INDEX($A385:$AL385,MATCH(Lists!$F$7,$A$1:$AL$1,0)),1)*1440,0),VALUE(LEFT(INDEX($A385:$AL385,MATCH(Lists!$F$7,$A$1:$AL$1,0)),2))*60+VALUE(MID(INDEX($A385:$AL385,MATCH(Lists!$F$7,$A$1:$AL$1,0)),4,2)))),"")),IFERROR(IF(TRIM(INDEX($A385:$AL385,MATCH(Lists!$F$7,$A$1:$AL$1,0))&amp;"")="","",IF(ISNUMBER(INDEX($A385:$AL385,MATCH(Lists!$F$7,$A$1:$AL$1,0))),ROUND(MOD(INDEX($A385:$AL385,MATCH(Lists!$F$7,$A$1:$AL$1,0)),1)*1440,0),VALUE(LEFT(INDEX($A385:$AL385,MATCH(Lists!$F$7,$A$1:$AL$1,0)),2))*60+VALUE(MID(INDEX($A385:$AL385,MATCH(Lists!$F$7,$A$1:$AL$1,0)),4,2)))),""),-1))</f>
        <v/>
      </c>
      <c r="AW385" s="21">
        <f>IF(IFERROR(TRIM(INDEX($A385:$AL385,MATCH(Lists!$F$2,$A$1:$AL$1,0))&amp;""),"")="","",IF(IFERROR(TRIM(INDEX($A385:$AL385,MATCH(Lists!$F$8,$A$1:$AL$1,0))&amp;""),"")&lt;&gt;"",IFERROR(TRIM(INDEX($A385:$AL385,MATCH(Lists!$F$8,$A$1:$AL$1,0))&amp;""),""),IFERROR(TRIM(INDEX($A385:$AL385,MATCH(Lists!$F$9,$A$1:$AL$1,0))&amp;""),"")))</f>
        <v/>
      </c>
      <c r="AX385" s="21">
        <f>IFERROR(IF(TRIM(INDEX($A385:$AL385,MATCH(Lists!$F$10,$A$1:$AL$1,0))&amp;"")="","",VALUE(TRIM(INDEX($A385:$AL385,MATCH(Lists!$F$10,$A$1:$AL$1,0))&amp;""))),"")</f>
        <v/>
      </c>
      <c r="AY385" s="21">
        <f>IF(IFERROR(TRIM(INDEX($A385:$AL385,MATCH(Lists!$F$2,$A$1:$AL$1,0))&amp;""),"")="","",IF(AN385="","New",AN385))</f>
        <v/>
      </c>
      <c r="AZ385" s="21">
        <f>IF(IFERROR(TRIM(INDEX($A385:$AL385,MATCH(Lists!$F$2,$A$1:$AL$1,0))&amp;""),"")="","",IF(OR(IFERROR(TRIM(INDEX($A385:$AL385,MATCH(Lists!$F$13,$A$1:$AL$1,0))&amp;""),"")="Paid",IFERROR(TRIM(INDEX($A385:$AL385,MATCH(Lists!$F$13,$A$1:$AL$1,0))&amp;""),"")="Partially refunded"),"Paid",IF(AP385="Yes","Paid (by hand)",IFERROR(TRIM(INDEX($A385:$AL385,MATCH(Lists!$F$13,$A$1:$AL$1,0))&amp;""),""))))</f>
        <v/>
      </c>
      <c r="BA385" s="21">
        <f>IF(AND(IFERROR(TRIM(INDEX($A385:$AL385,MATCH(Lists!$F$2,$A$1:$AL$1,0))&amp;""),"")&lt;&gt;"",AT385&gt;0,AU385&gt;=0,AV385&gt;AU385,AY385&lt;&gt;"Declined"),1,0)</f>
        <v/>
      </c>
      <c r="BB385" s="21">
        <f>IF(BA385=1,COUNTIFS($AS$2:$AS$501,AS385,$AT$2:$AT$501,AT385,$AU$2:$AU$501,"&lt;"&amp;AV385,$AV$2:$AV$501,"&gt;"&amp;AU385,$BA$2:$BA$501,1)-1,"")</f>
        <v/>
      </c>
      <c r="BC385" s="21">
        <f>IF(N(BB385)&gt;0,"Clashes with "&amp;INDEX($AW$2:$AW$501,SUMPRODUCT(MAX(($AS$2:$AS$501=AS385)*($AT$2:$AT$501=AT385)*($AU$2:$AU$501&lt;AV385)*($AV$2:$AV$501&gt;AU385)*($BA$2:$BA$501=1)*(ROW($AS$2:$AS$501)&lt;&gt;ROW())*ROW($AS$2:$AS$501)))-1)&amp;" ("&amp;INDEX($AY$2:$AY$501,SUMPRODUCT(MAX(($AS$2:$AS$501=AS385)*($AT$2:$AT$501=AT385)*($AU$2:$AU$501&lt;AV385)*($AV$2:$AV$501&gt;AU385)*($BA$2:$BA$501=1)*(ROW($AS$2:$AS$501)&lt;&gt;ROW())*ROW($AS$2:$AS$501)))-1)&amp;")"&amp;IF(BB385&gt;1," and "&amp;(BB385-1)&amp;" more",""),"")</f>
        <v/>
      </c>
      <c r="BD385" s="21">
        <f>IF(AND(BA385=1,AY385="Confirmed"),AT385*10000000+AU385*1000+ROW(),"")</f>
        <v/>
      </c>
      <c r="BE385" s="21">
        <f>IF(IFERROR(TRIM(INDEX($A385:$AL385,MATCH(Lists!$F$2,$A$1:$AL$1,0))&amp;""),"")="","",IFERROR(TRIM(INDEX($A385:$AL385,MATCH(Lists!$F$11,$A$1:$AL$1,0))&amp;""),""))</f>
        <v/>
      </c>
      <c r="BF385" s="21">
        <f>IF(IFERROR(TRIM(INDEX($A385:$AL385,MATCH(Lists!$F$2,$A$1:$AL$1,0))&amp;""),"")="","",IFERROR(TRIM(INDEX($A385:$AL385,MATCH(Lists!$F$12,$A$1:$AL$1,0))&amp;""),""))</f>
        <v/>
      </c>
    </row>
    <row r="386">
      <c r="AM386" s="19" t="n"/>
      <c r="AN386" s="23" t="n"/>
      <c r="AO386" s="23" t="n"/>
      <c r="AP386" s="23" t="n"/>
      <c r="AQ386" s="23" t="n"/>
      <c r="AR386" s="19" t="n"/>
      <c r="AS386" s="21">
        <f>IF(IFERROR(TRIM(INDEX($A386:$AL386,MATCH(Lists!$F$2,$A$1:$AL$1,0))&amp;""),"")="","",IF(AND(IFERROR(TRIM(INDEX($A386:$AL386,MATCH(Lists!$F$3,$A$1:$AL$1,0))&amp;""),"")="Other",IFERROR(TRIM(INDEX($A386:$AL386,MATCH(Lists!$F$4,$A$1:$AL$1,0))&amp;""),"")&lt;&gt;""),IFERROR(TRIM(INDEX($A386:$AL386,MATCH(Lists!$F$4,$A$1:$AL$1,0))&amp;""),""),IF(IFERROR(TRIM(INDEX($A386:$AL386,MATCH(Lists!$F$3,$A$1:$AL$1,0))&amp;""),"")="","(no space)",IFERROR(TRIM(INDEX($A386:$AL386,MATCH(Lists!$F$3,$A$1:$AL$1,0))&amp;""),""))))</f>
        <v/>
      </c>
      <c r="AT386" s="22">
        <f>IF(IFERROR(TRIM(INDEX($A386:$AL386,MATCH(Lists!$F$2,$A$1:$AL$1,0))&amp;""),"")="",0,N(IFERROR(IF(TRIM(INDEX($A386:$AL386,MATCH(Lists!$F$5,$A$1:$AL$1,0))&amp;"")="","",IF(ISNUMBER(INDEX($A386:$AL386,MATCH(Lists!$F$5,$A$1:$AL$1,0))),INT(INDEX($A386:$AL386,MATCH(Lists!$F$5,$A$1:$AL$1,0))),DATE(VALUE(LEFT(INDEX($A386:$AL386,MATCH(Lists!$F$5,$A$1:$AL$1,0)),4)),VALUE(MID(INDEX($A386:$AL386,MATCH(Lists!$F$5,$A$1:$AL$1,0)),6,2)),VALUE(MID(INDEX($A386:$AL386,MATCH(Lists!$F$5,$A$1:$AL$1,0)),9,2))))),"")))</f>
        <v/>
      </c>
      <c r="AU386" s="21">
        <f>IF(IFERROR(TRIM(INDEX($A386:$AL386,MATCH(Lists!$F$2,$A$1:$AL$1,0))&amp;""),"")="",-1,IF(ISNUMBER(IFERROR(IF(TRIM(INDEX($A386:$AL386,MATCH(Lists!$F$6,$A$1:$AL$1,0))&amp;"")="","",IF(ISNUMBER(INDEX($A386:$AL386,MATCH(Lists!$F$6,$A$1:$AL$1,0))),ROUND(MOD(INDEX($A386:$AL386,MATCH(Lists!$F$6,$A$1:$AL$1,0)),1)*1440,0),VALUE(LEFT(INDEX($A386:$AL386,MATCH(Lists!$F$6,$A$1:$AL$1,0)),2))*60+VALUE(MID(INDEX($A386:$AL386,MATCH(Lists!$F$6,$A$1:$AL$1,0)),4,2)))),"")),IFERROR(IF(TRIM(INDEX($A386:$AL386,MATCH(Lists!$F$6,$A$1:$AL$1,0))&amp;"")="","",IF(ISNUMBER(INDEX($A386:$AL386,MATCH(Lists!$F$6,$A$1:$AL$1,0))),ROUND(MOD(INDEX($A386:$AL386,MATCH(Lists!$F$6,$A$1:$AL$1,0)),1)*1440,0),VALUE(LEFT(INDEX($A386:$AL386,MATCH(Lists!$F$6,$A$1:$AL$1,0)),2))*60+VALUE(MID(INDEX($A386:$AL386,MATCH(Lists!$F$6,$A$1:$AL$1,0)),4,2)))),""),-1))</f>
        <v/>
      </c>
      <c r="AV386" s="21">
        <f>IF(IFERROR(TRIM(INDEX($A386:$AL386,MATCH(Lists!$F$2,$A$1:$AL$1,0))&amp;""),"")="",-1,IF(ISNUMBER(IFERROR(IF(TRIM(INDEX($A386:$AL386,MATCH(Lists!$F$7,$A$1:$AL$1,0))&amp;"")="","",IF(ISNUMBER(INDEX($A386:$AL386,MATCH(Lists!$F$7,$A$1:$AL$1,0))),ROUND(MOD(INDEX($A386:$AL386,MATCH(Lists!$F$7,$A$1:$AL$1,0)),1)*1440,0),VALUE(LEFT(INDEX($A386:$AL386,MATCH(Lists!$F$7,$A$1:$AL$1,0)),2))*60+VALUE(MID(INDEX($A386:$AL386,MATCH(Lists!$F$7,$A$1:$AL$1,0)),4,2)))),"")),IFERROR(IF(TRIM(INDEX($A386:$AL386,MATCH(Lists!$F$7,$A$1:$AL$1,0))&amp;"")="","",IF(ISNUMBER(INDEX($A386:$AL386,MATCH(Lists!$F$7,$A$1:$AL$1,0))),ROUND(MOD(INDEX($A386:$AL386,MATCH(Lists!$F$7,$A$1:$AL$1,0)),1)*1440,0),VALUE(LEFT(INDEX($A386:$AL386,MATCH(Lists!$F$7,$A$1:$AL$1,0)),2))*60+VALUE(MID(INDEX($A386:$AL386,MATCH(Lists!$F$7,$A$1:$AL$1,0)),4,2)))),""),-1))</f>
        <v/>
      </c>
      <c r="AW386" s="21">
        <f>IF(IFERROR(TRIM(INDEX($A386:$AL386,MATCH(Lists!$F$2,$A$1:$AL$1,0))&amp;""),"")="","",IF(IFERROR(TRIM(INDEX($A386:$AL386,MATCH(Lists!$F$8,$A$1:$AL$1,0))&amp;""),"")&lt;&gt;"",IFERROR(TRIM(INDEX($A386:$AL386,MATCH(Lists!$F$8,$A$1:$AL$1,0))&amp;""),""),IFERROR(TRIM(INDEX($A386:$AL386,MATCH(Lists!$F$9,$A$1:$AL$1,0))&amp;""),"")))</f>
        <v/>
      </c>
      <c r="AX386" s="21">
        <f>IFERROR(IF(TRIM(INDEX($A386:$AL386,MATCH(Lists!$F$10,$A$1:$AL$1,0))&amp;"")="","",VALUE(TRIM(INDEX($A386:$AL386,MATCH(Lists!$F$10,$A$1:$AL$1,0))&amp;""))),"")</f>
        <v/>
      </c>
      <c r="AY386" s="21">
        <f>IF(IFERROR(TRIM(INDEX($A386:$AL386,MATCH(Lists!$F$2,$A$1:$AL$1,0))&amp;""),"")="","",IF(AN386="","New",AN386))</f>
        <v/>
      </c>
      <c r="AZ386" s="21">
        <f>IF(IFERROR(TRIM(INDEX($A386:$AL386,MATCH(Lists!$F$2,$A$1:$AL$1,0))&amp;""),"")="","",IF(OR(IFERROR(TRIM(INDEX($A386:$AL386,MATCH(Lists!$F$13,$A$1:$AL$1,0))&amp;""),"")="Paid",IFERROR(TRIM(INDEX($A386:$AL386,MATCH(Lists!$F$13,$A$1:$AL$1,0))&amp;""),"")="Partially refunded"),"Paid",IF(AP386="Yes","Paid (by hand)",IFERROR(TRIM(INDEX($A386:$AL386,MATCH(Lists!$F$13,$A$1:$AL$1,0))&amp;""),""))))</f>
        <v/>
      </c>
      <c r="BA386" s="21">
        <f>IF(AND(IFERROR(TRIM(INDEX($A386:$AL386,MATCH(Lists!$F$2,$A$1:$AL$1,0))&amp;""),"")&lt;&gt;"",AT386&gt;0,AU386&gt;=0,AV386&gt;AU386,AY386&lt;&gt;"Declined"),1,0)</f>
        <v/>
      </c>
      <c r="BB386" s="21">
        <f>IF(BA386=1,COUNTIFS($AS$2:$AS$501,AS386,$AT$2:$AT$501,AT386,$AU$2:$AU$501,"&lt;"&amp;AV386,$AV$2:$AV$501,"&gt;"&amp;AU386,$BA$2:$BA$501,1)-1,"")</f>
        <v/>
      </c>
      <c r="BC386" s="21">
        <f>IF(N(BB386)&gt;0,"Clashes with "&amp;INDEX($AW$2:$AW$501,SUMPRODUCT(MAX(($AS$2:$AS$501=AS386)*($AT$2:$AT$501=AT386)*($AU$2:$AU$501&lt;AV386)*($AV$2:$AV$501&gt;AU386)*($BA$2:$BA$501=1)*(ROW($AS$2:$AS$501)&lt;&gt;ROW())*ROW($AS$2:$AS$501)))-1)&amp;" ("&amp;INDEX($AY$2:$AY$501,SUMPRODUCT(MAX(($AS$2:$AS$501=AS386)*($AT$2:$AT$501=AT386)*($AU$2:$AU$501&lt;AV386)*($AV$2:$AV$501&gt;AU386)*($BA$2:$BA$501=1)*(ROW($AS$2:$AS$501)&lt;&gt;ROW())*ROW($AS$2:$AS$501)))-1)&amp;")"&amp;IF(BB386&gt;1," and "&amp;(BB386-1)&amp;" more",""),"")</f>
        <v/>
      </c>
      <c r="BD386" s="21">
        <f>IF(AND(BA386=1,AY386="Confirmed"),AT386*10000000+AU386*1000+ROW(),"")</f>
        <v/>
      </c>
      <c r="BE386" s="21">
        <f>IF(IFERROR(TRIM(INDEX($A386:$AL386,MATCH(Lists!$F$2,$A$1:$AL$1,0))&amp;""),"")="","",IFERROR(TRIM(INDEX($A386:$AL386,MATCH(Lists!$F$11,$A$1:$AL$1,0))&amp;""),""))</f>
        <v/>
      </c>
      <c r="BF386" s="21">
        <f>IF(IFERROR(TRIM(INDEX($A386:$AL386,MATCH(Lists!$F$2,$A$1:$AL$1,0))&amp;""),"")="","",IFERROR(TRIM(INDEX($A386:$AL386,MATCH(Lists!$F$12,$A$1:$AL$1,0))&amp;""),""))</f>
        <v/>
      </c>
    </row>
    <row r="387">
      <c r="AM387" s="19" t="n"/>
      <c r="AN387" s="23" t="n"/>
      <c r="AO387" s="23" t="n"/>
      <c r="AP387" s="23" t="n"/>
      <c r="AQ387" s="23" t="n"/>
      <c r="AR387" s="19" t="n"/>
      <c r="AS387" s="21">
        <f>IF(IFERROR(TRIM(INDEX($A387:$AL387,MATCH(Lists!$F$2,$A$1:$AL$1,0))&amp;""),"")="","",IF(AND(IFERROR(TRIM(INDEX($A387:$AL387,MATCH(Lists!$F$3,$A$1:$AL$1,0))&amp;""),"")="Other",IFERROR(TRIM(INDEX($A387:$AL387,MATCH(Lists!$F$4,$A$1:$AL$1,0))&amp;""),"")&lt;&gt;""),IFERROR(TRIM(INDEX($A387:$AL387,MATCH(Lists!$F$4,$A$1:$AL$1,0))&amp;""),""),IF(IFERROR(TRIM(INDEX($A387:$AL387,MATCH(Lists!$F$3,$A$1:$AL$1,0))&amp;""),"")="","(no space)",IFERROR(TRIM(INDEX($A387:$AL387,MATCH(Lists!$F$3,$A$1:$AL$1,0))&amp;""),""))))</f>
        <v/>
      </c>
      <c r="AT387" s="22">
        <f>IF(IFERROR(TRIM(INDEX($A387:$AL387,MATCH(Lists!$F$2,$A$1:$AL$1,0))&amp;""),"")="",0,N(IFERROR(IF(TRIM(INDEX($A387:$AL387,MATCH(Lists!$F$5,$A$1:$AL$1,0))&amp;"")="","",IF(ISNUMBER(INDEX($A387:$AL387,MATCH(Lists!$F$5,$A$1:$AL$1,0))),INT(INDEX($A387:$AL387,MATCH(Lists!$F$5,$A$1:$AL$1,0))),DATE(VALUE(LEFT(INDEX($A387:$AL387,MATCH(Lists!$F$5,$A$1:$AL$1,0)),4)),VALUE(MID(INDEX($A387:$AL387,MATCH(Lists!$F$5,$A$1:$AL$1,0)),6,2)),VALUE(MID(INDEX($A387:$AL387,MATCH(Lists!$F$5,$A$1:$AL$1,0)),9,2))))),"")))</f>
        <v/>
      </c>
      <c r="AU387" s="21">
        <f>IF(IFERROR(TRIM(INDEX($A387:$AL387,MATCH(Lists!$F$2,$A$1:$AL$1,0))&amp;""),"")="",-1,IF(ISNUMBER(IFERROR(IF(TRIM(INDEX($A387:$AL387,MATCH(Lists!$F$6,$A$1:$AL$1,0))&amp;"")="","",IF(ISNUMBER(INDEX($A387:$AL387,MATCH(Lists!$F$6,$A$1:$AL$1,0))),ROUND(MOD(INDEX($A387:$AL387,MATCH(Lists!$F$6,$A$1:$AL$1,0)),1)*1440,0),VALUE(LEFT(INDEX($A387:$AL387,MATCH(Lists!$F$6,$A$1:$AL$1,0)),2))*60+VALUE(MID(INDEX($A387:$AL387,MATCH(Lists!$F$6,$A$1:$AL$1,0)),4,2)))),"")),IFERROR(IF(TRIM(INDEX($A387:$AL387,MATCH(Lists!$F$6,$A$1:$AL$1,0))&amp;"")="","",IF(ISNUMBER(INDEX($A387:$AL387,MATCH(Lists!$F$6,$A$1:$AL$1,0))),ROUND(MOD(INDEX($A387:$AL387,MATCH(Lists!$F$6,$A$1:$AL$1,0)),1)*1440,0),VALUE(LEFT(INDEX($A387:$AL387,MATCH(Lists!$F$6,$A$1:$AL$1,0)),2))*60+VALUE(MID(INDEX($A387:$AL387,MATCH(Lists!$F$6,$A$1:$AL$1,0)),4,2)))),""),-1))</f>
        <v/>
      </c>
      <c r="AV387" s="21">
        <f>IF(IFERROR(TRIM(INDEX($A387:$AL387,MATCH(Lists!$F$2,$A$1:$AL$1,0))&amp;""),"")="",-1,IF(ISNUMBER(IFERROR(IF(TRIM(INDEX($A387:$AL387,MATCH(Lists!$F$7,$A$1:$AL$1,0))&amp;"")="","",IF(ISNUMBER(INDEX($A387:$AL387,MATCH(Lists!$F$7,$A$1:$AL$1,0))),ROUND(MOD(INDEX($A387:$AL387,MATCH(Lists!$F$7,$A$1:$AL$1,0)),1)*1440,0),VALUE(LEFT(INDEX($A387:$AL387,MATCH(Lists!$F$7,$A$1:$AL$1,0)),2))*60+VALUE(MID(INDEX($A387:$AL387,MATCH(Lists!$F$7,$A$1:$AL$1,0)),4,2)))),"")),IFERROR(IF(TRIM(INDEX($A387:$AL387,MATCH(Lists!$F$7,$A$1:$AL$1,0))&amp;"")="","",IF(ISNUMBER(INDEX($A387:$AL387,MATCH(Lists!$F$7,$A$1:$AL$1,0))),ROUND(MOD(INDEX($A387:$AL387,MATCH(Lists!$F$7,$A$1:$AL$1,0)),1)*1440,0),VALUE(LEFT(INDEX($A387:$AL387,MATCH(Lists!$F$7,$A$1:$AL$1,0)),2))*60+VALUE(MID(INDEX($A387:$AL387,MATCH(Lists!$F$7,$A$1:$AL$1,0)),4,2)))),""),-1))</f>
        <v/>
      </c>
      <c r="AW387" s="21">
        <f>IF(IFERROR(TRIM(INDEX($A387:$AL387,MATCH(Lists!$F$2,$A$1:$AL$1,0))&amp;""),"")="","",IF(IFERROR(TRIM(INDEX($A387:$AL387,MATCH(Lists!$F$8,$A$1:$AL$1,0))&amp;""),"")&lt;&gt;"",IFERROR(TRIM(INDEX($A387:$AL387,MATCH(Lists!$F$8,$A$1:$AL$1,0))&amp;""),""),IFERROR(TRIM(INDEX($A387:$AL387,MATCH(Lists!$F$9,$A$1:$AL$1,0))&amp;""),"")))</f>
        <v/>
      </c>
      <c r="AX387" s="21">
        <f>IFERROR(IF(TRIM(INDEX($A387:$AL387,MATCH(Lists!$F$10,$A$1:$AL$1,0))&amp;"")="","",VALUE(TRIM(INDEX($A387:$AL387,MATCH(Lists!$F$10,$A$1:$AL$1,0))&amp;""))),"")</f>
        <v/>
      </c>
      <c r="AY387" s="21">
        <f>IF(IFERROR(TRIM(INDEX($A387:$AL387,MATCH(Lists!$F$2,$A$1:$AL$1,0))&amp;""),"")="","",IF(AN387="","New",AN387))</f>
        <v/>
      </c>
      <c r="AZ387" s="21">
        <f>IF(IFERROR(TRIM(INDEX($A387:$AL387,MATCH(Lists!$F$2,$A$1:$AL$1,0))&amp;""),"")="","",IF(OR(IFERROR(TRIM(INDEX($A387:$AL387,MATCH(Lists!$F$13,$A$1:$AL$1,0))&amp;""),"")="Paid",IFERROR(TRIM(INDEX($A387:$AL387,MATCH(Lists!$F$13,$A$1:$AL$1,0))&amp;""),"")="Partially refunded"),"Paid",IF(AP387="Yes","Paid (by hand)",IFERROR(TRIM(INDEX($A387:$AL387,MATCH(Lists!$F$13,$A$1:$AL$1,0))&amp;""),""))))</f>
        <v/>
      </c>
      <c r="BA387" s="21">
        <f>IF(AND(IFERROR(TRIM(INDEX($A387:$AL387,MATCH(Lists!$F$2,$A$1:$AL$1,0))&amp;""),"")&lt;&gt;"",AT387&gt;0,AU387&gt;=0,AV387&gt;AU387,AY387&lt;&gt;"Declined"),1,0)</f>
        <v/>
      </c>
      <c r="BB387" s="21">
        <f>IF(BA387=1,COUNTIFS($AS$2:$AS$501,AS387,$AT$2:$AT$501,AT387,$AU$2:$AU$501,"&lt;"&amp;AV387,$AV$2:$AV$501,"&gt;"&amp;AU387,$BA$2:$BA$501,1)-1,"")</f>
        <v/>
      </c>
      <c r="BC387" s="21">
        <f>IF(N(BB387)&gt;0,"Clashes with "&amp;INDEX($AW$2:$AW$501,SUMPRODUCT(MAX(($AS$2:$AS$501=AS387)*($AT$2:$AT$501=AT387)*($AU$2:$AU$501&lt;AV387)*($AV$2:$AV$501&gt;AU387)*($BA$2:$BA$501=1)*(ROW($AS$2:$AS$501)&lt;&gt;ROW())*ROW($AS$2:$AS$501)))-1)&amp;" ("&amp;INDEX($AY$2:$AY$501,SUMPRODUCT(MAX(($AS$2:$AS$501=AS387)*($AT$2:$AT$501=AT387)*($AU$2:$AU$501&lt;AV387)*($AV$2:$AV$501&gt;AU387)*($BA$2:$BA$501=1)*(ROW($AS$2:$AS$501)&lt;&gt;ROW())*ROW($AS$2:$AS$501)))-1)&amp;")"&amp;IF(BB387&gt;1," and "&amp;(BB387-1)&amp;" more",""),"")</f>
        <v/>
      </c>
      <c r="BD387" s="21">
        <f>IF(AND(BA387=1,AY387="Confirmed"),AT387*10000000+AU387*1000+ROW(),"")</f>
        <v/>
      </c>
      <c r="BE387" s="21">
        <f>IF(IFERROR(TRIM(INDEX($A387:$AL387,MATCH(Lists!$F$2,$A$1:$AL$1,0))&amp;""),"")="","",IFERROR(TRIM(INDEX($A387:$AL387,MATCH(Lists!$F$11,$A$1:$AL$1,0))&amp;""),""))</f>
        <v/>
      </c>
      <c r="BF387" s="21">
        <f>IF(IFERROR(TRIM(INDEX($A387:$AL387,MATCH(Lists!$F$2,$A$1:$AL$1,0))&amp;""),"")="","",IFERROR(TRIM(INDEX($A387:$AL387,MATCH(Lists!$F$12,$A$1:$AL$1,0))&amp;""),""))</f>
        <v/>
      </c>
    </row>
    <row r="388">
      <c r="AM388" s="19" t="n"/>
      <c r="AN388" s="23" t="n"/>
      <c r="AO388" s="23" t="n"/>
      <c r="AP388" s="23" t="n"/>
      <c r="AQ388" s="23" t="n"/>
      <c r="AR388" s="19" t="n"/>
      <c r="AS388" s="21">
        <f>IF(IFERROR(TRIM(INDEX($A388:$AL388,MATCH(Lists!$F$2,$A$1:$AL$1,0))&amp;""),"")="","",IF(AND(IFERROR(TRIM(INDEX($A388:$AL388,MATCH(Lists!$F$3,$A$1:$AL$1,0))&amp;""),"")="Other",IFERROR(TRIM(INDEX($A388:$AL388,MATCH(Lists!$F$4,$A$1:$AL$1,0))&amp;""),"")&lt;&gt;""),IFERROR(TRIM(INDEX($A388:$AL388,MATCH(Lists!$F$4,$A$1:$AL$1,0))&amp;""),""),IF(IFERROR(TRIM(INDEX($A388:$AL388,MATCH(Lists!$F$3,$A$1:$AL$1,0))&amp;""),"")="","(no space)",IFERROR(TRIM(INDEX($A388:$AL388,MATCH(Lists!$F$3,$A$1:$AL$1,0))&amp;""),""))))</f>
        <v/>
      </c>
      <c r="AT388" s="22">
        <f>IF(IFERROR(TRIM(INDEX($A388:$AL388,MATCH(Lists!$F$2,$A$1:$AL$1,0))&amp;""),"")="",0,N(IFERROR(IF(TRIM(INDEX($A388:$AL388,MATCH(Lists!$F$5,$A$1:$AL$1,0))&amp;"")="","",IF(ISNUMBER(INDEX($A388:$AL388,MATCH(Lists!$F$5,$A$1:$AL$1,0))),INT(INDEX($A388:$AL388,MATCH(Lists!$F$5,$A$1:$AL$1,0))),DATE(VALUE(LEFT(INDEX($A388:$AL388,MATCH(Lists!$F$5,$A$1:$AL$1,0)),4)),VALUE(MID(INDEX($A388:$AL388,MATCH(Lists!$F$5,$A$1:$AL$1,0)),6,2)),VALUE(MID(INDEX($A388:$AL388,MATCH(Lists!$F$5,$A$1:$AL$1,0)),9,2))))),"")))</f>
        <v/>
      </c>
      <c r="AU388" s="21">
        <f>IF(IFERROR(TRIM(INDEX($A388:$AL388,MATCH(Lists!$F$2,$A$1:$AL$1,0))&amp;""),"")="",-1,IF(ISNUMBER(IFERROR(IF(TRIM(INDEX($A388:$AL388,MATCH(Lists!$F$6,$A$1:$AL$1,0))&amp;"")="","",IF(ISNUMBER(INDEX($A388:$AL388,MATCH(Lists!$F$6,$A$1:$AL$1,0))),ROUND(MOD(INDEX($A388:$AL388,MATCH(Lists!$F$6,$A$1:$AL$1,0)),1)*1440,0),VALUE(LEFT(INDEX($A388:$AL388,MATCH(Lists!$F$6,$A$1:$AL$1,0)),2))*60+VALUE(MID(INDEX($A388:$AL388,MATCH(Lists!$F$6,$A$1:$AL$1,0)),4,2)))),"")),IFERROR(IF(TRIM(INDEX($A388:$AL388,MATCH(Lists!$F$6,$A$1:$AL$1,0))&amp;"")="","",IF(ISNUMBER(INDEX($A388:$AL388,MATCH(Lists!$F$6,$A$1:$AL$1,0))),ROUND(MOD(INDEX($A388:$AL388,MATCH(Lists!$F$6,$A$1:$AL$1,0)),1)*1440,0),VALUE(LEFT(INDEX($A388:$AL388,MATCH(Lists!$F$6,$A$1:$AL$1,0)),2))*60+VALUE(MID(INDEX($A388:$AL388,MATCH(Lists!$F$6,$A$1:$AL$1,0)),4,2)))),""),-1))</f>
        <v/>
      </c>
      <c r="AV388" s="21">
        <f>IF(IFERROR(TRIM(INDEX($A388:$AL388,MATCH(Lists!$F$2,$A$1:$AL$1,0))&amp;""),"")="",-1,IF(ISNUMBER(IFERROR(IF(TRIM(INDEX($A388:$AL388,MATCH(Lists!$F$7,$A$1:$AL$1,0))&amp;"")="","",IF(ISNUMBER(INDEX($A388:$AL388,MATCH(Lists!$F$7,$A$1:$AL$1,0))),ROUND(MOD(INDEX($A388:$AL388,MATCH(Lists!$F$7,$A$1:$AL$1,0)),1)*1440,0),VALUE(LEFT(INDEX($A388:$AL388,MATCH(Lists!$F$7,$A$1:$AL$1,0)),2))*60+VALUE(MID(INDEX($A388:$AL388,MATCH(Lists!$F$7,$A$1:$AL$1,0)),4,2)))),"")),IFERROR(IF(TRIM(INDEX($A388:$AL388,MATCH(Lists!$F$7,$A$1:$AL$1,0))&amp;"")="","",IF(ISNUMBER(INDEX($A388:$AL388,MATCH(Lists!$F$7,$A$1:$AL$1,0))),ROUND(MOD(INDEX($A388:$AL388,MATCH(Lists!$F$7,$A$1:$AL$1,0)),1)*1440,0),VALUE(LEFT(INDEX($A388:$AL388,MATCH(Lists!$F$7,$A$1:$AL$1,0)),2))*60+VALUE(MID(INDEX($A388:$AL388,MATCH(Lists!$F$7,$A$1:$AL$1,0)),4,2)))),""),-1))</f>
        <v/>
      </c>
      <c r="AW388" s="21">
        <f>IF(IFERROR(TRIM(INDEX($A388:$AL388,MATCH(Lists!$F$2,$A$1:$AL$1,0))&amp;""),"")="","",IF(IFERROR(TRIM(INDEX($A388:$AL388,MATCH(Lists!$F$8,$A$1:$AL$1,0))&amp;""),"")&lt;&gt;"",IFERROR(TRIM(INDEX($A388:$AL388,MATCH(Lists!$F$8,$A$1:$AL$1,0))&amp;""),""),IFERROR(TRIM(INDEX($A388:$AL388,MATCH(Lists!$F$9,$A$1:$AL$1,0))&amp;""),"")))</f>
        <v/>
      </c>
      <c r="AX388" s="21">
        <f>IFERROR(IF(TRIM(INDEX($A388:$AL388,MATCH(Lists!$F$10,$A$1:$AL$1,0))&amp;"")="","",VALUE(TRIM(INDEX($A388:$AL388,MATCH(Lists!$F$10,$A$1:$AL$1,0))&amp;""))),"")</f>
        <v/>
      </c>
      <c r="AY388" s="21">
        <f>IF(IFERROR(TRIM(INDEX($A388:$AL388,MATCH(Lists!$F$2,$A$1:$AL$1,0))&amp;""),"")="","",IF(AN388="","New",AN388))</f>
        <v/>
      </c>
      <c r="AZ388" s="21">
        <f>IF(IFERROR(TRIM(INDEX($A388:$AL388,MATCH(Lists!$F$2,$A$1:$AL$1,0))&amp;""),"")="","",IF(OR(IFERROR(TRIM(INDEX($A388:$AL388,MATCH(Lists!$F$13,$A$1:$AL$1,0))&amp;""),"")="Paid",IFERROR(TRIM(INDEX($A388:$AL388,MATCH(Lists!$F$13,$A$1:$AL$1,0))&amp;""),"")="Partially refunded"),"Paid",IF(AP388="Yes","Paid (by hand)",IFERROR(TRIM(INDEX($A388:$AL388,MATCH(Lists!$F$13,$A$1:$AL$1,0))&amp;""),""))))</f>
        <v/>
      </c>
      <c r="BA388" s="21">
        <f>IF(AND(IFERROR(TRIM(INDEX($A388:$AL388,MATCH(Lists!$F$2,$A$1:$AL$1,0))&amp;""),"")&lt;&gt;"",AT388&gt;0,AU388&gt;=0,AV388&gt;AU388,AY388&lt;&gt;"Declined"),1,0)</f>
        <v/>
      </c>
      <c r="BB388" s="21">
        <f>IF(BA388=1,COUNTIFS($AS$2:$AS$501,AS388,$AT$2:$AT$501,AT388,$AU$2:$AU$501,"&lt;"&amp;AV388,$AV$2:$AV$501,"&gt;"&amp;AU388,$BA$2:$BA$501,1)-1,"")</f>
        <v/>
      </c>
      <c r="BC388" s="21">
        <f>IF(N(BB388)&gt;0,"Clashes with "&amp;INDEX($AW$2:$AW$501,SUMPRODUCT(MAX(($AS$2:$AS$501=AS388)*($AT$2:$AT$501=AT388)*($AU$2:$AU$501&lt;AV388)*($AV$2:$AV$501&gt;AU388)*($BA$2:$BA$501=1)*(ROW($AS$2:$AS$501)&lt;&gt;ROW())*ROW($AS$2:$AS$501)))-1)&amp;" ("&amp;INDEX($AY$2:$AY$501,SUMPRODUCT(MAX(($AS$2:$AS$501=AS388)*($AT$2:$AT$501=AT388)*($AU$2:$AU$501&lt;AV388)*($AV$2:$AV$501&gt;AU388)*($BA$2:$BA$501=1)*(ROW($AS$2:$AS$501)&lt;&gt;ROW())*ROW($AS$2:$AS$501)))-1)&amp;")"&amp;IF(BB388&gt;1," and "&amp;(BB388-1)&amp;" more",""),"")</f>
        <v/>
      </c>
      <c r="BD388" s="21">
        <f>IF(AND(BA388=1,AY388="Confirmed"),AT388*10000000+AU388*1000+ROW(),"")</f>
        <v/>
      </c>
      <c r="BE388" s="21">
        <f>IF(IFERROR(TRIM(INDEX($A388:$AL388,MATCH(Lists!$F$2,$A$1:$AL$1,0))&amp;""),"")="","",IFERROR(TRIM(INDEX($A388:$AL388,MATCH(Lists!$F$11,$A$1:$AL$1,0))&amp;""),""))</f>
        <v/>
      </c>
      <c r="BF388" s="21">
        <f>IF(IFERROR(TRIM(INDEX($A388:$AL388,MATCH(Lists!$F$2,$A$1:$AL$1,0))&amp;""),"")="","",IFERROR(TRIM(INDEX($A388:$AL388,MATCH(Lists!$F$12,$A$1:$AL$1,0))&amp;""),""))</f>
        <v/>
      </c>
    </row>
    <row r="389">
      <c r="AM389" s="19" t="n"/>
      <c r="AN389" s="23" t="n"/>
      <c r="AO389" s="23" t="n"/>
      <c r="AP389" s="23" t="n"/>
      <c r="AQ389" s="23" t="n"/>
      <c r="AR389" s="19" t="n"/>
      <c r="AS389" s="21">
        <f>IF(IFERROR(TRIM(INDEX($A389:$AL389,MATCH(Lists!$F$2,$A$1:$AL$1,0))&amp;""),"")="","",IF(AND(IFERROR(TRIM(INDEX($A389:$AL389,MATCH(Lists!$F$3,$A$1:$AL$1,0))&amp;""),"")="Other",IFERROR(TRIM(INDEX($A389:$AL389,MATCH(Lists!$F$4,$A$1:$AL$1,0))&amp;""),"")&lt;&gt;""),IFERROR(TRIM(INDEX($A389:$AL389,MATCH(Lists!$F$4,$A$1:$AL$1,0))&amp;""),""),IF(IFERROR(TRIM(INDEX($A389:$AL389,MATCH(Lists!$F$3,$A$1:$AL$1,0))&amp;""),"")="","(no space)",IFERROR(TRIM(INDEX($A389:$AL389,MATCH(Lists!$F$3,$A$1:$AL$1,0))&amp;""),""))))</f>
        <v/>
      </c>
      <c r="AT389" s="22">
        <f>IF(IFERROR(TRIM(INDEX($A389:$AL389,MATCH(Lists!$F$2,$A$1:$AL$1,0))&amp;""),"")="",0,N(IFERROR(IF(TRIM(INDEX($A389:$AL389,MATCH(Lists!$F$5,$A$1:$AL$1,0))&amp;"")="","",IF(ISNUMBER(INDEX($A389:$AL389,MATCH(Lists!$F$5,$A$1:$AL$1,0))),INT(INDEX($A389:$AL389,MATCH(Lists!$F$5,$A$1:$AL$1,0))),DATE(VALUE(LEFT(INDEX($A389:$AL389,MATCH(Lists!$F$5,$A$1:$AL$1,0)),4)),VALUE(MID(INDEX($A389:$AL389,MATCH(Lists!$F$5,$A$1:$AL$1,0)),6,2)),VALUE(MID(INDEX($A389:$AL389,MATCH(Lists!$F$5,$A$1:$AL$1,0)),9,2))))),"")))</f>
        <v/>
      </c>
      <c r="AU389" s="21">
        <f>IF(IFERROR(TRIM(INDEX($A389:$AL389,MATCH(Lists!$F$2,$A$1:$AL$1,0))&amp;""),"")="",-1,IF(ISNUMBER(IFERROR(IF(TRIM(INDEX($A389:$AL389,MATCH(Lists!$F$6,$A$1:$AL$1,0))&amp;"")="","",IF(ISNUMBER(INDEX($A389:$AL389,MATCH(Lists!$F$6,$A$1:$AL$1,0))),ROUND(MOD(INDEX($A389:$AL389,MATCH(Lists!$F$6,$A$1:$AL$1,0)),1)*1440,0),VALUE(LEFT(INDEX($A389:$AL389,MATCH(Lists!$F$6,$A$1:$AL$1,0)),2))*60+VALUE(MID(INDEX($A389:$AL389,MATCH(Lists!$F$6,$A$1:$AL$1,0)),4,2)))),"")),IFERROR(IF(TRIM(INDEX($A389:$AL389,MATCH(Lists!$F$6,$A$1:$AL$1,0))&amp;"")="","",IF(ISNUMBER(INDEX($A389:$AL389,MATCH(Lists!$F$6,$A$1:$AL$1,0))),ROUND(MOD(INDEX($A389:$AL389,MATCH(Lists!$F$6,$A$1:$AL$1,0)),1)*1440,0),VALUE(LEFT(INDEX($A389:$AL389,MATCH(Lists!$F$6,$A$1:$AL$1,0)),2))*60+VALUE(MID(INDEX($A389:$AL389,MATCH(Lists!$F$6,$A$1:$AL$1,0)),4,2)))),""),-1))</f>
        <v/>
      </c>
      <c r="AV389" s="21">
        <f>IF(IFERROR(TRIM(INDEX($A389:$AL389,MATCH(Lists!$F$2,$A$1:$AL$1,0))&amp;""),"")="",-1,IF(ISNUMBER(IFERROR(IF(TRIM(INDEX($A389:$AL389,MATCH(Lists!$F$7,$A$1:$AL$1,0))&amp;"")="","",IF(ISNUMBER(INDEX($A389:$AL389,MATCH(Lists!$F$7,$A$1:$AL$1,0))),ROUND(MOD(INDEX($A389:$AL389,MATCH(Lists!$F$7,$A$1:$AL$1,0)),1)*1440,0),VALUE(LEFT(INDEX($A389:$AL389,MATCH(Lists!$F$7,$A$1:$AL$1,0)),2))*60+VALUE(MID(INDEX($A389:$AL389,MATCH(Lists!$F$7,$A$1:$AL$1,0)),4,2)))),"")),IFERROR(IF(TRIM(INDEX($A389:$AL389,MATCH(Lists!$F$7,$A$1:$AL$1,0))&amp;"")="","",IF(ISNUMBER(INDEX($A389:$AL389,MATCH(Lists!$F$7,$A$1:$AL$1,0))),ROUND(MOD(INDEX($A389:$AL389,MATCH(Lists!$F$7,$A$1:$AL$1,0)),1)*1440,0),VALUE(LEFT(INDEX($A389:$AL389,MATCH(Lists!$F$7,$A$1:$AL$1,0)),2))*60+VALUE(MID(INDEX($A389:$AL389,MATCH(Lists!$F$7,$A$1:$AL$1,0)),4,2)))),""),-1))</f>
        <v/>
      </c>
      <c r="AW389" s="21">
        <f>IF(IFERROR(TRIM(INDEX($A389:$AL389,MATCH(Lists!$F$2,$A$1:$AL$1,0))&amp;""),"")="","",IF(IFERROR(TRIM(INDEX($A389:$AL389,MATCH(Lists!$F$8,$A$1:$AL$1,0))&amp;""),"")&lt;&gt;"",IFERROR(TRIM(INDEX($A389:$AL389,MATCH(Lists!$F$8,$A$1:$AL$1,0))&amp;""),""),IFERROR(TRIM(INDEX($A389:$AL389,MATCH(Lists!$F$9,$A$1:$AL$1,0))&amp;""),"")))</f>
        <v/>
      </c>
      <c r="AX389" s="21">
        <f>IFERROR(IF(TRIM(INDEX($A389:$AL389,MATCH(Lists!$F$10,$A$1:$AL$1,0))&amp;"")="","",VALUE(TRIM(INDEX($A389:$AL389,MATCH(Lists!$F$10,$A$1:$AL$1,0))&amp;""))),"")</f>
        <v/>
      </c>
      <c r="AY389" s="21">
        <f>IF(IFERROR(TRIM(INDEX($A389:$AL389,MATCH(Lists!$F$2,$A$1:$AL$1,0))&amp;""),"")="","",IF(AN389="","New",AN389))</f>
        <v/>
      </c>
      <c r="AZ389" s="21">
        <f>IF(IFERROR(TRIM(INDEX($A389:$AL389,MATCH(Lists!$F$2,$A$1:$AL$1,0))&amp;""),"")="","",IF(OR(IFERROR(TRIM(INDEX($A389:$AL389,MATCH(Lists!$F$13,$A$1:$AL$1,0))&amp;""),"")="Paid",IFERROR(TRIM(INDEX($A389:$AL389,MATCH(Lists!$F$13,$A$1:$AL$1,0))&amp;""),"")="Partially refunded"),"Paid",IF(AP389="Yes","Paid (by hand)",IFERROR(TRIM(INDEX($A389:$AL389,MATCH(Lists!$F$13,$A$1:$AL$1,0))&amp;""),""))))</f>
        <v/>
      </c>
      <c r="BA389" s="21">
        <f>IF(AND(IFERROR(TRIM(INDEX($A389:$AL389,MATCH(Lists!$F$2,$A$1:$AL$1,0))&amp;""),"")&lt;&gt;"",AT389&gt;0,AU389&gt;=0,AV389&gt;AU389,AY389&lt;&gt;"Declined"),1,0)</f>
        <v/>
      </c>
      <c r="BB389" s="21">
        <f>IF(BA389=1,COUNTIFS($AS$2:$AS$501,AS389,$AT$2:$AT$501,AT389,$AU$2:$AU$501,"&lt;"&amp;AV389,$AV$2:$AV$501,"&gt;"&amp;AU389,$BA$2:$BA$501,1)-1,"")</f>
        <v/>
      </c>
      <c r="BC389" s="21">
        <f>IF(N(BB389)&gt;0,"Clashes with "&amp;INDEX($AW$2:$AW$501,SUMPRODUCT(MAX(($AS$2:$AS$501=AS389)*($AT$2:$AT$501=AT389)*($AU$2:$AU$501&lt;AV389)*($AV$2:$AV$501&gt;AU389)*($BA$2:$BA$501=1)*(ROW($AS$2:$AS$501)&lt;&gt;ROW())*ROW($AS$2:$AS$501)))-1)&amp;" ("&amp;INDEX($AY$2:$AY$501,SUMPRODUCT(MAX(($AS$2:$AS$501=AS389)*($AT$2:$AT$501=AT389)*($AU$2:$AU$501&lt;AV389)*($AV$2:$AV$501&gt;AU389)*($BA$2:$BA$501=1)*(ROW($AS$2:$AS$501)&lt;&gt;ROW())*ROW($AS$2:$AS$501)))-1)&amp;")"&amp;IF(BB389&gt;1," and "&amp;(BB389-1)&amp;" more",""),"")</f>
        <v/>
      </c>
      <c r="BD389" s="21">
        <f>IF(AND(BA389=1,AY389="Confirmed"),AT389*10000000+AU389*1000+ROW(),"")</f>
        <v/>
      </c>
      <c r="BE389" s="21">
        <f>IF(IFERROR(TRIM(INDEX($A389:$AL389,MATCH(Lists!$F$2,$A$1:$AL$1,0))&amp;""),"")="","",IFERROR(TRIM(INDEX($A389:$AL389,MATCH(Lists!$F$11,$A$1:$AL$1,0))&amp;""),""))</f>
        <v/>
      </c>
      <c r="BF389" s="21">
        <f>IF(IFERROR(TRIM(INDEX($A389:$AL389,MATCH(Lists!$F$2,$A$1:$AL$1,0))&amp;""),"")="","",IFERROR(TRIM(INDEX($A389:$AL389,MATCH(Lists!$F$12,$A$1:$AL$1,0))&amp;""),""))</f>
        <v/>
      </c>
    </row>
    <row r="390">
      <c r="AM390" s="19" t="n"/>
      <c r="AN390" s="23" t="n"/>
      <c r="AO390" s="23" t="n"/>
      <c r="AP390" s="23" t="n"/>
      <c r="AQ390" s="23" t="n"/>
      <c r="AR390" s="19" t="n"/>
      <c r="AS390" s="21">
        <f>IF(IFERROR(TRIM(INDEX($A390:$AL390,MATCH(Lists!$F$2,$A$1:$AL$1,0))&amp;""),"")="","",IF(AND(IFERROR(TRIM(INDEX($A390:$AL390,MATCH(Lists!$F$3,$A$1:$AL$1,0))&amp;""),"")="Other",IFERROR(TRIM(INDEX($A390:$AL390,MATCH(Lists!$F$4,$A$1:$AL$1,0))&amp;""),"")&lt;&gt;""),IFERROR(TRIM(INDEX($A390:$AL390,MATCH(Lists!$F$4,$A$1:$AL$1,0))&amp;""),""),IF(IFERROR(TRIM(INDEX($A390:$AL390,MATCH(Lists!$F$3,$A$1:$AL$1,0))&amp;""),"")="","(no space)",IFERROR(TRIM(INDEX($A390:$AL390,MATCH(Lists!$F$3,$A$1:$AL$1,0))&amp;""),""))))</f>
        <v/>
      </c>
      <c r="AT390" s="22">
        <f>IF(IFERROR(TRIM(INDEX($A390:$AL390,MATCH(Lists!$F$2,$A$1:$AL$1,0))&amp;""),"")="",0,N(IFERROR(IF(TRIM(INDEX($A390:$AL390,MATCH(Lists!$F$5,$A$1:$AL$1,0))&amp;"")="","",IF(ISNUMBER(INDEX($A390:$AL390,MATCH(Lists!$F$5,$A$1:$AL$1,0))),INT(INDEX($A390:$AL390,MATCH(Lists!$F$5,$A$1:$AL$1,0))),DATE(VALUE(LEFT(INDEX($A390:$AL390,MATCH(Lists!$F$5,$A$1:$AL$1,0)),4)),VALUE(MID(INDEX($A390:$AL390,MATCH(Lists!$F$5,$A$1:$AL$1,0)),6,2)),VALUE(MID(INDEX($A390:$AL390,MATCH(Lists!$F$5,$A$1:$AL$1,0)),9,2))))),"")))</f>
        <v/>
      </c>
      <c r="AU390" s="21">
        <f>IF(IFERROR(TRIM(INDEX($A390:$AL390,MATCH(Lists!$F$2,$A$1:$AL$1,0))&amp;""),"")="",-1,IF(ISNUMBER(IFERROR(IF(TRIM(INDEX($A390:$AL390,MATCH(Lists!$F$6,$A$1:$AL$1,0))&amp;"")="","",IF(ISNUMBER(INDEX($A390:$AL390,MATCH(Lists!$F$6,$A$1:$AL$1,0))),ROUND(MOD(INDEX($A390:$AL390,MATCH(Lists!$F$6,$A$1:$AL$1,0)),1)*1440,0),VALUE(LEFT(INDEX($A390:$AL390,MATCH(Lists!$F$6,$A$1:$AL$1,0)),2))*60+VALUE(MID(INDEX($A390:$AL390,MATCH(Lists!$F$6,$A$1:$AL$1,0)),4,2)))),"")),IFERROR(IF(TRIM(INDEX($A390:$AL390,MATCH(Lists!$F$6,$A$1:$AL$1,0))&amp;"")="","",IF(ISNUMBER(INDEX($A390:$AL390,MATCH(Lists!$F$6,$A$1:$AL$1,0))),ROUND(MOD(INDEX($A390:$AL390,MATCH(Lists!$F$6,$A$1:$AL$1,0)),1)*1440,0),VALUE(LEFT(INDEX($A390:$AL390,MATCH(Lists!$F$6,$A$1:$AL$1,0)),2))*60+VALUE(MID(INDEX($A390:$AL390,MATCH(Lists!$F$6,$A$1:$AL$1,0)),4,2)))),""),-1))</f>
        <v/>
      </c>
      <c r="AV390" s="21">
        <f>IF(IFERROR(TRIM(INDEX($A390:$AL390,MATCH(Lists!$F$2,$A$1:$AL$1,0))&amp;""),"")="",-1,IF(ISNUMBER(IFERROR(IF(TRIM(INDEX($A390:$AL390,MATCH(Lists!$F$7,$A$1:$AL$1,0))&amp;"")="","",IF(ISNUMBER(INDEX($A390:$AL390,MATCH(Lists!$F$7,$A$1:$AL$1,0))),ROUND(MOD(INDEX($A390:$AL390,MATCH(Lists!$F$7,$A$1:$AL$1,0)),1)*1440,0),VALUE(LEFT(INDEX($A390:$AL390,MATCH(Lists!$F$7,$A$1:$AL$1,0)),2))*60+VALUE(MID(INDEX($A390:$AL390,MATCH(Lists!$F$7,$A$1:$AL$1,0)),4,2)))),"")),IFERROR(IF(TRIM(INDEX($A390:$AL390,MATCH(Lists!$F$7,$A$1:$AL$1,0))&amp;"")="","",IF(ISNUMBER(INDEX($A390:$AL390,MATCH(Lists!$F$7,$A$1:$AL$1,0))),ROUND(MOD(INDEX($A390:$AL390,MATCH(Lists!$F$7,$A$1:$AL$1,0)),1)*1440,0),VALUE(LEFT(INDEX($A390:$AL390,MATCH(Lists!$F$7,$A$1:$AL$1,0)),2))*60+VALUE(MID(INDEX($A390:$AL390,MATCH(Lists!$F$7,$A$1:$AL$1,0)),4,2)))),""),-1))</f>
        <v/>
      </c>
      <c r="AW390" s="21">
        <f>IF(IFERROR(TRIM(INDEX($A390:$AL390,MATCH(Lists!$F$2,$A$1:$AL$1,0))&amp;""),"")="","",IF(IFERROR(TRIM(INDEX($A390:$AL390,MATCH(Lists!$F$8,$A$1:$AL$1,0))&amp;""),"")&lt;&gt;"",IFERROR(TRIM(INDEX($A390:$AL390,MATCH(Lists!$F$8,$A$1:$AL$1,0))&amp;""),""),IFERROR(TRIM(INDEX($A390:$AL390,MATCH(Lists!$F$9,$A$1:$AL$1,0))&amp;""),"")))</f>
        <v/>
      </c>
      <c r="AX390" s="21">
        <f>IFERROR(IF(TRIM(INDEX($A390:$AL390,MATCH(Lists!$F$10,$A$1:$AL$1,0))&amp;"")="","",VALUE(TRIM(INDEX($A390:$AL390,MATCH(Lists!$F$10,$A$1:$AL$1,0))&amp;""))),"")</f>
        <v/>
      </c>
      <c r="AY390" s="21">
        <f>IF(IFERROR(TRIM(INDEX($A390:$AL390,MATCH(Lists!$F$2,$A$1:$AL$1,0))&amp;""),"")="","",IF(AN390="","New",AN390))</f>
        <v/>
      </c>
      <c r="AZ390" s="21">
        <f>IF(IFERROR(TRIM(INDEX($A390:$AL390,MATCH(Lists!$F$2,$A$1:$AL$1,0))&amp;""),"")="","",IF(OR(IFERROR(TRIM(INDEX($A390:$AL390,MATCH(Lists!$F$13,$A$1:$AL$1,0))&amp;""),"")="Paid",IFERROR(TRIM(INDEX($A390:$AL390,MATCH(Lists!$F$13,$A$1:$AL$1,0))&amp;""),"")="Partially refunded"),"Paid",IF(AP390="Yes","Paid (by hand)",IFERROR(TRIM(INDEX($A390:$AL390,MATCH(Lists!$F$13,$A$1:$AL$1,0))&amp;""),""))))</f>
        <v/>
      </c>
      <c r="BA390" s="21">
        <f>IF(AND(IFERROR(TRIM(INDEX($A390:$AL390,MATCH(Lists!$F$2,$A$1:$AL$1,0))&amp;""),"")&lt;&gt;"",AT390&gt;0,AU390&gt;=0,AV390&gt;AU390,AY390&lt;&gt;"Declined"),1,0)</f>
        <v/>
      </c>
      <c r="BB390" s="21">
        <f>IF(BA390=1,COUNTIFS($AS$2:$AS$501,AS390,$AT$2:$AT$501,AT390,$AU$2:$AU$501,"&lt;"&amp;AV390,$AV$2:$AV$501,"&gt;"&amp;AU390,$BA$2:$BA$501,1)-1,"")</f>
        <v/>
      </c>
      <c r="BC390" s="21">
        <f>IF(N(BB390)&gt;0,"Clashes with "&amp;INDEX($AW$2:$AW$501,SUMPRODUCT(MAX(($AS$2:$AS$501=AS390)*($AT$2:$AT$501=AT390)*($AU$2:$AU$501&lt;AV390)*($AV$2:$AV$501&gt;AU390)*($BA$2:$BA$501=1)*(ROW($AS$2:$AS$501)&lt;&gt;ROW())*ROW($AS$2:$AS$501)))-1)&amp;" ("&amp;INDEX($AY$2:$AY$501,SUMPRODUCT(MAX(($AS$2:$AS$501=AS390)*($AT$2:$AT$501=AT390)*($AU$2:$AU$501&lt;AV390)*($AV$2:$AV$501&gt;AU390)*($BA$2:$BA$501=1)*(ROW($AS$2:$AS$501)&lt;&gt;ROW())*ROW($AS$2:$AS$501)))-1)&amp;")"&amp;IF(BB390&gt;1," and "&amp;(BB390-1)&amp;" more",""),"")</f>
        <v/>
      </c>
      <c r="BD390" s="21">
        <f>IF(AND(BA390=1,AY390="Confirmed"),AT390*10000000+AU390*1000+ROW(),"")</f>
        <v/>
      </c>
      <c r="BE390" s="21">
        <f>IF(IFERROR(TRIM(INDEX($A390:$AL390,MATCH(Lists!$F$2,$A$1:$AL$1,0))&amp;""),"")="","",IFERROR(TRIM(INDEX($A390:$AL390,MATCH(Lists!$F$11,$A$1:$AL$1,0))&amp;""),""))</f>
        <v/>
      </c>
      <c r="BF390" s="21">
        <f>IF(IFERROR(TRIM(INDEX($A390:$AL390,MATCH(Lists!$F$2,$A$1:$AL$1,0))&amp;""),"")="","",IFERROR(TRIM(INDEX($A390:$AL390,MATCH(Lists!$F$12,$A$1:$AL$1,0))&amp;""),""))</f>
        <v/>
      </c>
    </row>
    <row r="391">
      <c r="AM391" s="19" t="n"/>
      <c r="AN391" s="23" t="n"/>
      <c r="AO391" s="23" t="n"/>
      <c r="AP391" s="23" t="n"/>
      <c r="AQ391" s="23" t="n"/>
      <c r="AR391" s="19" t="n"/>
      <c r="AS391" s="21">
        <f>IF(IFERROR(TRIM(INDEX($A391:$AL391,MATCH(Lists!$F$2,$A$1:$AL$1,0))&amp;""),"")="","",IF(AND(IFERROR(TRIM(INDEX($A391:$AL391,MATCH(Lists!$F$3,$A$1:$AL$1,0))&amp;""),"")="Other",IFERROR(TRIM(INDEX($A391:$AL391,MATCH(Lists!$F$4,$A$1:$AL$1,0))&amp;""),"")&lt;&gt;""),IFERROR(TRIM(INDEX($A391:$AL391,MATCH(Lists!$F$4,$A$1:$AL$1,0))&amp;""),""),IF(IFERROR(TRIM(INDEX($A391:$AL391,MATCH(Lists!$F$3,$A$1:$AL$1,0))&amp;""),"")="","(no space)",IFERROR(TRIM(INDEX($A391:$AL391,MATCH(Lists!$F$3,$A$1:$AL$1,0))&amp;""),""))))</f>
        <v/>
      </c>
      <c r="AT391" s="22">
        <f>IF(IFERROR(TRIM(INDEX($A391:$AL391,MATCH(Lists!$F$2,$A$1:$AL$1,0))&amp;""),"")="",0,N(IFERROR(IF(TRIM(INDEX($A391:$AL391,MATCH(Lists!$F$5,$A$1:$AL$1,0))&amp;"")="","",IF(ISNUMBER(INDEX($A391:$AL391,MATCH(Lists!$F$5,$A$1:$AL$1,0))),INT(INDEX($A391:$AL391,MATCH(Lists!$F$5,$A$1:$AL$1,0))),DATE(VALUE(LEFT(INDEX($A391:$AL391,MATCH(Lists!$F$5,$A$1:$AL$1,0)),4)),VALUE(MID(INDEX($A391:$AL391,MATCH(Lists!$F$5,$A$1:$AL$1,0)),6,2)),VALUE(MID(INDEX($A391:$AL391,MATCH(Lists!$F$5,$A$1:$AL$1,0)),9,2))))),"")))</f>
        <v/>
      </c>
      <c r="AU391" s="21">
        <f>IF(IFERROR(TRIM(INDEX($A391:$AL391,MATCH(Lists!$F$2,$A$1:$AL$1,0))&amp;""),"")="",-1,IF(ISNUMBER(IFERROR(IF(TRIM(INDEX($A391:$AL391,MATCH(Lists!$F$6,$A$1:$AL$1,0))&amp;"")="","",IF(ISNUMBER(INDEX($A391:$AL391,MATCH(Lists!$F$6,$A$1:$AL$1,0))),ROUND(MOD(INDEX($A391:$AL391,MATCH(Lists!$F$6,$A$1:$AL$1,0)),1)*1440,0),VALUE(LEFT(INDEX($A391:$AL391,MATCH(Lists!$F$6,$A$1:$AL$1,0)),2))*60+VALUE(MID(INDEX($A391:$AL391,MATCH(Lists!$F$6,$A$1:$AL$1,0)),4,2)))),"")),IFERROR(IF(TRIM(INDEX($A391:$AL391,MATCH(Lists!$F$6,$A$1:$AL$1,0))&amp;"")="","",IF(ISNUMBER(INDEX($A391:$AL391,MATCH(Lists!$F$6,$A$1:$AL$1,0))),ROUND(MOD(INDEX($A391:$AL391,MATCH(Lists!$F$6,$A$1:$AL$1,0)),1)*1440,0),VALUE(LEFT(INDEX($A391:$AL391,MATCH(Lists!$F$6,$A$1:$AL$1,0)),2))*60+VALUE(MID(INDEX($A391:$AL391,MATCH(Lists!$F$6,$A$1:$AL$1,0)),4,2)))),""),-1))</f>
        <v/>
      </c>
      <c r="AV391" s="21">
        <f>IF(IFERROR(TRIM(INDEX($A391:$AL391,MATCH(Lists!$F$2,$A$1:$AL$1,0))&amp;""),"")="",-1,IF(ISNUMBER(IFERROR(IF(TRIM(INDEX($A391:$AL391,MATCH(Lists!$F$7,$A$1:$AL$1,0))&amp;"")="","",IF(ISNUMBER(INDEX($A391:$AL391,MATCH(Lists!$F$7,$A$1:$AL$1,0))),ROUND(MOD(INDEX($A391:$AL391,MATCH(Lists!$F$7,$A$1:$AL$1,0)),1)*1440,0),VALUE(LEFT(INDEX($A391:$AL391,MATCH(Lists!$F$7,$A$1:$AL$1,0)),2))*60+VALUE(MID(INDEX($A391:$AL391,MATCH(Lists!$F$7,$A$1:$AL$1,0)),4,2)))),"")),IFERROR(IF(TRIM(INDEX($A391:$AL391,MATCH(Lists!$F$7,$A$1:$AL$1,0))&amp;"")="","",IF(ISNUMBER(INDEX($A391:$AL391,MATCH(Lists!$F$7,$A$1:$AL$1,0))),ROUND(MOD(INDEX($A391:$AL391,MATCH(Lists!$F$7,$A$1:$AL$1,0)),1)*1440,0),VALUE(LEFT(INDEX($A391:$AL391,MATCH(Lists!$F$7,$A$1:$AL$1,0)),2))*60+VALUE(MID(INDEX($A391:$AL391,MATCH(Lists!$F$7,$A$1:$AL$1,0)),4,2)))),""),-1))</f>
        <v/>
      </c>
      <c r="AW391" s="21">
        <f>IF(IFERROR(TRIM(INDEX($A391:$AL391,MATCH(Lists!$F$2,$A$1:$AL$1,0))&amp;""),"")="","",IF(IFERROR(TRIM(INDEX($A391:$AL391,MATCH(Lists!$F$8,$A$1:$AL$1,0))&amp;""),"")&lt;&gt;"",IFERROR(TRIM(INDEX($A391:$AL391,MATCH(Lists!$F$8,$A$1:$AL$1,0))&amp;""),""),IFERROR(TRIM(INDEX($A391:$AL391,MATCH(Lists!$F$9,$A$1:$AL$1,0))&amp;""),"")))</f>
        <v/>
      </c>
      <c r="AX391" s="21">
        <f>IFERROR(IF(TRIM(INDEX($A391:$AL391,MATCH(Lists!$F$10,$A$1:$AL$1,0))&amp;"")="","",VALUE(TRIM(INDEX($A391:$AL391,MATCH(Lists!$F$10,$A$1:$AL$1,0))&amp;""))),"")</f>
        <v/>
      </c>
      <c r="AY391" s="21">
        <f>IF(IFERROR(TRIM(INDEX($A391:$AL391,MATCH(Lists!$F$2,$A$1:$AL$1,0))&amp;""),"")="","",IF(AN391="","New",AN391))</f>
        <v/>
      </c>
      <c r="AZ391" s="21">
        <f>IF(IFERROR(TRIM(INDEX($A391:$AL391,MATCH(Lists!$F$2,$A$1:$AL$1,0))&amp;""),"")="","",IF(OR(IFERROR(TRIM(INDEX($A391:$AL391,MATCH(Lists!$F$13,$A$1:$AL$1,0))&amp;""),"")="Paid",IFERROR(TRIM(INDEX($A391:$AL391,MATCH(Lists!$F$13,$A$1:$AL$1,0))&amp;""),"")="Partially refunded"),"Paid",IF(AP391="Yes","Paid (by hand)",IFERROR(TRIM(INDEX($A391:$AL391,MATCH(Lists!$F$13,$A$1:$AL$1,0))&amp;""),""))))</f>
        <v/>
      </c>
      <c r="BA391" s="21">
        <f>IF(AND(IFERROR(TRIM(INDEX($A391:$AL391,MATCH(Lists!$F$2,$A$1:$AL$1,0))&amp;""),"")&lt;&gt;"",AT391&gt;0,AU391&gt;=0,AV391&gt;AU391,AY391&lt;&gt;"Declined"),1,0)</f>
        <v/>
      </c>
      <c r="BB391" s="21">
        <f>IF(BA391=1,COUNTIFS($AS$2:$AS$501,AS391,$AT$2:$AT$501,AT391,$AU$2:$AU$501,"&lt;"&amp;AV391,$AV$2:$AV$501,"&gt;"&amp;AU391,$BA$2:$BA$501,1)-1,"")</f>
        <v/>
      </c>
      <c r="BC391" s="21">
        <f>IF(N(BB391)&gt;0,"Clashes with "&amp;INDEX($AW$2:$AW$501,SUMPRODUCT(MAX(($AS$2:$AS$501=AS391)*($AT$2:$AT$501=AT391)*($AU$2:$AU$501&lt;AV391)*($AV$2:$AV$501&gt;AU391)*($BA$2:$BA$501=1)*(ROW($AS$2:$AS$501)&lt;&gt;ROW())*ROW($AS$2:$AS$501)))-1)&amp;" ("&amp;INDEX($AY$2:$AY$501,SUMPRODUCT(MAX(($AS$2:$AS$501=AS391)*($AT$2:$AT$501=AT391)*($AU$2:$AU$501&lt;AV391)*($AV$2:$AV$501&gt;AU391)*($BA$2:$BA$501=1)*(ROW($AS$2:$AS$501)&lt;&gt;ROW())*ROW($AS$2:$AS$501)))-1)&amp;")"&amp;IF(BB391&gt;1," and "&amp;(BB391-1)&amp;" more",""),"")</f>
        <v/>
      </c>
      <c r="BD391" s="21">
        <f>IF(AND(BA391=1,AY391="Confirmed"),AT391*10000000+AU391*1000+ROW(),"")</f>
        <v/>
      </c>
      <c r="BE391" s="21">
        <f>IF(IFERROR(TRIM(INDEX($A391:$AL391,MATCH(Lists!$F$2,$A$1:$AL$1,0))&amp;""),"")="","",IFERROR(TRIM(INDEX($A391:$AL391,MATCH(Lists!$F$11,$A$1:$AL$1,0))&amp;""),""))</f>
        <v/>
      </c>
      <c r="BF391" s="21">
        <f>IF(IFERROR(TRIM(INDEX($A391:$AL391,MATCH(Lists!$F$2,$A$1:$AL$1,0))&amp;""),"")="","",IFERROR(TRIM(INDEX($A391:$AL391,MATCH(Lists!$F$12,$A$1:$AL$1,0))&amp;""),""))</f>
        <v/>
      </c>
    </row>
    <row r="392">
      <c r="AM392" s="19" t="n"/>
      <c r="AN392" s="23" t="n"/>
      <c r="AO392" s="23" t="n"/>
      <c r="AP392" s="23" t="n"/>
      <c r="AQ392" s="23" t="n"/>
      <c r="AR392" s="19" t="n"/>
      <c r="AS392" s="21">
        <f>IF(IFERROR(TRIM(INDEX($A392:$AL392,MATCH(Lists!$F$2,$A$1:$AL$1,0))&amp;""),"")="","",IF(AND(IFERROR(TRIM(INDEX($A392:$AL392,MATCH(Lists!$F$3,$A$1:$AL$1,0))&amp;""),"")="Other",IFERROR(TRIM(INDEX($A392:$AL392,MATCH(Lists!$F$4,$A$1:$AL$1,0))&amp;""),"")&lt;&gt;""),IFERROR(TRIM(INDEX($A392:$AL392,MATCH(Lists!$F$4,$A$1:$AL$1,0))&amp;""),""),IF(IFERROR(TRIM(INDEX($A392:$AL392,MATCH(Lists!$F$3,$A$1:$AL$1,0))&amp;""),"")="","(no space)",IFERROR(TRIM(INDEX($A392:$AL392,MATCH(Lists!$F$3,$A$1:$AL$1,0))&amp;""),""))))</f>
        <v/>
      </c>
      <c r="AT392" s="22">
        <f>IF(IFERROR(TRIM(INDEX($A392:$AL392,MATCH(Lists!$F$2,$A$1:$AL$1,0))&amp;""),"")="",0,N(IFERROR(IF(TRIM(INDEX($A392:$AL392,MATCH(Lists!$F$5,$A$1:$AL$1,0))&amp;"")="","",IF(ISNUMBER(INDEX($A392:$AL392,MATCH(Lists!$F$5,$A$1:$AL$1,0))),INT(INDEX($A392:$AL392,MATCH(Lists!$F$5,$A$1:$AL$1,0))),DATE(VALUE(LEFT(INDEX($A392:$AL392,MATCH(Lists!$F$5,$A$1:$AL$1,0)),4)),VALUE(MID(INDEX($A392:$AL392,MATCH(Lists!$F$5,$A$1:$AL$1,0)),6,2)),VALUE(MID(INDEX($A392:$AL392,MATCH(Lists!$F$5,$A$1:$AL$1,0)),9,2))))),"")))</f>
        <v/>
      </c>
      <c r="AU392" s="21">
        <f>IF(IFERROR(TRIM(INDEX($A392:$AL392,MATCH(Lists!$F$2,$A$1:$AL$1,0))&amp;""),"")="",-1,IF(ISNUMBER(IFERROR(IF(TRIM(INDEX($A392:$AL392,MATCH(Lists!$F$6,$A$1:$AL$1,0))&amp;"")="","",IF(ISNUMBER(INDEX($A392:$AL392,MATCH(Lists!$F$6,$A$1:$AL$1,0))),ROUND(MOD(INDEX($A392:$AL392,MATCH(Lists!$F$6,$A$1:$AL$1,0)),1)*1440,0),VALUE(LEFT(INDEX($A392:$AL392,MATCH(Lists!$F$6,$A$1:$AL$1,0)),2))*60+VALUE(MID(INDEX($A392:$AL392,MATCH(Lists!$F$6,$A$1:$AL$1,0)),4,2)))),"")),IFERROR(IF(TRIM(INDEX($A392:$AL392,MATCH(Lists!$F$6,$A$1:$AL$1,0))&amp;"")="","",IF(ISNUMBER(INDEX($A392:$AL392,MATCH(Lists!$F$6,$A$1:$AL$1,0))),ROUND(MOD(INDEX($A392:$AL392,MATCH(Lists!$F$6,$A$1:$AL$1,0)),1)*1440,0),VALUE(LEFT(INDEX($A392:$AL392,MATCH(Lists!$F$6,$A$1:$AL$1,0)),2))*60+VALUE(MID(INDEX($A392:$AL392,MATCH(Lists!$F$6,$A$1:$AL$1,0)),4,2)))),""),-1))</f>
        <v/>
      </c>
      <c r="AV392" s="21">
        <f>IF(IFERROR(TRIM(INDEX($A392:$AL392,MATCH(Lists!$F$2,$A$1:$AL$1,0))&amp;""),"")="",-1,IF(ISNUMBER(IFERROR(IF(TRIM(INDEX($A392:$AL392,MATCH(Lists!$F$7,$A$1:$AL$1,0))&amp;"")="","",IF(ISNUMBER(INDEX($A392:$AL392,MATCH(Lists!$F$7,$A$1:$AL$1,0))),ROUND(MOD(INDEX($A392:$AL392,MATCH(Lists!$F$7,$A$1:$AL$1,0)),1)*1440,0),VALUE(LEFT(INDEX($A392:$AL392,MATCH(Lists!$F$7,$A$1:$AL$1,0)),2))*60+VALUE(MID(INDEX($A392:$AL392,MATCH(Lists!$F$7,$A$1:$AL$1,0)),4,2)))),"")),IFERROR(IF(TRIM(INDEX($A392:$AL392,MATCH(Lists!$F$7,$A$1:$AL$1,0))&amp;"")="","",IF(ISNUMBER(INDEX($A392:$AL392,MATCH(Lists!$F$7,$A$1:$AL$1,0))),ROUND(MOD(INDEX($A392:$AL392,MATCH(Lists!$F$7,$A$1:$AL$1,0)),1)*1440,0),VALUE(LEFT(INDEX($A392:$AL392,MATCH(Lists!$F$7,$A$1:$AL$1,0)),2))*60+VALUE(MID(INDEX($A392:$AL392,MATCH(Lists!$F$7,$A$1:$AL$1,0)),4,2)))),""),-1))</f>
        <v/>
      </c>
      <c r="AW392" s="21">
        <f>IF(IFERROR(TRIM(INDEX($A392:$AL392,MATCH(Lists!$F$2,$A$1:$AL$1,0))&amp;""),"")="","",IF(IFERROR(TRIM(INDEX($A392:$AL392,MATCH(Lists!$F$8,$A$1:$AL$1,0))&amp;""),"")&lt;&gt;"",IFERROR(TRIM(INDEX($A392:$AL392,MATCH(Lists!$F$8,$A$1:$AL$1,0))&amp;""),""),IFERROR(TRIM(INDEX($A392:$AL392,MATCH(Lists!$F$9,$A$1:$AL$1,0))&amp;""),"")))</f>
        <v/>
      </c>
      <c r="AX392" s="21">
        <f>IFERROR(IF(TRIM(INDEX($A392:$AL392,MATCH(Lists!$F$10,$A$1:$AL$1,0))&amp;"")="","",VALUE(TRIM(INDEX($A392:$AL392,MATCH(Lists!$F$10,$A$1:$AL$1,0))&amp;""))),"")</f>
        <v/>
      </c>
      <c r="AY392" s="21">
        <f>IF(IFERROR(TRIM(INDEX($A392:$AL392,MATCH(Lists!$F$2,$A$1:$AL$1,0))&amp;""),"")="","",IF(AN392="","New",AN392))</f>
        <v/>
      </c>
      <c r="AZ392" s="21">
        <f>IF(IFERROR(TRIM(INDEX($A392:$AL392,MATCH(Lists!$F$2,$A$1:$AL$1,0))&amp;""),"")="","",IF(OR(IFERROR(TRIM(INDEX($A392:$AL392,MATCH(Lists!$F$13,$A$1:$AL$1,0))&amp;""),"")="Paid",IFERROR(TRIM(INDEX($A392:$AL392,MATCH(Lists!$F$13,$A$1:$AL$1,0))&amp;""),"")="Partially refunded"),"Paid",IF(AP392="Yes","Paid (by hand)",IFERROR(TRIM(INDEX($A392:$AL392,MATCH(Lists!$F$13,$A$1:$AL$1,0))&amp;""),""))))</f>
        <v/>
      </c>
      <c r="BA392" s="21">
        <f>IF(AND(IFERROR(TRIM(INDEX($A392:$AL392,MATCH(Lists!$F$2,$A$1:$AL$1,0))&amp;""),"")&lt;&gt;"",AT392&gt;0,AU392&gt;=0,AV392&gt;AU392,AY392&lt;&gt;"Declined"),1,0)</f>
        <v/>
      </c>
      <c r="BB392" s="21">
        <f>IF(BA392=1,COUNTIFS($AS$2:$AS$501,AS392,$AT$2:$AT$501,AT392,$AU$2:$AU$501,"&lt;"&amp;AV392,$AV$2:$AV$501,"&gt;"&amp;AU392,$BA$2:$BA$501,1)-1,"")</f>
        <v/>
      </c>
      <c r="BC392" s="21">
        <f>IF(N(BB392)&gt;0,"Clashes with "&amp;INDEX($AW$2:$AW$501,SUMPRODUCT(MAX(($AS$2:$AS$501=AS392)*($AT$2:$AT$501=AT392)*($AU$2:$AU$501&lt;AV392)*($AV$2:$AV$501&gt;AU392)*($BA$2:$BA$501=1)*(ROW($AS$2:$AS$501)&lt;&gt;ROW())*ROW($AS$2:$AS$501)))-1)&amp;" ("&amp;INDEX($AY$2:$AY$501,SUMPRODUCT(MAX(($AS$2:$AS$501=AS392)*($AT$2:$AT$501=AT392)*($AU$2:$AU$501&lt;AV392)*($AV$2:$AV$501&gt;AU392)*($BA$2:$BA$501=1)*(ROW($AS$2:$AS$501)&lt;&gt;ROW())*ROW($AS$2:$AS$501)))-1)&amp;")"&amp;IF(BB392&gt;1," and "&amp;(BB392-1)&amp;" more",""),"")</f>
        <v/>
      </c>
      <c r="BD392" s="21">
        <f>IF(AND(BA392=1,AY392="Confirmed"),AT392*10000000+AU392*1000+ROW(),"")</f>
        <v/>
      </c>
      <c r="BE392" s="21">
        <f>IF(IFERROR(TRIM(INDEX($A392:$AL392,MATCH(Lists!$F$2,$A$1:$AL$1,0))&amp;""),"")="","",IFERROR(TRIM(INDEX($A392:$AL392,MATCH(Lists!$F$11,$A$1:$AL$1,0))&amp;""),""))</f>
        <v/>
      </c>
      <c r="BF392" s="21">
        <f>IF(IFERROR(TRIM(INDEX($A392:$AL392,MATCH(Lists!$F$2,$A$1:$AL$1,0))&amp;""),"")="","",IFERROR(TRIM(INDEX($A392:$AL392,MATCH(Lists!$F$12,$A$1:$AL$1,0))&amp;""),""))</f>
        <v/>
      </c>
    </row>
    <row r="393">
      <c r="AM393" s="19" t="n"/>
      <c r="AN393" s="23" t="n"/>
      <c r="AO393" s="23" t="n"/>
      <c r="AP393" s="23" t="n"/>
      <c r="AQ393" s="23" t="n"/>
      <c r="AR393" s="19" t="n"/>
      <c r="AS393" s="21">
        <f>IF(IFERROR(TRIM(INDEX($A393:$AL393,MATCH(Lists!$F$2,$A$1:$AL$1,0))&amp;""),"")="","",IF(AND(IFERROR(TRIM(INDEX($A393:$AL393,MATCH(Lists!$F$3,$A$1:$AL$1,0))&amp;""),"")="Other",IFERROR(TRIM(INDEX($A393:$AL393,MATCH(Lists!$F$4,$A$1:$AL$1,0))&amp;""),"")&lt;&gt;""),IFERROR(TRIM(INDEX($A393:$AL393,MATCH(Lists!$F$4,$A$1:$AL$1,0))&amp;""),""),IF(IFERROR(TRIM(INDEX($A393:$AL393,MATCH(Lists!$F$3,$A$1:$AL$1,0))&amp;""),"")="","(no space)",IFERROR(TRIM(INDEX($A393:$AL393,MATCH(Lists!$F$3,$A$1:$AL$1,0))&amp;""),""))))</f>
        <v/>
      </c>
      <c r="AT393" s="22">
        <f>IF(IFERROR(TRIM(INDEX($A393:$AL393,MATCH(Lists!$F$2,$A$1:$AL$1,0))&amp;""),"")="",0,N(IFERROR(IF(TRIM(INDEX($A393:$AL393,MATCH(Lists!$F$5,$A$1:$AL$1,0))&amp;"")="","",IF(ISNUMBER(INDEX($A393:$AL393,MATCH(Lists!$F$5,$A$1:$AL$1,0))),INT(INDEX($A393:$AL393,MATCH(Lists!$F$5,$A$1:$AL$1,0))),DATE(VALUE(LEFT(INDEX($A393:$AL393,MATCH(Lists!$F$5,$A$1:$AL$1,0)),4)),VALUE(MID(INDEX($A393:$AL393,MATCH(Lists!$F$5,$A$1:$AL$1,0)),6,2)),VALUE(MID(INDEX($A393:$AL393,MATCH(Lists!$F$5,$A$1:$AL$1,0)),9,2))))),"")))</f>
        <v/>
      </c>
      <c r="AU393" s="21">
        <f>IF(IFERROR(TRIM(INDEX($A393:$AL393,MATCH(Lists!$F$2,$A$1:$AL$1,0))&amp;""),"")="",-1,IF(ISNUMBER(IFERROR(IF(TRIM(INDEX($A393:$AL393,MATCH(Lists!$F$6,$A$1:$AL$1,0))&amp;"")="","",IF(ISNUMBER(INDEX($A393:$AL393,MATCH(Lists!$F$6,$A$1:$AL$1,0))),ROUND(MOD(INDEX($A393:$AL393,MATCH(Lists!$F$6,$A$1:$AL$1,0)),1)*1440,0),VALUE(LEFT(INDEX($A393:$AL393,MATCH(Lists!$F$6,$A$1:$AL$1,0)),2))*60+VALUE(MID(INDEX($A393:$AL393,MATCH(Lists!$F$6,$A$1:$AL$1,0)),4,2)))),"")),IFERROR(IF(TRIM(INDEX($A393:$AL393,MATCH(Lists!$F$6,$A$1:$AL$1,0))&amp;"")="","",IF(ISNUMBER(INDEX($A393:$AL393,MATCH(Lists!$F$6,$A$1:$AL$1,0))),ROUND(MOD(INDEX($A393:$AL393,MATCH(Lists!$F$6,$A$1:$AL$1,0)),1)*1440,0),VALUE(LEFT(INDEX($A393:$AL393,MATCH(Lists!$F$6,$A$1:$AL$1,0)),2))*60+VALUE(MID(INDEX($A393:$AL393,MATCH(Lists!$F$6,$A$1:$AL$1,0)),4,2)))),""),-1))</f>
        <v/>
      </c>
      <c r="AV393" s="21">
        <f>IF(IFERROR(TRIM(INDEX($A393:$AL393,MATCH(Lists!$F$2,$A$1:$AL$1,0))&amp;""),"")="",-1,IF(ISNUMBER(IFERROR(IF(TRIM(INDEX($A393:$AL393,MATCH(Lists!$F$7,$A$1:$AL$1,0))&amp;"")="","",IF(ISNUMBER(INDEX($A393:$AL393,MATCH(Lists!$F$7,$A$1:$AL$1,0))),ROUND(MOD(INDEX($A393:$AL393,MATCH(Lists!$F$7,$A$1:$AL$1,0)),1)*1440,0),VALUE(LEFT(INDEX($A393:$AL393,MATCH(Lists!$F$7,$A$1:$AL$1,0)),2))*60+VALUE(MID(INDEX($A393:$AL393,MATCH(Lists!$F$7,$A$1:$AL$1,0)),4,2)))),"")),IFERROR(IF(TRIM(INDEX($A393:$AL393,MATCH(Lists!$F$7,$A$1:$AL$1,0))&amp;"")="","",IF(ISNUMBER(INDEX($A393:$AL393,MATCH(Lists!$F$7,$A$1:$AL$1,0))),ROUND(MOD(INDEX($A393:$AL393,MATCH(Lists!$F$7,$A$1:$AL$1,0)),1)*1440,0),VALUE(LEFT(INDEX($A393:$AL393,MATCH(Lists!$F$7,$A$1:$AL$1,0)),2))*60+VALUE(MID(INDEX($A393:$AL393,MATCH(Lists!$F$7,$A$1:$AL$1,0)),4,2)))),""),-1))</f>
        <v/>
      </c>
      <c r="AW393" s="21">
        <f>IF(IFERROR(TRIM(INDEX($A393:$AL393,MATCH(Lists!$F$2,$A$1:$AL$1,0))&amp;""),"")="","",IF(IFERROR(TRIM(INDEX($A393:$AL393,MATCH(Lists!$F$8,$A$1:$AL$1,0))&amp;""),"")&lt;&gt;"",IFERROR(TRIM(INDEX($A393:$AL393,MATCH(Lists!$F$8,$A$1:$AL$1,0))&amp;""),""),IFERROR(TRIM(INDEX($A393:$AL393,MATCH(Lists!$F$9,$A$1:$AL$1,0))&amp;""),"")))</f>
        <v/>
      </c>
      <c r="AX393" s="21">
        <f>IFERROR(IF(TRIM(INDEX($A393:$AL393,MATCH(Lists!$F$10,$A$1:$AL$1,0))&amp;"")="","",VALUE(TRIM(INDEX($A393:$AL393,MATCH(Lists!$F$10,$A$1:$AL$1,0))&amp;""))),"")</f>
        <v/>
      </c>
      <c r="AY393" s="21">
        <f>IF(IFERROR(TRIM(INDEX($A393:$AL393,MATCH(Lists!$F$2,$A$1:$AL$1,0))&amp;""),"")="","",IF(AN393="","New",AN393))</f>
        <v/>
      </c>
      <c r="AZ393" s="21">
        <f>IF(IFERROR(TRIM(INDEX($A393:$AL393,MATCH(Lists!$F$2,$A$1:$AL$1,0))&amp;""),"")="","",IF(OR(IFERROR(TRIM(INDEX($A393:$AL393,MATCH(Lists!$F$13,$A$1:$AL$1,0))&amp;""),"")="Paid",IFERROR(TRIM(INDEX($A393:$AL393,MATCH(Lists!$F$13,$A$1:$AL$1,0))&amp;""),"")="Partially refunded"),"Paid",IF(AP393="Yes","Paid (by hand)",IFERROR(TRIM(INDEX($A393:$AL393,MATCH(Lists!$F$13,$A$1:$AL$1,0))&amp;""),""))))</f>
        <v/>
      </c>
      <c r="BA393" s="21">
        <f>IF(AND(IFERROR(TRIM(INDEX($A393:$AL393,MATCH(Lists!$F$2,$A$1:$AL$1,0))&amp;""),"")&lt;&gt;"",AT393&gt;0,AU393&gt;=0,AV393&gt;AU393,AY393&lt;&gt;"Declined"),1,0)</f>
        <v/>
      </c>
      <c r="BB393" s="21">
        <f>IF(BA393=1,COUNTIFS($AS$2:$AS$501,AS393,$AT$2:$AT$501,AT393,$AU$2:$AU$501,"&lt;"&amp;AV393,$AV$2:$AV$501,"&gt;"&amp;AU393,$BA$2:$BA$501,1)-1,"")</f>
        <v/>
      </c>
      <c r="BC393" s="21">
        <f>IF(N(BB393)&gt;0,"Clashes with "&amp;INDEX($AW$2:$AW$501,SUMPRODUCT(MAX(($AS$2:$AS$501=AS393)*($AT$2:$AT$501=AT393)*($AU$2:$AU$501&lt;AV393)*($AV$2:$AV$501&gt;AU393)*($BA$2:$BA$501=1)*(ROW($AS$2:$AS$501)&lt;&gt;ROW())*ROW($AS$2:$AS$501)))-1)&amp;" ("&amp;INDEX($AY$2:$AY$501,SUMPRODUCT(MAX(($AS$2:$AS$501=AS393)*($AT$2:$AT$501=AT393)*($AU$2:$AU$501&lt;AV393)*($AV$2:$AV$501&gt;AU393)*($BA$2:$BA$501=1)*(ROW($AS$2:$AS$501)&lt;&gt;ROW())*ROW($AS$2:$AS$501)))-1)&amp;")"&amp;IF(BB393&gt;1," and "&amp;(BB393-1)&amp;" more",""),"")</f>
        <v/>
      </c>
      <c r="BD393" s="21">
        <f>IF(AND(BA393=1,AY393="Confirmed"),AT393*10000000+AU393*1000+ROW(),"")</f>
        <v/>
      </c>
      <c r="BE393" s="21">
        <f>IF(IFERROR(TRIM(INDEX($A393:$AL393,MATCH(Lists!$F$2,$A$1:$AL$1,0))&amp;""),"")="","",IFERROR(TRIM(INDEX($A393:$AL393,MATCH(Lists!$F$11,$A$1:$AL$1,0))&amp;""),""))</f>
        <v/>
      </c>
      <c r="BF393" s="21">
        <f>IF(IFERROR(TRIM(INDEX($A393:$AL393,MATCH(Lists!$F$2,$A$1:$AL$1,0))&amp;""),"")="","",IFERROR(TRIM(INDEX($A393:$AL393,MATCH(Lists!$F$12,$A$1:$AL$1,0))&amp;""),""))</f>
        <v/>
      </c>
    </row>
    <row r="394">
      <c r="AM394" s="19" t="n"/>
      <c r="AN394" s="23" t="n"/>
      <c r="AO394" s="23" t="n"/>
      <c r="AP394" s="23" t="n"/>
      <c r="AQ394" s="23" t="n"/>
      <c r="AR394" s="19" t="n"/>
      <c r="AS394" s="21">
        <f>IF(IFERROR(TRIM(INDEX($A394:$AL394,MATCH(Lists!$F$2,$A$1:$AL$1,0))&amp;""),"")="","",IF(AND(IFERROR(TRIM(INDEX($A394:$AL394,MATCH(Lists!$F$3,$A$1:$AL$1,0))&amp;""),"")="Other",IFERROR(TRIM(INDEX($A394:$AL394,MATCH(Lists!$F$4,$A$1:$AL$1,0))&amp;""),"")&lt;&gt;""),IFERROR(TRIM(INDEX($A394:$AL394,MATCH(Lists!$F$4,$A$1:$AL$1,0))&amp;""),""),IF(IFERROR(TRIM(INDEX($A394:$AL394,MATCH(Lists!$F$3,$A$1:$AL$1,0))&amp;""),"")="","(no space)",IFERROR(TRIM(INDEX($A394:$AL394,MATCH(Lists!$F$3,$A$1:$AL$1,0))&amp;""),""))))</f>
        <v/>
      </c>
      <c r="AT394" s="22">
        <f>IF(IFERROR(TRIM(INDEX($A394:$AL394,MATCH(Lists!$F$2,$A$1:$AL$1,0))&amp;""),"")="",0,N(IFERROR(IF(TRIM(INDEX($A394:$AL394,MATCH(Lists!$F$5,$A$1:$AL$1,0))&amp;"")="","",IF(ISNUMBER(INDEX($A394:$AL394,MATCH(Lists!$F$5,$A$1:$AL$1,0))),INT(INDEX($A394:$AL394,MATCH(Lists!$F$5,$A$1:$AL$1,0))),DATE(VALUE(LEFT(INDEX($A394:$AL394,MATCH(Lists!$F$5,$A$1:$AL$1,0)),4)),VALUE(MID(INDEX($A394:$AL394,MATCH(Lists!$F$5,$A$1:$AL$1,0)),6,2)),VALUE(MID(INDEX($A394:$AL394,MATCH(Lists!$F$5,$A$1:$AL$1,0)),9,2))))),"")))</f>
        <v/>
      </c>
      <c r="AU394" s="21">
        <f>IF(IFERROR(TRIM(INDEX($A394:$AL394,MATCH(Lists!$F$2,$A$1:$AL$1,0))&amp;""),"")="",-1,IF(ISNUMBER(IFERROR(IF(TRIM(INDEX($A394:$AL394,MATCH(Lists!$F$6,$A$1:$AL$1,0))&amp;"")="","",IF(ISNUMBER(INDEX($A394:$AL394,MATCH(Lists!$F$6,$A$1:$AL$1,0))),ROUND(MOD(INDEX($A394:$AL394,MATCH(Lists!$F$6,$A$1:$AL$1,0)),1)*1440,0),VALUE(LEFT(INDEX($A394:$AL394,MATCH(Lists!$F$6,$A$1:$AL$1,0)),2))*60+VALUE(MID(INDEX($A394:$AL394,MATCH(Lists!$F$6,$A$1:$AL$1,0)),4,2)))),"")),IFERROR(IF(TRIM(INDEX($A394:$AL394,MATCH(Lists!$F$6,$A$1:$AL$1,0))&amp;"")="","",IF(ISNUMBER(INDEX($A394:$AL394,MATCH(Lists!$F$6,$A$1:$AL$1,0))),ROUND(MOD(INDEX($A394:$AL394,MATCH(Lists!$F$6,$A$1:$AL$1,0)),1)*1440,0),VALUE(LEFT(INDEX($A394:$AL394,MATCH(Lists!$F$6,$A$1:$AL$1,0)),2))*60+VALUE(MID(INDEX($A394:$AL394,MATCH(Lists!$F$6,$A$1:$AL$1,0)),4,2)))),""),-1))</f>
        <v/>
      </c>
      <c r="AV394" s="21">
        <f>IF(IFERROR(TRIM(INDEX($A394:$AL394,MATCH(Lists!$F$2,$A$1:$AL$1,0))&amp;""),"")="",-1,IF(ISNUMBER(IFERROR(IF(TRIM(INDEX($A394:$AL394,MATCH(Lists!$F$7,$A$1:$AL$1,0))&amp;"")="","",IF(ISNUMBER(INDEX($A394:$AL394,MATCH(Lists!$F$7,$A$1:$AL$1,0))),ROUND(MOD(INDEX($A394:$AL394,MATCH(Lists!$F$7,$A$1:$AL$1,0)),1)*1440,0),VALUE(LEFT(INDEX($A394:$AL394,MATCH(Lists!$F$7,$A$1:$AL$1,0)),2))*60+VALUE(MID(INDEX($A394:$AL394,MATCH(Lists!$F$7,$A$1:$AL$1,0)),4,2)))),"")),IFERROR(IF(TRIM(INDEX($A394:$AL394,MATCH(Lists!$F$7,$A$1:$AL$1,0))&amp;"")="","",IF(ISNUMBER(INDEX($A394:$AL394,MATCH(Lists!$F$7,$A$1:$AL$1,0))),ROUND(MOD(INDEX($A394:$AL394,MATCH(Lists!$F$7,$A$1:$AL$1,0)),1)*1440,0),VALUE(LEFT(INDEX($A394:$AL394,MATCH(Lists!$F$7,$A$1:$AL$1,0)),2))*60+VALUE(MID(INDEX($A394:$AL394,MATCH(Lists!$F$7,$A$1:$AL$1,0)),4,2)))),""),-1))</f>
        <v/>
      </c>
      <c r="AW394" s="21">
        <f>IF(IFERROR(TRIM(INDEX($A394:$AL394,MATCH(Lists!$F$2,$A$1:$AL$1,0))&amp;""),"")="","",IF(IFERROR(TRIM(INDEX($A394:$AL394,MATCH(Lists!$F$8,$A$1:$AL$1,0))&amp;""),"")&lt;&gt;"",IFERROR(TRIM(INDEX($A394:$AL394,MATCH(Lists!$F$8,$A$1:$AL$1,0))&amp;""),""),IFERROR(TRIM(INDEX($A394:$AL394,MATCH(Lists!$F$9,$A$1:$AL$1,0))&amp;""),"")))</f>
        <v/>
      </c>
      <c r="AX394" s="21">
        <f>IFERROR(IF(TRIM(INDEX($A394:$AL394,MATCH(Lists!$F$10,$A$1:$AL$1,0))&amp;"")="","",VALUE(TRIM(INDEX($A394:$AL394,MATCH(Lists!$F$10,$A$1:$AL$1,0))&amp;""))),"")</f>
        <v/>
      </c>
      <c r="AY394" s="21">
        <f>IF(IFERROR(TRIM(INDEX($A394:$AL394,MATCH(Lists!$F$2,$A$1:$AL$1,0))&amp;""),"")="","",IF(AN394="","New",AN394))</f>
        <v/>
      </c>
      <c r="AZ394" s="21">
        <f>IF(IFERROR(TRIM(INDEX($A394:$AL394,MATCH(Lists!$F$2,$A$1:$AL$1,0))&amp;""),"")="","",IF(OR(IFERROR(TRIM(INDEX($A394:$AL394,MATCH(Lists!$F$13,$A$1:$AL$1,0))&amp;""),"")="Paid",IFERROR(TRIM(INDEX($A394:$AL394,MATCH(Lists!$F$13,$A$1:$AL$1,0))&amp;""),"")="Partially refunded"),"Paid",IF(AP394="Yes","Paid (by hand)",IFERROR(TRIM(INDEX($A394:$AL394,MATCH(Lists!$F$13,$A$1:$AL$1,0))&amp;""),""))))</f>
        <v/>
      </c>
      <c r="BA394" s="21">
        <f>IF(AND(IFERROR(TRIM(INDEX($A394:$AL394,MATCH(Lists!$F$2,$A$1:$AL$1,0))&amp;""),"")&lt;&gt;"",AT394&gt;0,AU394&gt;=0,AV394&gt;AU394,AY394&lt;&gt;"Declined"),1,0)</f>
        <v/>
      </c>
      <c r="BB394" s="21">
        <f>IF(BA394=1,COUNTIFS($AS$2:$AS$501,AS394,$AT$2:$AT$501,AT394,$AU$2:$AU$501,"&lt;"&amp;AV394,$AV$2:$AV$501,"&gt;"&amp;AU394,$BA$2:$BA$501,1)-1,"")</f>
        <v/>
      </c>
      <c r="BC394" s="21">
        <f>IF(N(BB394)&gt;0,"Clashes with "&amp;INDEX($AW$2:$AW$501,SUMPRODUCT(MAX(($AS$2:$AS$501=AS394)*($AT$2:$AT$501=AT394)*($AU$2:$AU$501&lt;AV394)*($AV$2:$AV$501&gt;AU394)*($BA$2:$BA$501=1)*(ROW($AS$2:$AS$501)&lt;&gt;ROW())*ROW($AS$2:$AS$501)))-1)&amp;" ("&amp;INDEX($AY$2:$AY$501,SUMPRODUCT(MAX(($AS$2:$AS$501=AS394)*($AT$2:$AT$501=AT394)*($AU$2:$AU$501&lt;AV394)*($AV$2:$AV$501&gt;AU394)*($BA$2:$BA$501=1)*(ROW($AS$2:$AS$501)&lt;&gt;ROW())*ROW($AS$2:$AS$501)))-1)&amp;")"&amp;IF(BB394&gt;1," and "&amp;(BB394-1)&amp;" more",""),"")</f>
        <v/>
      </c>
      <c r="BD394" s="21">
        <f>IF(AND(BA394=1,AY394="Confirmed"),AT394*10000000+AU394*1000+ROW(),"")</f>
        <v/>
      </c>
      <c r="BE394" s="21">
        <f>IF(IFERROR(TRIM(INDEX($A394:$AL394,MATCH(Lists!$F$2,$A$1:$AL$1,0))&amp;""),"")="","",IFERROR(TRIM(INDEX($A394:$AL394,MATCH(Lists!$F$11,$A$1:$AL$1,0))&amp;""),""))</f>
        <v/>
      </c>
      <c r="BF394" s="21">
        <f>IF(IFERROR(TRIM(INDEX($A394:$AL394,MATCH(Lists!$F$2,$A$1:$AL$1,0))&amp;""),"")="","",IFERROR(TRIM(INDEX($A394:$AL394,MATCH(Lists!$F$12,$A$1:$AL$1,0))&amp;""),""))</f>
        <v/>
      </c>
    </row>
    <row r="395">
      <c r="AM395" s="19" t="n"/>
      <c r="AN395" s="23" t="n"/>
      <c r="AO395" s="23" t="n"/>
      <c r="AP395" s="23" t="n"/>
      <c r="AQ395" s="23" t="n"/>
      <c r="AR395" s="19" t="n"/>
      <c r="AS395" s="21">
        <f>IF(IFERROR(TRIM(INDEX($A395:$AL395,MATCH(Lists!$F$2,$A$1:$AL$1,0))&amp;""),"")="","",IF(AND(IFERROR(TRIM(INDEX($A395:$AL395,MATCH(Lists!$F$3,$A$1:$AL$1,0))&amp;""),"")="Other",IFERROR(TRIM(INDEX($A395:$AL395,MATCH(Lists!$F$4,$A$1:$AL$1,0))&amp;""),"")&lt;&gt;""),IFERROR(TRIM(INDEX($A395:$AL395,MATCH(Lists!$F$4,$A$1:$AL$1,0))&amp;""),""),IF(IFERROR(TRIM(INDEX($A395:$AL395,MATCH(Lists!$F$3,$A$1:$AL$1,0))&amp;""),"")="","(no space)",IFERROR(TRIM(INDEX($A395:$AL395,MATCH(Lists!$F$3,$A$1:$AL$1,0))&amp;""),""))))</f>
        <v/>
      </c>
      <c r="AT395" s="22">
        <f>IF(IFERROR(TRIM(INDEX($A395:$AL395,MATCH(Lists!$F$2,$A$1:$AL$1,0))&amp;""),"")="",0,N(IFERROR(IF(TRIM(INDEX($A395:$AL395,MATCH(Lists!$F$5,$A$1:$AL$1,0))&amp;"")="","",IF(ISNUMBER(INDEX($A395:$AL395,MATCH(Lists!$F$5,$A$1:$AL$1,0))),INT(INDEX($A395:$AL395,MATCH(Lists!$F$5,$A$1:$AL$1,0))),DATE(VALUE(LEFT(INDEX($A395:$AL395,MATCH(Lists!$F$5,$A$1:$AL$1,0)),4)),VALUE(MID(INDEX($A395:$AL395,MATCH(Lists!$F$5,$A$1:$AL$1,0)),6,2)),VALUE(MID(INDEX($A395:$AL395,MATCH(Lists!$F$5,$A$1:$AL$1,0)),9,2))))),"")))</f>
        <v/>
      </c>
      <c r="AU395" s="21">
        <f>IF(IFERROR(TRIM(INDEX($A395:$AL395,MATCH(Lists!$F$2,$A$1:$AL$1,0))&amp;""),"")="",-1,IF(ISNUMBER(IFERROR(IF(TRIM(INDEX($A395:$AL395,MATCH(Lists!$F$6,$A$1:$AL$1,0))&amp;"")="","",IF(ISNUMBER(INDEX($A395:$AL395,MATCH(Lists!$F$6,$A$1:$AL$1,0))),ROUND(MOD(INDEX($A395:$AL395,MATCH(Lists!$F$6,$A$1:$AL$1,0)),1)*1440,0),VALUE(LEFT(INDEX($A395:$AL395,MATCH(Lists!$F$6,$A$1:$AL$1,0)),2))*60+VALUE(MID(INDEX($A395:$AL395,MATCH(Lists!$F$6,$A$1:$AL$1,0)),4,2)))),"")),IFERROR(IF(TRIM(INDEX($A395:$AL395,MATCH(Lists!$F$6,$A$1:$AL$1,0))&amp;"")="","",IF(ISNUMBER(INDEX($A395:$AL395,MATCH(Lists!$F$6,$A$1:$AL$1,0))),ROUND(MOD(INDEX($A395:$AL395,MATCH(Lists!$F$6,$A$1:$AL$1,0)),1)*1440,0),VALUE(LEFT(INDEX($A395:$AL395,MATCH(Lists!$F$6,$A$1:$AL$1,0)),2))*60+VALUE(MID(INDEX($A395:$AL395,MATCH(Lists!$F$6,$A$1:$AL$1,0)),4,2)))),""),-1))</f>
        <v/>
      </c>
      <c r="AV395" s="21">
        <f>IF(IFERROR(TRIM(INDEX($A395:$AL395,MATCH(Lists!$F$2,$A$1:$AL$1,0))&amp;""),"")="",-1,IF(ISNUMBER(IFERROR(IF(TRIM(INDEX($A395:$AL395,MATCH(Lists!$F$7,$A$1:$AL$1,0))&amp;"")="","",IF(ISNUMBER(INDEX($A395:$AL395,MATCH(Lists!$F$7,$A$1:$AL$1,0))),ROUND(MOD(INDEX($A395:$AL395,MATCH(Lists!$F$7,$A$1:$AL$1,0)),1)*1440,0),VALUE(LEFT(INDEX($A395:$AL395,MATCH(Lists!$F$7,$A$1:$AL$1,0)),2))*60+VALUE(MID(INDEX($A395:$AL395,MATCH(Lists!$F$7,$A$1:$AL$1,0)),4,2)))),"")),IFERROR(IF(TRIM(INDEX($A395:$AL395,MATCH(Lists!$F$7,$A$1:$AL$1,0))&amp;"")="","",IF(ISNUMBER(INDEX($A395:$AL395,MATCH(Lists!$F$7,$A$1:$AL$1,0))),ROUND(MOD(INDEX($A395:$AL395,MATCH(Lists!$F$7,$A$1:$AL$1,0)),1)*1440,0),VALUE(LEFT(INDEX($A395:$AL395,MATCH(Lists!$F$7,$A$1:$AL$1,0)),2))*60+VALUE(MID(INDEX($A395:$AL395,MATCH(Lists!$F$7,$A$1:$AL$1,0)),4,2)))),""),-1))</f>
        <v/>
      </c>
      <c r="AW395" s="21">
        <f>IF(IFERROR(TRIM(INDEX($A395:$AL395,MATCH(Lists!$F$2,$A$1:$AL$1,0))&amp;""),"")="","",IF(IFERROR(TRIM(INDEX($A395:$AL395,MATCH(Lists!$F$8,$A$1:$AL$1,0))&amp;""),"")&lt;&gt;"",IFERROR(TRIM(INDEX($A395:$AL395,MATCH(Lists!$F$8,$A$1:$AL$1,0))&amp;""),""),IFERROR(TRIM(INDEX($A395:$AL395,MATCH(Lists!$F$9,$A$1:$AL$1,0))&amp;""),"")))</f>
        <v/>
      </c>
      <c r="AX395" s="21">
        <f>IFERROR(IF(TRIM(INDEX($A395:$AL395,MATCH(Lists!$F$10,$A$1:$AL$1,0))&amp;"")="","",VALUE(TRIM(INDEX($A395:$AL395,MATCH(Lists!$F$10,$A$1:$AL$1,0))&amp;""))),"")</f>
        <v/>
      </c>
      <c r="AY395" s="21">
        <f>IF(IFERROR(TRIM(INDEX($A395:$AL395,MATCH(Lists!$F$2,$A$1:$AL$1,0))&amp;""),"")="","",IF(AN395="","New",AN395))</f>
        <v/>
      </c>
      <c r="AZ395" s="21">
        <f>IF(IFERROR(TRIM(INDEX($A395:$AL395,MATCH(Lists!$F$2,$A$1:$AL$1,0))&amp;""),"")="","",IF(OR(IFERROR(TRIM(INDEX($A395:$AL395,MATCH(Lists!$F$13,$A$1:$AL$1,0))&amp;""),"")="Paid",IFERROR(TRIM(INDEX($A395:$AL395,MATCH(Lists!$F$13,$A$1:$AL$1,0))&amp;""),"")="Partially refunded"),"Paid",IF(AP395="Yes","Paid (by hand)",IFERROR(TRIM(INDEX($A395:$AL395,MATCH(Lists!$F$13,$A$1:$AL$1,0))&amp;""),""))))</f>
        <v/>
      </c>
      <c r="BA395" s="21">
        <f>IF(AND(IFERROR(TRIM(INDEX($A395:$AL395,MATCH(Lists!$F$2,$A$1:$AL$1,0))&amp;""),"")&lt;&gt;"",AT395&gt;0,AU395&gt;=0,AV395&gt;AU395,AY395&lt;&gt;"Declined"),1,0)</f>
        <v/>
      </c>
      <c r="BB395" s="21">
        <f>IF(BA395=1,COUNTIFS($AS$2:$AS$501,AS395,$AT$2:$AT$501,AT395,$AU$2:$AU$501,"&lt;"&amp;AV395,$AV$2:$AV$501,"&gt;"&amp;AU395,$BA$2:$BA$501,1)-1,"")</f>
        <v/>
      </c>
      <c r="BC395" s="21">
        <f>IF(N(BB395)&gt;0,"Clashes with "&amp;INDEX($AW$2:$AW$501,SUMPRODUCT(MAX(($AS$2:$AS$501=AS395)*($AT$2:$AT$501=AT395)*($AU$2:$AU$501&lt;AV395)*($AV$2:$AV$501&gt;AU395)*($BA$2:$BA$501=1)*(ROW($AS$2:$AS$501)&lt;&gt;ROW())*ROW($AS$2:$AS$501)))-1)&amp;" ("&amp;INDEX($AY$2:$AY$501,SUMPRODUCT(MAX(($AS$2:$AS$501=AS395)*($AT$2:$AT$501=AT395)*($AU$2:$AU$501&lt;AV395)*($AV$2:$AV$501&gt;AU395)*($BA$2:$BA$501=1)*(ROW($AS$2:$AS$501)&lt;&gt;ROW())*ROW($AS$2:$AS$501)))-1)&amp;")"&amp;IF(BB395&gt;1," and "&amp;(BB395-1)&amp;" more",""),"")</f>
        <v/>
      </c>
      <c r="BD395" s="21">
        <f>IF(AND(BA395=1,AY395="Confirmed"),AT395*10000000+AU395*1000+ROW(),"")</f>
        <v/>
      </c>
      <c r="BE395" s="21">
        <f>IF(IFERROR(TRIM(INDEX($A395:$AL395,MATCH(Lists!$F$2,$A$1:$AL$1,0))&amp;""),"")="","",IFERROR(TRIM(INDEX($A395:$AL395,MATCH(Lists!$F$11,$A$1:$AL$1,0))&amp;""),""))</f>
        <v/>
      </c>
      <c r="BF395" s="21">
        <f>IF(IFERROR(TRIM(INDEX($A395:$AL395,MATCH(Lists!$F$2,$A$1:$AL$1,0))&amp;""),"")="","",IFERROR(TRIM(INDEX($A395:$AL395,MATCH(Lists!$F$12,$A$1:$AL$1,0))&amp;""),""))</f>
        <v/>
      </c>
    </row>
    <row r="396">
      <c r="AM396" s="19" t="n"/>
      <c r="AN396" s="23" t="n"/>
      <c r="AO396" s="23" t="n"/>
      <c r="AP396" s="23" t="n"/>
      <c r="AQ396" s="23" t="n"/>
      <c r="AR396" s="19" t="n"/>
      <c r="AS396" s="21">
        <f>IF(IFERROR(TRIM(INDEX($A396:$AL396,MATCH(Lists!$F$2,$A$1:$AL$1,0))&amp;""),"")="","",IF(AND(IFERROR(TRIM(INDEX($A396:$AL396,MATCH(Lists!$F$3,$A$1:$AL$1,0))&amp;""),"")="Other",IFERROR(TRIM(INDEX($A396:$AL396,MATCH(Lists!$F$4,$A$1:$AL$1,0))&amp;""),"")&lt;&gt;""),IFERROR(TRIM(INDEX($A396:$AL396,MATCH(Lists!$F$4,$A$1:$AL$1,0))&amp;""),""),IF(IFERROR(TRIM(INDEX($A396:$AL396,MATCH(Lists!$F$3,$A$1:$AL$1,0))&amp;""),"")="","(no space)",IFERROR(TRIM(INDEX($A396:$AL396,MATCH(Lists!$F$3,$A$1:$AL$1,0))&amp;""),""))))</f>
        <v/>
      </c>
      <c r="AT396" s="22">
        <f>IF(IFERROR(TRIM(INDEX($A396:$AL396,MATCH(Lists!$F$2,$A$1:$AL$1,0))&amp;""),"")="",0,N(IFERROR(IF(TRIM(INDEX($A396:$AL396,MATCH(Lists!$F$5,$A$1:$AL$1,0))&amp;"")="","",IF(ISNUMBER(INDEX($A396:$AL396,MATCH(Lists!$F$5,$A$1:$AL$1,0))),INT(INDEX($A396:$AL396,MATCH(Lists!$F$5,$A$1:$AL$1,0))),DATE(VALUE(LEFT(INDEX($A396:$AL396,MATCH(Lists!$F$5,$A$1:$AL$1,0)),4)),VALUE(MID(INDEX($A396:$AL396,MATCH(Lists!$F$5,$A$1:$AL$1,0)),6,2)),VALUE(MID(INDEX($A396:$AL396,MATCH(Lists!$F$5,$A$1:$AL$1,0)),9,2))))),"")))</f>
        <v/>
      </c>
      <c r="AU396" s="21">
        <f>IF(IFERROR(TRIM(INDEX($A396:$AL396,MATCH(Lists!$F$2,$A$1:$AL$1,0))&amp;""),"")="",-1,IF(ISNUMBER(IFERROR(IF(TRIM(INDEX($A396:$AL396,MATCH(Lists!$F$6,$A$1:$AL$1,0))&amp;"")="","",IF(ISNUMBER(INDEX($A396:$AL396,MATCH(Lists!$F$6,$A$1:$AL$1,0))),ROUND(MOD(INDEX($A396:$AL396,MATCH(Lists!$F$6,$A$1:$AL$1,0)),1)*1440,0),VALUE(LEFT(INDEX($A396:$AL396,MATCH(Lists!$F$6,$A$1:$AL$1,0)),2))*60+VALUE(MID(INDEX($A396:$AL396,MATCH(Lists!$F$6,$A$1:$AL$1,0)),4,2)))),"")),IFERROR(IF(TRIM(INDEX($A396:$AL396,MATCH(Lists!$F$6,$A$1:$AL$1,0))&amp;"")="","",IF(ISNUMBER(INDEX($A396:$AL396,MATCH(Lists!$F$6,$A$1:$AL$1,0))),ROUND(MOD(INDEX($A396:$AL396,MATCH(Lists!$F$6,$A$1:$AL$1,0)),1)*1440,0),VALUE(LEFT(INDEX($A396:$AL396,MATCH(Lists!$F$6,$A$1:$AL$1,0)),2))*60+VALUE(MID(INDEX($A396:$AL396,MATCH(Lists!$F$6,$A$1:$AL$1,0)),4,2)))),""),-1))</f>
        <v/>
      </c>
      <c r="AV396" s="21">
        <f>IF(IFERROR(TRIM(INDEX($A396:$AL396,MATCH(Lists!$F$2,$A$1:$AL$1,0))&amp;""),"")="",-1,IF(ISNUMBER(IFERROR(IF(TRIM(INDEX($A396:$AL396,MATCH(Lists!$F$7,$A$1:$AL$1,0))&amp;"")="","",IF(ISNUMBER(INDEX($A396:$AL396,MATCH(Lists!$F$7,$A$1:$AL$1,0))),ROUND(MOD(INDEX($A396:$AL396,MATCH(Lists!$F$7,$A$1:$AL$1,0)),1)*1440,0),VALUE(LEFT(INDEX($A396:$AL396,MATCH(Lists!$F$7,$A$1:$AL$1,0)),2))*60+VALUE(MID(INDEX($A396:$AL396,MATCH(Lists!$F$7,$A$1:$AL$1,0)),4,2)))),"")),IFERROR(IF(TRIM(INDEX($A396:$AL396,MATCH(Lists!$F$7,$A$1:$AL$1,0))&amp;"")="","",IF(ISNUMBER(INDEX($A396:$AL396,MATCH(Lists!$F$7,$A$1:$AL$1,0))),ROUND(MOD(INDEX($A396:$AL396,MATCH(Lists!$F$7,$A$1:$AL$1,0)),1)*1440,0),VALUE(LEFT(INDEX($A396:$AL396,MATCH(Lists!$F$7,$A$1:$AL$1,0)),2))*60+VALUE(MID(INDEX($A396:$AL396,MATCH(Lists!$F$7,$A$1:$AL$1,0)),4,2)))),""),-1))</f>
        <v/>
      </c>
      <c r="AW396" s="21">
        <f>IF(IFERROR(TRIM(INDEX($A396:$AL396,MATCH(Lists!$F$2,$A$1:$AL$1,0))&amp;""),"")="","",IF(IFERROR(TRIM(INDEX($A396:$AL396,MATCH(Lists!$F$8,$A$1:$AL$1,0))&amp;""),"")&lt;&gt;"",IFERROR(TRIM(INDEX($A396:$AL396,MATCH(Lists!$F$8,$A$1:$AL$1,0))&amp;""),""),IFERROR(TRIM(INDEX($A396:$AL396,MATCH(Lists!$F$9,$A$1:$AL$1,0))&amp;""),"")))</f>
        <v/>
      </c>
      <c r="AX396" s="21">
        <f>IFERROR(IF(TRIM(INDEX($A396:$AL396,MATCH(Lists!$F$10,$A$1:$AL$1,0))&amp;"")="","",VALUE(TRIM(INDEX($A396:$AL396,MATCH(Lists!$F$10,$A$1:$AL$1,0))&amp;""))),"")</f>
        <v/>
      </c>
      <c r="AY396" s="21">
        <f>IF(IFERROR(TRIM(INDEX($A396:$AL396,MATCH(Lists!$F$2,$A$1:$AL$1,0))&amp;""),"")="","",IF(AN396="","New",AN396))</f>
        <v/>
      </c>
      <c r="AZ396" s="21">
        <f>IF(IFERROR(TRIM(INDEX($A396:$AL396,MATCH(Lists!$F$2,$A$1:$AL$1,0))&amp;""),"")="","",IF(OR(IFERROR(TRIM(INDEX($A396:$AL396,MATCH(Lists!$F$13,$A$1:$AL$1,0))&amp;""),"")="Paid",IFERROR(TRIM(INDEX($A396:$AL396,MATCH(Lists!$F$13,$A$1:$AL$1,0))&amp;""),"")="Partially refunded"),"Paid",IF(AP396="Yes","Paid (by hand)",IFERROR(TRIM(INDEX($A396:$AL396,MATCH(Lists!$F$13,$A$1:$AL$1,0))&amp;""),""))))</f>
        <v/>
      </c>
      <c r="BA396" s="21">
        <f>IF(AND(IFERROR(TRIM(INDEX($A396:$AL396,MATCH(Lists!$F$2,$A$1:$AL$1,0))&amp;""),"")&lt;&gt;"",AT396&gt;0,AU396&gt;=0,AV396&gt;AU396,AY396&lt;&gt;"Declined"),1,0)</f>
        <v/>
      </c>
      <c r="BB396" s="21">
        <f>IF(BA396=1,COUNTIFS($AS$2:$AS$501,AS396,$AT$2:$AT$501,AT396,$AU$2:$AU$501,"&lt;"&amp;AV396,$AV$2:$AV$501,"&gt;"&amp;AU396,$BA$2:$BA$501,1)-1,"")</f>
        <v/>
      </c>
      <c r="BC396" s="21">
        <f>IF(N(BB396)&gt;0,"Clashes with "&amp;INDEX($AW$2:$AW$501,SUMPRODUCT(MAX(($AS$2:$AS$501=AS396)*($AT$2:$AT$501=AT396)*($AU$2:$AU$501&lt;AV396)*($AV$2:$AV$501&gt;AU396)*($BA$2:$BA$501=1)*(ROW($AS$2:$AS$501)&lt;&gt;ROW())*ROW($AS$2:$AS$501)))-1)&amp;" ("&amp;INDEX($AY$2:$AY$501,SUMPRODUCT(MAX(($AS$2:$AS$501=AS396)*($AT$2:$AT$501=AT396)*($AU$2:$AU$501&lt;AV396)*($AV$2:$AV$501&gt;AU396)*($BA$2:$BA$501=1)*(ROW($AS$2:$AS$501)&lt;&gt;ROW())*ROW($AS$2:$AS$501)))-1)&amp;")"&amp;IF(BB396&gt;1," and "&amp;(BB396-1)&amp;" more",""),"")</f>
        <v/>
      </c>
      <c r="BD396" s="21">
        <f>IF(AND(BA396=1,AY396="Confirmed"),AT396*10000000+AU396*1000+ROW(),"")</f>
        <v/>
      </c>
      <c r="BE396" s="21">
        <f>IF(IFERROR(TRIM(INDEX($A396:$AL396,MATCH(Lists!$F$2,$A$1:$AL$1,0))&amp;""),"")="","",IFERROR(TRIM(INDEX($A396:$AL396,MATCH(Lists!$F$11,$A$1:$AL$1,0))&amp;""),""))</f>
        <v/>
      </c>
      <c r="BF396" s="21">
        <f>IF(IFERROR(TRIM(INDEX($A396:$AL396,MATCH(Lists!$F$2,$A$1:$AL$1,0))&amp;""),"")="","",IFERROR(TRIM(INDEX($A396:$AL396,MATCH(Lists!$F$12,$A$1:$AL$1,0))&amp;""),""))</f>
        <v/>
      </c>
    </row>
    <row r="397">
      <c r="AM397" s="19" t="n"/>
      <c r="AN397" s="23" t="n"/>
      <c r="AO397" s="23" t="n"/>
      <c r="AP397" s="23" t="n"/>
      <c r="AQ397" s="23" t="n"/>
      <c r="AR397" s="19" t="n"/>
      <c r="AS397" s="21">
        <f>IF(IFERROR(TRIM(INDEX($A397:$AL397,MATCH(Lists!$F$2,$A$1:$AL$1,0))&amp;""),"")="","",IF(AND(IFERROR(TRIM(INDEX($A397:$AL397,MATCH(Lists!$F$3,$A$1:$AL$1,0))&amp;""),"")="Other",IFERROR(TRIM(INDEX($A397:$AL397,MATCH(Lists!$F$4,$A$1:$AL$1,0))&amp;""),"")&lt;&gt;""),IFERROR(TRIM(INDEX($A397:$AL397,MATCH(Lists!$F$4,$A$1:$AL$1,0))&amp;""),""),IF(IFERROR(TRIM(INDEX($A397:$AL397,MATCH(Lists!$F$3,$A$1:$AL$1,0))&amp;""),"")="","(no space)",IFERROR(TRIM(INDEX($A397:$AL397,MATCH(Lists!$F$3,$A$1:$AL$1,0))&amp;""),""))))</f>
        <v/>
      </c>
      <c r="AT397" s="22">
        <f>IF(IFERROR(TRIM(INDEX($A397:$AL397,MATCH(Lists!$F$2,$A$1:$AL$1,0))&amp;""),"")="",0,N(IFERROR(IF(TRIM(INDEX($A397:$AL397,MATCH(Lists!$F$5,$A$1:$AL$1,0))&amp;"")="","",IF(ISNUMBER(INDEX($A397:$AL397,MATCH(Lists!$F$5,$A$1:$AL$1,0))),INT(INDEX($A397:$AL397,MATCH(Lists!$F$5,$A$1:$AL$1,0))),DATE(VALUE(LEFT(INDEX($A397:$AL397,MATCH(Lists!$F$5,$A$1:$AL$1,0)),4)),VALUE(MID(INDEX($A397:$AL397,MATCH(Lists!$F$5,$A$1:$AL$1,0)),6,2)),VALUE(MID(INDEX($A397:$AL397,MATCH(Lists!$F$5,$A$1:$AL$1,0)),9,2))))),"")))</f>
        <v/>
      </c>
      <c r="AU397" s="21">
        <f>IF(IFERROR(TRIM(INDEX($A397:$AL397,MATCH(Lists!$F$2,$A$1:$AL$1,0))&amp;""),"")="",-1,IF(ISNUMBER(IFERROR(IF(TRIM(INDEX($A397:$AL397,MATCH(Lists!$F$6,$A$1:$AL$1,0))&amp;"")="","",IF(ISNUMBER(INDEX($A397:$AL397,MATCH(Lists!$F$6,$A$1:$AL$1,0))),ROUND(MOD(INDEX($A397:$AL397,MATCH(Lists!$F$6,$A$1:$AL$1,0)),1)*1440,0),VALUE(LEFT(INDEX($A397:$AL397,MATCH(Lists!$F$6,$A$1:$AL$1,0)),2))*60+VALUE(MID(INDEX($A397:$AL397,MATCH(Lists!$F$6,$A$1:$AL$1,0)),4,2)))),"")),IFERROR(IF(TRIM(INDEX($A397:$AL397,MATCH(Lists!$F$6,$A$1:$AL$1,0))&amp;"")="","",IF(ISNUMBER(INDEX($A397:$AL397,MATCH(Lists!$F$6,$A$1:$AL$1,0))),ROUND(MOD(INDEX($A397:$AL397,MATCH(Lists!$F$6,$A$1:$AL$1,0)),1)*1440,0),VALUE(LEFT(INDEX($A397:$AL397,MATCH(Lists!$F$6,$A$1:$AL$1,0)),2))*60+VALUE(MID(INDEX($A397:$AL397,MATCH(Lists!$F$6,$A$1:$AL$1,0)),4,2)))),""),-1))</f>
        <v/>
      </c>
      <c r="AV397" s="21">
        <f>IF(IFERROR(TRIM(INDEX($A397:$AL397,MATCH(Lists!$F$2,$A$1:$AL$1,0))&amp;""),"")="",-1,IF(ISNUMBER(IFERROR(IF(TRIM(INDEX($A397:$AL397,MATCH(Lists!$F$7,$A$1:$AL$1,0))&amp;"")="","",IF(ISNUMBER(INDEX($A397:$AL397,MATCH(Lists!$F$7,$A$1:$AL$1,0))),ROUND(MOD(INDEX($A397:$AL397,MATCH(Lists!$F$7,$A$1:$AL$1,0)),1)*1440,0),VALUE(LEFT(INDEX($A397:$AL397,MATCH(Lists!$F$7,$A$1:$AL$1,0)),2))*60+VALUE(MID(INDEX($A397:$AL397,MATCH(Lists!$F$7,$A$1:$AL$1,0)),4,2)))),"")),IFERROR(IF(TRIM(INDEX($A397:$AL397,MATCH(Lists!$F$7,$A$1:$AL$1,0))&amp;"")="","",IF(ISNUMBER(INDEX($A397:$AL397,MATCH(Lists!$F$7,$A$1:$AL$1,0))),ROUND(MOD(INDEX($A397:$AL397,MATCH(Lists!$F$7,$A$1:$AL$1,0)),1)*1440,0),VALUE(LEFT(INDEX($A397:$AL397,MATCH(Lists!$F$7,$A$1:$AL$1,0)),2))*60+VALUE(MID(INDEX($A397:$AL397,MATCH(Lists!$F$7,$A$1:$AL$1,0)),4,2)))),""),-1))</f>
        <v/>
      </c>
      <c r="AW397" s="21">
        <f>IF(IFERROR(TRIM(INDEX($A397:$AL397,MATCH(Lists!$F$2,$A$1:$AL$1,0))&amp;""),"")="","",IF(IFERROR(TRIM(INDEX($A397:$AL397,MATCH(Lists!$F$8,$A$1:$AL$1,0))&amp;""),"")&lt;&gt;"",IFERROR(TRIM(INDEX($A397:$AL397,MATCH(Lists!$F$8,$A$1:$AL$1,0))&amp;""),""),IFERROR(TRIM(INDEX($A397:$AL397,MATCH(Lists!$F$9,$A$1:$AL$1,0))&amp;""),"")))</f>
        <v/>
      </c>
      <c r="AX397" s="21">
        <f>IFERROR(IF(TRIM(INDEX($A397:$AL397,MATCH(Lists!$F$10,$A$1:$AL$1,0))&amp;"")="","",VALUE(TRIM(INDEX($A397:$AL397,MATCH(Lists!$F$10,$A$1:$AL$1,0))&amp;""))),"")</f>
        <v/>
      </c>
      <c r="AY397" s="21">
        <f>IF(IFERROR(TRIM(INDEX($A397:$AL397,MATCH(Lists!$F$2,$A$1:$AL$1,0))&amp;""),"")="","",IF(AN397="","New",AN397))</f>
        <v/>
      </c>
      <c r="AZ397" s="21">
        <f>IF(IFERROR(TRIM(INDEX($A397:$AL397,MATCH(Lists!$F$2,$A$1:$AL$1,0))&amp;""),"")="","",IF(OR(IFERROR(TRIM(INDEX($A397:$AL397,MATCH(Lists!$F$13,$A$1:$AL$1,0))&amp;""),"")="Paid",IFERROR(TRIM(INDEX($A397:$AL397,MATCH(Lists!$F$13,$A$1:$AL$1,0))&amp;""),"")="Partially refunded"),"Paid",IF(AP397="Yes","Paid (by hand)",IFERROR(TRIM(INDEX($A397:$AL397,MATCH(Lists!$F$13,$A$1:$AL$1,0))&amp;""),""))))</f>
        <v/>
      </c>
      <c r="BA397" s="21">
        <f>IF(AND(IFERROR(TRIM(INDEX($A397:$AL397,MATCH(Lists!$F$2,$A$1:$AL$1,0))&amp;""),"")&lt;&gt;"",AT397&gt;0,AU397&gt;=0,AV397&gt;AU397,AY397&lt;&gt;"Declined"),1,0)</f>
        <v/>
      </c>
      <c r="BB397" s="21">
        <f>IF(BA397=1,COUNTIFS($AS$2:$AS$501,AS397,$AT$2:$AT$501,AT397,$AU$2:$AU$501,"&lt;"&amp;AV397,$AV$2:$AV$501,"&gt;"&amp;AU397,$BA$2:$BA$501,1)-1,"")</f>
        <v/>
      </c>
      <c r="BC397" s="21">
        <f>IF(N(BB397)&gt;0,"Clashes with "&amp;INDEX($AW$2:$AW$501,SUMPRODUCT(MAX(($AS$2:$AS$501=AS397)*($AT$2:$AT$501=AT397)*($AU$2:$AU$501&lt;AV397)*($AV$2:$AV$501&gt;AU397)*($BA$2:$BA$501=1)*(ROW($AS$2:$AS$501)&lt;&gt;ROW())*ROW($AS$2:$AS$501)))-1)&amp;" ("&amp;INDEX($AY$2:$AY$501,SUMPRODUCT(MAX(($AS$2:$AS$501=AS397)*($AT$2:$AT$501=AT397)*($AU$2:$AU$501&lt;AV397)*($AV$2:$AV$501&gt;AU397)*($BA$2:$BA$501=1)*(ROW($AS$2:$AS$501)&lt;&gt;ROW())*ROW($AS$2:$AS$501)))-1)&amp;")"&amp;IF(BB397&gt;1," and "&amp;(BB397-1)&amp;" more",""),"")</f>
        <v/>
      </c>
      <c r="BD397" s="21">
        <f>IF(AND(BA397=1,AY397="Confirmed"),AT397*10000000+AU397*1000+ROW(),"")</f>
        <v/>
      </c>
      <c r="BE397" s="21">
        <f>IF(IFERROR(TRIM(INDEX($A397:$AL397,MATCH(Lists!$F$2,$A$1:$AL$1,0))&amp;""),"")="","",IFERROR(TRIM(INDEX($A397:$AL397,MATCH(Lists!$F$11,$A$1:$AL$1,0))&amp;""),""))</f>
        <v/>
      </c>
      <c r="BF397" s="21">
        <f>IF(IFERROR(TRIM(INDEX($A397:$AL397,MATCH(Lists!$F$2,$A$1:$AL$1,0))&amp;""),"")="","",IFERROR(TRIM(INDEX($A397:$AL397,MATCH(Lists!$F$12,$A$1:$AL$1,0))&amp;""),""))</f>
        <v/>
      </c>
    </row>
    <row r="398">
      <c r="AM398" s="19" t="n"/>
      <c r="AN398" s="23" t="n"/>
      <c r="AO398" s="23" t="n"/>
      <c r="AP398" s="23" t="n"/>
      <c r="AQ398" s="23" t="n"/>
      <c r="AR398" s="19" t="n"/>
      <c r="AS398" s="21">
        <f>IF(IFERROR(TRIM(INDEX($A398:$AL398,MATCH(Lists!$F$2,$A$1:$AL$1,0))&amp;""),"")="","",IF(AND(IFERROR(TRIM(INDEX($A398:$AL398,MATCH(Lists!$F$3,$A$1:$AL$1,0))&amp;""),"")="Other",IFERROR(TRIM(INDEX($A398:$AL398,MATCH(Lists!$F$4,$A$1:$AL$1,0))&amp;""),"")&lt;&gt;""),IFERROR(TRIM(INDEX($A398:$AL398,MATCH(Lists!$F$4,$A$1:$AL$1,0))&amp;""),""),IF(IFERROR(TRIM(INDEX($A398:$AL398,MATCH(Lists!$F$3,$A$1:$AL$1,0))&amp;""),"")="","(no space)",IFERROR(TRIM(INDEX($A398:$AL398,MATCH(Lists!$F$3,$A$1:$AL$1,0))&amp;""),""))))</f>
        <v/>
      </c>
      <c r="AT398" s="22">
        <f>IF(IFERROR(TRIM(INDEX($A398:$AL398,MATCH(Lists!$F$2,$A$1:$AL$1,0))&amp;""),"")="",0,N(IFERROR(IF(TRIM(INDEX($A398:$AL398,MATCH(Lists!$F$5,$A$1:$AL$1,0))&amp;"")="","",IF(ISNUMBER(INDEX($A398:$AL398,MATCH(Lists!$F$5,$A$1:$AL$1,0))),INT(INDEX($A398:$AL398,MATCH(Lists!$F$5,$A$1:$AL$1,0))),DATE(VALUE(LEFT(INDEX($A398:$AL398,MATCH(Lists!$F$5,$A$1:$AL$1,0)),4)),VALUE(MID(INDEX($A398:$AL398,MATCH(Lists!$F$5,$A$1:$AL$1,0)),6,2)),VALUE(MID(INDEX($A398:$AL398,MATCH(Lists!$F$5,$A$1:$AL$1,0)),9,2))))),"")))</f>
        <v/>
      </c>
      <c r="AU398" s="21">
        <f>IF(IFERROR(TRIM(INDEX($A398:$AL398,MATCH(Lists!$F$2,$A$1:$AL$1,0))&amp;""),"")="",-1,IF(ISNUMBER(IFERROR(IF(TRIM(INDEX($A398:$AL398,MATCH(Lists!$F$6,$A$1:$AL$1,0))&amp;"")="","",IF(ISNUMBER(INDEX($A398:$AL398,MATCH(Lists!$F$6,$A$1:$AL$1,0))),ROUND(MOD(INDEX($A398:$AL398,MATCH(Lists!$F$6,$A$1:$AL$1,0)),1)*1440,0),VALUE(LEFT(INDEX($A398:$AL398,MATCH(Lists!$F$6,$A$1:$AL$1,0)),2))*60+VALUE(MID(INDEX($A398:$AL398,MATCH(Lists!$F$6,$A$1:$AL$1,0)),4,2)))),"")),IFERROR(IF(TRIM(INDEX($A398:$AL398,MATCH(Lists!$F$6,$A$1:$AL$1,0))&amp;"")="","",IF(ISNUMBER(INDEX($A398:$AL398,MATCH(Lists!$F$6,$A$1:$AL$1,0))),ROUND(MOD(INDEX($A398:$AL398,MATCH(Lists!$F$6,$A$1:$AL$1,0)),1)*1440,0),VALUE(LEFT(INDEX($A398:$AL398,MATCH(Lists!$F$6,$A$1:$AL$1,0)),2))*60+VALUE(MID(INDEX($A398:$AL398,MATCH(Lists!$F$6,$A$1:$AL$1,0)),4,2)))),""),-1))</f>
        <v/>
      </c>
      <c r="AV398" s="21">
        <f>IF(IFERROR(TRIM(INDEX($A398:$AL398,MATCH(Lists!$F$2,$A$1:$AL$1,0))&amp;""),"")="",-1,IF(ISNUMBER(IFERROR(IF(TRIM(INDEX($A398:$AL398,MATCH(Lists!$F$7,$A$1:$AL$1,0))&amp;"")="","",IF(ISNUMBER(INDEX($A398:$AL398,MATCH(Lists!$F$7,$A$1:$AL$1,0))),ROUND(MOD(INDEX($A398:$AL398,MATCH(Lists!$F$7,$A$1:$AL$1,0)),1)*1440,0),VALUE(LEFT(INDEX($A398:$AL398,MATCH(Lists!$F$7,$A$1:$AL$1,0)),2))*60+VALUE(MID(INDEX($A398:$AL398,MATCH(Lists!$F$7,$A$1:$AL$1,0)),4,2)))),"")),IFERROR(IF(TRIM(INDEX($A398:$AL398,MATCH(Lists!$F$7,$A$1:$AL$1,0))&amp;"")="","",IF(ISNUMBER(INDEX($A398:$AL398,MATCH(Lists!$F$7,$A$1:$AL$1,0))),ROUND(MOD(INDEX($A398:$AL398,MATCH(Lists!$F$7,$A$1:$AL$1,0)),1)*1440,0),VALUE(LEFT(INDEX($A398:$AL398,MATCH(Lists!$F$7,$A$1:$AL$1,0)),2))*60+VALUE(MID(INDEX($A398:$AL398,MATCH(Lists!$F$7,$A$1:$AL$1,0)),4,2)))),""),-1))</f>
        <v/>
      </c>
      <c r="AW398" s="21">
        <f>IF(IFERROR(TRIM(INDEX($A398:$AL398,MATCH(Lists!$F$2,$A$1:$AL$1,0))&amp;""),"")="","",IF(IFERROR(TRIM(INDEX($A398:$AL398,MATCH(Lists!$F$8,$A$1:$AL$1,0))&amp;""),"")&lt;&gt;"",IFERROR(TRIM(INDEX($A398:$AL398,MATCH(Lists!$F$8,$A$1:$AL$1,0))&amp;""),""),IFERROR(TRIM(INDEX($A398:$AL398,MATCH(Lists!$F$9,$A$1:$AL$1,0))&amp;""),"")))</f>
        <v/>
      </c>
      <c r="AX398" s="21">
        <f>IFERROR(IF(TRIM(INDEX($A398:$AL398,MATCH(Lists!$F$10,$A$1:$AL$1,0))&amp;"")="","",VALUE(TRIM(INDEX($A398:$AL398,MATCH(Lists!$F$10,$A$1:$AL$1,0))&amp;""))),"")</f>
        <v/>
      </c>
      <c r="AY398" s="21">
        <f>IF(IFERROR(TRIM(INDEX($A398:$AL398,MATCH(Lists!$F$2,$A$1:$AL$1,0))&amp;""),"")="","",IF(AN398="","New",AN398))</f>
        <v/>
      </c>
      <c r="AZ398" s="21">
        <f>IF(IFERROR(TRIM(INDEX($A398:$AL398,MATCH(Lists!$F$2,$A$1:$AL$1,0))&amp;""),"")="","",IF(OR(IFERROR(TRIM(INDEX($A398:$AL398,MATCH(Lists!$F$13,$A$1:$AL$1,0))&amp;""),"")="Paid",IFERROR(TRIM(INDEX($A398:$AL398,MATCH(Lists!$F$13,$A$1:$AL$1,0))&amp;""),"")="Partially refunded"),"Paid",IF(AP398="Yes","Paid (by hand)",IFERROR(TRIM(INDEX($A398:$AL398,MATCH(Lists!$F$13,$A$1:$AL$1,0))&amp;""),""))))</f>
        <v/>
      </c>
      <c r="BA398" s="21">
        <f>IF(AND(IFERROR(TRIM(INDEX($A398:$AL398,MATCH(Lists!$F$2,$A$1:$AL$1,0))&amp;""),"")&lt;&gt;"",AT398&gt;0,AU398&gt;=0,AV398&gt;AU398,AY398&lt;&gt;"Declined"),1,0)</f>
        <v/>
      </c>
      <c r="BB398" s="21">
        <f>IF(BA398=1,COUNTIFS($AS$2:$AS$501,AS398,$AT$2:$AT$501,AT398,$AU$2:$AU$501,"&lt;"&amp;AV398,$AV$2:$AV$501,"&gt;"&amp;AU398,$BA$2:$BA$501,1)-1,"")</f>
        <v/>
      </c>
      <c r="BC398" s="21">
        <f>IF(N(BB398)&gt;0,"Clashes with "&amp;INDEX($AW$2:$AW$501,SUMPRODUCT(MAX(($AS$2:$AS$501=AS398)*($AT$2:$AT$501=AT398)*($AU$2:$AU$501&lt;AV398)*($AV$2:$AV$501&gt;AU398)*($BA$2:$BA$501=1)*(ROW($AS$2:$AS$501)&lt;&gt;ROW())*ROW($AS$2:$AS$501)))-1)&amp;" ("&amp;INDEX($AY$2:$AY$501,SUMPRODUCT(MAX(($AS$2:$AS$501=AS398)*($AT$2:$AT$501=AT398)*($AU$2:$AU$501&lt;AV398)*($AV$2:$AV$501&gt;AU398)*($BA$2:$BA$501=1)*(ROW($AS$2:$AS$501)&lt;&gt;ROW())*ROW($AS$2:$AS$501)))-1)&amp;")"&amp;IF(BB398&gt;1," and "&amp;(BB398-1)&amp;" more",""),"")</f>
        <v/>
      </c>
      <c r="BD398" s="21">
        <f>IF(AND(BA398=1,AY398="Confirmed"),AT398*10000000+AU398*1000+ROW(),"")</f>
        <v/>
      </c>
      <c r="BE398" s="21">
        <f>IF(IFERROR(TRIM(INDEX($A398:$AL398,MATCH(Lists!$F$2,$A$1:$AL$1,0))&amp;""),"")="","",IFERROR(TRIM(INDEX($A398:$AL398,MATCH(Lists!$F$11,$A$1:$AL$1,0))&amp;""),""))</f>
        <v/>
      </c>
      <c r="BF398" s="21">
        <f>IF(IFERROR(TRIM(INDEX($A398:$AL398,MATCH(Lists!$F$2,$A$1:$AL$1,0))&amp;""),"")="","",IFERROR(TRIM(INDEX($A398:$AL398,MATCH(Lists!$F$12,$A$1:$AL$1,0))&amp;""),""))</f>
        <v/>
      </c>
    </row>
    <row r="399">
      <c r="AM399" s="19" t="n"/>
      <c r="AN399" s="23" t="n"/>
      <c r="AO399" s="23" t="n"/>
      <c r="AP399" s="23" t="n"/>
      <c r="AQ399" s="23" t="n"/>
      <c r="AR399" s="19" t="n"/>
      <c r="AS399" s="21">
        <f>IF(IFERROR(TRIM(INDEX($A399:$AL399,MATCH(Lists!$F$2,$A$1:$AL$1,0))&amp;""),"")="","",IF(AND(IFERROR(TRIM(INDEX($A399:$AL399,MATCH(Lists!$F$3,$A$1:$AL$1,0))&amp;""),"")="Other",IFERROR(TRIM(INDEX($A399:$AL399,MATCH(Lists!$F$4,$A$1:$AL$1,0))&amp;""),"")&lt;&gt;""),IFERROR(TRIM(INDEX($A399:$AL399,MATCH(Lists!$F$4,$A$1:$AL$1,0))&amp;""),""),IF(IFERROR(TRIM(INDEX($A399:$AL399,MATCH(Lists!$F$3,$A$1:$AL$1,0))&amp;""),"")="","(no space)",IFERROR(TRIM(INDEX($A399:$AL399,MATCH(Lists!$F$3,$A$1:$AL$1,0))&amp;""),""))))</f>
        <v/>
      </c>
      <c r="AT399" s="22">
        <f>IF(IFERROR(TRIM(INDEX($A399:$AL399,MATCH(Lists!$F$2,$A$1:$AL$1,0))&amp;""),"")="",0,N(IFERROR(IF(TRIM(INDEX($A399:$AL399,MATCH(Lists!$F$5,$A$1:$AL$1,0))&amp;"")="","",IF(ISNUMBER(INDEX($A399:$AL399,MATCH(Lists!$F$5,$A$1:$AL$1,0))),INT(INDEX($A399:$AL399,MATCH(Lists!$F$5,$A$1:$AL$1,0))),DATE(VALUE(LEFT(INDEX($A399:$AL399,MATCH(Lists!$F$5,$A$1:$AL$1,0)),4)),VALUE(MID(INDEX($A399:$AL399,MATCH(Lists!$F$5,$A$1:$AL$1,0)),6,2)),VALUE(MID(INDEX($A399:$AL399,MATCH(Lists!$F$5,$A$1:$AL$1,0)),9,2))))),"")))</f>
        <v/>
      </c>
      <c r="AU399" s="21">
        <f>IF(IFERROR(TRIM(INDEX($A399:$AL399,MATCH(Lists!$F$2,$A$1:$AL$1,0))&amp;""),"")="",-1,IF(ISNUMBER(IFERROR(IF(TRIM(INDEX($A399:$AL399,MATCH(Lists!$F$6,$A$1:$AL$1,0))&amp;"")="","",IF(ISNUMBER(INDEX($A399:$AL399,MATCH(Lists!$F$6,$A$1:$AL$1,0))),ROUND(MOD(INDEX($A399:$AL399,MATCH(Lists!$F$6,$A$1:$AL$1,0)),1)*1440,0),VALUE(LEFT(INDEX($A399:$AL399,MATCH(Lists!$F$6,$A$1:$AL$1,0)),2))*60+VALUE(MID(INDEX($A399:$AL399,MATCH(Lists!$F$6,$A$1:$AL$1,0)),4,2)))),"")),IFERROR(IF(TRIM(INDEX($A399:$AL399,MATCH(Lists!$F$6,$A$1:$AL$1,0))&amp;"")="","",IF(ISNUMBER(INDEX($A399:$AL399,MATCH(Lists!$F$6,$A$1:$AL$1,0))),ROUND(MOD(INDEX($A399:$AL399,MATCH(Lists!$F$6,$A$1:$AL$1,0)),1)*1440,0),VALUE(LEFT(INDEX($A399:$AL399,MATCH(Lists!$F$6,$A$1:$AL$1,0)),2))*60+VALUE(MID(INDEX($A399:$AL399,MATCH(Lists!$F$6,$A$1:$AL$1,0)),4,2)))),""),-1))</f>
        <v/>
      </c>
      <c r="AV399" s="21">
        <f>IF(IFERROR(TRIM(INDEX($A399:$AL399,MATCH(Lists!$F$2,$A$1:$AL$1,0))&amp;""),"")="",-1,IF(ISNUMBER(IFERROR(IF(TRIM(INDEX($A399:$AL399,MATCH(Lists!$F$7,$A$1:$AL$1,0))&amp;"")="","",IF(ISNUMBER(INDEX($A399:$AL399,MATCH(Lists!$F$7,$A$1:$AL$1,0))),ROUND(MOD(INDEX($A399:$AL399,MATCH(Lists!$F$7,$A$1:$AL$1,0)),1)*1440,0),VALUE(LEFT(INDEX($A399:$AL399,MATCH(Lists!$F$7,$A$1:$AL$1,0)),2))*60+VALUE(MID(INDEX($A399:$AL399,MATCH(Lists!$F$7,$A$1:$AL$1,0)),4,2)))),"")),IFERROR(IF(TRIM(INDEX($A399:$AL399,MATCH(Lists!$F$7,$A$1:$AL$1,0))&amp;"")="","",IF(ISNUMBER(INDEX($A399:$AL399,MATCH(Lists!$F$7,$A$1:$AL$1,0))),ROUND(MOD(INDEX($A399:$AL399,MATCH(Lists!$F$7,$A$1:$AL$1,0)),1)*1440,0),VALUE(LEFT(INDEX($A399:$AL399,MATCH(Lists!$F$7,$A$1:$AL$1,0)),2))*60+VALUE(MID(INDEX($A399:$AL399,MATCH(Lists!$F$7,$A$1:$AL$1,0)),4,2)))),""),-1))</f>
        <v/>
      </c>
      <c r="AW399" s="21">
        <f>IF(IFERROR(TRIM(INDEX($A399:$AL399,MATCH(Lists!$F$2,$A$1:$AL$1,0))&amp;""),"")="","",IF(IFERROR(TRIM(INDEX($A399:$AL399,MATCH(Lists!$F$8,$A$1:$AL$1,0))&amp;""),"")&lt;&gt;"",IFERROR(TRIM(INDEX($A399:$AL399,MATCH(Lists!$F$8,$A$1:$AL$1,0))&amp;""),""),IFERROR(TRIM(INDEX($A399:$AL399,MATCH(Lists!$F$9,$A$1:$AL$1,0))&amp;""),"")))</f>
        <v/>
      </c>
      <c r="AX399" s="21">
        <f>IFERROR(IF(TRIM(INDEX($A399:$AL399,MATCH(Lists!$F$10,$A$1:$AL$1,0))&amp;"")="","",VALUE(TRIM(INDEX($A399:$AL399,MATCH(Lists!$F$10,$A$1:$AL$1,0))&amp;""))),"")</f>
        <v/>
      </c>
      <c r="AY399" s="21">
        <f>IF(IFERROR(TRIM(INDEX($A399:$AL399,MATCH(Lists!$F$2,$A$1:$AL$1,0))&amp;""),"")="","",IF(AN399="","New",AN399))</f>
        <v/>
      </c>
      <c r="AZ399" s="21">
        <f>IF(IFERROR(TRIM(INDEX($A399:$AL399,MATCH(Lists!$F$2,$A$1:$AL$1,0))&amp;""),"")="","",IF(OR(IFERROR(TRIM(INDEX($A399:$AL399,MATCH(Lists!$F$13,$A$1:$AL$1,0))&amp;""),"")="Paid",IFERROR(TRIM(INDEX($A399:$AL399,MATCH(Lists!$F$13,$A$1:$AL$1,0))&amp;""),"")="Partially refunded"),"Paid",IF(AP399="Yes","Paid (by hand)",IFERROR(TRIM(INDEX($A399:$AL399,MATCH(Lists!$F$13,$A$1:$AL$1,0))&amp;""),""))))</f>
        <v/>
      </c>
      <c r="BA399" s="21">
        <f>IF(AND(IFERROR(TRIM(INDEX($A399:$AL399,MATCH(Lists!$F$2,$A$1:$AL$1,0))&amp;""),"")&lt;&gt;"",AT399&gt;0,AU399&gt;=0,AV399&gt;AU399,AY399&lt;&gt;"Declined"),1,0)</f>
        <v/>
      </c>
      <c r="BB399" s="21">
        <f>IF(BA399=1,COUNTIFS($AS$2:$AS$501,AS399,$AT$2:$AT$501,AT399,$AU$2:$AU$501,"&lt;"&amp;AV399,$AV$2:$AV$501,"&gt;"&amp;AU399,$BA$2:$BA$501,1)-1,"")</f>
        <v/>
      </c>
      <c r="BC399" s="21">
        <f>IF(N(BB399)&gt;0,"Clashes with "&amp;INDEX($AW$2:$AW$501,SUMPRODUCT(MAX(($AS$2:$AS$501=AS399)*($AT$2:$AT$501=AT399)*($AU$2:$AU$501&lt;AV399)*($AV$2:$AV$501&gt;AU399)*($BA$2:$BA$501=1)*(ROW($AS$2:$AS$501)&lt;&gt;ROW())*ROW($AS$2:$AS$501)))-1)&amp;" ("&amp;INDEX($AY$2:$AY$501,SUMPRODUCT(MAX(($AS$2:$AS$501=AS399)*($AT$2:$AT$501=AT399)*($AU$2:$AU$501&lt;AV399)*($AV$2:$AV$501&gt;AU399)*($BA$2:$BA$501=1)*(ROW($AS$2:$AS$501)&lt;&gt;ROW())*ROW($AS$2:$AS$501)))-1)&amp;")"&amp;IF(BB399&gt;1," and "&amp;(BB399-1)&amp;" more",""),"")</f>
        <v/>
      </c>
      <c r="BD399" s="21">
        <f>IF(AND(BA399=1,AY399="Confirmed"),AT399*10000000+AU399*1000+ROW(),"")</f>
        <v/>
      </c>
      <c r="BE399" s="21">
        <f>IF(IFERROR(TRIM(INDEX($A399:$AL399,MATCH(Lists!$F$2,$A$1:$AL$1,0))&amp;""),"")="","",IFERROR(TRIM(INDEX($A399:$AL399,MATCH(Lists!$F$11,$A$1:$AL$1,0))&amp;""),""))</f>
        <v/>
      </c>
      <c r="BF399" s="21">
        <f>IF(IFERROR(TRIM(INDEX($A399:$AL399,MATCH(Lists!$F$2,$A$1:$AL$1,0))&amp;""),"")="","",IFERROR(TRIM(INDEX($A399:$AL399,MATCH(Lists!$F$12,$A$1:$AL$1,0))&amp;""),""))</f>
        <v/>
      </c>
    </row>
    <row r="400">
      <c r="AM400" s="19" t="n"/>
      <c r="AN400" s="23" t="n"/>
      <c r="AO400" s="23" t="n"/>
      <c r="AP400" s="23" t="n"/>
      <c r="AQ400" s="23" t="n"/>
      <c r="AR400" s="19" t="n"/>
      <c r="AS400" s="21">
        <f>IF(IFERROR(TRIM(INDEX($A400:$AL400,MATCH(Lists!$F$2,$A$1:$AL$1,0))&amp;""),"")="","",IF(AND(IFERROR(TRIM(INDEX($A400:$AL400,MATCH(Lists!$F$3,$A$1:$AL$1,0))&amp;""),"")="Other",IFERROR(TRIM(INDEX($A400:$AL400,MATCH(Lists!$F$4,$A$1:$AL$1,0))&amp;""),"")&lt;&gt;""),IFERROR(TRIM(INDEX($A400:$AL400,MATCH(Lists!$F$4,$A$1:$AL$1,0))&amp;""),""),IF(IFERROR(TRIM(INDEX($A400:$AL400,MATCH(Lists!$F$3,$A$1:$AL$1,0))&amp;""),"")="","(no space)",IFERROR(TRIM(INDEX($A400:$AL400,MATCH(Lists!$F$3,$A$1:$AL$1,0))&amp;""),""))))</f>
        <v/>
      </c>
      <c r="AT400" s="22">
        <f>IF(IFERROR(TRIM(INDEX($A400:$AL400,MATCH(Lists!$F$2,$A$1:$AL$1,0))&amp;""),"")="",0,N(IFERROR(IF(TRIM(INDEX($A400:$AL400,MATCH(Lists!$F$5,$A$1:$AL$1,0))&amp;"")="","",IF(ISNUMBER(INDEX($A400:$AL400,MATCH(Lists!$F$5,$A$1:$AL$1,0))),INT(INDEX($A400:$AL400,MATCH(Lists!$F$5,$A$1:$AL$1,0))),DATE(VALUE(LEFT(INDEX($A400:$AL400,MATCH(Lists!$F$5,$A$1:$AL$1,0)),4)),VALUE(MID(INDEX($A400:$AL400,MATCH(Lists!$F$5,$A$1:$AL$1,0)),6,2)),VALUE(MID(INDEX($A400:$AL400,MATCH(Lists!$F$5,$A$1:$AL$1,0)),9,2))))),"")))</f>
        <v/>
      </c>
      <c r="AU400" s="21">
        <f>IF(IFERROR(TRIM(INDEX($A400:$AL400,MATCH(Lists!$F$2,$A$1:$AL$1,0))&amp;""),"")="",-1,IF(ISNUMBER(IFERROR(IF(TRIM(INDEX($A400:$AL400,MATCH(Lists!$F$6,$A$1:$AL$1,0))&amp;"")="","",IF(ISNUMBER(INDEX($A400:$AL400,MATCH(Lists!$F$6,$A$1:$AL$1,0))),ROUND(MOD(INDEX($A400:$AL400,MATCH(Lists!$F$6,$A$1:$AL$1,0)),1)*1440,0),VALUE(LEFT(INDEX($A400:$AL400,MATCH(Lists!$F$6,$A$1:$AL$1,0)),2))*60+VALUE(MID(INDEX($A400:$AL400,MATCH(Lists!$F$6,$A$1:$AL$1,0)),4,2)))),"")),IFERROR(IF(TRIM(INDEX($A400:$AL400,MATCH(Lists!$F$6,$A$1:$AL$1,0))&amp;"")="","",IF(ISNUMBER(INDEX($A400:$AL400,MATCH(Lists!$F$6,$A$1:$AL$1,0))),ROUND(MOD(INDEX($A400:$AL400,MATCH(Lists!$F$6,$A$1:$AL$1,0)),1)*1440,0),VALUE(LEFT(INDEX($A400:$AL400,MATCH(Lists!$F$6,$A$1:$AL$1,0)),2))*60+VALUE(MID(INDEX($A400:$AL400,MATCH(Lists!$F$6,$A$1:$AL$1,0)),4,2)))),""),-1))</f>
        <v/>
      </c>
      <c r="AV400" s="21">
        <f>IF(IFERROR(TRIM(INDEX($A400:$AL400,MATCH(Lists!$F$2,$A$1:$AL$1,0))&amp;""),"")="",-1,IF(ISNUMBER(IFERROR(IF(TRIM(INDEX($A400:$AL400,MATCH(Lists!$F$7,$A$1:$AL$1,0))&amp;"")="","",IF(ISNUMBER(INDEX($A400:$AL400,MATCH(Lists!$F$7,$A$1:$AL$1,0))),ROUND(MOD(INDEX($A400:$AL400,MATCH(Lists!$F$7,$A$1:$AL$1,0)),1)*1440,0),VALUE(LEFT(INDEX($A400:$AL400,MATCH(Lists!$F$7,$A$1:$AL$1,0)),2))*60+VALUE(MID(INDEX($A400:$AL400,MATCH(Lists!$F$7,$A$1:$AL$1,0)),4,2)))),"")),IFERROR(IF(TRIM(INDEX($A400:$AL400,MATCH(Lists!$F$7,$A$1:$AL$1,0))&amp;"")="","",IF(ISNUMBER(INDEX($A400:$AL400,MATCH(Lists!$F$7,$A$1:$AL$1,0))),ROUND(MOD(INDEX($A400:$AL400,MATCH(Lists!$F$7,$A$1:$AL$1,0)),1)*1440,0),VALUE(LEFT(INDEX($A400:$AL400,MATCH(Lists!$F$7,$A$1:$AL$1,0)),2))*60+VALUE(MID(INDEX($A400:$AL400,MATCH(Lists!$F$7,$A$1:$AL$1,0)),4,2)))),""),-1))</f>
        <v/>
      </c>
      <c r="AW400" s="21">
        <f>IF(IFERROR(TRIM(INDEX($A400:$AL400,MATCH(Lists!$F$2,$A$1:$AL$1,0))&amp;""),"")="","",IF(IFERROR(TRIM(INDEX($A400:$AL400,MATCH(Lists!$F$8,$A$1:$AL$1,0))&amp;""),"")&lt;&gt;"",IFERROR(TRIM(INDEX($A400:$AL400,MATCH(Lists!$F$8,$A$1:$AL$1,0))&amp;""),""),IFERROR(TRIM(INDEX($A400:$AL400,MATCH(Lists!$F$9,$A$1:$AL$1,0))&amp;""),"")))</f>
        <v/>
      </c>
      <c r="AX400" s="21">
        <f>IFERROR(IF(TRIM(INDEX($A400:$AL400,MATCH(Lists!$F$10,$A$1:$AL$1,0))&amp;"")="","",VALUE(TRIM(INDEX($A400:$AL400,MATCH(Lists!$F$10,$A$1:$AL$1,0))&amp;""))),"")</f>
        <v/>
      </c>
      <c r="AY400" s="21">
        <f>IF(IFERROR(TRIM(INDEX($A400:$AL400,MATCH(Lists!$F$2,$A$1:$AL$1,0))&amp;""),"")="","",IF(AN400="","New",AN400))</f>
        <v/>
      </c>
      <c r="AZ400" s="21">
        <f>IF(IFERROR(TRIM(INDEX($A400:$AL400,MATCH(Lists!$F$2,$A$1:$AL$1,0))&amp;""),"")="","",IF(OR(IFERROR(TRIM(INDEX($A400:$AL400,MATCH(Lists!$F$13,$A$1:$AL$1,0))&amp;""),"")="Paid",IFERROR(TRIM(INDEX($A400:$AL400,MATCH(Lists!$F$13,$A$1:$AL$1,0))&amp;""),"")="Partially refunded"),"Paid",IF(AP400="Yes","Paid (by hand)",IFERROR(TRIM(INDEX($A400:$AL400,MATCH(Lists!$F$13,$A$1:$AL$1,0))&amp;""),""))))</f>
        <v/>
      </c>
      <c r="BA400" s="21">
        <f>IF(AND(IFERROR(TRIM(INDEX($A400:$AL400,MATCH(Lists!$F$2,$A$1:$AL$1,0))&amp;""),"")&lt;&gt;"",AT400&gt;0,AU400&gt;=0,AV400&gt;AU400,AY400&lt;&gt;"Declined"),1,0)</f>
        <v/>
      </c>
      <c r="BB400" s="21">
        <f>IF(BA400=1,COUNTIFS($AS$2:$AS$501,AS400,$AT$2:$AT$501,AT400,$AU$2:$AU$501,"&lt;"&amp;AV400,$AV$2:$AV$501,"&gt;"&amp;AU400,$BA$2:$BA$501,1)-1,"")</f>
        <v/>
      </c>
      <c r="BC400" s="21">
        <f>IF(N(BB400)&gt;0,"Clashes with "&amp;INDEX($AW$2:$AW$501,SUMPRODUCT(MAX(($AS$2:$AS$501=AS400)*($AT$2:$AT$501=AT400)*($AU$2:$AU$501&lt;AV400)*($AV$2:$AV$501&gt;AU400)*($BA$2:$BA$501=1)*(ROW($AS$2:$AS$501)&lt;&gt;ROW())*ROW($AS$2:$AS$501)))-1)&amp;" ("&amp;INDEX($AY$2:$AY$501,SUMPRODUCT(MAX(($AS$2:$AS$501=AS400)*($AT$2:$AT$501=AT400)*($AU$2:$AU$501&lt;AV400)*($AV$2:$AV$501&gt;AU400)*($BA$2:$BA$501=1)*(ROW($AS$2:$AS$501)&lt;&gt;ROW())*ROW($AS$2:$AS$501)))-1)&amp;")"&amp;IF(BB400&gt;1," and "&amp;(BB400-1)&amp;" more",""),"")</f>
        <v/>
      </c>
      <c r="BD400" s="21">
        <f>IF(AND(BA400=1,AY400="Confirmed"),AT400*10000000+AU400*1000+ROW(),"")</f>
        <v/>
      </c>
      <c r="BE400" s="21">
        <f>IF(IFERROR(TRIM(INDEX($A400:$AL400,MATCH(Lists!$F$2,$A$1:$AL$1,0))&amp;""),"")="","",IFERROR(TRIM(INDEX($A400:$AL400,MATCH(Lists!$F$11,$A$1:$AL$1,0))&amp;""),""))</f>
        <v/>
      </c>
      <c r="BF400" s="21">
        <f>IF(IFERROR(TRIM(INDEX($A400:$AL400,MATCH(Lists!$F$2,$A$1:$AL$1,0))&amp;""),"")="","",IFERROR(TRIM(INDEX($A400:$AL400,MATCH(Lists!$F$12,$A$1:$AL$1,0))&amp;""),""))</f>
        <v/>
      </c>
    </row>
    <row r="401">
      <c r="AM401" s="19" t="n"/>
      <c r="AN401" s="23" t="n"/>
      <c r="AO401" s="23" t="n"/>
      <c r="AP401" s="23" t="n"/>
      <c r="AQ401" s="23" t="n"/>
      <c r="AR401" s="19" t="n"/>
      <c r="AS401" s="21">
        <f>IF(IFERROR(TRIM(INDEX($A401:$AL401,MATCH(Lists!$F$2,$A$1:$AL$1,0))&amp;""),"")="","",IF(AND(IFERROR(TRIM(INDEX($A401:$AL401,MATCH(Lists!$F$3,$A$1:$AL$1,0))&amp;""),"")="Other",IFERROR(TRIM(INDEX($A401:$AL401,MATCH(Lists!$F$4,$A$1:$AL$1,0))&amp;""),"")&lt;&gt;""),IFERROR(TRIM(INDEX($A401:$AL401,MATCH(Lists!$F$4,$A$1:$AL$1,0))&amp;""),""),IF(IFERROR(TRIM(INDEX($A401:$AL401,MATCH(Lists!$F$3,$A$1:$AL$1,0))&amp;""),"")="","(no space)",IFERROR(TRIM(INDEX($A401:$AL401,MATCH(Lists!$F$3,$A$1:$AL$1,0))&amp;""),""))))</f>
        <v/>
      </c>
      <c r="AT401" s="22">
        <f>IF(IFERROR(TRIM(INDEX($A401:$AL401,MATCH(Lists!$F$2,$A$1:$AL$1,0))&amp;""),"")="",0,N(IFERROR(IF(TRIM(INDEX($A401:$AL401,MATCH(Lists!$F$5,$A$1:$AL$1,0))&amp;"")="","",IF(ISNUMBER(INDEX($A401:$AL401,MATCH(Lists!$F$5,$A$1:$AL$1,0))),INT(INDEX($A401:$AL401,MATCH(Lists!$F$5,$A$1:$AL$1,0))),DATE(VALUE(LEFT(INDEX($A401:$AL401,MATCH(Lists!$F$5,$A$1:$AL$1,0)),4)),VALUE(MID(INDEX($A401:$AL401,MATCH(Lists!$F$5,$A$1:$AL$1,0)),6,2)),VALUE(MID(INDEX($A401:$AL401,MATCH(Lists!$F$5,$A$1:$AL$1,0)),9,2))))),"")))</f>
        <v/>
      </c>
      <c r="AU401" s="21">
        <f>IF(IFERROR(TRIM(INDEX($A401:$AL401,MATCH(Lists!$F$2,$A$1:$AL$1,0))&amp;""),"")="",-1,IF(ISNUMBER(IFERROR(IF(TRIM(INDEX($A401:$AL401,MATCH(Lists!$F$6,$A$1:$AL$1,0))&amp;"")="","",IF(ISNUMBER(INDEX($A401:$AL401,MATCH(Lists!$F$6,$A$1:$AL$1,0))),ROUND(MOD(INDEX($A401:$AL401,MATCH(Lists!$F$6,$A$1:$AL$1,0)),1)*1440,0),VALUE(LEFT(INDEX($A401:$AL401,MATCH(Lists!$F$6,$A$1:$AL$1,0)),2))*60+VALUE(MID(INDEX($A401:$AL401,MATCH(Lists!$F$6,$A$1:$AL$1,0)),4,2)))),"")),IFERROR(IF(TRIM(INDEX($A401:$AL401,MATCH(Lists!$F$6,$A$1:$AL$1,0))&amp;"")="","",IF(ISNUMBER(INDEX($A401:$AL401,MATCH(Lists!$F$6,$A$1:$AL$1,0))),ROUND(MOD(INDEX($A401:$AL401,MATCH(Lists!$F$6,$A$1:$AL$1,0)),1)*1440,0),VALUE(LEFT(INDEX($A401:$AL401,MATCH(Lists!$F$6,$A$1:$AL$1,0)),2))*60+VALUE(MID(INDEX($A401:$AL401,MATCH(Lists!$F$6,$A$1:$AL$1,0)),4,2)))),""),-1))</f>
        <v/>
      </c>
      <c r="AV401" s="21">
        <f>IF(IFERROR(TRIM(INDEX($A401:$AL401,MATCH(Lists!$F$2,$A$1:$AL$1,0))&amp;""),"")="",-1,IF(ISNUMBER(IFERROR(IF(TRIM(INDEX($A401:$AL401,MATCH(Lists!$F$7,$A$1:$AL$1,0))&amp;"")="","",IF(ISNUMBER(INDEX($A401:$AL401,MATCH(Lists!$F$7,$A$1:$AL$1,0))),ROUND(MOD(INDEX($A401:$AL401,MATCH(Lists!$F$7,$A$1:$AL$1,0)),1)*1440,0),VALUE(LEFT(INDEX($A401:$AL401,MATCH(Lists!$F$7,$A$1:$AL$1,0)),2))*60+VALUE(MID(INDEX($A401:$AL401,MATCH(Lists!$F$7,$A$1:$AL$1,0)),4,2)))),"")),IFERROR(IF(TRIM(INDEX($A401:$AL401,MATCH(Lists!$F$7,$A$1:$AL$1,0))&amp;"")="","",IF(ISNUMBER(INDEX($A401:$AL401,MATCH(Lists!$F$7,$A$1:$AL$1,0))),ROUND(MOD(INDEX($A401:$AL401,MATCH(Lists!$F$7,$A$1:$AL$1,0)),1)*1440,0),VALUE(LEFT(INDEX($A401:$AL401,MATCH(Lists!$F$7,$A$1:$AL$1,0)),2))*60+VALUE(MID(INDEX($A401:$AL401,MATCH(Lists!$F$7,$A$1:$AL$1,0)),4,2)))),""),-1))</f>
        <v/>
      </c>
      <c r="AW401" s="21">
        <f>IF(IFERROR(TRIM(INDEX($A401:$AL401,MATCH(Lists!$F$2,$A$1:$AL$1,0))&amp;""),"")="","",IF(IFERROR(TRIM(INDEX($A401:$AL401,MATCH(Lists!$F$8,$A$1:$AL$1,0))&amp;""),"")&lt;&gt;"",IFERROR(TRIM(INDEX($A401:$AL401,MATCH(Lists!$F$8,$A$1:$AL$1,0))&amp;""),""),IFERROR(TRIM(INDEX($A401:$AL401,MATCH(Lists!$F$9,$A$1:$AL$1,0))&amp;""),"")))</f>
        <v/>
      </c>
      <c r="AX401" s="21">
        <f>IFERROR(IF(TRIM(INDEX($A401:$AL401,MATCH(Lists!$F$10,$A$1:$AL$1,0))&amp;"")="","",VALUE(TRIM(INDEX($A401:$AL401,MATCH(Lists!$F$10,$A$1:$AL$1,0))&amp;""))),"")</f>
        <v/>
      </c>
      <c r="AY401" s="21">
        <f>IF(IFERROR(TRIM(INDEX($A401:$AL401,MATCH(Lists!$F$2,$A$1:$AL$1,0))&amp;""),"")="","",IF(AN401="","New",AN401))</f>
        <v/>
      </c>
      <c r="AZ401" s="21">
        <f>IF(IFERROR(TRIM(INDEX($A401:$AL401,MATCH(Lists!$F$2,$A$1:$AL$1,0))&amp;""),"")="","",IF(OR(IFERROR(TRIM(INDEX($A401:$AL401,MATCH(Lists!$F$13,$A$1:$AL$1,0))&amp;""),"")="Paid",IFERROR(TRIM(INDEX($A401:$AL401,MATCH(Lists!$F$13,$A$1:$AL$1,0))&amp;""),"")="Partially refunded"),"Paid",IF(AP401="Yes","Paid (by hand)",IFERROR(TRIM(INDEX($A401:$AL401,MATCH(Lists!$F$13,$A$1:$AL$1,0))&amp;""),""))))</f>
        <v/>
      </c>
      <c r="BA401" s="21">
        <f>IF(AND(IFERROR(TRIM(INDEX($A401:$AL401,MATCH(Lists!$F$2,$A$1:$AL$1,0))&amp;""),"")&lt;&gt;"",AT401&gt;0,AU401&gt;=0,AV401&gt;AU401,AY401&lt;&gt;"Declined"),1,0)</f>
        <v/>
      </c>
      <c r="BB401" s="21">
        <f>IF(BA401=1,COUNTIFS($AS$2:$AS$501,AS401,$AT$2:$AT$501,AT401,$AU$2:$AU$501,"&lt;"&amp;AV401,$AV$2:$AV$501,"&gt;"&amp;AU401,$BA$2:$BA$501,1)-1,"")</f>
        <v/>
      </c>
      <c r="BC401" s="21">
        <f>IF(N(BB401)&gt;0,"Clashes with "&amp;INDEX($AW$2:$AW$501,SUMPRODUCT(MAX(($AS$2:$AS$501=AS401)*($AT$2:$AT$501=AT401)*($AU$2:$AU$501&lt;AV401)*($AV$2:$AV$501&gt;AU401)*($BA$2:$BA$501=1)*(ROW($AS$2:$AS$501)&lt;&gt;ROW())*ROW($AS$2:$AS$501)))-1)&amp;" ("&amp;INDEX($AY$2:$AY$501,SUMPRODUCT(MAX(($AS$2:$AS$501=AS401)*($AT$2:$AT$501=AT401)*($AU$2:$AU$501&lt;AV401)*($AV$2:$AV$501&gt;AU401)*($BA$2:$BA$501=1)*(ROW($AS$2:$AS$501)&lt;&gt;ROW())*ROW($AS$2:$AS$501)))-1)&amp;")"&amp;IF(BB401&gt;1," and "&amp;(BB401-1)&amp;" more",""),"")</f>
        <v/>
      </c>
      <c r="BD401" s="21">
        <f>IF(AND(BA401=1,AY401="Confirmed"),AT401*10000000+AU401*1000+ROW(),"")</f>
        <v/>
      </c>
      <c r="BE401" s="21">
        <f>IF(IFERROR(TRIM(INDEX($A401:$AL401,MATCH(Lists!$F$2,$A$1:$AL$1,0))&amp;""),"")="","",IFERROR(TRIM(INDEX($A401:$AL401,MATCH(Lists!$F$11,$A$1:$AL$1,0))&amp;""),""))</f>
        <v/>
      </c>
      <c r="BF401" s="21">
        <f>IF(IFERROR(TRIM(INDEX($A401:$AL401,MATCH(Lists!$F$2,$A$1:$AL$1,0))&amp;""),"")="","",IFERROR(TRIM(INDEX($A401:$AL401,MATCH(Lists!$F$12,$A$1:$AL$1,0))&amp;""),""))</f>
        <v/>
      </c>
    </row>
    <row r="402">
      <c r="AM402" s="19" t="n"/>
      <c r="AN402" s="23" t="n"/>
      <c r="AO402" s="23" t="n"/>
      <c r="AP402" s="23" t="n"/>
      <c r="AQ402" s="23" t="n"/>
      <c r="AR402" s="19" t="n"/>
      <c r="AS402" s="21">
        <f>IF(IFERROR(TRIM(INDEX($A402:$AL402,MATCH(Lists!$F$2,$A$1:$AL$1,0))&amp;""),"")="","",IF(AND(IFERROR(TRIM(INDEX($A402:$AL402,MATCH(Lists!$F$3,$A$1:$AL$1,0))&amp;""),"")="Other",IFERROR(TRIM(INDEX($A402:$AL402,MATCH(Lists!$F$4,$A$1:$AL$1,0))&amp;""),"")&lt;&gt;""),IFERROR(TRIM(INDEX($A402:$AL402,MATCH(Lists!$F$4,$A$1:$AL$1,0))&amp;""),""),IF(IFERROR(TRIM(INDEX($A402:$AL402,MATCH(Lists!$F$3,$A$1:$AL$1,0))&amp;""),"")="","(no space)",IFERROR(TRIM(INDEX($A402:$AL402,MATCH(Lists!$F$3,$A$1:$AL$1,0))&amp;""),""))))</f>
        <v/>
      </c>
      <c r="AT402" s="22">
        <f>IF(IFERROR(TRIM(INDEX($A402:$AL402,MATCH(Lists!$F$2,$A$1:$AL$1,0))&amp;""),"")="",0,N(IFERROR(IF(TRIM(INDEX($A402:$AL402,MATCH(Lists!$F$5,$A$1:$AL$1,0))&amp;"")="","",IF(ISNUMBER(INDEX($A402:$AL402,MATCH(Lists!$F$5,$A$1:$AL$1,0))),INT(INDEX($A402:$AL402,MATCH(Lists!$F$5,$A$1:$AL$1,0))),DATE(VALUE(LEFT(INDEX($A402:$AL402,MATCH(Lists!$F$5,$A$1:$AL$1,0)),4)),VALUE(MID(INDEX($A402:$AL402,MATCH(Lists!$F$5,$A$1:$AL$1,0)),6,2)),VALUE(MID(INDEX($A402:$AL402,MATCH(Lists!$F$5,$A$1:$AL$1,0)),9,2))))),"")))</f>
        <v/>
      </c>
      <c r="AU402" s="21">
        <f>IF(IFERROR(TRIM(INDEX($A402:$AL402,MATCH(Lists!$F$2,$A$1:$AL$1,0))&amp;""),"")="",-1,IF(ISNUMBER(IFERROR(IF(TRIM(INDEX($A402:$AL402,MATCH(Lists!$F$6,$A$1:$AL$1,0))&amp;"")="","",IF(ISNUMBER(INDEX($A402:$AL402,MATCH(Lists!$F$6,$A$1:$AL$1,0))),ROUND(MOD(INDEX($A402:$AL402,MATCH(Lists!$F$6,$A$1:$AL$1,0)),1)*1440,0),VALUE(LEFT(INDEX($A402:$AL402,MATCH(Lists!$F$6,$A$1:$AL$1,0)),2))*60+VALUE(MID(INDEX($A402:$AL402,MATCH(Lists!$F$6,$A$1:$AL$1,0)),4,2)))),"")),IFERROR(IF(TRIM(INDEX($A402:$AL402,MATCH(Lists!$F$6,$A$1:$AL$1,0))&amp;"")="","",IF(ISNUMBER(INDEX($A402:$AL402,MATCH(Lists!$F$6,$A$1:$AL$1,0))),ROUND(MOD(INDEX($A402:$AL402,MATCH(Lists!$F$6,$A$1:$AL$1,0)),1)*1440,0),VALUE(LEFT(INDEX($A402:$AL402,MATCH(Lists!$F$6,$A$1:$AL$1,0)),2))*60+VALUE(MID(INDEX($A402:$AL402,MATCH(Lists!$F$6,$A$1:$AL$1,0)),4,2)))),""),-1))</f>
        <v/>
      </c>
      <c r="AV402" s="21">
        <f>IF(IFERROR(TRIM(INDEX($A402:$AL402,MATCH(Lists!$F$2,$A$1:$AL$1,0))&amp;""),"")="",-1,IF(ISNUMBER(IFERROR(IF(TRIM(INDEX($A402:$AL402,MATCH(Lists!$F$7,$A$1:$AL$1,0))&amp;"")="","",IF(ISNUMBER(INDEX($A402:$AL402,MATCH(Lists!$F$7,$A$1:$AL$1,0))),ROUND(MOD(INDEX($A402:$AL402,MATCH(Lists!$F$7,$A$1:$AL$1,0)),1)*1440,0),VALUE(LEFT(INDEX($A402:$AL402,MATCH(Lists!$F$7,$A$1:$AL$1,0)),2))*60+VALUE(MID(INDEX($A402:$AL402,MATCH(Lists!$F$7,$A$1:$AL$1,0)),4,2)))),"")),IFERROR(IF(TRIM(INDEX($A402:$AL402,MATCH(Lists!$F$7,$A$1:$AL$1,0))&amp;"")="","",IF(ISNUMBER(INDEX($A402:$AL402,MATCH(Lists!$F$7,$A$1:$AL$1,0))),ROUND(MOD(INDEX($A402:$AL402,MATCH(Lists!$F$7,$A$1:$AL$1,0)),1)*1440,0),VALUE(LEFT(INDEX($A402:$AL402,MATCH(Lists!$F$7,$A$1:$AL$1,0)),2))*60+VALUE(MID(INDEX($A402:$AL402,MATCH(Lists!$F$7,$A$1:$AL$1,0)),4,2)))),""),-1))</f>
        <v/>
      </c>
      <c r="AW402" s="21">
        <f>IF(IFERROR(TRIM(INDEX($A402:$AL402,MATCH(Lists!$F$2,$A$1:$AL$1,0))&amp;""),"")="","",IF(IFERROR(TRIM(INDEX($A402:$AL402,MATCH(Lists!$F$8,$A$1:$AL$1,0))&amp;""),"")&lt;&gt;"",IFERROR(TRIM(INDEX($A402:$AL402,MATCH(Lists!$F$8,$A$1:$AL$1,0))&amp;""),""),IFERROR(TRIM(INDEX($A402:$AL402,MATCH(Lists!$F$9,$A$1:$AL$1,0))&amp;""),"")))</f>
        <v/>
      </c>
      <c r="AX402" s="21">
        <f>IFERROR(IF(TRIM(INDEX($A402:$AL402,MATCH(Lists!$F$10,$A$1:$AL$1,0))&amp;"")="","",VALUE(TRIM(INDEX($A402:$AL402,MATCH(Lists!$F$10,$A$1:$AL$1,0))&amp;""))),"")</f>
        <v/>
      </c>
      <c r="AY402" s="21">
        <f>IF(IFERROR(TRIM(INDEX($A402:$AL402,MATCH(Lists!$F$2,$A$1:$AL$1,0))&amp;""),"")="","",IF(AN402="","New",AN402))</f>
        <v/>
      </c>
      <c r="AZ402" s="21">
        <f>IF(IFERROR(TRIM(INDEX($A402:$AL402,MATCH(Lists!$F$2,$A$1:$AL$1,0))&amp;""),"")="","",IF(OR(IFERROR(TRIM(INDEX($A402:$AL402,MATCH(Lists!$F$13,$A$1:$AL$1,0))&amp;""),"")="Paid",IFERROR(TRIM(INDEX($A402:$AL402,MATCH(Lists!$F$13,$A$1:$AL$1,0))&amp;""),"")="Partially refunded"),"Paid",IF(AP402="Yes","Paid (by hand)",IFERROR(TRIM(INDEX($A402:$AL402,MATCH(Lists!$F$13,$A$1:$AL$1,0))&amp;""),""))))</f>
        <v/>
      </c>
      <c r="BA402" s="21">
        <f>IF(AND(IFERROR(TRIM(INDEX($A402:$AL402,MATCH(Lists!$F$2,$A$1:$AL$1,0))&amp;""),"")&lt;&gt;"",AT402&gt;0,AU402&gt;=0,AV402&gt;AU402,AY402&lt;&gt;"Declined"),1,0)</f>
        <v/>
      </c>
      <c r="BB402" s="21">
        <f>IF(BA402=1,COUNTIFS($AS$2:$AS$501,AS402,$AT$2:$AT$501,AT402,$AU$2:$AU$501,"&lt;"&amp;AV402,$AV$2:$AV$501,"&gt;"&amp;AU402,$BA$2:$BA$501,1)-1,"")</f>
        <v/>
      </c>
      <c r="BC402" s="21">
        <f>IF(N(BB402)&gt;0,"Clashes with "&amp;INDEX($AW$2:$AW$501,SUMPRODUCT(MAX(($AS$2:$AS$501=AS402)*($AT$2:$AT$501=AT402)*($AU$2:$AU$501&lt;AV402)*($AV$2:$AV$501&gt;AU402)*($BA$2:$BA$501=1)*(ROW($AS$2:$AS$501)&lt;&gt;ROW())*ROW($AS$2:$AS$501)))-1)&amp;" ("&amp;INDEX($AY$2:$AY$501,SUMPRODUCT(MAX(($AS$2:$AS$501=AS402)*($AT$2:$AT$501=AT402)*($AU$2:$AU$501&lt;AV402)*($AV$2:$AV$501&gt;AU402)*($BA$2:$BA$501=1)*(ROW($AS$2:$AS$501)&lt;&gt;ROW())*ROW($AS$2:$AS$501)))-1)&amp;")"&amp;IF(BB402&gt;1," and "&amp;(BB402-1)&amp;" more",""),"")</f>
        <v/>
      </c>
      <c r="BD402" s="21">
        <f>IF(AND(BA402=1,AY402="Confirmed"),AT402*10000000+AU402*1000+ROW(),"")</f>
        <v/>
      </c>
      <c r="BE402" s="21">
        <f>IF(IFERROR(TRIM(INDEX($A402:$AL402,MATCH(Lists!$F$2,$A$1:$AL$1,0))&amp;""),"")="","",IFERROR(TRIM(INDEX($A402:$AL402,MATCH(Lists!$F$11,$A$1:$AL$1,0))&amp;""),""))</f>
        <v/>
      </c>
      <c r="BF402" s="21">
        <f>IF(IFERROR(TRIM(INDEX($A402:$AL402,MATCH(Lists!$F$2,$A$1:$AL$1,0))&amp;""),"")="","",IFERROR(TRIM(INDEX($A402:$AL402,MATCH(Lists!$F$12,$A$1:$AL$1,0))&amp;""),""))</f>
        <v/>
      </c>
    </row>
    <row r="403">
      <c r="AM403" s="19" t="n"/>
      <c r="AN403" s="23" t="n"/>
      <c r="AO403" s="23" t="n"/>
      <c r="AP403" s="23" t="n"/>
      <c r="AQ403" s="23" t="n"/>
      <c r="AR403" s="19" t="n"/>
      <c r="AS403" s="21">
        <f>IF(IFERROR(TRIM(INDEX($A403:$AL403,MATCH(Lists!$F$2,$A$1:$AL$1,0))&amp;""),"")="","",IF(AND(IFERROR(TRIM(INDEX($A403:$AL403,MATCH(Lists!$F$3,$A$1:$AL$1,0))&amp;""),"")="Other",IFERROR(TRIM(INDEX($A403:$AL403,MATCH(Lists!$F$4,$A$1:$AL$1,0))&amp;""),"")&lt;&gt;""),IFERROR(TRIM(INDEX($A403:$AL403,MATCH(Lists!$F$4,$A$1:$AL$1,0))&amp;""),""),IF(IFERROR(TRIM(INDEX($A403:$AL403,MATCH(Lists!$F$3,$A$1:$AL$1,0))&amp;""),"")="","(no space)",IFERROR(TRIM(INDEX($A403:$AL403,MATCH(Lists!$F$3,$A$1:$AL$1,0))&amp;""),""))))</f>
        <v/>
      </c>
      <c r="AT403" s="22">
        <f>IF(IFERROR(TRIM(INDEX($A403:$AL403,MATCH(Lists!$F$2,$A$1:$AL$1,0))&amp;""),"")="",0,N(IFERROR(IF(TRIM(INDEX($A403:$AL403,MATCH(Lists!$F$5,$A$1:$AL$1,0))&amp;"")="","",IF(ISNUMBER(INDEX($A403:$AL403,MATCH(Lists!$F$5,$A$1:$AL$1,0))),INT(INDEX($A403:$AL403,MATCH(Lists!$F$5,$A$1:$AL$1,0))),DATE(VALUE(LEFT(INDEX($A403:$AL403,MATCH(Lists!$F$5,$A$1:$AL$1,0)),4)),VALUE(MID(INDEX($A403:$AL403,MATCH(Lists!$F$5,$A$1:$AL$1,0)),6,2)),VALUE(MID(INDEX($A403:$AL403,MATCH(Lists!$F$5,$A$1:$AL$1,0)),9,2))))),"")))</f>
        <v/>
      </c>
      <c r="AU403" s="21">
        <f>IF(IFERROR(TRIM(INDEX($A403:$AL403,MATCH(Lists!$F$2,$A$1:$AL$1,0))&amp;""),"")="",-1,IF(ISNUMBER(IFERROR(IF(TRIM(INDEX($A403:$AL403,MATCH(Lists!$F$6,$A$1:$AL$1,0))&amp;"")="","",IF(ISNUMBER(INDEX($A403:$AL403,MATCH(Lists!$F$6,$A$1:$AL$1,0))),ROUND(MOD(INDEX($A403:$AL403,MATCH(Lists!$F$6,$A$1:$AL$1,0)),1)*1440,0),VALUE(LEFT(INDEX($A403:$AL403,MATCH(Lists!$F$6,$A$1:$AL$1,0)),2))*60+VALUE(MID(INDEX($A403:$AL403,MATCH(Lists!$F$6,$A$1:$AL$1,0)),4,2)))),"")),IFERROR(IF(TRIM(INDEX($A403:$AL403,MATCH(Lists!$F$6,$A$1:$AL$1,0))&amp;"")="","",IF(ISNUMBER(INDEX($A403:$AL403,MATCH(Lists!$F$6,$A$1:$AL$1,0))),ROUND(MOD(INDEX($A403:$AL403,MATCH(Lists!$F$6,$A$1:$AL$1,0)),1)*1440,0),VALUE(LEFT(INDEX($A403:$AL403,MATCH(Lists!$F$6,$A$1:$AL$1,0)),2))*60+VALUE(MID(INDEX($A403:$AL403,MATCH(Lists!$F$6,$A$1:$AL$1,0)),4,2)))),""),-1))</f>
        <v/>
      </c>
      <c r="AV403" s="21">
        <f>IF(IFERROR(TRIM(INDEX($A403:$AL403,MATCH(Lists!$F$2,$A$1:$AL$1,0))&amp;""),"")="",-1,IF(ISNUMBER(IFERROR(IF(TRIM(INDEX($A403:$AL403,MATCH(Lists!$F$7,$A$1:$AL$1,0))&amp;"")="","",IF(ISNUMBER(INDEX($A403:$AL403,MATCH(Lists!$F$7,$A$1:$AL$1,0))),ROUND(MOD(INDEX($A403:$AL403,MATCH(Lists!$F$7,$A$1:$AL$1,0)),1)*1440,0),VALUE(LEFT(INDEX($A403:$AL403,MATCH(Lists!$F$7,$A$1:$AL$1,0)),2))*60+VALUE(MID(INDEX($A403:$AL403,MATCH(Lists!$F$7,$A$1:$AL$1,0)),4,2)))),"")),IFERROR(IF(TRIM(INDEX($A403:$AL403,MATCH(Lists!$F$7,$A$1:$AL$1,0))&amp;"")="","",IF(ISNUMBER(INDEX($A403:$AL403,MATCH(Lists!$F$7,$A$1:$AL$1,0))),ROUND(MOD(INDEX($A403:$AL403,MATCH(Lists!$F$7,$A$1:$AL$1,0)),1)*1440,0),VALUE(LEFT(INDEX($A403:$AL403,MATCH(Lists!$F$7,$A$1:$AL$1,0)),2))*60+VALUE(MID(INDEX($A403:$AL403,MATCH(Lists!$F$7,$A$1:$AL$1,0)),4,2)))),""),-1))</f>
        <v/>
      </c>
      <c r="AW403" s="21">
        <f>IF(IFERROR(TRIM(INDEX($A403:$AL403,MATCH(Lists!$F$2,$A$1:$AL$1,0))&amp;""),"")="","",IF(IFERROR(TRIM(INDEX($A403:$AL403,MATCH(Lists!$F$8,$A$1:$AL$1,0))&amp;""),"")&lt;&gt;"",IFERROR(TRIM(INDEX($A403:$AL403,MATCH(Lists!$F$8,$A$1:$AL$1,0))&amp;""),""),IFERROR(TRIM(INDEX($A403:$AL403,MATCH(Lists!$F$9,$A$1:$AL$1,0))&amp;""),"")))</f>
        <v/>
      </c>
      <c r="AX403" s="21">
        <f>IFERROR(IF(TRIM(INDEX($A403:$AL403,MATCH(Lists!$F$10,$A$1:$AL$1,0))&amp;"")="","",VALUE(TRIM(INDEX($A403:$AL403,MATCH(Lists!$F$10,$A$1:$AL$1,0))&amp;""))),"")</f>
        <v/>
      </c>
      <c r="AY403" s="21">
        <f>IF(IFERROR(TRIM(INDEX($A403:$AL403,MATCH(Lists!$F$2,$A$1:$AL$1,0))&amp;""),"")="","",IF(AN403="","New",AN403))</f>
        <v/>
      </c>
      <c r="AZ403" s="21">
        <f>IF(IFERROR(TRIM(INDEX($A403:$AL403,MATCH(Lists!$F$2,$A$1:$AL$1,0))&amp;""),"")="","",IF(OR(IFERROR(TRIM(INDEX($A403:$AL403,MATCH(Lists!$F$13,$A$1:$AL$1,0))&amp;""),"")="Paid",IFERROR(TRIM(INDEX($A403:$AL403,MATCH(Lists!$F$13,$A$1:$AL$1,0))&amp;""),"")="Partially refunded"),"Paid",IF(AP403="Yes","Paid (by hand)",IFERROR(TRIM(INDEX($A403:$AL403,MATCH(Lists!$F$13,$A$1:$AL$1,0))&amp;""),""))))</f>
        <v/>
      </c>
      <c r="BA403" s="21">
        <f>IF(AND(IFERROR(TRIM(INDEX($A403:$AL403,MATCH(Lists!$F$2,$A$1:$AL$1,0))&amp;""),"")&lt;&gt;"",AT403&gt;0,AU403&gt;=0,AV403&gt;AU403,AY403&lt;&gt;"Declined"),1,0)</f>
        <v/>
      </c>
      <c r="BB403" s="21">
        <f>IF(BA403=1,COUNTIFS($AS$2:$AS$501,AS403,$AT$2:$AT$501,AT403,$AU$2:$AU$501,"&lt;"&amp;AV403,$AV$2:$AV$501,"&gt;"&amp;AU403,$BA$2:$BA$501,1)-1,"")</f>
        <v/>
      </c>
      <c r="BC403" s="21">
        <f>IF(N(BB403)&gt;0,"Clashes with "&amp;INDEX($AW$2:$AW$501,SUMPRODUCT(MAX(($AS$2:$AS$501=AS403)*($AT$2:$AT$501=AT403)*($AU$2:$AU$501&lt;AV403)*($AV$2:$AV$501&gt;AU403)*($BA$2:$BA$501=1)*(ROW($AS$2:$AS$501)&lt;&gt;ROW())*ROW($AS$2:$AS$501)))-1)&amp;" ("&amp;INDEX($AY$2:$AY$501,SUMPRODUCT(MAX(($AS$2:$AS$501=AS403)*($AT$2:$AT$501=AT403)*($AU$2:$AU$501&lt;AV403)*($AV$2:$AV$501&gt;AU403)*($BA$2:$BA$501=1)*(ROW($AS$2:$AS$501)&lt;&gt;ROW())*ROW($AS$2:$AS$501)))-1)&amp;")"&amp;IF(BB403&gt;1," and "&amp;(BB403-1)&amp;" more",""),"")</f>
        <v/>
      </c>
      <c r="BD403" s="21">
        <f>IF(AND(BA403=1,AY403="Confirmed"),AT403*10000000+AU403*1000+ROW(),"")</f>
        <v/>
      </c>
      <c r="BE403" s="21">
        <f>IF(IFERROR(TRIM(INDEX($A403:$AL403,MATCH(Lists!$F$2,$A$1:$AL$1,0))&amp;""),"")="","",IFERROR(TRIM(INDEX($A403:$AL403,MATCH(Lists!$F$11,$A$1:$AL$1,0))&amp;""),""))</f>
        <v/>
      </c>
      <c r="BF403" s="21">
        <f>IF(IFERROR(TRIM(INDEX($A403:$AL403,MATCH(Lists!$F$2,$A$1:$AL$1,0))&amp;""),"")="","",IFERROR(TRIM(INDEX($A403:$AL403,MATCH(Lists!$F$12,$A$1:$AL$1,0))&amp;""),""))</f>
        <v/>
      </c>
    </row>
    <row r="404">
      <c r="AM404" s="19" t="n"/>
      <c r="AN404" s="23" t="n"/>
      <c r="AO404" s="23" t="n"/>
      <c r="AP404" s="23" t="n"/>
      <c r="AQ404" s="23" t="n"/>
      <c r="AR404" s="19" t="n"/>
      <c r="AS404" s="21">
        <f>IF(IFERROR(TRIM(INDEX($A404:$AL404,MATCH(Lists!$F$2,$A$1:$AL$1,0))&amp;""),"")="","",IF(AND(IFERROR(TRIM(INDEX($A404:$AL404,MATCH(Lists!$F$3,$A$1:$AL$1,0))&amp;""),"")="Other",IFERROR(TRIM(INDEX($A404:$AL404,MATCH(Lists!$F$4,$A$1:$AL$1,0))&amp;""),"")&lt;&gt;""),IFERROR(TRIM(INDEX($A404:$AL404,MATCH(Lists!$F$4,$A$1:$AL$1,0))&amp;""),""),IF(IFERROR(TRIM(INDEX($A404:$AL404,MATCH(Lists!$F$3,$A$1:$AL$1,0))&amp;""),"")="","(no space)",IFERROR(TRIM(INDEX($A404:$AL404,MATCH(Lists!$F$3,$A$1:$AL$1,0))&amp;""),""))))</f>
        <v/>
      </c>
      <c r="AT404" s="22">
        <f>IF(IFERROR(TRIM(INDEX($A404:$AL404,MATCH(Lists!$F$2,$A$1:$AL$1,0))&amp;""),"")="",0,N(IFERROR(IF(TRIM(INDEX($A404:$AL404,MATCH(Lists!$F$5,$A$1:$AL$1,0))&amp;"")="","",IF(ISNUMBER(INDEX($A404:$AL404,MATCH(Lists!$F$5,$A$1:$AL$1,0))),INT(INDEX($A404:$AL404,MATCH(Lists!$F$5,$A$1:$AL$1,0))),DATE(VALUE(LEFT(INDEX($A404:$AL404,MATCH(Lists!$F$5,$A$1:$AL$1,0)),4)),VALUE(MID(INDEX($A404:$AL404,MATCH(Lists!$F$5,$A$1:$AL$1,0)),6,2)),VALUE(MID(INDEX($A404:$AL404,MATCH(Lists!$F$5,$A$1:$AL$1,0)),9,2))))),"")))</f>
        <v/>
      </c>
      <c r="AU404" s="21">
        <f>IF(IFERROR(TRIM(INDEX($A404:$AL404,MATCH(Lists!$F$2,$A$1:$AL$1,0))&amp;""),"")="",-1,IF(ISNUMBER(IFERROR(IF(TRIM(INDEX($A404:$AL404,MATCH(Lists!$F$6,$A$1:$AL$1,0))&amp;"")="","",IF(ISNUMBER(INDEX($A404:$AL404,MATCH(Lists!$F$6,$A$1:$AL$1,0))),ROUND(MOD(INDEX($A404:$AL404,MATCH(Lists!$F$6,$A$1:$AL$1,0)),1)*1440,0),VALUE(LEFT(INDEX($A404:$AL404,MATCH(Lists!$F$6,$A$1:$AL$1,0)),2))*60+VALUE(MID(INDEX($A404:$AL404,MATCH(Lists!$F$6,$A$1:$AL$1,0)),4,2)))),"")),IFERROR(IF(TRIM(INDEX($A404:$AL404,MATCH(Lists!$F$6,$A$1:$AL$1,0))&amp;"")="","",IF(ISNUMBER(INDEX($A404:$AL404,MATCH(Lists!$F$6,$A$1:$AL$1,0))),ROUND(MOD(INDEX($A404:$AL404,MATCH(Lists!$F$6,$A$1:$AL$1,0)),1)*1440,0),VALUE(LEFT(INDEX($A404:$AL404,MATCH(Lists!$F$6,$A$1:$AL$1,0)),2))*60+VALUE(MID(INDEX($A404:$AL404,MATCH(Lists!$F$6,$A$1:$AL$1,0)),4,2)))),""),-1))</f>
        <v/>
      </c>
      <c r="AV404" s="21">
        <f>IF(IFERROR(TRIM(INDEX($A404:$AL404,MATCH(Lists!$F$2,$A$1:$AL$1,0))&amp;""),"")="",-1,IF(ISNUMBER(IFERROR(IF(TRIM(INDEX($A404:$AL404,MATCH(Lists!$F$7,$A$1:$AL$1,0))&amp;"")="","",IF(ISNUMBER(INDEX($A404:$AL404,MATCH(Lists!$F$7,$A$1:$AL$1,0))),ROUND(MOD(INDEX($A404:$AL404,MATCH(Lists!$F$7,$A$1:$AL$1,0)),1)*1440,0),VALUE(LEFT(INDEX($A404:$AL404,MATCH(Lists!$F$7,$A$1:$AL$1,0)),2))*60+VALUE(MID(INDEX($A404:$AL404,MATCH(Lists!$F$7,$A$1:$AL$1,0)),4,2)))),"")),IFERROR(IF(TRIM(INDEX($A404:$AL404,MATCH(Lists!$F$7,$A$1:$AL$1,0))&amp;"")="","",IF(ISNUMBER(INDEX($A404:$AL404,MATCH(Lists!$F$7,$A$1:$AL$1,0))),ROUND(MOD(INDEX($A404:$AL404,MATCH(Lists!$F$7,$A$1:$AL$1,0)),1)*1440,0),VALUE(LEFT(INDEX($A404:$AL404,MATCH(Lists!$F$7,$A$1:$AL$1,0)),2))*60+VALUE(MID(INDEX($A404:$AL404,MATCH(Lists!$F$7,$A$1:$AL$1,0)),4,2)))),""),-1))</f>
        <v/>
      </c>
      <c r="AW404" s="21">
        <f>IF(IFERROR(TRIM(INDEX($A404:$AL404,MATCH(Lists!$F$2,$A$1:$AL$1,0))&amp;""),"")="","",IF(IFERROR(TRIM(INDEX($A404:$AL404,MATCH(Lists!$F$8,$A$1:$AL$1,0))&amp;""),"")&lt;&gt;"",IFERROR(TRIM(INDEX($A404:$AL404,MATCH(Lists!$F$8,$A$1:$AL$1,0))&amp;""),""),IFERROR(TRIM(INDEX($A404:$AL404,MATCH(Lists!$F$9,$A$1:$AL$1,0))&amp;""),"")))</f>
        <v/>
      </c>
      <c r="AX404" s="21">
        <f>IFERROR(IF(TRIM(INDEX($A404:$AL404,MATCH(Lists!$F$10,$A$1:$AL$1,0))&amp;"")="","",VALUE(TRIM(INDEX($A404:$AL404,MATCH(Lists!$F$10,$A$1:$AL$1,0))&amp;""))),"")</f>
        <v/>
      </c>
      <c r="AY404" s="21">
        <f>IF(IFERROR(TRIM(INDEX($A404:$AL404,MATCH(Lists!$F$2,$A$1:$AL$1,0))&amp;""),"")="","",IF(AN404="","New",AN404))</f>
        <v/>
      </c>
      <c r="AZ404" s="21">
        <f>IF(IFERROR(TRIM(INDEX($A404:$AL404,MATCH(Lists!$F$2,$A$1:$AL$1,0))&amp;""),"")="","",IF(OR(IFERROR(TRIM(INDEX($A404:$AL404,MATCH(Lists!$F$13,$A$1:$AL$1,0))&amp;""),"")="Paid",IFERROR(TRIM(INDEX($A404:$AL404,MATCH(Lists!$F$13,$A$1:$AL$1,0))&amp;""),"")="Partially refunded"),"Paid",IF(AP404="Yes","Paid (by hand)",IFERROR(TRIM(INDEX($A404:$AL404,MATCH(Lists!$F$13,$A$1:$AL$1,0))&amp;""),""))))</f>
        <v/>
      </c>
      <c r="BA404" s="21">
        <f>IF(AND(IFERROR(TRIM(INDEX($A404:$AL404,MATCH(Lists!$F$2,$A$1:$AL$1,0))&amp;""),"")&lt;&gt;"",AT404&gt;0,AU404&gt;=0,AV404&gt;AU404,AY404&lt;&gt;"Declined"),1,0)</f>
        <v/>
      </c>
      <c r="BB404" s="21">
        <f>IF(BA404=1,COUNTIFS($AS$2:$AS$501,AS404,$AT$2:$AT$501,AT404,$AU$2:$AU$501,"&lt;"&amp;AV404,$AV$2:$AV$501,"&gt;"&amp;AU404,$BA$2:$BA$501,1)-1,"")</f>
        <v/>
      </c>
      <c r="BC404" s="21">
        <f>IF(N(BB404)&gt;0,"Clashes with "&amp;INDEX($AW$2:$AW$501,SUMPRODUCT(MAX(($AS$2:$AS$501=AS404)*($AT$2:$AT$501=AT404)*($AU$2:$AU$501&lt;AV404)*($AV$2:$AV$501&gt;AU404)*($BA$2:$BA$501=1)*(ROW($AS$2:$AS$501)&lt;&gt;ROW())*ROW($AS$2:$AS$501)))-1)&amp;" ("&amp;INDEX($AY$2:$AY$501,SUMPRODUCT(MAX(($AS$2:$AS$501=AS404)*($AT$2:$AT$501=AT404)*($AU$2:$AU$501&lt;AV404)*($AV$2:$AV$501&gt;AU404)*($BA$2:$BA$501=1)*(ROW($AS$2:$AS$501)&lt;&gt;ROW())*ROW($AS$2:$AS$501)))-1)&amp;")"&amp;IF(BB404&gt;1," and "&amp;(BB404-1)&amp;" more",""),"")</f>
        <v/>
      </c>
      <c r="BD404" s="21">
        <f>IF(AND(BA404=1,AY404="Confirmed"),AT404*10000000+AU404*1000+ROW(),"")</f>
        <v/>
      </c>
      <c r="BE404" s="21">
        <f>IF(IFERROR(TRIM(INDEX($A404:$AL404,MATCH(Lists!$F$2,$A$1:$AL$1,0))&amp;""),"")="","",IFERROR(TRIM(INDEX($A404:$AL404,MATCH(Lists!$F$11,$A$1:$AL$1,0))&amp;""),""))</f>
        <v/>
      </c>
      <c r="BF404" s="21">
        <f>IF(IFERROR(TRIM(INDEX($A404:$AL404,MATCH(Lists!$F$2,$A$1:$AL$1,0))&amp;""),"")="","",IFERROR(TRIM(INDEX($A404:$AL404,MATCH(Lists!$F$12,$A$1:$AL$1,0))&amp;""),""))</f>
        <v/>
      </c>
    </row>
    <row r="405">
      <c r="AM405" s="19" t="n"/>
      <c r="AN405" s="23" t="n"/>
      <c r="AO405" s="23" t="n"/>
      <c r="AP405" s="23" t="n"/>
      <c r="AQ405" s="23" t="n"/>
      <c r="AR405" s="19" t="n"/>
      <c r="AS405" s="21">
        <f>IF(IFERROR(TRIM(INDEX($A405:$AL405,MATCH(Lists!$F$2,$A$1:$AL$1,0))&amp;""),"")="","",IF(AND(IFERROR(TRIM(INDEX($A405:$AL405,MATCH(Lists!$F$3,$A$1:$AL$1,0))&amp;""),"")="Other",IFERROR(TRIM(INDEX($A405:$AL405,MATCH(Lists!$F$4,$A$1:$AL$1,0))&amp;""),"")&lt;&gt;""),IFERROR(TRIM(INDEX($A405:$AL405,MATCH(Lists!$F$4,$A$1:$AL$1,0))&amp;""),""),IF(IFERROR(TRIM(INDEX($A405:$AL405,MATCH(Lists!$F$3,$A$1:$AL$1,0))&amp;""),"")="","(no space)",IFERROR(TRIM(INDEX($A405:$AL405,MATCH(Lists!$F$3,$A$1:$AL$1,0))&amp;""),""))))</f>
        <v/>
      </c>
      <c r="AT405" s="22">
        <f>IF(IFERROR(TRIM(INDEX($A405:$AL405,MATCH(Lists!$F$2,$A$1:$AL$1,0))&amp;""),"")="",0,N(IFERROR(IF(TRIM(INDEX($A405:$AL405,MATCH(Lists!$F$5,$A$1:$AL$1,0))&amp;"")="","",IF(ISNUMBER(INDEX($A405:$AL405,MATCH(Lists!$F$5,$A$1:$AL$1,0))),INT(INDEX($A405:$AL405,MATCH(Lists!$F$5,$A$1:$AL$1,0))),DATE(VALUE(LEFT(INDEX($A405:$AL405,MATCH(Lists!$F$5,$A$1:$AL$1,0)),4)),VALUE(MID(INDEX($A405:$AL405,MATCH(Lists!$F$5,$A$1:$AL$1,0)),6,2)),VALUE(MID(INDEX($A405:$AL405,MATCH(Lists!$F$5,$A$1:$AL$1,0)),9,2))))),"")))</f>
        <v/>
      </c>
      <c r="AU405" s="21">
        <f>IF(IFERROR(TRIM(INDEX($A405:$AL405,MATCH(Lists!$F$2,$A$1:$AL$1,0))&amp;""),"")="",-1,IF(ISNUMBER(IFERROR(IF(TRIM(INDEX($A405:$AL405,MATCH(Lists!$F$6,$A$1:$AL$1,0))&amp;"")="","",IF(ISNUMBER(INDEX($A405:$AL405,MATCH(Lists!$F$6,$A$1:$AL$1,0))),ROUND(MOD(INDEX($A405:$AL405,MATCH(Lists!$F$6,$A$1:$AL$1,0)),1)*1440,0),VALUE(LEFT(INDEX($A405:$AL405,MATCH(Lists!$F$6,$A$1:$AL$1,0)),2))*60+VALUE(MID(INDEX($A405:$AL405,MATCH(Lists!$F$6,$A$1:$AL$1,0)),4,2)))),"")),IFERROR(IF(TRIM(INDEX($A405:$AL405,MATCH(Lists!$F$6,$A$1:$AL$1,0))&amp;"")="","",IF(ISNUMBER(INDEX($A405:$AL405,MATCH(Lists!$F$6,$A$1:$AL$1,0))),ROUND(MOD(INDEX($A405:$AL405,MATCH(Lists!$F$6,$A$1:$AL$1,0)),1)*1440,0),VALUE(LEFT(INDEX($A405:$AL405,MATCH(Lists!$F$6,$A$1:$AL$1,0)),2))*60+VALUE(MID(INDEX($A405:$AL405,MATCH(Lists!$F$6,$A$1:$AL$1,0)),4,2)))),""),-1))</f>
        <v/>
      </c>
      <c r="AV405" s="21">
        <f>IF(IFERROR(TRIM(INDEX($A405:$AL405,MATCH(Lists!$F$2,$A$1:$AL$1,0))&amp;""),"")="",-1,IF(ISNUMBER(IFERROR(IF(TRIM(INDEX($A405:$AL405,MATCH(Lists!$F$7,$A$1:$AL$1,0))&amp;"")="","",IF(ISNUMBER(INDEX($A405:$AL405,MATCH(Lists!$F$7,$A$1:$AL$1,0))),ROUND(MOD(INDEX($A405:$AL405,MATCH(Lists!$F$7,$A$1:$AL$1,0)),1)*1440,0),VALUE(LEFT(INDEX($A405:$AL405,MATCH(Lists!$F$7,$A$1:$AL$1,0)),2))*60+VALUE(MID(INDEX($A405:$AL405,MATCH(Lists!$F$7,$A$1:$AL$1,0)),4,2)))),"")),IFERROR(IF(TRIM(INDEX($A405:$AL405,MATCH(Lists!$F$7,$A$1:$AL$1,0))&amp;"")="","",IF(ISNUMBER(INDEX($A405:$AL405,MATCH(Lists!$F$7,$A$1:$AL$1,0))),ROUND(MOD(INDEX($A405:$AL405,MATCH(Lists!$F$7,$A$1:$AL$1,0)),1)*1440,0),VALUE(LEFT(INDEX($A405:$AL405,MATCH(Lists!$F$7,$A$1:$AL$1,0)),2))*60+VALUE(MID(INDEX($A405:$AL405,MATCH(Lists!$F$7,$A$1:$AL$1,0)),4,2)))),""),-1))</f>
        <v/>
      </c>
      <c r="AW405" s="21">
        <f>IF(IFERROR(TRIM(INDEX($A405:$AL405,MATCH(Lists!$F$2,$A$1:$AL$1,0))&amp;""),"")="","",IF(IFERROR(TRIM(INDEX($A405:$AL405,MATCH(Lists!$F$8,$A$1:$AL$1,0))&amp;""),"")&lt;&gt;"",IFERROR(TRIM(INDEX($A405:$AL405,MATCH(Lists!$F$8,$A$1:$AL$1,0))&amp;""),""),IFERROR(TRIM(INDEX($A405:$AL405,MATCH(Lists!$F$9,$A$1:$AL$1,0))&amp;""),"")))</f>
        <v/>
      </c>
      <c r="AX405" s="21">
        <f>IFERROR(IF(TRIM(INDEX($A405:$AL405,MATCH(Lists!$F$10,$A$1:$AL$1,0))&amp;"")="","",VALUE(TRIM(INDEX($A405:$AL405,MATCH(Lists!$F$10,$A$1:$AL$1,0))&amp;""))),"")</f>
        <v/>
      </c>
      <c r="AY405" s="21">
        <f>IF(IFERROR(TRIM(INDEX($A405:$AL405,MATCH(Lists!$F$2,$A$1:$AL$1,0))&amp;""),"")="","",IF(AN405="","New",AN405))</f>
        <v/>
      </c>
      <c r="AZ405" s="21">
        <f>IF(IFERROR(TRIM(INDEX($A405:$AL405,MATCH(Lists!$F$2,$A$1:$AL$1,0))&amp;""),"")="","",IF(OR(IFERROR(TRIM(INDEX($A405:$AL405,MATCH(Lists!$F$13,$A$1:$AL$1,0))&amp;""),"")="Paid",IFERROR(TRIM(INDEX($A405:$AL405,MATCH(Lists!$F$13,$A$1:$AL$1,0))&amp;""),"")="Partially refunded"),"Paid",IF(AP405="Yes","Paid (by hand)",IFERROR(TRIM(INDEX($A405:$AL405,MATCH(Lists!$F$13,$A$1:$AL$1,0))&amp;""),""))))</f>
        <v/>
      </c>
      <c r="BA405" s="21">
        <f>IF(AND(IFERROR(TRIM(INDEX($A405:$AL405,MATCH(Lists!$F$2,$A$1:$AL$1,0))&amp;""),"")&lt;&gt;"",AT405&gt;0,AU405&gt;=0,AV405&gt;AU405,AY405&lt;&gt;"Declined"),1,0)</f>
        <v/>
      </c>
      <c r="BB405" s="21">
        <f>IF(BA405=1,COUNTIFS($AS$2:$AS$501,AS405,$AT$2:$AT$501,AT405,$AU$2:$AU$501,"&lt;"&amp;AV405,$AV$2:$AV$501,"&gt;"&amp;AU405,$BA$2:$BA$501,1)-1,"")</f>
        <v/>
      </c>
      <c r="BC405" s="21">
        <f>IF(N(BB405)&gt;0,"Clashes with "&amp;INDEX($AW$2:$AW$501,SUMPRODUCT(MAX(($AS$2:$AS$501=AS405)*($AT$2:$AT$501=AT405)*($AU$2:$AU$501&lt;AV405)*($AV$2:$AV$501&gt;AU405)*($BA$2:$BA$501=1)*(ROW($AS$2:$AS$501)&lt;&gt;ROW())*ROW($AS$2:$AS$501)))-1)&amp;" ("&amp;INDEX($AY$2:$AY$501,SUMPRODUCT(MAX(($AS$2:$AS$501=AS405)*($AT$2:$AT$501=AT405)*($AU$2:$AU$501&lt;AV405)*($AV$2:$AV$501&gt;AU405)*($BA$2:$BA$501=1)*(ROW($AS$2:$AS$501)&lt;&gt;ROW())*ROW($AS$2:$AS$501)))-1)&amp;")"&amp;IF(BB405&gt;1," and "&amp;(BB405-1)&amp;" more",""),"")</f>
        <v/>
      </c>
      <c r="BD405" s="21">
        <f>IF(AND(BA405=1,AY405="Confirmed"),AT405*10000000+AU405*1000+ROW(),"")</f>
        <v/>
      </c>
      <c r="BE405" s="21">
        <f>IF(IFERROR(TRIM(INDEX($A405:$AL405,MATCH(Lists!$F$2,$A$1:$AL$1,0))&amp;""),"")="","",IFERROR(TRIM(INDEX($A405:$AL405,MATCH(Lists!$F$11,$A$1:$AL$1,0))&amp;""),""))</f>
        <v/>
      </c>
      <c r="BF405" s="21">
        <f>IF(IFERROR(TRIM(INDEX($A405:$AL405,MATCH(Lists!$F$2,$A$1:$AL$1,0))&amp;""),"")="","",IFERROR(TRIM(INDEX($A405:$AL405,MATCH(Lists!$F$12,$A$1:$AL$1,0))&amp;""),""))</f>
        <v/>
      </c>
    </row>
    <row r="406">
      <c r="AM406" s="19" t="n"/>
      <c r="AN406" s="23" t="n"/>
      <c r="AO406" s="23" t="n"/>
      <c r="AP406" s="23" t="n"/>
      <c r="AQ406" s="23" t="n"/>
      <c r="AR406" s="19" t="n"/>
      <c r="AS406" s="21">
        <f>IF(IFERROR(TRIM(INDEX($A406:$AL406,MATCH(Lists!$F$2,$A$1:$AL$1,0))&amp;""),"")="","",IF(AND(IFERROR(TRIM(INDEX($A406:$AL406,MATCH(Lists!$F$3,$A$1:$AL$1,0))&amp;""),"")="Other",IFERROR(TRIM(INDEX($A406:$AL406,MATCH(Lists!$F$4,$A$1:$AL$1,0))&amp;""),"")&lt;&gt;""),IFERROR(TRIM(INDEX($A406:$AL406,MATCH(Lists!$F$4,$A$1:$AL$1,0))&amp;""),""),IF(IFERROR(TRIM(INDEX($A406:$AL406,MATCH(Lists!$F$3,$A$1:$AL$1,0))&amp;""),"")="","(no space)",IFERROR(TRIM(INDEX($A406:$AL406,MATCH(Lists!$F$3,$A$1:$AL$1,0))&amp;""),""))))</f>
        <v/>
      </c>
      <c r="AT406" s="22">
        <f>IF(IFERROR(TRIM(INDEX($A406:$AL406,MATCH(Lists!$F$2,$A$1:$AL$1,0))&amp;""),"")="",0,N(IFERROR(IF(TRIM(INDEX($A406:$AL406,MATCH(Lists!$F$5,$A$1:$AL$1,0))&amp;"")="","",IF(ISNUMBER(INDEX($A406:$AL406,MATCH(Lists!$F$5,$A$1:$AL$1,0))),INT(INDEX($A406:$AL406,MATCH(Lists!$F$5,$A$1:$AL$1,0))),DATE(VALUE(LEFT(INDEX($A406:$AL406,MATCH(Lists!$F$5,$A$1:$AL$1,0)),4)),VALUE(MID(INDEX($A406:$AL406,MATCH(Lists!$F$5,$A$1:$AL$1,0)),6,2)),VALUE(MID(INDEX($A406:$AL406,MATCH(Lists!$F$5,$A$1:$AL$1,0)),9,2))))),"")))</f>
        <v/>
      </c>
      <c r="AU406" s="21">
        <f>IF(IFERROR(TRIM(INDEX($A406:$AL406,MATCH(Lists!$F$2,$A$1:$AL$1,0))&amp;""),"")="",-1,IF(ISNUMBER(IFERROR(IF(TRIM(INDEX($A406:$AL406,MATCH(Lists!$F$6,$A$1:$AL$1,0))&amp;"")="","",IF(ISNUMBER(INDEX($A406:$AL406,MATCH(Lists!$F$6,$A$1:$AL$1,0))),ROUND(MOD(INDEX($A406:$AL406,MATCH(Lists!$F$6,$A$1:$AL$1,0)),1)*1440,0),VALUE(LEFT(INDEX($A406:$AL406,MATCH(Lists!$F$6,$A$1:$AL$1,0)),2))*60+VALUE(MID(INDEX($A406:$AL406,MATCH(Lists!$F$6,$A$1:$AL$1,0)),4,2)))),"")),IFERROR(IF(TRIM(INDEX($A406:$AL406,MATCH(Lists!$F$6,$A$1:$AL$1,0))&amp;"")="","",IF(ISNUMBER(INDEX($A406:$AL406,MATCH(Lists!$F$6,$A$1:$AL$1,0))),ROUND(MOD(INDEX($A406:$AL406,MATCH(Lists!$F$6,$A$1:$AL$1,0)),1)*1440,0),VALUE(LEFT(INDEX($A406:$AL406,MATCH(Lists!$F$6,$A$1:$AL$1,0)),2))*60+VALUE(MID(INDEX($A406:$AL406,MATCH(Lists!$F$6,$A$1:$AL$1,0)),4,2)))),""),-1))</f>
        <v/>
      </c>
      <c r="AV406" s="21">
        <f>IF(IFERROR(TRIM(INDEX($A406:$AL406,MATCH(Lists!$F$2,$A$1:$AL$1,0))&amp;""),"")="",-1,IF(ISNUMBER(IFERROR(IF(TRIM(INDEX($A406:$AL406,MATCH(Lists!$F$7,$A$1:$AL$1,0))&amp;"")="","",IF(ISNUMBER(INDEX($A406:$AL406,MATCH(Lists!$F$7,$A$1:$AL$1,0))),ROUND(MOD(INDEX($A406:$AL406,MATCH(Lists!$F$7,$A$1:$AL$1,0)),1)*1440,0),VALUE(LEFT(INDEX($A406:$AL406,MATCH(Lists!$F$7,$A$1:$AL$1,0)),2))*60+VALUE(MID(INDEX($A406:$AL406,MATCH(Lists!$F$7,$A$1:$AL$1,0)),4,2)))),"")),IFERROR(IF(TRIM(INDEX($A406:$AL406,MATCH(Lists!$F$7,$A$1:$AL$1,0))&amp;"")="","",IF(ISNUMBER(INDEX($A406:$AL406,MATCH(Lists!$F$7,$A$1:$AL$1,0))),ROUND(MOD(INDEX($A406:$AL406,MATCH(Lists!$F$7,$A$1:$AL$1,0)),1)*1440,0),VALUE(LEFT(INDEX($A406:$AL406,MATCH(Lists!$F$7,$A$1:$AL$1,0)),2))*60+VALUE(MID(INDEX($A406:$AL406,MATCH(Lists!$F$7,$A$1:$AL$1,0)),4,2)))),""),-1))</f>
        <v/>
      </c>
      <c r="AW406" s="21">
        <f>IF(IFERROR(TRIM(INDEX($A406:$AL406,MATCH(Lists!$F$2,$A$1:$AL$1,0))&amp;""),"")="","",IF(IFERROR(TRIM(INDEX($A406:$AL406,MATCH(Lists!$F$8,$A$1:$AL$1,0))&amp;""),"")&lt;&gt;"",IFERROR(TRIM(INDEX($A406:$AL406,MATCH(Lists!$F$8,$A$1:$AL$1,0))&amp;""),""),IFERROR(TRIM(INDEX($A406:$AL406,MATCH(Lists!$F$9,$A$1:$AL$1,0))&amp;""),"")))</f>
        <v/>
      </c>
      <c r="AX406" s="21">
        <f>IFERROR(IF(TRIM(INDEX($A406:$AL406,MATCH(Lists!$F$10,$A$1:$AL$1,0))&amp;"")="","",VALUE(TRIM(INDEX($A406:$AL406,MATCH(Lists!$F$10,$A$1:$AL$1,0))&amp;""))),"")</f>
        <v/>
      </c>
      <c r="AY406" s="21">
        <f>IF(IFERROR(TRIM(INDEX($A406:$AL406,MATCH(Lists!$F$2,$A$1:$AL$1,0))&amp;""),"")="","",IF(AN406="","New",AN406))</f>
        <v/>
      </c>
      <c r="AZ406" s="21">
        <f>IF(IFERROR(TRIM(INDEX($A406:$AL406,MATCH(Lists!$F$2,$A$1:$AL$1,0))&amp;""),"")="","",IF(OR(IFERROR(TRIM(INDEX($A406:$AL406,MATCH(Lists!$F$13,$A$1:$AL$1,0))&amp;""),"")="Paid",IFERROR(TRIM(INDEX($A406:$AL406,MATCH(Lists!$F$13,$A$1:$AL$1,0))&amp;""),"")="Partially refunded"),"Paid",IF(AP406="Yes","Paid (by hand)",IFERROR(TRIM(INDEX($A406:$AL406,MATCH(Lists!$F$13,$A$1:$AL$1,0))&amp;""),""))))</f>
        <v/>
      </c>
      <c r="BA406" s="21">
        <f>IF(AND(IFERROR(TRIM(INDEX($A406:$AL406,MATCH(Lists!$F$2,$A$1:$AL$1,0))&amp;""),"")&lt;&gt;"",AT406&gt;0,AU406&gt;=0,AV406&gt;AU406,AY406&lt;&gt;"Declined"),1,0)</f>
        <v/>
      </c>
      <c r="BB406" s="21">
        <f>IF(BA406=1,COUNTIFS($AS$2:$AS$501,AS406,$AT$2:$AT$501,AT406,$AU$2:$AU$501,"&lt;"&amp;AV406,$AV$2:$AV$501,"&gt;"&amp;AU406,$BA$2:$BA$501,1)-1,"")</f>
        <v/>
      </c>
      <c r="BC406" s="21">
        <f>IF(N(BB406)&gt;0,"Clashes with "&amp;INDEX($AW$2:$AW$501,SUMPRODUCT(MAX(($AS$2:$AS$501=AS406)*($AT$2:$AT$501=AT406)*($AU$2:$AU$501&lt;AV406)*($AV$2:$AV$501&gt;AU406)*($BA$2:$BA$501=1)*(ROW($AS$2:$AS$501)&lt;&gt;ROW())*ROW($AS$2:$AS$501)))-1)&amp;" ("&amp;INDEX($AY$2:$AY$501,SUMPRODUCT(MAX(($AS$2:$AS$501=AS406)*($AT$2:$AT$501=AT406)*($AU$2:$AU$501&lt;AV406)*($AV$2:$AV$501&gt;AU406)*($BA$2:$BA$501=1)*(ROW($AS$2:$AS$501)&lt;&gt;ROW())*ROW($AS$2:$AS$501)))-1)&amp;")"&amp;IF(BB406&gt;1," and "&amp;(BB406-1)&amp;" more",""),"")</f>
        <v/>
      </c>
      <c r="BD406" s="21">
        <f>IF(AND(BA406=1,AY406="Confirmed"),AT406*10000000+AU406*1000+ROW(),"")</f>
        <v/>
      </c>
      <c r="BE406" s="21">
        <f>IF(IFERROR(TRIM(INDEX($A406:$AL406,MATCH(Lists!$F$2,$A$1:$AL$1,0))&amp;""),"")="","",IFERROR(TRIM(INDEX($A406:$AL406,MATCH(Lists!$F$11,$A$1:$AL$1,0))&amp;""),""))</f>
        <v/>
      </c>
      <c r="BF406" s="21">
        <f>IF(IFERROR(TRIM(INDEX($A406:$AL406,MATCH(Lists!$F$2,$A$1:$AL$1,0))&amp;""),"")="","",IFERROR(TRIM(INDEX($A406:$AL406,MATCH(Lists!$F$12,$A$1:$AL$1,0))&amp;""),""))</f>
        <v/>
      </c>
    </row>
    <row r="407">
      <c r="AM407" s="19" t="n"/>
      <c r="AN407" s="23" t="n"/>
      <c r="AO407" s="23" t="n"/>
      <c r="AP407" s="23" t="n"/>
      <c r="AQ407" s="23" t="n"/>
      <c r="AR407" s="19" t="n"/>
      <c r="AS407" s="21">
        <f>IF(IFERROR(TRIM(INDEX($A407:$AL407,MATCH(Lists!$F$2,$A$1:$AL$1,0))&amp;""),"")="","",IF(AND(IFERROR(TRIM(INDEX($A407:$AL407,MATCH(Lists!$F$3,$A$1:$AL$1,0))&amp;""),"")="Other",IFERROR(TRIM(INDEX($A407:$AL407,MATCH(Lists!$F$4,$A$1:$AL$1,0))&amp;""),"")&lt;&gt;""),IFERROR(TRIM(INDEX($A407:$AL407,MATCH(Lists!$F$4,$A$1:$AL$1,0))&amp;""),""),IF(IFERROR(TRIM(INDEX($A407:$AL407,MATCH(Lists!$F$3,$A$1:$AL$1,0))&amp;""),"")="","(no space)",IFERROR(TRIM(INDEX($A407:$AL407,MATCH(Lists!$F$3,$A$1:$AL$1,0))&amp;""),""))))</f>
        <v/>
      </c>
      <c r="AT407" s="22">
        <f>IF(IFERROR(TRIM(INDEX($A407:$AL407,MATCH(Lists!$F$2,$A$1:$AL$1,0))&amp;""),"")="",0,N(IFERROR(IF(TRIM(INDEX($A407:$AL407,MATCH(Lists!$F$5,$A$1:$AL$1,0))&amp;"")="","",IF(ISNUMBER(INDEX($A407:$AL407,MATCH(Lists!$F$5,$A$1:$AL$1,0))),INT(INDEX($A407:$AL407,MATCH(Lists!$F$5,$A$1:$AL$1,0))),DATE(VALUE(LEFT(INDEX($A407:$AL407,MATCH(Lists!$F$5,$A$1:$AL$1,0)),4)),VALUE(MID(INDEX($A407:$AL407,MATCH(Lists!$F$5,$A$1:$AL$1,0)),6,2)),VALUE(MID(INDEX($A407:$AL407,MATCH(Lists!$F$5,$A$1:$AL$1,0)),9,2))))),"")))</f>
        <v/>
      </c>
      <c r="AU407" s="21">
        <f>IF(IFERROR(TRIM(INDEX($A407:$AL407,MATCH(Lists!$F$2,$A$1:$AL$1,0))&amp;""),"")="",-1,IF(ISNUMBER(IFERROR(IF(TRIM(INDEX($A407:$AL407,MATCH(Lists!$F$6,$A$1:$AL$1,0))&amp;"")="","",IF(ISNUMBER(INDEX($A407:$AL407,MATCH(Lists!$F$6,$A$1:$AL$1,0))),ROUND(MOD(INDEX($A407:$AL407,MATCH(Lists!$F$6,$A$1:$AL$1,0)),1)*1440,0),VALUE(LEFT(INDEX($A407:$AL407,MATCH(Lists!$F$6,$A$1:$AL$1,0)),2))*60+VALUE(MID(INDEX($A407:$AL407,MATCH(Lists!$F$6,$A$1:$AL$1,0)),4,2)))),"")),IFERROR(IF(TRIM(INDEX($A407:$AL407,MATCH(Lists!$F$6,$A$1:$AL$1,0))&amp;"")="","",IF(ISNUMBER(INDEX($A407:$AL407,MATCH(Lists!$F$6,$A$1:$AL$1,0))),ROUND(MOD(INDEX($A407:$AL407,MATCH(Lists!$F$6,$A$1:$AL$1,0)),1)*1440,0),VALUE(LEFT(INDEX($A407:$AL407,MATCH(Lists!$F$6,$A$1:$AL$1,0)),2))*60+VALUE(MID(INDEX($A407:$AL407,MATCH(Lists!$F$6,$A$1:$AL$1,0)),4,2)))),""),-1))</f>
        <v/>
      </c>
      <c r="AV407" s="21">
        <f>IF(IFERROR(TRIM(INDEX($A407:$AL407,MATCH(Lists!$F$2,$A$1:$AL$1,0))&amp;""),"")="",-1,IF(ISNUMBER(IFERROR(IF(TRIM(INDEX($A407:$AL407,MATCH(Lists!$F$7,$A$1:$AL$1,0))&amp;"")="","",IF(ISNUMBER(INDEX($A407:$AL407,MATCH(Lists!$F$7,$A$1:$AL$1,0))),ROUND(MOD(INDEX($A407:$AL407,MATCH(Lists!$F$7,$A$1:$AL$1,0)),1)*1440,0),VALUE(LEFT(INDEX($A407:$AL407,MATCH(Lists!$F$7,$A$1:$AL$1,0)),2))*60+VALUE(MID(INDEX($A407:$AL407,MATCH(Lists!$F$7,$A$1:$AL$1,0)),4,2)))),"")),IFERROR(IF(TRIM(INDEX($A407:$AL407,MATCH(Lists!$F$7,$A$1:$AL$1,0))&amp;"")="","",IF(ISNUMBER(INDEX($A407:$AL407,MATCH(Lists!$F$7,$A$1:$AL$1,0))),ROUND(MOD(INDEX($A407:$AL407,MATCH(Lists!$F$7,$A$1:$AL$1,0)),1)*1440,0),VALUE(LEFT(INDEX($A407:$AL407,MATCH(Lists!$F$7,$A$1:$AL$1,0)),2))*60+VALUE(MID(INDEX($A407:$AL407,MATCH(Lists!$F$7,$A$1:$AL$1,0)),4,2)))),""),-1))</f>
        <v/>
      </c>
      <c r="AW407" s="21">
        <f>IF(IFERROR(TRIM(INDEX($A407:$AL407,MATCH(Lists!$F$2,$A$1:$AL$1,0))&amp;""),"")="","",IF(IFERROR(TRIM(INDEX($A407:$AL407,MATCH(Lists!$F$8,$A$1:$AL$1,0))&amp;""),"")&lt;&gt;"",IFERROR(TRIM(INDEX($A407:$AL407,MATCH(Lists!$F$8,$A$1:$AL$1,0))&amp;""),""),IFERROR(TRIM(INDEX($A407:$AL407,MATCH(Lists!$F$9,$A$1:$AL$1,0))&amp;""),"")))</f>
        <v/>
      </c>
      <c r="AX407" s="21">
        <f>IFERROR(IF(TRIM(INDEX($A407:$AL407,MATCH(Lists!$F$10,$A$1:$AL$1,0))&amp;"")="","",VALUE(TRIM(INDEX($A407:$AL407,MATCH(Lists!$F$10,$A$1:$AL$1,0))&amp;""))),"")</f>
        <v/>
      </c>
      <c r="AY407" s="21">
        <f>IF(IFERROR(TRIM(INDEX($A407:$AL407,MATCH(Lists!$F$2,$A$1:$AL$1,0))&amp;""),"")="","",IF(AN407="","New",AN407))</f>
        <v/>
      </c>
      <c r="AZ407" s="21">
        <f>IF(IFERROR(TRIM(INDEX($A407:$AL407,MATCH(Lists!$F$2,$A$1:$AL$1,0))&amp;""),"")="","",IF(OR(IFERROR(TRIM(INDEX($A407:$AL407,MATCH(Lists!$F$13,$A$1:$AL$1,0))&amp;""),"")="Paid",IFERROR(TRIM(INDEX($A407:$AL407,MATCH(Lists!$F$13,$A$1:$AL$1,0))&amp;""),"")="Partially refunded"),"Paid",IF(AP407="Yes","Paid (by hand)",IFERROR(TRIM(INDEX($A407:$AL407,MATCH(Lists!$F$13,$A$1:$AL$1,0))&amp;""),""))))</f>
        <v/>
      </c>
      <c r="BA407" s="21">
        <f>IF(AND(IFERROR(TRIM(INDEX($A407:$AL407,MATCH(Lists!$F$2,$A$1:$AL$1,0))&amp;""),"")&lt;&gt;"",AT407&gt;0,AU407&gt;=0,AV407&gt;AU407,AY407&lt;&gt;"Declined"),1,0)</f>
        <v/>
      </c>
      <c r="BB407" s="21">
        <f>IF(BA407=1,COUNTIFS($AS$2:$AS$501,AS407,$AT$2:$AT$501,AT407,$AU$2:$AU$501,"&lt;"&amp;AV407,$AV$2:$AV$501,"&gt;"&amp;AU407,$BA$2:$BA$501,1)-1,"")</f>
        <v/>
      </c>
      <c r="BC407" s="21">
        <f>IF(N(BB407)&gt;0,"Clashes with "&amp;INDEX($AW$2:$AW$501,SUMPRODUCT(MAX(($AS$2:$AS$501=AS407)*($AT$2:$AT$501=AT407)*($AU$2:$AU$501&lt;AV407)*($AV$2:$AV$501&gt;AU407)*($BA$2:$BA$501=1)*(ROW($AS$2:$AS$501)&lt;&gt;ROW())*ROW($AS$2:$AS$501)))-1)&amp;" ("&amp;INDEX($AY$2:$AY$501,SUMPRODUCT(MAX(($AS$2:$AS$501=AS407)*($AT$2:$AT$501=AT407)*($AU$2:$AU$501&lt;AV407)*($AV$2:$AV$501&gt;AU407)*($BA$2:$BA$501=1)*(ROW($AS$2:$AS$501)&lt;&gt;ROW())*ROW($AS$2:$AS$501)))-1)&amp;")"&amp;IF(BB407&gt;1," and "&amp;(BB407-1)&amp;" more",""),"")</f>
        <v/>
      </c>
      <c r="BD407" s="21">
        <f>IF(AND(BA407=1,AY407="Confirmed"),AT407*10000000+AU407*1000+ROW(),"")</f>
        <v/>
      </c>
      <c r="BE407" s="21">
        <f>IF(IFERROR(TRIM(INDEX($A407:$AL407,MATCH(Lists!$F$2,$A$1:$AL$1,0))&amp;""),"")="","",IFERROR(TRIM(INDEX($A407:$AL407,MATCH(Lists!$F$11,$A$1:$AL$1,0))&amp;""),""))</f>
        <v/>
      </c>
      <c r="BF407" s="21">
        <f>IF(IFERROR(TRIM(INDEX($A407:$AL407,MATCH(Lists!$F$2,$A$1:$AL$1,0))&amp;""),"")="","",IFERROR(TRIM(INDEX($A407:$AL407,MATCH(Lists!$F$12,$A$1:$AL$1,0))&amp;""),""))</f>
        <v/>
      </c>
    </row>
    <row r="408">
      <c r="AM408" s="19" t="n"/>
      <c r="AN408" s="23" t="n"/>
      <c r="AO408" s="23" t="n"/>
      <c r="AP408" s="23" t="n"/>
      <c r="AQ408" s="23" t="n"/>
      <c r="AR408" s="19" t="n"/>
      <c r="AS408" s="21">
        <f>IF(IFERROR(TRIM(INDEX($A408:$AL408,MATCH(Lists!$F$2,$A$1:$AL$1,0))&amp;""),"")="","",IF(AND(IFERROR(TRIM(INDEX($A408:$AL408,MATCH(Lists!$F$3,$A$1:$AL$1,0))&amp;""),"")="Other",IFERROR(TRIM(INDEX($A408:$AL408,MATCH(Lists!$F$4,$A$1:$AL$1,0))&amp;""),"")&lt;&gt;""),IFERROR(TRIM(INDEX($A408:$AL408,MATCH(Lists!$F$4,$A$1:$AL$1,0))&amp;""),""),IF(IFERROR(TRIM(INDEX($A408:$AL408,MATCH(Lists!$F$3,$A$1:$AL$1,0))&amp;""),"")="","(no space)",IFERROR(TRIM(INDEX($A408:$AL408,MATCH(Lists!$F$3,$A$1:$AL$1,0))&amp;""),""))))</f>
        <v/>
      </c>
      <c r="AT408" s="22">
        <f>IF(IFERROR(TRIM(INDEX($A408:$AL408,MATCH(Lists!$F$2,$A$1:$AL$1,0))&amp;""),"")="",0,N(IFERROR(IF(TRIM(INDEX($A408:$AL408,MATCH(Lists!$F$5,$A$1:$AL$1,0))&amp;"")="","",IF(ISNUMBER(INDEX($A408:$AL408,MATCH(Lists!$F$5,$A$1:$AL$1,0))),INT(INDEX($A408:$AL408,MATCH(Lists!$F$5,$A$1:$AL$1,0))),DATE(VALUE(LEFT(INDEX($A408:$AL408,MATCH(Lists!$F$5,$A$1:$AL$1,0)),4)),VALUE(MID(INDEX($A408:$AL408,MATCH(Lists!$F$5,$A$1:$AL$1,0)),6,2)),VALUE(MID(INDEX($A408:$AL408,MATCH(Lists!$F$5,$A$1:$AL$1,0)),9,2))))),"")))</f>
        <v/>
      </c>
      <c r="AU408" s="21">
        <f>IF(IFERROR(TRIM(INDEX($A408:$AL408,MATCH(Lists!$F$2,$A$1:$AL$1,0))&amp;""),"")="",-1,IF(ISNUMBER(IFERROR(IF(TRIM(INDEX($A408:$AL408,MATCH(Lists!$F$6,$A$1:$AL$1,0))&amp;"")="","",IF(ISNUMBER(INDEX($A408:$AL408,MATCH(Lists!$F$6,$A$1:$AL$1,0))),ROUND(MOD(INDEX($A408:$AL408,MATCH(Lists!$F$6,$A$1:$AL$1,0)),1)*1440,0),VALUE(LEFT(INDEX($A408:$AL408,MATCH(Lists!$F$6,$A$1:$AL$1,0)),2))*60+VALUE(MID(INDEX($A408:$AL408,MATCH(Lists!$F$6,$A$1:$AL$1,0)),4,2)))),"")),IFERROR(IF(TRIM(INDEX($A408:$AL408,MATCH(Lists!$F$6,$A$1:$AL$1,0))&amp;"")="","",IF(ISNUMBER(INDEX($A408:$AL408,MATCH(Lists!$F$6,$A$1:$AL$1,0))),ROUND(MOD(INDEX($A408:$AL408,MATCH(Lists!$F$6,$A$1:$AL$1,0)),1)*1440,0),VALUE(LEFT(INDEX($A408:$AL408,MATCH(Lists!$F$6,$A$1:$AL$1,0)),2))*60+VALUE(MID(INDEX($A408:$AL408,MATCH(Lists!$F$6,$A$1:$AL$1,0)),4,2)))),""),-1))</f>
        <v/>
      </c>
      <c r="AV408" s="21">
        <f>IF(IFERROR(TRIM(INDEX($A408:$AL408,MATCH(Lists!$F$2,$A$1:$AL$1,0))&amp;""),"")="",-1,IF(ISNUMBER(IFERROR(IF(TRIM(INDEX($A408:$AL408,MATCH(Lists!$F$7,$A$1:$AL$1,0))&amp;"")="","",IF(ISNUMBER(INDEX($A408:$AL408,MATCH(Lists!$F$7,$A$1:$AL$1,0))),ROUND(MOD(INDEX($A408:$AL408,MATCH(Lists!$F$7,$A$1:$AL$1,0)),1)*1440,0),VALUE(LEFT(INDEX($A408:$AL408,MATCH(Lists!$F$7,$A$1:$AL$1,0)),2))*60+VALUE(MID(INDEX($A408:$AL408,MATCH(Lists!$F$7,$A$1:$AL$1,0)),4,2)))),"")),IFERROR(IF(TRIM(INDEX($A408:$AL408,MATCH(Lists!$F$7,$A$1:$AL$1,0))&amp;"")="","",IF(ISNUMBER(INDEX($A408:$AL408,MATCH(Lists!$F$7,$A$1:$AL$1,0))),ROUND(MOD(INDEX($A408:$AL408,MATCH(Lists!$F$7,$A$1:$AL$1,0)),1)*1440,0),VALUE(LEFT(INDEX($A408:$AL408,MATCH(Lists!$F$7,$A$1:$AL$1,0)),2))*60+VALUE(MID(INDEX($A408:$AL408,MATCH(Lists!$F$7,$A$1:$AL$1,0)),4,2)))),""),-1))</f>
        <v/>
      </c>
      <c r="AW408" s="21">
        <f>IF(IFERROR(TRIM(INDEX($A408:$AL408,MATCH(Lists!$F$2,$A$1:$AL$1,0))&amp;""),"")="","",IF(IFERROR(TRIM(INDEX($A408:$AL408,MATCH(Lists!$F$8,$A$1:$AL$1,0))&amp;""),"")&lt;&gt;"",IFERROR(TRIM(INDEX($A408:$AL408,MATCH(Lists!$F$8,$A$1:$AL$1,0))&amp;""),""),IFERROR(TRIM(INDEX($A408:$AL408,MATCH(Lists!$F$9,$A$1:$AL$1,0))&amp;""),"")))</f>
        <v/>
      </c>
      <c r="AX408" s="21">
        <f>IFERROR(IF(TRIM(INDEX($A408:$AL408,MATCH(Lists!$F$10,$A$1:$AL$1,0))&amp;"")="","",VALUE(TRIM(INDEX($A408:$AL408,MATCH(Lists!$F$10,$A$1:$AL$1,0))&amp;""))),"")</f>
        <v/>
      </c>
      <c r="AY408" s="21">
        <f>IF(IFERROR(TRIM(INDEX($A408:$AL408,MATCH(Lists!$F$2,$A$1:$AL$1,0))&amp;""),"")="","",IF(AN408="","New",AN408))</f>
        <v/>
      </c>
      <c r="AZ408" s="21">
        <f>IF(IFERROR(TRIM(INDEX($A408:$AL408,MATCH(Lists!$F$2,$A$1:$AL$1,0))&amp;""),"")="","",IF(OR(IFERROR(TRIM(INDEX($A408:$AL408,MATCH(Lists!$F$13,$A$1:$AL$1,0))&amp;""),"")="Paid",IFERROR(TRIM(INDEX($A408:$AL408,MATCH(Lists!$F$13,$A$1:$AL$1,0))&amp;""),"")="Partially refunded"),"Paid",IF(AP408="Yes","Paid (by hand)",IFERROR(TRIM(INDEX($A408:$AL408,MATCH(Lists!$F$13,$A$1:$AL$1,0))&amp;""),""))))</f>
        <v/>
      </c>
      <c r="BA408" s="21">
        <f>IF(AND(IFERROR(TRIM(INDEX($A408:$AL408,MATCH(Lists!$F$2,$A$1:$AL$1,0))&amp;""),"")&lt;&gt;"",AT408&gt;0,AU408&gt;=0,AV408&gt;AU408,AY408&lt;&gt;"Declined"),1,0)</f>
        <v/>
      </c>
      <c r="BB408" s="21">
        <f>IF(BA408=1,COUNTIFS($AS$2:$AS$501,AS408,$AT$2:$AT$501,AT408,$AU$2:$AU$501,"&lt;"&amp;AV408,$AV$2:$AV$501,"&gt;"&amp;AU408,$BA$2:$BA$501,1)-1,"")</f>
        <v/>
      </c>
      <c r="BC408" s="21">
        <f>IF(N(BB408)&gt;0,"Clashes with "&amp;INDEX($AW$2:$AW$501,SUMPRODUCT(MAX(($AS$2:$AS$501=AS408)*($AT$2:$AT$501=AT408)*($AU$2:$AU$501&lt;AV408)*($AV$2:$AV$501&gt;AU408)*($BA$2:$BA$501=1)*(ROW($AS$2:$AS$501)&lt;&gt;ROW())*ROW($AS$2:$AS$501)))-1)&amp;" ("&amp;INDEX($AY$2:$AY$501,SUMPRODUCT(MAX(($AS$2:$AS$501=AS408)*($AT$2:$AT$501=AT408)*($AU$2:$AU$501&lt;AV408)*($AV$2:$AV$501&gt;AU408)*($BA$2:$BA$501=1)*(ROW($AS$2:$AS$501)&lt;&gt;ROW())*ROW($AS$2:$AS$501)))-1)&amp;")"&amp;IF(BB408&gt;1," and "&amp;(BB408-1)&amp;" more",""),"")</f>
        <v/>
      </c>
      <c r="BD408" s="21">
        <f>IF(AND(BA408=1,AY408="Confirmed"),AT408*10000000+AU408*1000+ROW(),"")</f>
        <v/>
      </c>
      <c r="BE408" s="21">
        <f>IF(IFERROR(TRIM(INDEX($A408:$AL408,MATCH(Lists!$F$2,$A$1:$AL$1,0))&amp;""),"")="","",IFERROR(TRIM(INDEX($A408:$AL408,MATCH(Lists!$F$11,$A$1:$AL$1,0))&amp;""),""))</f>
        <v/>
      </c>
      <c r="BF408" s="21">
        <f>IF(IFERROR(TRIM(INDEX($A408:$AL408,MATCH(Lists!$F$2,$A$1:$AL$1,0))&amp;""),"")="","",IFERROR(TRIM(INDEX($A408:$AL408,MATCH(Lists!$F$12,$A$1:$AL$1,0))&amp;""),""))</f>
        <v/>
      </c>
    </row>
    <row r="409">
      <c r="AM409" s="19" t="n"/>
      <c r="AN409" s="23" t="n"/>
      <c r="AO409" s="23" t="n"/>
      <c r="AP409" s="23" t="n"/>
      <c r="AQ409" s="23" t="n"/>
      <c r="AR409" s="19" t="n"/>
      <c r="AS409" s="21">
        <f>IF(IFERROR(TRIM(INDEX($A409:$AL409,MATCH(Lists!$F$2,$A$1:$AL$1,0))&amp;""),"")="","",IF(AND(IFERROR(TRIM(INDEX($A409:$AL409,MATCH(Lists!$F$3,$A$1:$AL$1,0))&amp;""),"")="Other",IFERROR(TRIM(INDEX($A409:$AL409,MATCH(Lists!$F$4,$A$1:$AL$1,0))&amp;""),"")&lt;&gt;""),IFERROR(TRIM(INDEX($A409:$AL409,MATCH(Lists!$F$4,$A$1:$AL$1,0))&amp;""),""),IF(IFERROR(TRIM(INDEX($A409:$AL409,MATCH(Lists!$F$3,$A$1:$AL$1,0))&amp;""),"")="","(no space)",IFERROR(TRIM(INDEX($A409:$AL409,MATCH(Lists!$F$3,$A$1:$AL$1,0))&amp;""),""))))</f>
        <v/>
      </c>
      <c r="AT409" s="22">
        <f>IF(IFERROR(TRIM(INDEX($A409:$AL409,MATCH(Lists!$F$2,$A$1:$AL$1,0))&amp;""),"")="",0,N(IFERROR(IF(TRIM(INDEX($A409:$AL409,MATCH(Lists!$F$5,$A$1:$AL$1,0))&amp;"")="","",IF(ISNUMBER(INDEX($A409:$AL409,MATCH(Lists!$F$5,$A$1:$AL$1,0))),INT(INDEX($A409:$AL409,MATCH(Lists!$F$5,$A$1:$AL$1,0))),DATE(VALUE(LEFT(INDEX($A409:$AL409,MATCH(Lists!$F$5,$A$1:$AL$1,0)),4)),VALUE(MID(INDEX($A409:$AL409,MATCH(Lists!$F$5,$A$1:$AL$1,0)),6,2)),VALUE(MID(INDEX($A409:$AL409,MATCH(Lists!$F$5,$A$1:$AL$1,0)),9,2))))),"")))</f>
        <v/>
      </c>
      <c r="AU409" s="21">
        <f>IF(IFERROR(TRIM(INDEX($A409:$AL409,MATCH(Lists!$F$2,$A$1:$AL$1,0))&amp;""),"")="",-1,IF(ISNUMBER(IFERROR(IF(TRIM(INDEX($A409:$AL409,MATCH(Lists!$F$6,$A$1:$AL$1,0))&amp;"")="","",IF(ISNUMBER(INDEX($A409:$AL409,MATCH(Lists!$F$6,$A$1:$AL$1,0))),ROUND(MOD(INDEX($A409:$AL409,MATCH(Lists!$F$6,$A$1:$AL$1,0)),1)*1440,0),VALUE(LEFT(INDEX($A409:$AL409,MATCH(Lists!$F$6,$A$1:$AL$1,0)),2))*60+VALUE(MID(INDEX($A409:$AL409,MATCH(Lists!$F$6,$A$1:$AL$1,0)),4,2)))),"")),IFERROR(IF(TRIM(INDEX($A409:$AL409,MATCH(Lists!$F$6,$A$1:$AL$1,0))&amp;"")="","",IF(ISNUMBER(INDEX($A409:$AL409,MATCH(Lists!$F$6,$A$1:$AL$1,0))),ROUND(MOD(INDEX($A409:$AL409,MATCH(Lists!$F$6,$A$1:$AL$1,0)),1)*1440,0),VALUE(LEFT(INDEX($A409:$AL409,MATCH(Lists!$F$6,$A$1:$AL$1,0)),2))*60+VALUE(MID(INDEX($A409:$AL409,MATCH(Lists!$F$6,$A$1:$AL$1,0)),4,2)))),""),-1))</f>
        <v/>
      </c>
      <c r="AV409" s="21">
        <f>IF(IFERROR(TRIM(INDEX($A409:$AL409,MATCH(Lists!$F$2,$A$1:$AL$1,0))&amp;""),"")="",-1,IF(ISNUMBER(IFERROR(IF(TRIM(INDEX($A409:$AL409,MATCH(Lists!$F$7,$A$1:$AL$1,0))&amp;"")="","",IF(ISNUMBER(INDEX($A409:$AL409,MATCH(Lists!$F$7,$A$1:$AL$1,0))),ROUND(MOD(INDEX($A409:$AL409,MATCH(Lists!$F$7,$A$1:$AL$1,0)),1)*1440,0),VALUE(LEFT(INDEX($A409:$AL409,MATCH(Lists!$F$7,$A$1:$AL$1,0)),2))*60+VALUE(MID(INDEX($A409:$AL409,MATCH(Lists!$F$7,$A$1:$AL$1,0)),4,2)))),"")),IFERROR(IF(TRIM(INDEX($A409:$AL409,MATCH(Lists!$F$7,$A$1:$AL$1,0))&amp;"")="","",IF(ISNUMBER(INDEX($A409:$AL409,MATCH(Lists!$F$7,$A$1:$AL$1,0))),ROUND(MOD(INDEX($A409:$AL409,MATCH(Lists!$F$7,$A$1:$AL$1,0)),1)*1440,0),VALUE(LEFT(INDEX($A409:$AL409,MATCH(Lists!$F$7,$A$1:$AL$1,0)),2))*60+VALUE(MID(INDEX($A409:$AL409,MATCH(Lists!$F$7,$A$1:$AL$1,0)),4,2)))),""),-1))</f>
        <v/>
      </c>
      <c r="AW409" s="21">
        <f>IF(IFERROR(TRIM(INDEX($A409:$AL409,MATCH(Lists!$F$2,$A$1:$AL$1,0))&amp;""),"")="","",IF(IFERROR(TRIM(INDEX($A409:$AL409,MATCH(Lists!$F$8,$A$1:$AL$1,0))&amp;""),"")&lt;&gt;"",IFERROR(TRIM(INDEX($A409:$AL409,MATCH(Lists!$F$8,$A$1:$AL$1,0))&amp;""),""),IFERROR(TRIM(INDEX($A409:$AL409,MATCH(Lists!$F$9,$A$1:$AL$1,0))&amp;""),"")))</f>
        <v/>
      </c>
      <c r="AX409" s="21">
        <f>IFERROR(IF(TRIM(INDEX($A409:$AL409,MATCH(Lists!$F$10,$A$1:$AL$1,0))&amp;"")="","",VALUE(TRIM(INDEX($A409:$AL409,MATCH(Lists!$F$10,$A$1:$AL$1,0))&amp;""))),"")</f>
        <v/>
      </c>
      <c r="AY409" s="21">
        <f>IF(IFERROR(TRIM(INDEX($A409:$AL409,MATCH(Lists!$F$2,$A$1:$AL$1,0))&amp;""),"")="","",IF(AN409="","New",AN409))</f>
        <v/>
      </c>
      <c r="AZ409" s="21">
        <f>IF(IFERROR(TRIM(INDEX($A409:$AL409,MATCH(Lists!$F$2,$A$1:$AL$1,0))&amp;""),"")="","",IF(OR(IFERROR(TRIM(INDEX($A409:$AL409,MATCH(Lists!$F$13,$A$1:$AL$1,0))&amp;""),"")="Paid",IFERROR(TRIM(INDEX($A409:$AL409,MATCH(Lists!$F$13,$A$1:$AL$1,0))&amp;""),"")="Partially refunded"),"Paid",IF(AP409="Yes","Paid (by hand)",IFERROR(TRIM(INDEX($A409:$AL409,MATCH(Lists!$F$13,$A$1:$AL$1,0))&amp;""),""))))</f>
        <v/>
      </c>
      <c r="BA409" s="21">
        <f>IF(AND(IFERROR(TRIM(INDEX($A409:$AL409,MATCH(Lists!$F$2,$A$1:$AL$1,0))&amp;""),"")&lt;&gt;"",AT409&gt;0,AU409&gt;=0,AV409&gt;AU409,AY409&lt;&gt;"Declined"),1,0)</f>
        <v/>
      </c>
      <c r="BB409" s="21">
        <f>IF(BA409=1,COUNTIFS($AS$2:$AS$501,AS409,$AT$2:$AT$501,AT409,$AU$2:$AU$501,"&lt;"&amp;AV409,$AV$2:$AV$501,"&gt;"&amp;AU409,$BA$2:$BA$501,1)-1,"")</f>
        <v/>
      </c>
      <c r="BC409" s="21">
        <f>IF(N(BB409)&gt;0,"Clashes with "&amp;INDEX($AW$2:$AW$501,SUMPRODUCT(MAX(($AS$2:$AS$501=AS409)*($AT$2:$AT$501=AT409)*($AU$2:$AU$501&lt;AV409)*($AV$2:$AV$501&gt;AU409)*($BA$2:$BA$501=1)*(ROW($AS$2:$AS$501)&lt;&gt;ROW())*ROW($AS$2:$AS$501)))-1)&amp;" ("&amp;INDEX($AY$2:$AY$501,SUMPRODUCT(MAX(($AS$2:$AS$501=AS409)*($AT$2:$AT$501=AT409)*($AU$2:$AU$501&lt;AV409)*($AV$2:$AV$501&gt;AU409)*($BA$2:$BA$501=1)*(ROW($AS$2:$AS$501)&lt;&gt;ROW())*ROW($AS$2:$AS$501)))-1)&amp;")"&amp;IF(BB409&gt;1," and "&amp;(BB409-1)&amp;" more",""),"")</f>
        <v/>
      </c>
      <c r="BD409" s="21">
        <f>IF(AND(BA409=1,AY409="Confirmed"),AT409*10000000+AU409*1000+ROW(),"")</f>
        <v/>
      </c>
      <c r="BE409" s="21">
        <f>IF(IFERROR(TRIM(INDEX($A409:$AL409,MATCH(Lists!$F$2,$A$1:$AL$1,0))&amp;""),"")="","",IFERROR(TRIM(INDEX($A409:$AL409,MATCH(Lists!$F$11,$A$1:$AL$1,0))&amp;""),""))</f>
        <v/>
      </c>
      <c r="BF409" s="21">
        <f>IF(IFERROR(TRIM(INDEX($A409:$AL409,MATCH(Lists!$F$2,$A$1:$AL$1,0))&amp;""),"")="","",IFERROR(TRIM(INDEX($A409:$AL409,MATCH(Lists!$F$12,$A$1:$AL$1,0))&amp;""),""))</f>
        <v/>
      </c>
    </row>
    <row r="410">
      <c r="AM410" s="19" t="n"/>
      <c r="AN410" s="23" t="n"/>
      <c r="AO410" s="23" t="n"/>
      <c r="AP410" s="23" t="n"/>
      <c r="AQ410" s="23" t="n"/>
      <c r="AR410" s="19" t="n"/>
      <c r="AS410" s="21">
        <f>IF(IFERROR(TRIM(INDEX($A410:$AL410,MATCH(Lists!$F$2,$A$1:$AL$1,0))&amp;""),"")="","",IF(AND(IFERROR(TRIM(INDEX($A410:$AL410,MATCH(Lists!$F$3,$A$1:$AL$1,0))&amp;""),"")="Other",IFERROR(TRIM(INDEX($A410:$AL410,MATCH(Lists!$F$4,$A$1:$AL$1,0))&amp;""),"")&lt;&gt;""),IFERROR(TRIM(INDEX($A410:$AL410,MATCH(Lists!$F$4,$A$1:$AL$1,0))&amp;""),""),IF(IFERROR(TRIM(INDEX($A410:$AL410,MATCH(Lists!$F$3,$A$1:$AL$1,0))&amp;""),"")="","(no space)",IFERROR(TRIM(INDEX($A410:$AL410,MATCH(Lists!$F$3,$A$1:$AL$1,0))&amp;""),""))))</f>
        <v/>
      </c>
      <c r="AT410" s="22">
        <f>IF(IFERROR(TRIM(INDEX($A410:$AL410,MATCH(Lists!$F$2,$A$1:$AL$1,0))&amp;""),"")="",0,N(IFERROR(IF(TRIM(INDEX($A410:$AL410,MATCH(Lists!$F$5,$A$1:$AL$1,0))&amp;"")="","",IF(ISNUMBER(INDEX($A410:$AL410,MATCH(Lists!$F$5,$A$1:$AL$1,0))),INT(INDEX($A410:$AL410,MATCH(Lists!$F$5,$A$1:$AL$1,0))),DATE(VALUE(LEFT(INDEX($A410:$AL410,MATCH(Lists!$F$5,$A$1:$AL$1,0)),4)),VALUE(MID(INDEX($A410:$AL410,MATCH(Lists!$F$5,$A$1:$AL$1,0)),6,2)),VALUE(MID(INDEX($A410:$AL410,MATCH(Lists!$F$5,$A$1:$AL$1,0)),9,2))))),"")))</f>
        <v/>
      </c>
      <c r="AU410" s="21">
        <f>IF(IFERROR(TRIM(INDEX($A410:$AL410,MATCH(Lists!$F$2,$A$1:$AL$1,0))&amp;""),"")="",-1,IF(ISNUMBER(IFERROR(IF(TRIM(INDEX($A410:$AL410,MATCH(Lists!$F$6,$A$1:$AL$1,0))&amp;"")="","",IF(ISNUMBER(INDEX($A410:$AL410,MATCH(Lists!$F$6,$A$1:$AL$1,0))),ROUND(MOD(INDEX($A410:$AL410,MATCH(Lists!$F$6,$A$1:$AL$1,0)),1)*1440,0),VALUE(LEFT(INDEX($A410:$AL410,MATCH(Lists!$F$6,$A$1:$AL$1,0)),2))*60+VALUE(MID(INDEX($A410:$AL410,MATCH(Lists!$F$6,$A$1:$AL$1,0)),4,2)))),"")),IFERROR(IF(TRIM(INDEX($A410:$AL410,MATCH(Lists!$F$6,$A$1:$AL$1,0))&amp;"")="","",IF(ISNUMBER(INDEX($A410:$AL410,MATCH(Lists!$F$6,$A$1:$AL$1,0))),ROUND(MOD(INDEX($A410:$AL410,MATCH(Lists!$F$6,$A$1:$AL$1,0)),1)*1440,0),VALUE(LEFT(INDEX($A410:$AL410,MATCH(Lists!$F$6,$A$1:$AL$1,0)),2))*60+VALUE(MID(INDEX($A410:$AL410,MATCH(Lists!$F$6,$A$1:$AL$1,0)),4,2)))),""),-1))</f>
        <v/>
      </c>
      <c r="AV410" s="21">
        <f>IF(IFERROR(TRIM(INDEX($A410:$AL410,MATCH(Lists!$F$2,$A$1:$AL$1,0))&amp;""),"")="",-1,IF(ISNUMBER(IFERROR(IF(TRIM(INDEX($A410:$AL410,MATCH(Lists!$F$7,$A$1:$AL$1,0))&amp;"")="","",IF(ISNUMBER(INDEX($A410:$AL410,MATCH(Lists!$F$7,$A$1:$AL$1,0))),ROUND(MOD(INDEX($A410:$AL410,MATCH(Lists!$F$7,$A$1:$AL$1,0)),1)*1440,0),VALUE(LEFT(INDEX($A410:$AL410,MATCH(Lists!$F$7,$A$1:$AL$1,0)),2))*60+VALUE(MID(INDEX($A410:$AL410,MATCH(Lists!$F$7,$A$1:$AL$1,0)),4,2)))),"")),IFERROR(IF(TRIM(INDEX($A410:$AL410,MATCH(Lists!$F$7,$A$1:$AL$1,0))&amp;"")="","",IF(ISNUMBER(INDEX($A410:$AL410,MATCH(Lists!$F$7,$A$1:$AL$1,0))),ROUND(MOD(INDEX($A410:$AL410,MATCH(Lists!$F$7,$A$1:$AL$1,0)),1)*1440,0),VALUE(LEFT(INDEX($A410:$AL410,MATCH(Lists!$F$7,$A$1:$AL$1,0)),2))*60+VALUE(MID(INDEX($A410:$AL410,MATCH(Lists!$F$7,$A$1:$AL$1,0)),4,2)))),""),-1))</f>
        <v/>
      </c>
      <c r="AW410" s="21">
        <f>IF(IFERROR(TRIM(INDEX($A410:$AL410,MATCH(Lists!$F$2,$A$1:$AL$1,0))&amp;""),"")="","",IF(IFERROR(TRIM(INDEX($A410:$AL410,MATCH(Lists!$F$8,$A$1:$AL$1,0))&amp;""),"")&lt;&gt;"",IFERROR(TRIM(INDEX($A410:$AL410,MATCH(Lists!$F$8,$A$1:$AL$1,0))&amp;""),""),IFERROR(TRIM(INDEX($A410:$AL410,MATCH(Lists!$F$9,$A$1:$AL$1,0))&amp;""),"")))</f>
        <v/>
      </c>
      <c r="AX410" s="21">
        <f>IFERROR(IF(TRIM(INDEX($A410:$AL410,MATCH(Lists!$F$10,$A$1:$AL$1,0))&amp;"")="","",VALUE(TRIM(INDEX($A410:$AL410,MATCH(Lists!$F$10,$A$1:$AL$1,0))&amp;""))),"")</f>
        <v/>
      </c>
      <c r="AY410" s="21">
        <f>IF(IFERROR(TRIM(INDEX($A410:$AL410,MATCH(Lists!$F$2,$A$1:$AL$1,0))&amp;""),"")="","",IF(AN410="","New",AN410))</f>
        <v/>
      </c>
      <c r="AZ410" s="21">
        <f>IF(IFERROR(TRIM(INDEX($A410:$AL410,MATCH(Lists!$F$2,$A$1:$AL$1,0))&amp;""),"")="","",IF(OR(IFERROR(TRIM(INDEX($A410:$AL410,MATCH(Lists!$F$13,$A$1:$AL$1,0))&amp;""),"")="Paid",IFERROR(TRIM(INDEX($A410:$AL410,MATCH(Lists!$F$13,$A$1:$AL$1,0))&amp;""),"")="Partially refunded"),"Paid",IF(AP410="Yes","Paid (by hand)",IFERROR(TRIM(INDEX($A410:$AL410,MATCH(Lists!$F$13,$A$1:$AL$1,0))&amp;""),""))))</f>
        <v/>
      </c>
      <c r="BA410" s="21">
        <f>IF(AND(IFERROR(TRIM(INDEX($A410:$AL410,MATCH(Lists!$F$2,$A$1:$AL$1,0))&amp;""),"")&lt;&gt;"",AT410&gt;0,AU410&gt;=0,AV410&gt;AU410,AY410&lt;&gt;"Declined"),1,0)</f>
        <v/>
      </c>
      <c r="BB410" s="21">
        <f>IF(BA410=1,COUNTIFS($AS$2:$AS$501,AS410,$AT$2:$AT$501,AT410,$AU$2:$AU$501,"&lt;"&amp;AV410,$AV$2:$AV$501,"&gt;"&amp;AU410,$BA$2:$BA$501,1)-1,"")</f>
        <v/>
      </c>
      <c r="BC410" s="21">
        <f>IF(N(BB410)&gt;0,"Clashes with "&amp;INDEX($AW$2:$AW$501,SUMPRODUCT(MAX(($AS$2:$AS$501=AS410)*($AT$2:$AT$501=AT410)*($AU$2:$AU$501&lt;AV410)*($AV$2:$AV$501&gt;AU410)*($BA$2:$BA$501=1)*(ROW($AS$2:$AS$501)&lt;&gt;ROW())*ROW($AS$2:$AS$501)))-1)&amp;" ("&amp;INDEX($AY$2:$AY$501,SUMPRODUCT(MAX(($AS$2:$AS$501=AS410)*($AT$2:$AT$501=AT410)*($AU$2:$AU$501&lt;AV410)*($AV$2:$AV$501&gt;AU410)*($BA$2:$BA$501=1)*(ROW($AS$2:$AS$501)&lt;&gt;ROW())*ROW($AS$2:$AS$501)))-1)&amp;")"&amp;IF(BB410&gt;1," and "&amp;(BB410-1)&amp;" more",""),"")</f>
        <v/>
      </c>
      <c r="BD410" s="21">
        <f>IF(AND(BA410=1,AY410="Confirmed"),AT410*10000000+AU410*1000+ROW(),"")</f>
        <v/>
      </c>
      <c r="BE410" s="21">
        <f>IF(IFERROR(TRIM(INDEX($A410:$AL410,MATCH(Lists!$F$2,$A$1:$AL$1,0))&amp;""),"")="","",IFERROR(TRIM(INDEX($A410:$AL410,MATCH(Lists!$F$11,$A$1:$AL$1,0))&amp;""),""))</f>
        <v/>
      </c>
      <c r="BF410" s="21">
        <f>IF(IFERROR(TRIM(INDEX($A410:$AL410,MATCH(Lists!$F$2,$A$1:$AL$1,0))&amp;""),"")="","",IFERROR(TRIM(INDEX($A410:$AL410,MATCH(Lists!$F$12,$A$1:$AL$1,0))&amp;""),""))</f>
        <v/>
      </c>
    </row>
    <row r="411">
      <c r="AM411" s="19" t="n"/>
      <c r="AN411" s="23" t="n"/>
      <c r="AO411" s="23" t="n"/>
      <c r="AP411" s="23" t="n"/>
      <c r="AQ411" s="23" t="n"/>
      <c r="AR411" s="19" t="n"/>
      <c r="AS411" s="21">
        <f>IF(IFERROR(TRIM(INDEX($A411:$AL411,MATCH(Lists!$F$2,$A$1:$AL$1,0))&amp;""),"")="","",IF(AND(IFERROR(TRIM(INDEX($A411:$AL411,MATCH(Lists!$F$3,$A$1:$AL$1,0))&amp;""),"")="Other",IFERROR(TRIM(INDEX($A411:$AL411,MATCH(Lists!$F$4,$A$1:$AL$1,0))&amp;""),"")&lt;&gt;""),IFERROR(TRIM(INDEX($A411:$AL411,MATCH(Lists!$F$4,$A$1:$AL$1,0))&amp;""),""),IF(IFERROR(TRIM(INDEX($A411:$AL411,MATCH(Lists!$F$3,$A$1:$AL$1,0))&amp;""),"")="","(no space)",IFERROR(TRIM(INDEX($A411:$AL411,MATCH(Lists!$F$3,$A$1:$AL$1,0))&amp;""),""))))</f>
        <v/>
      </c>
      <c r="AT411" s="22">
        <f>IF(IFERROR(TRIM(INDEX($A411:$AL411,MATCH(Lists!$F$2,$A$1:$AL$1,0))&amp;""),"")="",0,N(IFERROR(IF(TRIM(INDEX($A411:$AL411,MATCH(Lists!$F$5,$A$1:$AL$1,0))&amp;"")="","",IF(ISNUMBER(INDEX($A411:$AL411,MATCH(Lists!$F$5,$A$1:$AL$1,0))),INT(INDEX($A411:$AL411,MATCH(Lists!$F$5,$A$1:$AL$1,0))),DATE(VALUE(LEFT(INDEX($A411:$AL411,MATCH(Lists!$F$5,$A$1:$AL$1,0)),4)),VALUE(MID(INDEX($A411:$AL411,MATCH(Lists!$F$5,$A$1:$AL$1,0)),6,2)),VALUE(MID(INDEX($A411:$AL411,MATCH(Lists!$F$5,$A$1:$AL$1,0)),9,2))))),"")))</f>
        <v/>
      </c>
      <c r="AU411" s="21">
        <f>IF(IFERROR(TRIM(INDEX($A411:$AL411,MATCH(Lists!$F$2,$A$1:$AL$1,0))&amp;""),"")="",-1,IF(ISNUMBER(IFERROR(IF(TRIM(INDEX($A411:$AL411,MATCH(Lists!$F$6,$A$1:$AL$1,0))&amp;"")="","",IF(ISNUMBER(INDEX($A411:$AL411,MATCH(Lists!$F$6,$A$1:$AL$1,0))),ROUND(MOD(INDEX($A411:$AL411,MATCH(Lists!$F$6,$A$1:$AL$1,0)),1)*1440,0),VALUE(LEFT(INDEX($A411:$AL411,MATCH(Lists!$F$6,$A$1:$AL$1,0)),2))*60+VALUE(MID(INDEX($A411:$AL411,MATCH(Lists!$F$6,$A$1:$AL$1,0)),4,2)))),"")),IFERROR(IF(TRIM(INDEX($A411:$AL411,MATCH(Lists!$F$6,$A$1:$AL$1,0))&amp;"")="","",IF(ISNUMBER(INDEX($A411:$AL411,MATCH(Lists!$F$6,$A$1:$AL$1,0))),ROUND(MOD(INDEX($A411:$AL411,MATCH(Lists!$F$6,$A$1:$AL$1,0)),1)*1440,0),VALUE(LEFT(INDEX($A411:$AL411,MATCH(Lists!$F$6,$A$1:$AL$1,0)),2))*60+VALUE(MID(INDEX($A411:$AL411,MATCH(Lists!$F$6,$A$1:$AL$1,0)),4,2)))),""),-1))</f>
        <v/>
      </c>
      <c r="AV411" s="21">
        <f>IF(IFERROR(TRIM(INDEX($A411:$AL411,MATCH(Lists!$F$2,$A$1:$AL$1,0))&amp;""),"")="",-1,IF(ISNUMBER(IFERROR(IF(TRIM(INDEX($A411:$AL411,MATCH(Lists!$F$7,$A$1:$AL$1,0))&amp;"")="","",IF(ISNUMBER(INDEX($A411:$AL411,MATCH(Lists!$F$7,$A$1:$AL$1,0))),ROUND(MOD(INDEX($A411:$AL411,MATCH(Lists!$F$7,$A$1:$AL$1,0)),1)*1440,0),VALUE(LEFT(INDEX($A411:$AL411,MATCH(Lists!$F$7,$A$1:$AL$1,0)),2))*60+VALUE(MID(INDEX($A411:$AL411,MATCH(Lists!$F$7,$A$1:$AL$1,0)),4,2)))),"")),IFERROR(IF(TRIM(INDEX($A411:$AL411,MATCH(Lists!$F$7,$A$1:$AL$1,0))&amp;"")="","",IF(ISNUMBER(INDEX($A411:$AL411,MATCH(Lists!$F$7,$A$1:$AL$1,0))),ROUND(MOD(INDEX($A411:$AL411,MATCH(Lists!$F$7,$A$1:$AL$1,0)),1)*1440,0),VALUE(LEFT(INDEX($A411:$AL411,MATCH(Lists!$F$7,$A$1:$AL$1,0)),2))*60+VALUE(MID(INDEX($A411:$AL411,MATCH(Lists!$F$7,$A$1:$AL$1,0)),4,2)))),""),-1))</f>
        <v/>
      </c>
      <c r="AW411" s="21">
        <f>IF(IFERROR(TRIM(INDEX($A411:$AL411,MATCH(Lists!$F$2,$A$1:$AL$1,0))&amp;""),"")="","",IF(IFERROR(TRIM(INDEX($A411:$AL411,MATCH(Lists!$F$8,$A$1:$AL$1,0))&amp;""),"")&lt;&gt;"",IFERROR(TRIM(INDEX($A411:$AL411,MATCH(Lists!$F$8,$A$1:$AL$1,0))&amp;""),""),IFERROR(TRIM(INDEX($A411:$AL411,MATCH(Lists!$F$9,$A$1:$AL$1,0))&amp;""),"")))</f>
        <v/>
      </c>
      <c r="AX411" s="21">
        <f>IFERROR(IF(TRIM(INDEX($A411:$AL411,MATCH(Lists!$F$10,$A$1:$AL$1,0))&amp;"")="","",VALUE(TRIM(INDEX($A411:$AL411,MATCH(Lists!$F$10,$A$1:$AL$1,0))&amp;""))),"")</f>
        <v/>
      </c>
      <c r="AY411" s="21">
        <f>IF(IFERROR(TRIM(INDEX($A411:$AL411,MATCH(Lists!$F$2,$A$1:$AL$1,0))&amp;""),"")="","",IF(AN411="","New",AN411))</f>
        <v/>
      </c>
      <c r="AZ411" s="21">
        <f>IF(IFERROR(TRIM(INDEX($A411:$AL411,MATCH(Lists!$F$2,$A$1:$AL$1,0))&amp;""),"")="","",IF(OR(IFERROR(TRIM(INDEX($A411:$AL411,MATCH(Lists!$F$13,$A$1:$AL$1,0))&amp;""),"")="Paid",IFERROR(TRIM(INDEX($A411:$AL411,MATCH(Lists!$F$13,$A$1:$AL$1,0))&amp;""),"")="Partially refunded"),"Paid",IF(AP411="Yes","Paid (by hand)",IFERROR(TRIM(INDEX($A411:$AL411,MATCH(Lists!$F$13,$A$1:$AL$1,0))&amp;""),""))))</f>
        <v/>
      </c>
      <c r="BA411" s="21">
        <f>IF(AND(IFERROR(TRIM(INDEX($A411:$AL411,MATCH(Lists!$F$2,$A$1:$AL$1,0))&amp;""),"")&lt;&gt;"",AT411&gt;0,AU411&gt;=0,AV411&gt;AU411,AY411&lt;&gt;"Declined"),1,0)</f>
        <v/>
      </c>
      <c r="BB411" s="21">
        <f>IF(BA411=1,COUNTIFS($AS$2:$AS$501,AS411,$AT$2:$AT$501,AT411,$AU$2:$AU$501,"&lt;"&amp;AV411,$AV$2:$AV$501,"&gt;"&amp;AU411,$BA$2:$BA$501,1)-1,"")</f>
        <v/>
      </c>
      <c r="BC411" s="21">
        <f>IF(N(BB411)&gt;0,"Clashes with "&amp;INDEX($AW$2:$AW$501,SUMPRODUCT(MAX(($AS$2:$AS$501=AS411)*($AT$2:$AT$501=AT411)*($AU$2:$AU$501&lt;AV411)*($AV$2:$AV$501&gt;AU411)*($BA$2:$BA$501=1)*(ROW($AS$2:$AS$501)&lt;&gt;ROW())*ROW($AS$2:$AS$501)))-1)&amp;" ("&amp;INDEX($AY$2:$AY$501,SUMPRODUCT(MAX(($AS$2:$AS$501=AS411)*($AT$2:$AT$501=AT411)*($AU$2:$AU$501&lt;AV411)*($AV$2:$AV$501&gt;AU411)*($BA$2:$BA$501=1)*(ROW($AS$2:$AS$501)&lt;&gt;ROW())*ROW($AS$2:$AS$501)))-1)&amp;")"&amp;IF(BB411&gt;1," and "&amp;(BB411-1)&amp;" more",""),"")</f>
        <v/>
      </c>
      <c r="BD411" s="21">
        <f>IF(AND(BA411=1,AY411="Confirmed"),AT411*10000000+AU411*1000+ROW(),"")</f>
        <v/>
      </c>
      <c r="BE411" s="21">
        <f>IF(IFERROR(TRIM(INDEX($A411:$AL411,MATCH(Lists!$F$2,$A$1:$AL$1,0))&amp;""),"")="","",IFERROR(TRIM(INDEX($A411:$AL411,MATCH(Lists!$F$11,$A$1:$AL$1,0))&amp;""),""))</f>
        <v/>
      </c>
      <c r="BF411" s="21">
        <f>IF(IFERROR(TRIM(INDEX($A411:$AL411,MATCH(Lists!$F$2,$A$1:$AL$1,0))&amp;""),"")="","",IFERROR(TRIM(INDEX($A411:$AL411,MATCH(Lists!$F$12,$A$1:$AL$1,0))&amp;""),""))</f>
        <v/>
      </c>
    </row>
    <row r="412">
      <c r="AM412" s="19" t="n"/>
      <c r="AN412" s="23" t="n"/>
      <c r="AO412" s="23" t="n"/>
      <c r="AP412" s="23" t="n"/>
      <c r="AQ412" s="23" t="n"/>
      <c r="AR412" s="19" t="n"/>
      <c r="AS412" s="21">
        <f>IF(IFERROR(TRIM(INDEX($A412:$AL412,MATCH(Lists!$F$2,$A$1:$AL$1,0))&amp;""),"")="","",IF(AND(IFERROR(TRIM(INDEX($A412:$AL412,MATCH(Lists!$F$3,$A$1:$AL$1,0))&amp;""),"")="Other",IFERROR(TRIM(INDEX($A412:$AL412,MATCH(Lists!$F$4,$A$1:$AL$1,0))&amp;""),"")&lt;&gt;""),IFERROR(TRIM(INDEX($A412:$AL412,MATCH(Lists!$F$4,$A$1:$AL$1,0))&amp;""),""),IF(IFERROR(TRIM(INDEX($A412:$AL412,MATCH(Lists!$F$3,$A$1:$AL$1,0))&amp;""),"")="","(no space)",IFERROR(TRIM(INDEX($A412:$AL412,MATCH(Lists!$F$3,$A$1:$AL$1,0))&amp;""),""))))</f>
        <v/>
      </c>
      <c r="AT412" s="22">
        <f>IF(IFERROR(TRIM(INDEX($A412:$AL412,MATCH(Lists!$F$2,$A$1:$AL$1,0))&amp;""),"")="",0,N(IFERROR(IF(TRIM(INDEX($A412:$AL412,MATCH(Lists!$F$5,$A$1:$AL$1,0))&amp;"")="","",IF(ISNUMBER(INDEX($A412:$AL412,MATCH(Lists!$F$5,$A$1:$AL$1,0))),INT(INDEX($A412:$AL412,MATCH(Lists!$F$5,$A$1:$AL$1,0))),DATE(VALUE(LEFT(INDEX($A412:$AL412,MATCH(Lists!$F$5,$A$1:$AL$1,0)),4)),VALUE(MID(INDEX($A412:$AL412,MATCH(Lists!$F$5,$A$1:$AL$1,0)),6,2)),VALUE(MID(INDEX($A412:$AL412,MATCH(Lists!$F$5,$A$1:$AL$1,0)),9,2))))),"")))</f>
        <v/>
      </c>
      <c r="AU412" s="21">
        <f>IF(IFERROR(TRIM(INDEX($A412:$AL412,MATCH(Lists!$F$2,$A$1:$AL$1,0))&amp;""),"")="",-1,IF(ISNUMBER(IFERROR(IF(TRIM(INDEX($A412:$AL412,MATCH(Lists!$F$6,$A$1:$AL$1,0))&amp;"")="","",IF(ISNUMBER(INDEX($A412:$AL412,MATCH(Lists!$F$6,$A$1:$AL$1,0))),ROUND(MOD(INDEX($A412:$AL412,MATCH(Lists!$F$6,$A$1:$AL$1,0)),1)*1440,0),VALUE(LEFT(INDEX($A412:$AL412,MATCH(Lists!$F$6,$A$1:$AL$1,0)),2))*60+VALUE(MID(INDEX($A412:$AL412,MATCH(Lists!$F$6,$A$1:$AL$1,0)),4,2)))),"")),IFERROR(IF(TRIM(INDEX($A412:$AL412,MATCH(Lists!$F$6,$A$1:$AL$1,0))&amp;"")="","",IF(ISNUMBER(INDEX($A412:$AL412,MATCH(Lists!$F$6,$A$1:$AL$1,0))),ROUND(MOD(INDEX($A412:$AL412,MATCH(Lists!$F$6,$A$1:$AL$1,0)),1)*1440,0),VALUE(LEFT(INDEX($A412:$AL412,MATCH(Lists!$F$6,$A$1:$AL$1,0)),2))*60+VALUE(MID(INDEX($A412:$AL412,MATCH(Lists!$F$6,$A$1:$AL$1,0)),4,2)))),""),-1))</f>
        <v/>
      </c>
      <c r="AV412" s="21">
        <f>IF(IFERROR(TRIM(INDEX($A412:$AL412,MATCH(Lists!$F$2,$A$1:$AL$1,0))&amp;""),"")="",-1,IF(ISNUMBER(IFERROR(IF(TRIM(INDEX($A412:$AL412,MATCH(Lists!$F$7,$A$1:$AL$1,0))&amp;"")="","",IF(ISNUMBER(INDEX($A412:$AL412,MATCH(Lists!$F$7,$A$1:$AL$1,0))),ROUND(MOD(INDEX($A412:$AL412,MATCH(Lists!$F$7,$A$1:$AL$1,0)),1)*1440,0),VALUE(LEFT(INDEX($A412:$AL412,MATCH(Lists!$F$7,$A$1:$AL$1,0)),2))*60+VALUE(MID(INDEX($A412:$AL412,MATCH(Lists!$F$7,$A$1:$AL$1,0)),4,2)))),"")),IFERROR(IF(TRIM(INDEX($A412:$AL412,MATCH(Lists!$F$7,$A$1:$AL$1,0))&amp;"")="","",IF(ISNUMBER(INDEX($A412:$AL412,MATCH(Lists!$F$7,$A$1:$AL$1,0))),ROUND(MOD(INDEX($A412:$AL412,MATCH(Lists!$F$7,$A$1:$AL$1,0)),1)*1440,0),VALUE(LEFT(INDEX($A412:$AL412,MATCH(Lists!$F$7,$A$1:$AL$1,0)),2))*60+VALUE(MID(INDEX($A412:$AL412,MATCH(Lists!$F$7,$A$1:$AL$1,0)),4,2)))),""),-1))</f>
        <v/>
      </c>
      <c r="AW412" s="21">
        <f>IF(IFERROR(TRIM(INDEX($A412:$AL412,MATCH(Lists!$F$2,$A$1:$AL$1,0))&amp;""),"")="","",IF(IFERROR(TRIM(INDEX($A412:$AL412,MATCH(Lists!$F$8,$A$1:$AL$1,0))&amp;""),"")&lt;&gt;"",IFERROR(TRIM(INDEX($A412:$AL412,MATCH(Lists!$F$8,$A$1:$AL$1,0))&amp;""),""),IFERROR(TRIM(INDEX($A412:$AL412,MATCH(Lists!$F$9,$A$1:$AL$1,0))&amp;""),"")))</f>
        <v/>
      </c>
      <c r="AX412" s="21">
        <f>IFERROR(IF(TRIM(INDEX($A412:$AL412,MATCH(Lists!$F$10,$A$1:$AL$1,0))&amp;"")="","",VALUE(TRIM(INDEX($A412:$AL412,MATCH(Lists!$F$10,$A$1:$AL$1,0))&amp;""))),"")</f>
        <v/>
      </c>
      <c r="AY412" s="21">
        <f>IF(IFERROR(TRIM(INDEX($A412:$AL412,MATCH(Lists!$F$2,$A$1:$AL$1,0))&amp;""),"")="","",IF(AN412="","New",AN412))</f>
        <v/>
      </c>
      <c r="AZ412" s="21">
        <f>IF(IFERROR(TRIM(INDEX($A412:$AL412,MATCH(Lists!$F$2,$A$1:$AL$1,0))&amp;""),"")="","",IF(OR(IFERROR(TRIM(INDEX($A412:$AL412,MATCH(Lists!$F$13,$A$1:$AL$1,0))&amp;""),"")="Paid",IFERROR(TRIM(INDEX($A412:$AL412,MATCH(Lists!$F$13,$A$1:$AL$1,0))&amp;""),"")="Partially refunded"),"Paid",IF(AP412="Yes","Paid (by hand)",IFERROR(TRIM(INDEX($A412:$AL412,MATCH(Lists!$F$13,$A$1:$AL$1,0))&amp;""),""))))</f>
        <v/>
      </c>
      <c r="BA412" s="21">
        <f>IF(AND(IFERROR(TRIM(INDEX($A412:$AL412,MATCH(Lists!$F$2,$A$1:$AL$1,0))&amp;""),"")&lt;&gt;"",AT412&gt;0,AU412&gt;=0,AV412&gt;AU412,AY412&lt;&gt;"Declined"),1,0)</f>
        <v/>
      </c>
      <c r="BB412" s="21">
        <f>IF(BA412=1,COUNTIFS($AS$2:$AS$501,AS412,$AT$2:$AT$501,AT412,$AU$2:$AU$501,"&lt;"&amp;AV412,$AV$2:$AV$501,"&gt;"&amp;AU412,$BA$2:$BA$501,1)-1,"")</f>
        <v/>
      </c>
      <c r="BC412" s="21">
        <f>IF(N(BB412)&gt;0,"Clashes with "&amp;INDEX($AW$2:$AW$501,SUMPRODUCT(MAX(($AS$2:$AS$501=AS412)*($AT$2:$AT$501=AT412)*($AU$2:$AU$501&lt;AV412)*($AV$2:$AV$501&gt;AU412)*($BA$2:$BA$501=1)*(ROW($AS$2:$AS$501)&lt;&gt;ROW())*ROW($AS$2:$AS$501)))-1)&amp;" ("&amp;INDEX($AY$2:$AY$501,SUMPRODUCT(MAX(($AS$2:$AS$501=AS412)*($AT$2:$AT$501=AT412)*($AU$2:$AU$501&lt;AV412)*($AV$2:$AV$501&gt;AU412)*($BA$2:$BA$501=1)*(ROW($AS$2:$AS$501)&lt;&gt;ROW())*ROW($AS$2:$AS$501)))-1)&amp;")"&amp;IF(BB412&gt;1," and "&amp;(BB412-1)&amp;" more",""),"")</f>
        <v/>
      </c>
      <c r="BD412" s="21">
        <f>IF(AND(BA412=1,AY412="Confirmed"),AT412*10000000+AU412*1000+ROW(),"")</f>
        <v/>
      </c>
      <c r="BE412" s="21">
        <f>IF(IFERROR(TRIM(INDEX($A412:$AL412,MATCH(Lists!$F$2,$A$1:$AL$1,0))&amp;""),"")="","",IFERROR(TRIM(INDEX($A412:$AL412,MATCH(Lists!$F$11,$A$1:$AL$1,0))&amp;""),""))</f>
        <v/>
      </c>
      <c r="BF412" s="21">
        <f>IF(IFERROR(TRIM(INDEX($A412:$AL412,MATCH(Lists!$F$2,$A$1:$AL$1,0))&amp;""),"")="","",IFERROR(TRIM(INDEX($A412:$AL412,MATCH(Lists!$F$12,$A$1:$AL$1,0))&amp;""),""))</f>
        <v/>
      </c>
    </row>
    <row r="413">
      <c r="AM413" s="19" t="n"/>
      <c r="AN413" s="23" t="n"/>
      <c r="AO413" s="23" t="n"/>
      <c r="AP413" s="23" t="n"/>
      <c r="AQ413" s="23" t="n"/>
      <c r="AR413" s="19" t="n"/>
      <c r="AS413" s="21">
        <f>IF(IFERROR(TRIM(INDEX($A413:$AL413,MATCH(Lists!$F$2,$A$1:$AL$1,0))&amp;""),"")="","",IF(AND(IFERROR(TRIM(INDEX($A413:$AL413,MATCH(Lists!$F$3,$A$1:$AL$1,0))&amp;""),"")="Other",IFERROR(TRIM(INDEX($A413:$AL413,MATCH(Lists!$F$4,$A$1:$AL$1,0))&amp;""),"")&lt;&gt;""),IFERROR(TRIM(INDEX($A413:$AL413,MATCH(Lists!$F$4,$A$1:$AL$1,0))&amp;""),""),IF(IFERROR(TRIM(INDEX($A413:$AL413,MATCH(Lists!$F$3,$A$1:$AL$1,0))&amp;""),"")="","(no space)",IFERROR(TRIM(INDEX($A413:$AL413,MATCH(Lists!$F$3,$A$1:$AL$1,0))&amp;""),""))))</f>
        <v/>
      </c>
      <c r="AT413" s="22">
        <f>IF(IFERROR(TRIM(INDEX($A413:$AL413,MATCH(Lists!$F$2,$A$1:$AL$1,0))&amp;""),"")="",0,N(IFERROR(IF(TRIM(INDEX($A413:$AL413,MATCH(Lists!$F$5,$A$1:$AL$1,0))&amp;"")="","",IF(ISNUMBER(INDEX($A413:$AL413,MATCH(Lists!$F$5,$A$1:$AL$1,0))),INT(INDEX($A413:$AL413,MATCH(Lists!$F$5,$A$1:$AL$1,0))),DATE(VALUE(LEFT(INDEX($A413:$AL413,MATCH(Lists!$F$5,$A$1:$AL$1,0)),4)),VALUE(MID(INDEX($A413:$AL413,MATCH(Lists!$F$5,$A$1:$AL$1,0)),6,2)),VALUE(MID(INDEX($A413:$AL413,MATCH(Lists!$F$5,$A$1:$AL$1,0)),9,2))))),"")))</f>
        <v/>
      </c>
      <c r="AU413" s="21">
        <f>IF(IFERROR(TRIM(INDEX($A413:$AL413,MATCH(Lists!$F$2,$A$1:$AL$1,0))&amp;""),"")="",-1,IF(ISNUMBER(IFERROR(IF(TRIM(INDEX($A413:$AL413,MATCH(Lists!$F$6,$A$1:$AL$1,0))&amp;"")="","",IF(ISNUMBER(INDEX($A413:$AL413,MATCH(Lists!$F$6,$A$1:$AL$1,0))),ROUND(MOD(INDEX($A413:$AL413,MATCH(Lists!$F$6,$A$1:$AL$1,0)),1)*1440,0),VALUE(LEFT(INDEX($A413:$AL413,MATCH(Lists!$F$6,$A$1:$AL$1,0)),2))*60+VALUE(MID(INDEX($A413:$AL413,MATCH(Lists!$F$6,$A$1:$AL$1,0)),4,2)))),"")),IFERROR(IF(TRIM(INDEX($A413:$AL413,MATCH(Lists!$F$6,$A$1:$AL$1,0))&amp;"")="","",IF(ISNUMBER(INDEX($A413:$AL413,MATCH(Lists!$F$6,$A$1:$AL$1,0))),ROUND(MOD(INDEX($A413:$AL413,MATCH(Lists!$F$6,$A$1:$AL$1,0)),1)*1440,0),VALUE(LEFT(INDEX($A413:$AL413,MATCH(Lists!$F$6,$A$1:$AL$1,0)),2))*60+VALUE(MID(INDEX($A413:$AL413,MATCH(Lists!$F$6,$A$1:$AL$1,0)),4,2)))),""),-1))</f>
        <v/>
      </c>
      <c r="AV413" s="21">
        <f>IF(IFERROR(TRIM(INDEX($A413:$AL413,MATCH(Lists!$F$2,$A$1:$AL$1,0))&amp;""),"")="",-1,IF(ISNUMBER(IFERROR(IF(TRIM(INDEX($A413:$AL413,MATCH(Lists!$F$7,$A$1:$AL$1,0))&amp;"")="","",IF(ISNUMBER(INDEX($A413:$AL413,MATCH(Lists!$F$7,$A$1:$AL$1,0))),ROUND(MOD(INDEX($A413:$AL413,MATCH(Lists!$F$7,$A$1:$AL$1,0)),1)*1440,0),VALUE(LEFT(INDEX($A413:$AL413,MATCH(Lists!$F$7,$A$1:$AL$1,0)),2))*60+VALUE(MID(INDEX($A413:$AL413,MATCH(Lists!$F$7,$A$1:$AL$1,0)),4,2)))),"")),IFERROR(IF(TRIM(INDEX($A413:$AL413,MATCH(Lists!$F$7,$A$1:$AL$1,0))&amp;"")="","",IF(ISNUMBER(INDEX($A413:$AL413,MATCH(Lists!$F$7,$A$1:$AL$1,0))),ROUND(MOD(INDEX($A413:$AL413,MATCH(Lists!$F$7,$A$1:$AL$1,0)),1)*1440,0),VALUE(LEFT(INDEX($A413:$AL413,MATCH(Lists!$F$7,$A$1:$AL$1,0)),2))*60+VALUE(MID(INDEX($A413:$AL413,MATCH(Lists!$F$7,$A$1:$AL$1,0)),4,2)))),""),-1))</f>
        <v/>
      </c>
      <c r="AW413" s="21">
        <f>IF(IFERROR(TRIM(INDEX($A413:$AL413,MATCH(Lists!$F$2,$A$1:$AL$1,0))&amp;""),"")="","",IF(IFERROR(TRIM(INDEX($A413:$AL413,MATCH(Lists!$F$8,$A$1:$AL$1,0))&amp;""),"")&lt;&gt;"",IFERROR(TRIM(INDEX($A413:$AL413,MATCH(Lists!$F$8,$A$1:$AL$1,0))&amp;""),""),IFERROR(TRIM(INDEX($A413:$AL413,MATCH(Lists!$F$9,$A$1:$AL$1,0))&amp;""),"")))</f>
        <v/>
      </c>
      <c r="AX413" s="21">
        <f>IFERROR(IF(TRIM(INDEX($A413:$AL413,MATCH(Lists!$F$10,$A$1:$AL$1,0))&amp;"")="","",VALUE(TRIM(INDEX($A413:$AL413,MATCH(Lists!$F$10,$A$1:$AL$1,0))&amp;""))),"")</f>
        <v/>
      </c>
      <c r="AY413" s="21">
        <f>IF(IFERROR(TRIM(INDEX($A413:$AL413,MATCH(Lists!$F$2,$A$1:$AL$1,0))&amp;""),"")="","",IF(AN413="","New",AN413))</f>
        <v/>
      </c>
      <c r="AZ413" s="21">
        <f>IF(IFERROR(TRIM(INDEX($A413:$AL413,MATCH(Lists!$F$2,$A$1:$AL$1,0))&amp;""),"")="","",IF(OR(IFERROR(TRIM(INDEX($A413:$AL413,MATCH(Lists!$F$13,$A$1:$AL$1,0))&amp;""),"")="Paid",IFERROR(TRIM(INDEX($A413:$AL413,MATCH(Lists!$F$13,$A$1:$AL$1,0))&amp;""),"")="Partially refunded"),"Paid",IF(AP413="Yes","Paid (by hand)",IFERROR(TRIM(INDEX($A413:$AL413,MATCH(Lists!$F$13,$A$1:$AL$1,0))&amp;""),""))))</f>
        <v/>
      </c>
      <c r="BA413" s="21">
        <f>IF(AND(IFERROR(TRIM(INDEX($A413:$AL413,MATCH(Lists!$F$2,$A$1:$AL$1,0))&amp;""),"")&lt;&gt;"",AT413&gt;0,AU413&gt;=0,AV413&gt;AU413,AY413&lt;&gt;"Declined"),1,0)</f>
        <v/>
      </c>
      <c r="BB413" s="21">
        <f>IF(BA413=1,COUNTIFS($AS$2:$AS$501,AS413,$AT$2:$AT$501,AT413,$AU$2:$AU$501,"&lt;"&amp;AV413,$AV$2:$AV$501,"&gt;"&amp;AU413,$BA$2:$BA$501,1)-1,"")</f>
        <v/>
      </c>
      <c r="BC413" s="21">
        <f>IF(N(BB413)&gt;0,"Clashes with "&amp;INDEX($AW$2:$AW$501,SUMPRODUCT(MAX(($AS$2:$AS$501=AS413)*($AT$2:$AT$501=AT413)*($AU$2:$AU$501&lt;AV413)*($AV$2:$AV$501&gt;AU413)*($BA$2:$BA$501=1)*(ROW($AS$2:$AS$501)&lt;&gt;ROW())*ROW($AS$2:$AS$501)))-1)&amp;" ("&amp;INDEX($AY$2:$AY$501,SUMPRODUCT(MAX(($AS$2:$AS$501=AS413)*($AT$2:$AT$501=AT413)*($AU$2:$AU$501&lt;AV413)*($AV$2:$AV$501&gt;AU413)*($BA$2:$BA$501=1)*(ROW($AS$2:$AS$501)&lt;&gt;ROW())*ROW($AS$2:$AS$501)))-1)&amp;")"&amp;IF(BB413&gt;1," and "&amp;(BB413-1)&amp;" more",""),"")</f>
        <v/>
      </c>
      <c r="BD413" s="21">
        <f>IF(AND(BA413=1,AY413="Confirmed"),AT413*10000000+AU413*1000+ROW(),"")</f>
        <v/>
      </c>
      <c r="BE413" s="21">
        <f>IF(IFERROR(TRIM(INDEX($A413:$AL413,MATCH(Lists!$F$2,$A$1:$AL$1,0))&amp;""),"")="","",IFERROR(TRIM(INDEX($A413:$AL413,MATCH(Lists!$F$11,$A$1:$AL$1,0))&amp;""),""))</f>
        <v/>
      </c>
      <c r="BF413" s="21">
        <f>IF(IFERROR(TRIM(INDEX($A413:$AL413,MATCH(Lists!$F$2,$A$1:$AL$1,0))&amp;""),"")="","",IFERROR(TRIM(INDEX($A413:$AL413,MATCH(Lists!$F$12,$A$1:$AL$1,0))&amp;""),""))</f>
        <v/>
      </c>
    </row>
    <row r="414">
      <c r="AM414" s="19" t="n"/>
      <c r="AN414" s="23" t="n"/>
      <c r="AO414" s="23" t="n"/>
      <c r="AP414" s="23" t="n"/>
      <c r="AQ414" s="23" t="n"/>
      <c r="AR414" s="19" t="n"/>
      <c r="AS414" s="21">
        <f>IF(IFERROR(TRIM(INDEX($A414:$AL414,MATCH(Lists!$F$2,$A$1:$AL$1,0))&amp;""),"")="","",IF(AND(IFERROR(TRIM(INDEX($A414:$AL414,MATCH(Lists!$F$3,$A$1:$AL$1,0))&amp;""),"")="Other",IFERROR(TRIM(INDEX($A414:$AL414,MATCH(Lists!$F$4,$A$1:$AL$1,0))&amp;""),"")&lt;&gt;""),IFERROR(TRIM(INDEX($A414:$AL414,MATCH(Lists!$F$4,$A$1:$AL$1,0))&amp;""),""),IF(IFERROR(TRIM(INDEX($A414:$AL414,MATCH(Lists!$F$3,$A$1:$AL$1,0))&amp;""),"")="","(no space)",IFERROR(TRIM(INDEX($A414:$AL414,MATCH(Lists!$F$3,$A$1:$AL$1,0))&amp;""),""))))</f>
        <v/>
      </c>
      <c r="AT414" s="22">
        <f>IF(IFERROR(TRIM(INDEX($A414:$AL414,MATCH(Lists!$F$2,$A$1:$AL$1,0))&amp;""),"")="",0,N(IFERROR(IF(TRIM(INDEX($A414:$AL414,MATCH(Lists!$F$5,$A$1:$AL$1,0))&amp;"")="","",IF(ISNUMBER(INDEX($A414:$AL414,MATCH(Lists!$F$5,$A$1:$AL$1,0))),INT(INDEX($A414:$AL414,MATCH(Lists!$F$5,$A$1:$AL$1,0))),DATE(VALUE(LEFT(INDEX($A414:$AL414,MATCH(Lists!$F$5,$A$1:$AL$1,0)),4)),VALUE(MID(INDEX($A414:$AL414,MATCH(Lists!$F$5,$A$1:$AL$1,0)),6,2)),VALUE(MID(INDEX($A414:$AL414,MATCH(Lists!$F$5,$A$1:$AL$1,0)),9,2))))),"")))</f>
        <v/>
      </c>
      <c r="AU414" s="21">
        <f>IF(IFERROR(TRIM(INDEX($A414:$AL414,MATCH(Lists!$F$2,$A$1:$AL$1,0))&amp;""),"")="",-1,IF(ISNUMBER(IFERROR(IF(TRIM(INDEX($A414:$AL414,MATCH(Lists!$F$6,$A$1:$AL$1,0))&amp;"")="","",IF(ISNUMBER(INDEX($A414:$AL414,MATCH(Lists!$F$6,$A$1:$AL$1,0))),ROUND(MOD(INDEX($A414:$AL414,MATCH(Lists!$F$6,$A$1:$AL$1,0)),1)*1440,0),VALUE(LEFT(INDEX($A414:$AL414,MATCH(Lists!$F$6,$A$1:$AL$1,0)),2))*60+VALUE(MID(INDEX($A414:$AL414,MATCH(Lists!$F$6,$A$1:$AL$1,0)),4,2)))),"")),IFERROR(IF(TRIM(INDEX($A414:$AL414,MATCH(Lists!$F$6,$A$1:$AL$1,0))&amp;"")="","",IF(ISNUMBER(INDEX($A414:$AL414,MATCH(Lists!$F$6,$A$1:$AL$1,0))),ROUND(MOD(INDEX($A414:$AL414,MATCH(Lists!$F$6,$A$1:$AL$1,0)),1)*1440,0),VALUE(LEFT(INDEX($A414:$AL414,MATCH(Lists!$F$6,$A$1:$AL$1,0)),2))*60+VALUE(MID(INDEX($A414:$AL414,MATCH(Lists!$F$6,$A$1:$AL$1,0)),4,2)))),""),-1))</f>
        <v/>
      </c>
      <c r="AV414" s="21">
        <f>IF(IFERROR(TRIM(INDEX($A414:$AL414,MATCH(Lists!$F$2,$A$1:$AL$1,0))&amp;""),"")="",-1,IF(ISNUMBER(IFERROR(IF(TRIM(INDEX($A414:$AL414,MATCH(Lists!$F$7,$A$1:$AL$1,0))&amp;"")="","",IF(ISNUMBER(INDEX($A414:$AL414,MATCH(Lists!$F$7,$A$1:$AL$1,0))),ROUND(MOD(INDEX($A414:$AL414,MATCH(Lists!$F$7,$A$1:$AL$1,0)),1)*1440,0),VALUE(LEFT(INDEX($A414:$AL414,MATCH(Lists!$F$7,$A$1:$AL$1,0)),2))*60+VALUE(MID(INDEX($A414:$AL414,MATCH(Lists!$F$7,$A$1:$AL$1,0)),4,2)))),"")),IFERROR(IF(TRIM(INDEX($A414:$AL414,MATCH(Lists!$F$7,$A$1:$AL$1,0))&amp;"")="","",IF(ISNUMBER(INDEX($A414:$AL414,MATCH(Lists!$F$7,$A$1:$AL$1,0))),ROUND(MOD(INDEX($A414:$AL414,MATCH(Lists!$F$7,$A$1:$AL$1,0)),1)*1440,0),VALUE(LEFT(INDEX($A414:$AL414,MATCH(Lists!$F$7,$A$1:$AL$1,0)),2))*60+VALUE(MID(INDEX($A414:$AL414,MATCH(Lists!$F$7,$A$1:$AL$1,0)),4,2)))),""),-1))</f>
        <v/>
      </c>
      <c r="AW414" s="21">
        <f>IF(IFERROR(TRIM(INDEX($A414:$AL414,MATCH(Lists!$F$2,$A$1:$AL$1,0))&amp;""),"")="","",IF(IFERROR(TRIM(INDEX($A414:$AL414,MATCH(Lists!$F$8,$A$1:$AL$1,0))&amp;""),"")&lt;&gt;"",IFERROR(TRIM(INDEX($A414:$AL414,MATCH(Lists!$F$8,$A$1:$AL$1,0))&amp;""),""),IFERROR(TRIM(INDEX($A414:$AL414,MATCH(Lists!$F$9,$A$1:$AL$1,0))&amp;""),"")))</f>
        <v/>
      </c>
      <c r="AX414" s="21">
        <f>IFERROR(IF(TRIM(INDEX($A414:$AL414,MATCH(Lists!$F$10,$A$1:$AL$1,0))&amp;"")="","",VALUE(TRIM(INDEX($A414:$AL414,MATCH(Lists!$F$10,$A$1:$AL$1,0))&amp;""))),"")</f>
        <v/>
      </c>
      <c r="AY414" s="21">
        <f>IF(IFERROR(TRIM(INDEX($A414:$AL414,MATCH(Lists!$F$2,$A$1:$AL$1,0))&amp;""),"")="","",IF(AN414="","New",AN414))</f>
        <v/>
      </c>
      <c r="AZ414" s="21">
        <f>IF(IFERROR(TRIM(INDEX($A414:$AL414,MATCH(Lists!$F$2,$A$1:$AL$1,0))&amp;""),"")="","",IF(OR(IFERROR(TRIM(INDEX($A414:$AL414,MATCH(Lists!$F$13,$A$1:$AL$1,0))&amp;""),"")="Paid",IFERROR(TRIM(INDEX($A414:$AL414,MATCH(Lists!$F$13,$A$1:$AL$1,0))&amp;""),"")="Partially refunded"),"Paid",IF(AP414="Yes","Paid (by hand)",IFERROR(TRIM(INDEX($A414:$AL414,MATCH(Lists!$F$13,$A$1:$AL$1,0))&amp;""),""))))</f>
        <v/>
      </c>
      <c r="BA414" s="21">
        <f>IF(AND(IFERROR(TRIM(INDEX($A414:$AL414,MATCH(Lists!$F$2,$A$1:$AL$1,0))&amp;""),"")&lt;&gt;"",AT414&gt;0,AU414&gt;=0,AV414&gt;AU414,AY414&lt;&gt;"Declined"),1,0)</f>
        <v/>
      </c>
      <c r="BB414" s="21">
        <f>IF(BA414=1,COUNTIFS($AS$2:$AS$501,AS414,$AT$2:$AT$501,AT414,$AU$2:$AU$501,"&lt;"&amp;AV414,$AV$2:$AV$501,"&gt;"&amp;AU414,$BA$2:$BA$501,1)-1,"")</f>
        <v/>
      </c>
      <c r="BC414" s="21">
        <f>IF(N(BB414)&gt;0,"Clashes with "&amp;INDEX($AW$2:$AW$501,SUMPRODUCT(MAX(($AS$2:$AS$501=AS414)*($AT$2:$AT$501=AT414)*($AU$2:$AU$501&lt;AV414)*($AV$2:$AV$501&gt;AU414)*($BA$2:$BA$501=1)*(ROW($AS$2:$AS$501)&lt;&gt;ROW())*ROW($AS$2:$AS$501)))-1)&amp;" ("&amp;INDEX($AY$2:$AY$501,SUMPRODUCT(MAX(($AS$2:$AS$501=AS414)*($AT$2:$AT$501=AT414)*($AU$2:$AU$501&lt;AV414)*($AV$2:$AV$501&gt;AU414)*($BA$2:$BA$501=1)*(ROW($AS$2:$AS$501)&lt;&gt;ROW())*ROW($AS$2:$AS$501)))-1)&amp;")"&amp;IF(BB414&gt;1," and "&amp;(BB414-1)&amp;" more",""),"")</f>
        <v/>
      </c>
      <c r="BD414" s="21">
        <f>IF(AND(BA414=1,AY414="Confirmed"),AT414*10000000+AU414*1000+ROW(),"")</f>
        <v/>
      </c>
      <c r="BE414" s="21">
        <f>IF(IFERROR(TRIM(INDEX($A414:$AL414,MATCH(Lists!$F$2,$A$1:$AL$1,0))&amp;""),"")="","",IFERROR(TRIM(INDEX($A414:$AL414,MATCH(Lists!$F$11,$A$1:$AL$1,0))&amp;""),""))</f>
        <v/>
      </c>
      <c r="BF414" s="21">
        <f>IF(IFERROR(TRIM(INDEX($A414:$AL414,MATCH(Lists!$F$2,$A$1:$AL$1,0))&amp;""),"")="","",IFERROR(TRIM(INDEX($A414:$AL414,MATCH(Lists!$F$12,$A$1:$AL$1,0))&amp;""),""))</f>
        <v/>
      </c>
    </row>
    <row r="415">
      <c r="AM415" s="19" t="n"/>
      <c r="AN415" s="23" t="n"/>
      <c r="AO415" s="23" t="n"/>
      <c r="AP415" s="23" t="n"/>
      <c r="AQ415" s="23" t="n"/>
      <c r="AR415" s="19" t="n"/>
      <c r="AS415" s="21">
        <f>IF(IFERROR(TRIM(INDEX($A415:$AL415,MATCH(Lists!$F$2,$A$1:$AL$1,0))&amp;""),"")="","",IF(AND(IFERROR(TRIM(INDEX($A415:$AL415,MATCH(Lists!$F$3,$A$1:$AL$1,0))&amp;""),"")="Other",IFERROR(TRIM(INDEX($A415:$AL415,MATCH(Lists!$F$4,$A$1:$AL$1,0))&amp;""),"")&lt;&gt;""),IFERROR(TRIM(INDEX($A415:$AL415,MATCH(Lists!$F$4,$A$1:$AL$1,0))&amp;""),""),IF(IFERROR(TRIM(INDEX($A415:$AL415,MATCH(Lists!$F$3,$A$1:$AL$1,0))&amp;""),"")="","(no space)",IFERROR(TRIM(INDEX($A415:$AL415,MATCH(Lists!$F$3,$A$1:$AL$1,0))&amp;""),""))))</f>
        <v/>
      </c>
      <c r="AT415" s="22">
        <f>IF(IFERROR(TRIM(INDEX($A415:$AL415,MATCH(Lists!$F$2,$A$1:$AL$1,0))&amp;""),"")="",0,N(IFERROR(IF(TRIM(INDEX($A415:$AL415,MATCH(Lists!$F$5,$A$1:$AL$1,0))&amp;"")="","",IF(ISNUMBER(INDEX($A415:$AL415,MATCH(Lists!$F$5,$A$1:$AL$1,0))),INT(INDEX($A415:$AL415,MATCH(Lists!$F$5,$A$1:$AL$1,0))),DATE(VALUE(LEFT(INDEX($A415:$AL415,MATCH(Lists!$F$5,$A$1:$AL$1,0)),4)),VALUE(MID(INDEX($A415:$AL415,MATCH(Lists!$F$5,$A$1:$AL$1,0)),6,2)),VALUE(MID(INDEX($A415:$AL415,MATCH(Lists!$F$5,$A$1:$AL$1,0)),9,2))))),"")))</f>
        <v/>
      </c>
      <c r="AU415" s="21">
        <f>IF(IFERROR(TRIM(INDEX($A415:$AL415,MATCH(Lists!$F$2,$A$1:$AL$1,0))&amp;""),"")="",-1,IF(ISNUMBER(IFERROR(IF(TRIM(INDEX($A415:$AL415,MATCH(Lists!$F$6,$A$1:$AL$1,0))&amp;"")="","",IF(ISNUMBER(INDEX($A415:$AL415,MATCH(Lists!$F$6,$A$1:$AL$1,0))),ROUND(MOD(INDEX($A415:$AL415,MATCH(Lists!$F$6,$A$1:$AL$1,0)),1)*1440,0),VALUE(LEFT(INDEX($A415:$AL415,MATCH(Lists!$F$6,$A$1:$AL$1,0)),2))*60+VALUE(MID(INDEX($A415:$AL415,MATCH(Lists!$F$6,$A$1:$AL$1,0)),4,2)))),"")),IFERROR(IF(TRIM(INDEX($A415:$AL415,MATCH(Lists!$F$6,$A$1:$AL$1,0))&amp;"")="","",IF(ISNUMBER(INDEX($A415:$AL415,MATCH(Lists!$F$6,$A$1:$AL$1,0))),ROUND(MOD(INDEX($A415:$AL415,MATCH(Lists!$F$6,$A$1:$AL$1,0)),1)*1440,0),VALUE(LEFT(INDEX($A415:$AL415,MATCH(Lists!$F$6,$A$1:$AL$1,0)),2))*60+VALUE(MID(INDEX($A415:$AL415,MATCH(Lists!$F$6,$A$1:$AL$1,0)),4,2)))),""),-1))</f>
        <v/>
      </c>
      <c r="AV415" s="21">
        <f>IF(IFERROR(TRIM(INDEX($A415:$AL415,MATCH(Lists!$F$2,$A$1:$AL$1,0))&amp;""),"")="",-1,IF(ISNUMBER(IFERROR(IF(TRIM(INDEX($A415:$AL415,MATCH(Lists!$F$7,$A$1:$AL$1,0))&amp;"")="","",IF(ISNUMBER(INDEX($A415:$AL415,MATCH(Lists!$F$7,$A$1:$AL$1,0))),ROUND(MOD(INDEX($A415:$AL415,MATCH(Lists!$F$7,$A$1:$AL$1,0)),1)*1440,0),VALUE(LEFT(INDEX($A415:$AL415,MATCH(Lists!$F$7,$A$1:$AL$1,0)),2))*60+VALUE(MID(INDEX($A415:$AL415,MATCH(Lists!$F$7,$A$1:$AL$1,0)),4,2)))),"")),IFERROR(IF(TRIM(INDEX($A415:$AL415,MATCH(Lists!$F$7,$A$1:$AL$1,0))&amp;"")="","",IF(ISNUMBER(INDEX($A415:$AL415,MATCH(Lists!$F$7,$A$1:$AL$1,0))),ROUND(MOD(INDEX($A415:$AL415,MATCH(Lists!$F$7,$A$1:$AL$1,0)),1)*1440,0),VALUE(LEFT(INDEX($A415:$AL415,MATCH(Lists!$F$7,$A$1:$AL$1,0)),2))*60+VALUE(MID(INDEX($A415:$AL415,MATCH(Lists!$F$7,$A$1:$AL$1,0)),4,2)))),""),-1))</f>
        <v/>
      </c>
      <c r="AW415" s="21">
        <f>IF(IFERROR(TRIM(INDEX($A415:$AL415,MATCH(Lists!$F$2,$A$1:$AL$1,0))&amp;""),"")="","",IF(IFERROR(TRIM(INDEX($A415:$AL415,MATCH(Lists!$F$8,$A$1:$AL$1,0))&amp;""),"")&lt;&gt;"",IFERROR(TRIM(INDEX($A415:$AL415,MATCH(Lists!$F$8,$A$1:$AL$1,0))&amp;""),""),IFERROR(TRIM(INDEX($A415:$AL415,MATCH(Lists!$F$9,$A$1:$AL$1,0))&amp;""),"")))</f>
        <v/>
      </c>
      <c r="AX415" s="21">
        <f>IFERROR(IF(TRIM(INDEX($A415:$AL415,MATCH(Lists!$F$10,$A$1:$AL$1,0))&amp;"")="","",VALUE(TRIM(INDEX($A415:$AL415,MATCH(Lists!$F$10,$A$1:$AL$1,0))&amp;""))),"")</f>
        <v/>
      </c>
      <c r="AY415" s="21">
        <f>IF(IFERROR(TRIM(INDEX($A415:$AL415,MATCH(Lists!$F$2,$A$1:$AL$1,0))&amp;""),"")="","",IF(AN415="","New",AN415))</f>
        <v/>
      </c>
      <c r="AZ415" s="21">
        <f>IF(IFERROR(TRIM(INDEX($A415:$AL415,MATCH(Lists!$F$2,$A$1:$AL$1,0))&amp;""),"")="","",IF(OR(IFERROR(TRIM(INDEX($A415:$AL415,MATCH(Lists!$F$13,$A$1:$AL$1,0))&amp;""),"")="Paid",IFERROR(TRIM(INDEX($A415:$AL415,MATCH(Lists!$F$13,$A$1:$AL$1,0))&amp;""),"")="Partially refunded"),"Paid",IF(AP415="Yes","Paid (by hand)",IFERROR(TRIM(INDEX($A415:$AL415,MATCH(Lists!$F$13,$A$1:$AL$1,0))&amp;""),""))))</f>
        <v/>
      </c>
      <c r="BA415" s="21">
        <f>IF(AND(IFERROR(TRIM(INDEX($A415:$AL415,MATCH(Lists!$F$2,$A$1:$AL$1,0))&amp;""),"")&lt;&gt;"",AT415&gt;0,AU415&gt;=0,AV415&gt;AU415,AY415&lt;&gt;"Declined"),1,0)</f>
        <v/>
      </c>
      <c r="BB415" s="21">
        <f>IF(BA415=1,COUNTIFS($AS$2:$AS$501,AS415,$AT$2:$AT$501,AT415,$AU$2:$AU$501,"&lt;"&amp;AV415,$AV$2:$AV$501,"&gt;"&amp;AU415,$BA$2:$BA$501,1)-1,"")</f>
        <v/>
      </c>
      <c r="BC415" s="21">
        <f>IF(N(BB415)&gt;0,"Clashes with "&amp;INDEX($AW$2:$AW$501,SUMPRODUCT(MAX(($AS$2:$AS$501=AS415)*($AT$2:$AT$501=AT415)*($AU$2:$AU$501&lt;AV415)*($AV$2:$AV$501&gt;AU415)*($BA$2:$BA$501=1)*(ROW($AS$2:$AS$501)&lt;&gt;ROW())*ROW($AS$2:$AS$501)))-1)&amp;" ("&amp;INDEX($AY$2:$AY$501,SUMPRODUCT(MAX(($AS$2:$AS$501=AS415)*($AT$2:$AT$501=AT415)*($AU$2:$AU$501&lt;AV415)*($AV$2:$AV$501&gt;AU415)*($BA$2:$BA$501=1)*(ROW($AS$2:$AS$501)&lt;&gt;ROW())*ROW($AS$2:$AS$501)))-1)&amp;")"&amp;IF(BB415&gt;1," and "&amp;(BB415-1)&amp;" more",""),"")</f>
        <v/>
      </c>
      <c r="BD415" s="21">
        <f>IF(AND(BA415=1,AY415="Confirmed"),AT415*10000000+AU415*1000+ROW(),"")</f>
        <v/>
      </c>
      <c r="BE415" s="21">
        <f>IF(IFERROR(TRIM(INDEX($A415:$AL415,MATCH(Lists!$F$2,$A$1:$AL$1,0))&amp;""),"")="","",IFERROR(TRIM(INDEX($A415:$AL415,MATCH(Lists!$F$11,$A$1:$AL$1,0))&amp;""),""))</f>
        <v/>
      </c>
      <c r="BF415" s="21">
        <f>IF(IFERROR(TRIM(INDEX($A415:$AL415,MATCH(Lists!$F$2,$A$1:$AL$1,0))&amp;""),"")="","",IFERROR(TRIM(INDEX($A415:$AL415,MATCH(Lists!$F$12,$A$1:$AL$1,0))&amp;""),""))</f>
        <v/>
      </c>
    </row>
    <row r="416">
      <c r="AM416" s="19" t="n"/>
      <c r="AN416" s="23" t="n"/>
      <c r="AO416" s="23" t="n"/>
      <c r="AP416" s="23" t="n"/>
      <c r="AQ416" s="23" t="n"/>
      <c r="AR416" s="19" t="n"/>
      <c r="AS416" s="21">
        <f>IF(IFERROR(TRIM(INDEX($A416:$AL416,MATCH(Lists!$F$2,$A$1:$AL$1,0))&amp;""),"")="","",IF(AND(IFERROR(TRIM(INDEX($A416:$AL416,MATCH(Lists!$F$3,$A$1:$AL$1,0))&amp;""),"")="Other",IFERROR(TRIM(INDEX($A416:$AL416,MATCH(Lists!$F$4,$A$1:$AL$1,0))&amp;""),"")&lt;&gt;""),IFERROR(TRIM(INDEX($A416:$AL416,MATCH(Lists!$F$4,$A$1:$AL$1,0))&amp;""),""),IF(IFERROR(TRIM(INDEX($A416:$AL416,MATCH(Lists!$F$3,$A$1:$AL$1,0))&amp;""),"")="","(no space)",IFERROR(TRIM(INDEX($A416:$AL416,MATCH(Lists!$F$3,$A$1:$AL$1,0))&amp;""),""))))</f>
        <v/>
      </c>
      <c r="AT416" s="22">
        <f>IF(IFERROR(TRIM(INDEX($A416:$AL416,MATCH(Lists!$F$2,$A$1:$AL$1,0))&amp;""),"")="",0,N(IFERROR(IF(TRIM(INDEX($A416:$AL416,MATCH(Lists!$F$5,$A$1:$AL$1,0))&amp;"")="","",IF(ISNUMBER(INDEX($A416:$AL416,MATCH(Lists!$F$5,$A$1:$AL$1,0))),INT(INDEX($A416:$AL416,MATCH(Lists!$F$5,$A$1:$AL$1,0))),DATE(VALUE(LEFT(INDEX($A416:$AL416,MATCH(Lists!$F$5,$A$1:$AL$1,0)),4)),VALUE(MID(INDEX($A416:$AL416,MATCH(Lists!$F$5,$A$1:$AL$1,0)),6,2)),VALUE(MID(INDEX($A416:$AL416,MATCH(Lists!$F$5,$A$1:$AL$1,0)),9,2))))),"")))</f>
        <v/>
      </c>
      <c r="AU416" s="21">
        <f>IF(IFERROR(TRIM(INDEX($A416:$AL416,MATCH(Lists!$F$2,$A$1:$AL$1,0))&amp;""),"")="",-1,IF(ISNUMBER(IFERROR(IF(TRIM(INDEX($A416:$AL416,MATCH(Lists!$F$6,$A$1:$AL$1,0))&amp;"")="","",IF(ISNUMBER(INDEX($A416:$AL416,MATCH(Lists!$F$6,$A$1:$AL$1,0))),ROUND(MOD(INDEX($A416:$AL416,MATCH(Lists!$F$6,$A$1:$AL$1,0)),1)*1440,0),VALUE(LEFT(INDEX($A416:$AL416,MATCH(Lists!$F$6,$A$1:$AL$1,0)),2))*60+VALUE(MID(INDEX($A416:$AL416,MATCH(Lists!$F$6,$A$1:$AL$1,0)),4,2)))),"")),IFERROR(IF(TRIM(INDEX($A416:$AL416,MATCH(Lists!$F$6,$A$1:$AL$1,0))&amp;"")="","",IF(ISNUMBER(INDEX($A416:$AL416,MATCH(Lists!$F$6,$A$1:$AL$1,0))),ROUND(MOD(INDEX($A416:$AL416,MATCH(Lists!$F$6,$A$1:$AL$1,0)),1)*1440,0),VALUE(LEFT(INDEX($A416:$AL416,MATCH(Lists!$F$6,$A$1:$AL$1,0)),2))*60+VALUE(MID(INDEX($A416:$AL416,MATCH(Lists!$F$6,$A$1:$AL$1,0)),4,2)))),""),-1))</f>
        <v/>
      </c>
      <c r="AV416" s="21">
        <f>IF(IFERROR(TRIM(INDEX($A416:$AL416,MATCH(Lists!$F$2,$A$1:$AL$1,0))&amp;""),"")="",-1,IF(ISNUMBER(IFERROR(IF(TRIM(INDEX($A416:$AL416,MATCH(Lists!$F$7,$A$1:$AL$1,0))&amp;"")="","",IF(ISNUMBER(INDEX($A416:$AL416,MATCH(Lists!$F$7,$A$1:$AL$1,0))),ROUND(MOD(INDEX($A416:$AL416,MATCH(Lists!$F$7,$A$1:$AL$1,0)),1)*1440,0),VALUE(LEFT(INDEX($A416:$AL416,MATCH(Lists!$F$7,$A$1:$AL$1,0)),2))*60+VALUE(MID(INDEX($A416:$AL416,MATCH(Lists!$F$7,$A$1:$AL$1,0)),4,2)))),"")),IFERROR(IF(TRIM(INDEX($A416:$AL416,MATCH(Lists!$F$7,$A$1:$AL$1,0))&amp;"")="","",IF(ISNUMBER(INDEX($A416:$AL416,MATCH(Lists!$F$7,$A$1:$AL$1,0))),ROUND(MOD(INDEX($A416:$AL416,MATCH(Lists!$F$7,$A$1:$AL$1,0)),1)*1440,0),VALUE(LEFT(INDEX($A416:$AL416,MATCH(Lists!$F$7,$A$1:$AL$1,0)),2))*60+VALUE(MID(INDEX($A416:$AL416,MATCH(Lists!$F$7,$A$1:$AL$1,0)),4,2)))),""),-1))</f>
        <v/>
      </c>
      <c r="AW416" s="21">
        <f>IF(IFERROR(TRIM(INDEX($A416:$AL416,MATCH(Lists!$F$2,$A$1:$AL$1,0))&amp;""),"")="","",IF(IFERROR(TRIM(INDEX($A416:$AL416,MATCH(Lists!$F$8,$A$1:$AL$1,0))&amp;""),"")&lt;&gt;"",IFERROR(TRIM(INDEX($A416:$AL416,MATCH(Lists!$F$8,$A$1:$AL$1,0))&amp;""),""),IFERROR(TRIM(INDEX($A416:$AL416,MATCH(Lists!$F$9,$A$1:$AL$1,0))&amp;""),"")))</f>
        <v/>
      </c>
      <c r="AX416" s="21">
        <f>IFERROR(IF(TRIM(INDEX($A416:$AL416,MATCH(Lists!$F$10,$A$1:$AL$1,0))&amp;"")="","",VALUE(TRIM(INDEX($A416:$AL416,MATCH(Lists!$F$10,$A$1:$AL$1,0))&amp;""))),"")</f>
        <v/>
      </c>
      <c r="AY416" s="21">
        <f>IF(IFERROR(TRIM(INDEX($A416:$AL416,MATCH(Lists!$F$2,$A$1:$AL$1,0))&amp;""),"")="","",IF(AN416="","New",AN416))</f>
        <v/>
      </c>
      <c r="AZ416" s="21">
        <f>IF(IFERROR(TRIM(INDEX($A416:$AL416,MATCH(Lists!$F$2,$A$1:$AL$1,0))&amp;""),"")="","",IF(OR(IFERROR(TRIM(INDEX($A416:$AL416,MATCH(Lists!$F$13,$A$1:$AL$1,0))&amp;""),"")="Paid",IFERROR(TRIM(INDEX($A416:$AL416,MATCH(Lists!$F$13,$A$1:$AL$1,0))&amp;""),"")="Partially refunded"),"Paid",IF(AP416="Yes","Paid (by hand)",IFERROR(TRIM(INDEX($A416:$AL416,MATCH(Lists!$F$13,$A$1:$AL$1,0))&amp;""),""))))</f>
        <v/>
      </c>
      <c r="BA416" s="21">
        <f>IF(AND(IFERROR(TRIM(INDEX($A416:$AL416,MATCH(Lists!$F$2,$A$1:$AL$1,0))&amp;""),"")&lt;&gt;"",AT416&gt;0,AU416&gt;=0,AV416&gt;AU416,AY416&lt;&gt;"Declined"),1,0)</f>
        <v/>
      </c>
      <c r="BB416" s="21">
        <f>IF(BA416=1,COUNTIFS($AS$2:$AS$501,AS416,$AT$2:$AT$501,AT416,$AU$2:$AU$501,"&lt;"&amp;AV416,$AV$2:$AV$501,"&gt;"&amp;AU416,$BA$2:$BA$501,1)-1,"")</f>
        <v/>
      </c>
      <c r="BC416" s="21">
        <f>IF(N(BB416)&gt;0,"Clashes with "&amp;INDEX($AW$2:$AW$501,SUMPRODUCT(MAX(($AS$2:$AS$501=AS416)*($AT$2:$AT$501=AT416)*($AU$2:$AU$501&lt;AV416)*($AV$2:$AV$501&gt;AU416)*($BA$2:$BA$501=1)*(ROW($AS$2:$AS$501)&lt;&gt;ROW())*ROW($AS$2:$AS$501)))-1)&amp;" ("&amp;INDEX($AY$2:$AY$501,SUMPRODUCT(MAX(($AS$2:$AS$501=AS416)*($AT$2:$AT$501=AT416)*($AU$2:$AU$501&lt;AV416)*($AV$2:$AV$501&gt;AU416)*($BA$2:$BA$501=1)*(ROW($AS$2:$AS$501)&lt;&gt;ROW())*ROW($AS$2:$AS$501)))-1)&amp;")"&amp;IF(BB416&gt;1," and "&amp;(BB416-1)&amp;" more",""),"")</f>
        <v/>
      </c>
      <c r="BD416" s="21">
        <f>IF(AND(BA416=1,AY416="Confirmed"),AT416*10000000+AU416*1000+ROW(),"")</f>
        <v/>
      </c>
      <c r="BE416" s="21">
        <f>IF(IFERROR(TRIM(INDEX($A416:$AL416,MATCH(Lists!$F$2,$A$1:$AL$1,0))&amp;""),"")="","",IFERROR(TRIM(INDEX($A416:$AL416,MATCH(Lists!$F$11,$A$1:$AL$1,0))&amp;""),""))</f>
        <v/>
      </c>
      <c r="BF416" s="21">
        <f>IF(IFERROR(TRIM(INDEX($A416:$AL416,MATCH(Lists!$F$2,$A$1:$AL$1,0))&amp;""),"")="","",IFERROR(TRIM(INDEX($A416:$AL416,MATCH(Lists!$F$12,$A$1:$AL$1,0))&amp;""),""))</f>
        <v/>
      </c>
    </row>
    <row r="417">
      <c r="AM417" s="19" t="n"/>
      <c r="AN417" s="23" t="n"/>
      <c r="AO417" s="23" t="n"/>
      <c r="AP417" s="23" t="n"/>
      <c r="AQ417" s="23" t="n"/>
      <c r="AR417" s="19" t="n"/>
      <c r="AS417" s="21">
        <f>IF(IFERROR(TRIM(INDEX($A417:$AL417,MATCH(Lists!$F$2,$A$1:$AL$1,0))&amp;""),"")="","",IF(AND(IFERROR(TRIM(INDEX($A417:$AL417,MATCH(Lists!$F$3,$A$1:$AL$1,0))&amp;""),"")="Other",IFERROR(TRIM(INDEX($A417:$AL417,MATCH(Lists!$F$4,$A$1:$AL$1,0))&amp;""),"")&lt;&gt;""),IFERROR(TRIM(INDEX($A417:$AL417,MATCH(Lists!$F$4,$A$1:$AL$1,0))&amp;""),""),IF(IFERROR(TRIM(INDEX($A417:$AL417,MATCH(Lists!$F$3,$A$1:$AL$1,0))&amp;""),"")="","(no space)",IFERROR(TRIM(INDEX($A417:$AL417,MATCH(Lists!$F$3,$A$1:$AL$1,0))&amp;""),""))))</f>
        <v/>
      </c>
      <c r="AT417" s="22">
        <f>IF(IFERROR(TRIM(INDEX($A417:$AL417,MATCH(Lists!$F$2,$A$1:$AL$1,0))&amp;""),"")="",0,N(IFERROR(IF(TRIM(INDEX($A417:$AL417,MATCH(Lists!$F$5,$A$1:$AL$1,0))&amp;"")="","",IF(ISNUMBER(INDEX($A417:$AL417,MATCH(Lists!$F$5,$A$1:$AL$1,0))),INT(INDEX($A417:$AL417,MATCH(Lists!$F$5,$A$1:$AL$1,0))),DATE(VALUE(LEFT(INDEX($A417:$AL417,MATCH(Lists!$F$5,$A$1:$AL$1,0)),4)),VALUE(MID(INDEX($A417:$AL417,MATCH(Lists!$F$5,$A$1:$AL$1,0)),6,2)),VALUE(MID(INDEX($A417:$AL417,MATCH(Lists!$F$5,$A$1:$AL$1,0)),9,2))))),"")))</f>
        <v/>
      </c>
      <c r="AU417" s="21">
        <f>IF(IFERROR(TRIM(INDEX($A417:$AL417,MATCH(Lists!$F$2,$A$1:$AL$1,0))&amp;""),"")="",-1,IF(ISNUMBER(IFERROR(IF(TRIM(INDEX($A417:$AL417,MATCH(Lists!$F$6,$A$1:$AL$1,0))&amp;"")="","",IF(ISNUMBER(INDEX($A417:$AL417,MATCH(Lists!$F$6,$A$1:$AL$1,0))),ROUND(MOD(INDEX($A417:$AL417,MATCH(Lists!$F$6,$A$1:$AL$1,0)),1)*1440,0),VALUE(LEFT(INDEX($A417:$AL417,MATCH(Lists!$F$6,$A$1:$AL$1,0)),2))*60+VALUE(MID(INDEX($A417:$AL417,MATCH(Lists!$F$6,$A$1:$AL$1,0)),4,2)))),"")),IFERROR(IF(TRIM(INDEX($A417:$AL417,MATCH(Lists!$F$6,$A$1:$AL$1,0))&amp;"")="","",IF(ISNUMBER(INDEX($A417:$AL417,MATCH(Lists!$F$6,$A$1:$AL$1,0))),ROUND(MOD(INDEX($A417:$AL417,MATCH(Lists!$F$6,$A$1:$AL$1,0)),1)*1440,0),VALUE(LEFT(INDEX($A417:$AL417,MATCH(Lists!$F$6,$A$1:$AL$1,0)),2))*60+VALUE(MID(INDEX($A417:$AL417,MATCH(Lists!$F$6,$A$1:$AL$1,0)),4,2)))),""),-1))</f>
        <v/>
      </c>
      <c r="AV417" s="21">
        <f>IF(IFERROR(TRIM(INDEX($A417:$AL417,MATCH(Lists!$F$2,$A$1:$AL$1,0))&amp;""),"")="",-1,IF(ISNUMBER(IFERROR(IF(TRIM(INDEX($A417:$AL417,MATCH(Lists!$F$7,$A$1:$AL$1,0))&amp;"")="","",IF(ISNUMBER(INDEX($A417:$AL417,MATCH(Lists!$F$7,$A$1:$AL$1,0))),ROUND(MOD(INDEX($A417:$AL417,MATCH(Lists!$F$7,$A$1:$AL$1,0)),1)*1440,0),VALUE(LEFT(INDEX($A417:$AL417,MATCH(Lists!$F$7,$A$1:$AL$1,0)),2))*60+VALUE(MID(INDEX($A417:$AL417,MATCH(Lists!$F$7,$A$1:$AL$1,0)),4,2)))),"")),IFERROR(IF(TRIM(INDEX($A417:$AL417,MATCH(Lists!$F$7,$A$1:$AL$1,0))&amp;"")="","",IF(ISNUMBER(INDEX($A417:$AL417,MATCH(Lists!$F$7,$A$1:$AL$1,0))),ROUND(MOD(INDEX($A417:$AL417,MATCH(Lists!$F$7,$A$1:$AL$1,0)),1)*1440,0),VALUE(LEFT(INDEX($A417:$AL417,MATCH(Lists!$F$7,$A$1:$AL$1,0)),2))*60+VALUE(MID(INDEX($A417:$AL417,MATCH(Lists!$F$7,$A$1:$AL$1,0)),4,2)))),""),-1))</f>
        <v/>
      </c>
      <c r="AW417" s="21">
        <f>IF(IFERROR(TRIM(INDEX($A417:$AL417,MATCH(Lists!$F$2,$A$1:$AL$1,0))&amp;""),"")="","",IF(IFERROR(TRIM(INDEX($A417:$AL417,MATCH(Lists!$F$8,$A$1:$AL$1,0))&amp;""),"")&lt;&gt;"",IFERROR(TRIM(INDEX($A417:$AL417,MATCH(Lists!$F$8,$A$1:$AL$1,0))&amp;""),""),IFERROR(TRIM(INDEX($A417:$AL417,MATCH(Lists!$F$9,$A$1:$AL$1,0))&amp;""),"")))</f>
        <v/>
      </c>
      <c r="AX417" s="21">
        <f>IFERROR(IF(TRIM(INDEX($A417:$AL417,MATCH(Lists!$F$10,$A$1:$AL$1,0))&amp;"")="","",VALUE(TRIM(INDEX($A417:$AL417,MATCH(Lists!$F$10,$A$1:$AL$1,0))&amp;""))),"")</f>
        <v/>
      </c>
      <c r="AY417" s="21">
        <f>IF(IFERROR(TRIM(INDEX($A417:$AL417,MATCH(Lists!$F$2,$A$1:$AL$1,0))&amp;""),"")="","",IF(AN417="","New",AN417))</f>
        <v/>
      </c>
      <c r="AZ417" s="21">
        <f>IF(IFERROR(TRIM(INDEX($A417:$AL417,MATCH(Lists!$F$2,$A$1:$AL$1,0))&amp;""),"")="","",IF(OR(IFERROR(TRIM(INDEX($A417:$AL417,MATCH(Lists!$F$13,$A$1:$AL$1,0))&amp;""),"")="Paid",IFERROR(TRIM(INDEX($A417:$AL417,MATCH(Lists!$F$13,$A$1:$AL$1,0))&amp;""),"")="Partially refunded"),"Paid",IF(AP417="Yes","Paid (by hand)",IFERROR(TRIM(INDEX($A417:$AL417,MATCH(Lists!$F$13,$A$1:$AL$1,0))&amp;""),""))))</f>
        <v/>
      </c>
      <c r="BA417" s="21">
        <f>IF(AND(IFERROR(TRIM(INDEX($A417:$AL417,MATCH(Lists!$F$2,$A$1:$AL$1,0))&amp;""),"")&lt;&gt;"",AT417&gt;0,AU417&gt;=0,AV417&gt;AU417,AY417&lt;&gt;"Declined"),1,0)</f>
        <v/>
      </c>
      <c r="BB417" s="21">
        <f>IF(BA417=1,COUNTIFS($AS$2:$AS$501,AS417,$AT$2:$AT$501,AT417,$AU$2:$AU$501,"&lt;"&amp;AV417,$AV$2:$AV$501,"&gt;"&amp;AU417,$BA$2:$BA$501,1)-1,"")</f>
        <v/>
      </c>
      <c r="BC417" s="21">
        <f>IF(N(BB417)&gt;0,"Clashes with "&amp;INDEX($AW$2:$AW$501,SUMPRODUCT(MAX(($AS$2:$AS$501=AS417)*($AT$2:$AT$501=AT417)*($AU$2:$AU$501&lt;AV417)*($AV$2:$AV$501&gt;AU417)*($BA$2:$BA$501=1)*(ROW($AS$2:$AS$501)&lt;&gt;ROW())*ROW($AS$2:$AS$501)))-1)&amp;" ("&amp;INDEX($AY$2:$AY$501,SUMPRODUCT(MAX(($AS$2:$AS$501=AS417)*($AT$2:$AT$501=AT417)*($AU$2:$AU$501&lt;AV417)*($AV$2:$AV$501&gt;AU417)*($BA$2:$BA$501=1)*(ROW($AS$2:$AS$501)&lt;&gt;ROW())*ROW($AS$2:$AS$501)))-1)&amp;")"&amp;IF(BB417&gt;1," and "&amp;(BB417-1)&amp;" more",""),"")</f>
        <v/>
      </c>
      <c r="BD417" s="21">
        <f>IF(AND(BA417=1,AY417="Confirmed"),AT417*10000000+AU417*1000+ROW(),"")</f>
        <v/>
      </c>
      <c r="BE417" s="21">
        <f>IF(IFERROR(TRIM(INDEX($A417:$AL417,MATCH(Lists!$F$2,$A$1:$AL$1,0))&amp;""),"")="","",IFERROR(TRIM(INDEX($A417:$AL417,MATCH(Lists!$F$11,$A$1:$AL$1,0))&amp;""),""))</f>
        <v/>
      </c>
      <c r="BF417" s="21">
        <f>IF(IFERROR(TRIM(INDEX($A417:$AL417,MATCH(Lists!$F$2,$A$1:$AL$1,0))&amp;""),"")="","",IFERROR(TRIM(INDEX($A417:$AL417,MATCH(Lists!$F$12,$A$1:$AL$1,0))&amp;""),""))</f>
        <v/>
      </c>
    </row>
    <row r="418">
      <c r="AM418" s="19" t="n"/>
      <c r="AN418" s="23" t="n"/>
      <c r="AO418" s="23" t="n"/>
      <c r="AP418" s="23" t="n"/>
      <c r="AQ418" s="23" t="n"/>
      <c r="AR418" s="19" t="n"/>
      <c r="AS418" s="21">
        <f>IF(IFERROR(TRIM(INDEX($A418:$AL418,MATCH(Lists!$F$2,$A$1:$AL$1,0))&amp;""),"")="","",IF(AND(IFERROR(TRIM(INDEX($A418:$AL418,MATCH(Lists!$F$3,$A$1:$AL$1,0))&amp;""),"")="Other",IFERROR(TRIM(INDEX($A418:$AL418,MATCH(Lists!$F$4,$A$1:$AL$1,0))&amp;""),"")&lt;&gt;""),IFERROR(TRIM(INDEX($A418:$AL418,MATCH(Lists!$F$4,$A$1:$AL$1,0))&amp;""),""),IF(IFERROR(TRIM(INDEX($A418:$AL418,MATCH(Lists!$F$3,$A$1:$AL$1,0))&amp;""),"")="","(no space)",IFERROR(TRIM(INDEX($A418:$AL418,MATCH(Lists!$F$3,$A$1:$AL$1,0))&amp;""),""))))</f>
        <v/>
      </c>
      <c r="AT418" s="22">
        <f>IF(IFERROR(TRIM(INDEX($A418:$AL418,MATCH(Lists!$F$2,$A$1:$AL$1,0))&amp;""),"")="",0,N(IFERROR(IF(TRIM(INDEX($A418:$AL418,MATCH(Lists!$F$5,$A$1:$AL$1,0))&amp;"")="","",IF(ISNUMBER(INDEX($A418:$AL418,MATCH(Lists!$F$5,$A$1:$AL$1,0))),INT(INDEX($A418:$AL418,MATCH(Lists!$F$5,$A$1:$AL$1,0))),DATE(VALUE(LEFT(INDEX($A418:$AL418,MATCH(Lists!$F$5,$A$1:$AL$1,0)),4)),VALUE(MID(INDEX($A418:$AL418,MATCH(Lists!$F$5,$A$1:$AL$1,0)),6,2)),VALUE(MID(INDEX($A418:$AL418,MATCH(Lists!$F$5,$A$1:$AL$1,0)),9,2))))),"")))</f>
        <v/>
      </c>
      <c r="AU418" s="21">
        <f>IF(IFERROR(TRIM(INDEX($A418:$AL418,MATCH(Lists!$F$2,$A$1:$AL$1,0))&amp;""),"")="",-1,IF(ISNUMBER(IFERROR(IF(TRIM(INDEX($A418:$AL418,MATCH(Lists!$F$6,$A$1:$AL$1,0))&amp;"")="","",IF(ISNUMBER(INDEX($A418:$AL418,MATCH(Lists!$F$6,$A$1:$AL$1,0))),ROUND(MOD(INDEX($A418:$AL418,MATCH(Lists!$F$6,$A$1:$AL$1,0)),1)*1440,0),VALUE(LEFT(INDEX($A418:$AL418,MATCH(Lists!$F$6,$A$1:$AL$1,0)),2))*60+VALUE(MID(INDEX($A418:$AL418,MATCH(Lists!$F$6,$A$1:$AL$1,0)),4,2)))),"")),IFERROR(IF(TRIM(INDEX($A418:$AL418,MATCH(Lists!$F$6,$A$1:$AL$1,0))&amp;"")="","",IF(ISNUMBER(INDEX($A418:$AL418,MATCH(Lists!$F$6,$A$1:$AL$1,0))),ROUND(MOD(INDEX($A418:$AL418,MATCH(Lists!$F$6,$A$1:$AL$1,0)),1)*1440,0),VALUE(LEFT(INDEX($A418:$AL418,MATCH(Lists!$F$6,$A$1:$AL$1,0)),2))*60+VALUE(MID(INDEX($A418:$AL418,MATCH(Lists!$F$6,$A$1:$AL$1,0)),4,2)))),""),-1))</f>
        <v/>
      </c>
      <c r="AV418" s="21">
        <f>IF(IFERROR(TRIM(INDEX($A418:$AL418,MATCH(Lists!$F$2,$A$1:$AL$1,0))&amp;""),"")="",-1,IF(ISNUMBER(IFERROR(IF(TRIM(INDEX($A418:$AL418,MATCH(Lists!$F$7,$A$1:$AL$1,0))&amp;"")="","",IF(ISNUMBER(INDEX($A418:$AL418,MATCH(Lists!$F$7,$A$1:$AL$1,0))),ROUND(MOD(INDEX($A418:$AL418,MATCH(Lists!$F$7,$A$1:$AL$1,0)),1)*1440,0),VALUE(LEFT(INDEX($A418:$AL418,MATCH(Lists!$F$7,$A$1:$AL$1,0)),2))*60+VALUE(MID(INDEX($A418:$AL418,MATCH(Lists!$F$7,$A$1:$AL$1,0)),4,2)))),"")),IFERROR(IF(TRIM(INDEX($A418:$AL418,MATCH(Lists!$F$7,$A$1:$AL$1,0))&amp;"")="","",IF(ISNUMBER(INDEX($A418:$AL418,MATCH(Lists!$F$7,$A$1:$AL$1,0))),ROUND(MOD(INDEX($A418:$AL418,MATCH(Lists!$F$7,$A$1:$AL$1,0)),1)*1440,0),VALUE(LEFT(INDEX($A418:$AL418,MATCH(Lists!$F$7,$A$1:$AL$1,0)),2))*60+VALUE(MID(INDEX($A418:$AL418,MATCH(Lists!$F$7,$A$1:$AL$1,0)),4,2)))),""),-1))</f>
        <v/>
      </c>
      <c r="AW418" s="21">
        <f>IF(IFERROR(TRIM(INDEX($A418:$AL418,MATCH(Lists!$F$2,$A$1:$AL$1,0))&amp;""),"")="","",IF(IFERROR(TRIM(INDEX($A418:$AL418,MATCH(Lists!$F$8,$A$1:$AL$1,0))&amp;""),"")&lt;&gt;"",IFERROR(TRIM(INDEX($A418:$AL418,MATCH(Lists!$F$8,$A$1:$AL$1,0))&amp;""),""),IFERROR(TRIM(INDEX($A418:$AL418,MATCH(Lists!$F$9,$A$1:$AL$1,0))&amp;""),"")))</f>
        <v/>
      </c>
      <c r="AX418" s="21">
        <f>IFERROR(IF(TRIM(INDEX($A418:$AL418,MATCH(Lists!$F$10,$A$1:$AL$1,0))&amp;"")="","",VALUE(TRIM(INDEX($A418:$AL418,MATCH(Lists!$F$10,$A$1:$AL$1,0))&amp;""))),"")</f>
        <v/>
      </c>
      <c r="AY418" s="21">
        <f>IF(IFERROR(TRIM(INDEX($A418:$AL418,MATCH(Lists!$F$2,$A$1:$AL$1,0))&amp;""),"")="","",IF(AN418="","New",AN418))</f>
        <v/>
      </c>
      <c r="AZ418" s="21">
        <f>IF(IFERROR(TRIM(INDEX($A418:$AL418,MATCH(Lists!$F$2,$A$1:$AL$1,0))&amp;""),"")="","",IF(OR(IFERROR(TRIM(INDEX($A418:$AL418,MATCH(Lists!$F$13,$A$1:$AL$1,0))&amp;""),"")="Paid",IFERROR(TRIM(INDEX($A418:$AL418,MATCH(Lists!$F$13,$A$1:$AL$1,0))&amp;""),"")="Partially refunded"),"Paid",IF(AP418="Yes","Paid (by hand)",IFERROR(TRIM(INDEX($A418:$AL418,MATCH(Lists!$F$13,$A$1:$AL$1,0))&amp;""),""))))</f>
        <v/>
      </c>
      <c r="BA418" s="21">
        <f>IF(AND(IFERROR(TRIM(INDEX($A418:$AL418,MATCH(Lists!$F$2,$A$1:$AL$1,0))&amp;""),"")&lt;&gt;"",AT418&gt;0,AU418&gt;=0,AV418&gt;AU418,AY418&lt;&gt;"Declined"),1,0)</f>
        <v/>
      </c>
      <c r="BB418" s="21">
        <f>IF(BA418=1,COUNTIFS($AS$2:$AS$501,AS418,$AT$2:$AT$501,AT418,$AU$2:$AU$501,"&lt;"&amp;AV418,$AV$2:$AV$501,"&gt;"&amp;AU418,$BA$2:$BA$501,1)-1,"")</f>
        <v/>
      </c>
      <c r="BC418" s="21">
        <f>IF(N(BB418)&gt;0,"Clashes with "&amp;INDEX($AW$2:$AW$501,SUMPRODUCT(MAX(($AS$2:$AS$501=AS418)*($AT$2:$AT$501=AT418)*($AU$2:$AU$501&lt;AV418)*($AV$2:$AV$501&gt;AU418)*($BA$2:$BA$501=1)*(ROW($AS$2:$AS$501)&lt;&gt;ROW())*ROW($AS$2:$AS$501)))-1)&amp;" ("&amp;INDEX($AY$2:$AY$501,SUMPRODUCT(MAX(($AS$2:$AS$501=AS418)*($AT$2:$AT$501=AT418)*($AU$2:$AU$501&lt;AV418)*($AV$2:$AV$501&gt;AU418)*($BA$2:$BA$501=1)*(ROW($AS$2:$AS$501)&lt;&gt;ROW())*ROW($AS$2:$AS$501)))-1)&amp;")"&amp;IF(BB418&gt;1," and "&amp;(BB418-1)&amp;" more",""),"")</f>
        <v/>
      </c>
      <c r="BD418" s="21">
        <f>IF(AND(BA418=1,AY418="Confirmed"),AT418*10000000+AU418*1000+ROW(),"")</f>
        <v/>
      </c>
      <c r="BE418" s="21">
        <f>IF(IFERROR(TRIM(INDEX($A418:$AL418,MATCH(Lists!$F$2,$A$1:$AL$1,0))&amp;""),"")="","",IFERROR(TRIM(INDEX($A418:$AL418,MATCH(Lists!$F$11,$A$1:$AL$1,0))&amp;""),""))</f>
        <v/>
      </c>
      <c r="BF418" s="21">
        <f>IF(IFERROR(TRIM(INDEX($A418:$AL418,MATCH(Lists!$F$2,$A$1:$AL$1,0))&amp;""),"")="","",IFERROR(TRIM(INDEX($A418:$AL418,MATCH(Lists!$F$12,$A$1:$AL$1,0))&amp;""),""))</f>
        <v/>
      </c>
    </row>
    <row r="419">
      <c r="AM419" s="19" t="n"/>
      <c r="AN419" s="23" t="n"/>
      <c r="AO419" s="23" t="n"/>
      <c r="AP419" s="23" t="n"/>
      <c r="AQ419" s="23" t="n"/>
      <c r="AR419" s="19" t="n"/>
      <c r="AS419" s="21">
        <f>IF(IFERROR(TRIM(INDEX($A419:$AL419,MATCH(Lists!$F$2,$A$1:$AL$1,0))&amp;""),"")="","",IF(AND(IFERROR(TRIM(INDEX($A419:$AL419,MATCH(Lists!$F$3,$A$1:$AL$1,0))&amp;""),"")="Other",IFERROR(TRIM(INDEX($A419:$AL419,MATCH(Lists!$F$4,$A$1:$AL$1,0))&amp;""),"")&lt;&gt;""),IFERROR(TRIM(INDEX($A419:$AL419,MATCH(Lists!$F$4,$A$1:$AL$1,0))&amp;""),""),IF(IFERROR(TRIM(INDEX($A419:$AL419,MATCH(Lists!$F$3,$A$1:$AL$1,0))&amp;""),"")="","(no space)",IFERROR(TRIM(INDEX($A419:$AL419,MATCH(Lists!$F$3,$A$1:$AL$1,0))&amp;""),""))))</f>
        <v/>
      </c>
      <c r="AT419" s="22">
        <f>IF(IFERROR(TRIM(INDEX($A419:$AL419,MATCH(Lists!$F$2,$A$1:$AL$1,0))&amp;""),"")="",0,N(IFERROR(IF(TRIM(INDEX($A419:$AL419,MATCH(Lists!$F$5,$A$1:$AL$1,0))&amp;"")="","",IF(ISNUMBER(INDEX($A419:$AL419,MATCH(Lists!$F$5,$A$1:$AL$1,0))),INT(INDEX($A419:$AL419,MATCH(Lists!$F$5,$A$1:$AL$1,0))),DATE(VALUE(LEFT(INDEX($A419:$AL419,MATCH(Lists!$F$5,$A$1:$AL$1,0)),4)),VALUE(MID(INDEX($A419:$AL419,MATCH(Lists!$F$5,$A$1:$AL$1,0)),6,2)),VALUE(MID(INDEX($A419:$AL419,MATCH(Lists!$F$5,$A$1:$AL$1,0)),9,2))))),"")))</f>
        <v/>
      </c>
      <c r="AU419" s="21">
        <f>IF(IFERROR(TRIM(INDEX($A419:$AL419,MATCH(Lists!$F$2,$A$1:$AL$1,0))&amp;""),"")="",-1,IF(ISNUMBER(IFERROR(IF(TRIM(INDEX($A419:$AL419,MATCH(Lists!$F$6,$A$1:$AL$1,0))&amp;"")="","",IF(ISNUMBER(INDEX($A419:$AL419,MATCH(Lists!$F$6,$A$1:$AL$1,0))),ROUND(MOD(INDEX($A419:$AL419,MATCH(Lists!$F$6,$A$1:$AL$1,0)),1)*1440,0),VALUE(LEFT(INDEX($A419:$AL419,MATCH(Lists!$F$6,$A$1:$AL$1,0)),2))*60+VALUE(MID(INDEX($A419:$AL419,MATCH(Lists!$F$6,$A$1:$AL$1,0)),4,2)))),"")),IFERROR(IF(TRIM(INDEX($A419:$AL419,MATCH(Lists!$F$6,$A$1:$AL$1,0))&amp;"")="","",IF(ISNUMBER(INDEX($A419:$AL419,MATCH(Lists!$F$6,$A$1:$AL$1,0))),ROUND(MOD(INDEX($A419:$AL419,MATCH(Lists!$F$6,$A$1:$AL$1,0)),1)*1440,0),VALUE(LEFT(INDEX($A419:$AL419,MATCH(Lists!$F$6,$A$1:$AL$1,0)),2))*60+VALUE(MID(INDEX($A419:$AL419,MATCH(Lists!$F$6,$A$1:$AL$1,0)),4,2)))),""),-1))</f>
        <v/>
      </c>
      <c r="AV419" s="21">
        <f>IF(IFERROR(TRIM(INDEX($A419:$AL419,MATCH(Lists!$F$2,$A$1:$AL$1,0))&amp;""),"")="",-1,IF(ISNUMBER(IFERROR(IF(TRIM(INDEX($A419:$AL419,MATCH(Lists!$F$7,$A$1:$AL$1,0))&amp;"")="","",IF(ISNUMBER(INDEX($A419:$AL419,MATCH(Lists!$F$7,$A$1:$AL$1,0))),ROUND(MOD(INDEX($A419:$AL419,MATCH(Lists!$F$7,$A$1:$AL$1,0)),1)*1440,0),VALUE(LEFT(INDEX($A419:$AL419,MATCH(Lists!$F$7,$A$1:$AL$1,0)),2))*60+VALUE(MID(INDEX($A419:$AL419,MATCH(Lists!$F$7,$A$1:$AL$1,0)),4,2)))),"")),IFERROR(IF(TRIM(INDEX($A419:$AL419,MATCH(Lists!$F$7,$A$1:$AL$1,0))&amp;"")="","",IF(ISNUMBER(INDEX($A419:$AL419,MATCH(Lists!$F$7,$A$1:$AL$1,0))),ROUND(MOD(INDEX($A419:$AL419,MATCH(Lists!$F$7,$A$1:$AL$1,0)),1)*1440,0),VALUE(LEFT(INDEX($A419:$AL419,MATCH(Lists!$F$7,$A$1:$AL$1,0)),2))*60+VALUE(MID(INDEX($A419:$AL419,MATCH(Lists!$F$7,$A$1:$AL$1,0)),4,2)))),""),-1))</f>
        <v/>
      </c>
      <c r="AW419" s="21">
        <f>IF(IFERROR(TRIM(INDEX($A419:$AL419,MATCH(Lists!$F$2,$A$1:$AL$1,0))&amp;""),"")="","",IF(IFERROR(TRIM(INDEX($A419:$AL419,MATCH(Lists!$F$8,$A$1:$AL$1,0))&amp;""),"")&lt;&gt;"",IFERROR(TRIM(INDEX($A419:$AL419,MATCH(Lists!$F$8,$A$1:$AL$1,0))&amp;""),""),IFERROR(TRIM(INDEX($A419:$AL419,MATCH(Lists!$F$9,$A$1:$AL$1,0))&amp;""),"")))</f>
        <v/>
      </c>
      <c r="AX419" s="21">
        <f>IFERROR(IF(TRIM(INDEX($A419:$AL419,MATCH(Lists!$F$10,$A$1:$AL$1,0))&amp;"")="","",VALUE(TRIM(INDEX($A419:$AL419,MATCH(Lists!$F$10,$A$1:$AL$1,0))&amp;""))),"")</f>
        <v/>
      </c>
      <c r="AY419" s="21">
        <f>IF(IFERROR(TRIM(INDEX($A419:$AL419,MATCH(Lists!$F$2,$A$1:$AL$1,0))&amp;""),"")="","",IF(AN419="","New",AN419))</f>
        <v/>
      </c>
      <c r="AZ419" s="21">
        <f>IF(IFERROR(TRIM(INDEX($A419:$AL419,MATCH(Lists!$F$2,$A$1:$AL$1,0))&amp;""),"")="","",IF(OR(IFERROR(TRIM(INDEX($A419:$AL419,MATCH(Lists!$F$13,$A$1:$AL$1,0))&amp;""),"")="Paid",IFERROR(TRIM(INDEX($A419:$AL419,MATCH(Lists!$F$13,$A$1:$AL$1,0))&amp;""),"")="Partially refunded"),"Paid",IF(AP419="Yes","Paid (by hand)",IFERROR(TRIM(INDEX($A419:$AL419,MATCH(Lists!$F$13,$A$1:$AL$1,0))&amp;""),""))))</f>
        <v/>
      </c>
      <c r="BA419" s="21">
        <f>IF(AND(IFERROR(TRIM(INDEX($A419:$AL419,MATCH(Lists!$F$2,$A$1:$AL$1,0))&amp;""),"")&lt;&gt;"",AT419&gt;0,AU419&gt;=0,AV419&gt;AU419,AY419&lt;&gt;"Declined"),1,0)</f>
        <v/>
      </c>
      <c r="BB419" s="21">
        <f>IF(BA419=1,COUNTIFS($AS$2:$AS$501,AS419,$AT$2:$AT$501,AT419,$AU$2:$AU$501,"&lt;"&amp;AV419,$AV$2:$AV$501,"&gt;"&amp;AU419,$BA$2:$BA$501,1)-1,"")</f>
        <v/>
      </c>
      <c r="BC419" s="21">
        <f>IF(N(BB419)&gt;0,"Clashes with "&amp;INDEX($AW$2:$AW$501,SUMPRODUCT(MAX(($AS$2:$AS$501=AS419)*($AT$2:$AT$501=AT419)*($AU$2:$AU$501&lt;AV419)*($AV$2:$AV$501&gt;AU419)*($BA$2:$BA$501=1)*(ROW($AS$2:$AS$501)&lt;&gt;ROW())*ROW($AS$2:$AS$501)))-1)&amp;" ("&amp;INDEX($AY$2:$AY$501,SUMPRODUCT(MAX(($AS$2:$AS$501=AS419)*($AT$2:$AT$501=AT419)*($AU$2:$AU$501&lt;AV419)*($AV$2:$AV$501&gt;AU419)*($BA$2:$BA$501=1)*(ROW($AS$2:$AS$501)&lt;&gt;ROW())*ROW($AS$2:$AS$501)))-1)&amp;")"&amp;IF(BB419&gt;1," and "&amp;(BB419-1)&amp;" more",""),"")</f>
        <v/>
      </c>
      <c r="BD419" s="21">
        <f>IF(AND(BA419=1,AY419="Confirmed"),AT419*10000000+AU419*1000+ROW(),"")</f>
        <v/>
      </c>
      <c r="BE419" s="21">
        <f>IF(IFERROR(TRIM(INDEX($A419:$AL419,MATCH(Lists!$F$2,$A$1:$AL$1,0))&amp;""),"")="","",IFERROR(TRIM(INDEX($A419:$AL419,MATCH(Lists!$F$11,$A$1:$AL$1,0))&amp;""),""))</f>
        <v/>
      </c>
      <c r="BF419" s="21">
        <f>IF(IFERROR(TRIM(INDEX($A419:$AL419,MATCH(Lists!$F$2,$A$1:$AL$1,0))&amp;""),"")="","",IFERROR(TRIM(INDEX($A419:$AL419,MATCH(Lists!$F$12,$A$1:$AL$1,0))&amp;""),""))</f>
        <v/>
      </c>
    </row>
    <row r="420">
      <c r="AM420" s="19" t="n"/>
      <c r="AN420" s="23" t="n"/>
      <c r="AO420" s="23" t="n"/>
      <c r="AP420" s="23" t="n"/>
      <c r="AQ420" s="23" t="n"/>
      <c r="AR420" s="19" t="n"/>
      <c r="AS420" s="21">
        <f>IF(IFERROR(TRIM(INDEX($A420:$AL420,MATCH(Lists!$F$2,$A$1:$AL$1,0))&amp;""),"")="","",IF(AND(IFERROR(TRIM(INDEX($A420:$AL420,MATCH(Lists!$F$3,$A$1:$AL$1,0))&amp;""),"")="Other",IFERROR(TRIM(INDEX($A420:$AL420,MATCH(Lists!$F$4,$A$1:$AL$1,0))&amp;""),"")&lt;&gt;""),IFERROR(TRIM(INDEX($A420:$AL420,MATCH(Lists!$F$4,$A$1:$AL$1,0))&amp;""),""),IF(IFERROR(TRIM(INDEX($A420:$AL420,MATCH(Lists!$F$3,$A$1:$AL$1,0))&amp;""),"")="","(no space)",IFERROR(TRIM(INDEX($A420:$AL420,MATCH(Lists!$F$3,$A$1:$AL$1,0))&amp;""),""))))</f>
        <v/>
      </c>
      <c r="AT420" s="22">
        <f>IF(IFERROR(TRIM(INDEX($A420:$AL420,MATCH(Lists!$F$2,$A$1:$AL$1,0))&amp;""),"")="",0,N(IFERROR(IF(TRIM(INDEX($A420:$AL420,MATCH(Lists!$F$5,$A$1:$AL$1,0))&amp;"")="","",IF(ISNUMBER(INDEX($A420:$AL420,MATCH(Lists!$F$5,$A$1:$AL$1,0))),INT(INDEX($A420:$AL420,MATCH(Lists!$F$5,$A$1:$AL$1,0))),DATE(VALUE(LEFT(INDEX($A420:$AL420,MATCH(Lists!$F$5,$A$1:$AL$1,0)),4)),VALUE(MID(INDEX($A420:$AL420,MATCH(Lists!$F$5,$A$1:$AL$1,0)),6,2)),VALUE(MID(INDEX($A420:$AL420,MATCH(Lists!$F$5,$A$1:$AL$1,0)),9,2))))),"")))</f>
        <v/>
      </c>
      <c r="AU420" s="21">
        <f>IF(IFERROR(TRIM(INDEX($A420:$AL420,MATCH(Lists!$F$2,$A$1:$AL$1,0))&amp;""),"")="",-1,IF(ISNUMBER(IFERROR(IF(TRIM(INDEX($A420:$AL420,MATCH(Lists!$F$6,$A$1:$AL$1,0))&amp;"")="","",IF(ISNUMBER(INDEX($A420:$AL420,MATCH(Lists!$F$6,$A$1:$AL$1,0))),ROUND(MOD(INDEX($A420:$AL420,MATCH(Lists!$F$6,$A$1:$AL$1,0)),1)*1440,0),VALUE(LEFT(INDEX($A420:$AL420,MATCH(Lists!$F$6,$A$1:$AL$1,0)),2))*60+VALUE(MID(INDEX($A420:$AL420,MATCH(Lists!$F$6,$A$1:$AL$1,0)),4,2)))),"")),IFERROR(IF(TRIM(INDEX($A420:$AL420,MATCH(Lists!$F$6,$A$1:$AL$1,0))&amp;"")="","",IF(ISNUMBER(INDEX($A420:$AL420,MATCH(Lists!$F$6,$A$1:$AL$1,0))),ROUND(MOD(INDEX($A420:$AL420,MATCH(Lists!$F$6,$A$1:$AL$1,0)),1)*1440,0),VALUE(LEFT(INDEX($A420:$AL420,MATCH(Lists!$F$6,$A$1:$AL$1,0)),2))*60+VALUE(MID(INDEX($A420:$AL420,MATCH(Lists!$F$6,$A$1:$AL$1,0)),4,2)))),""),-1))</f>
        <v/>
      </c>
      <c r="AV420" s="21">
        <f>IF(IFERROR(TRIM(INDEX($A420:$AL420,MATCH(Lists!$F$2,$A$1:$AL$1,0))&amp;""),"")="",-1,IF(ISNUMBER(IFERROR(IF(TRIM(INDEX($A420:$AL420,MATCH(Lists!$F$7,$A$1:$AL$1,0))&amp;"")="","",IF(ISNUMBER(INDEX($A420:$AL420,MATCH(Lists!$F$7,$A$1:$AL$1,0))),ROUND(MOD(INDEX($A420:$AL420,MATCH(Lists!$F$7,$A$1:$AL$1,0)),1)*1440,0),VALUE(LEFT(INDEX($A420:$AL420,MATCH(Lists!$F$7,$A$1:$AL$1,0)),2))*60+VALUE(MID(INDEX($A420:$AL420,MATCH(Lists!$F$7,$A$1:$AL$1,0)),4,2)))),"")),IFERROR(IF(TRIM(INDEX($A420:$AL420,MATCH(Lists!$F$7,$A$1:$AL$1,0))&amp;"")="","",IF(ISNUMBER(INDEX($A420:$AL420,MATCH(Lists!$F$7,$A$1:$AL$1,0))),ROUND(MOD(INDEX($A420:$AL420,MATCH(Lists!$F$7,$A$1:$AL$1,0)),1)*1440,0),VALUE(LEFT(INDEX($A420:$AL420,MATCH(Lists!$F$7,$A$1:$AL$1,0)),2))*60+VALUE(MID(INDEX($A420:$AL420,MATCH(Lists!$F$7,$A$1:$AL$1,0)),4,2)))),""),-1))</f>
        <v/>
      </c>
      <c r="AW420" s="21">
        <f>IF(IFERROR(TRIM(INDEX($A420:$AL420,MATCH(Lists!$F$2,$A$1:$AL$1,0))&amp;""),"")="","",IF(IFERROR(TRIM(INDEX($A420:$AL420,MATCH(Lists!$F$8,$A$1:$AL$1,0))&amp;""),"")&lt;&gt;"",IFERROR(TRIM(INDEX($A420:$AL420,MATCH(Lists!$F$8,$A$1:$AL$1,0))&amp;""),""),IFERROR(TRIM(INDEX($A420:$AL420,MATCH(Lists!$F$9,$A$1:$AL$1,0))&amp;""),"")))</f>
        <v/>
      </c>
      <c r="AX420" s="21">
        <f>IFERROR(IF(TRIM(INDEX($A420:$AL420,MATCH(Lists!$F$10,$A$1:$AL$1,0))&amp;"")="","",VALUE(TRIM(INDEX($A420:$AL420,MATCH(Lists!$F$10,$A$1:$AL$1,0))&amp;""))),"")</f>
        <v/>
      </c>
      <c r="AY420" s="21">
        <f>IF(IFERROR(TRIM(INDEX($A420:$AL420,MATCH(Lists!$F$2,$A$1:$AL$1,0))&amp;""),"")="","",IF(AN420="","New",AN420))</f>
        <v/>
      </c>
      <c r="AZ420" s="21">
        <f>IF(IFERROR(TRIM(INDEX($A420:$AL420,MATCH(Lists!$F$2,$A$1:$AL$1,0))&amp;""),"")="","",IF(OR(IFERROR(TRIM(INDEX($A420:$AL420,MATCH(Lists!$F$13,$A$1:$AL$1,0))&amp;""),"")="Paid",IFERROR(TRIM(INDEX($A420:$AL420,MATCH(Lists!$F$13,$A$1:$AL$1,0))&amp;""),"")="Partially refunded"),"Paid",IF(AP420="Yes","Paid (by hand)",IFERROR(TRIM(INDEX($A420:$AL420,MATCH(Lists!$F$13,$A$1:$AL$1,0))&amp;""),""))))</f>
        <v/>
      </c>
      <c r="BA420" s="21">
        <f>IF(AND(IFERROR(TRIM(INDEX($A420:$AL420,MATCH(Lists!$F$2,$A$1:$AL$1,0))&amp;""),"")&lt;&gt;"",AT420&gt;0,AU420&gt;=0,AV420&gt;AU420,AY420&lt;&gt;"Declined"),1,0)</f>
        <v/>
      </c>
      <c r="BB420" s="21">
        <f>IF(BA420=1,COUNTIFS($AS$2:$AS$501,AS420,$AT$2:$AT$501,AT420,$AU$2:$AU$501,"&lt;"&amp;AV420,$AV$2:$AV$501,"&gt;"&amp;AU420,$BA$2:$BA$501,1)-1,"")</f>
        <v/>
      </c>
      <c r="BC420" s="21">
        <f>IF(N(BB420)&gt;0,"Clashes with "&amp;INDEX($AW$2:$AW$501,SUMPRODUCT(MAX(($AS$2:$AS$501=AS420)*($AT$2:$AT$501=AT420)*($AU$2:$AU$501&lt;AV420)*($AV$2:$AV$501&gt;AU420)*($BA$2:$BA$501=1)*(ROW($AS$2:$AS$501)&lt;&gt;ROW())*ROW($AS$2:$AS$501)))-1)&amp;" ("&amp;INDEX($AY$2:$AY$501,SUMPRODUCT(MAX(($AS$2:$AS$501=AS420)*($AT$2:$AT$501=AT420)*($AU$2:$AU$501&lt;AV420)*($AV$2:$AV$501&gt;AU420)*($BA$2:$BA$501=1)*(ROW($AS$2:$AS$501)&lt;&gt;ROW())*ROW($AS$2:$AS$501)))-1)&amp;")"&amp;IF(BB420&gt;1," and "&amp;(BB420-1)&amp;" more",""),"")</f>
        <v/>
      </c>
      <c r="BD420" s="21">
        <f>IF(AND(BA420=1,AY420="Confirmed"),AT420*10000000+AU420*1000+ROW(),"")</f>
        <v/>
      </c>
      <c r="BE420" s="21">
        <f>IF(IFERROR(TRIM(INDEX($A420:$AL420,MATCH(Lists!$F$2,$A$1:$AL$1,0))&amp;""),"")="","",IFERROR(TRIM(INDEX($A420:$AL420,MATCH(Lists!$F$11,$A$1:$AL$1,0))&amp;""),""))</f>
        <v/>
      </c>
      <c r="BF420" s="21">
        <f>IF(IFERROR(TRIM(INDEX($A420:$AL420,MATCH(Lists!$F$2,$A$1:$AL$1,0))&amp;""),"")="","",IFERROR(TRIM(INDEX($A420:$AL420,MATCH(Lists!$F$12,$A$1:$AL$1,0))&amp;""),""))</f>
        <v/>
      </c>
    </row>
    <row r="421">
      <c r="AM421" s="19" t="n"/>
      <c r="AN421" s="23" t="n"/>
      <c r="AO421" s="23" t="n"/>
      <c r="AP421" s="23" t="n"/>
      <c r="AQ421" s="23" t="n"/>
      <c r="AR421" s="19" t="n"/>
      <c r="AS421" s="21">
        <f>IF(IFERROR(TRIM(INDEX($A421:$AL421,MATCH(Lists!$F$2,$A$1:$AL$1,0))&amp;""),"")="","",IF(AND(IFERROR(TRIM(INDEX($A421:$AL421,MATCH(Lists!$F$3,$A$1:$AL$1,0))&amp;""),"")="Other",IFERROR(TRIM(INDEX($A421:$AL421,MATCH(Lists!$F$4,$A$1:$AL$1,0))&amp;""),"")&lt;&gt;""),IFERROR(TRIM(INDEX($A421:$AL421,MATCH(Lists!$F$4,$A$1:$AL$1,0))&amp;""),""),IF(IFERROR(TRIM(INDEX($A421:$AL421,MATCH(Lists!$F$3,$A$1:$AL$1,0))&amp;""),"")="","(no space)",IFERROR(TRIM(INDEX($A421:$AL421,MATCH(Lists!$F$3,$A$1:$AL$1,0))&amp;""),""))))</f>
        <v/>
      </c>
      <c r="AT421" s="22">
        <f>IF(IFERROR(TRIM(INDEX($A421:$AL421,MATCH(Lists!$F$2,$A$1:$AL$1,0))&amp;""),"")="",0,N(IFERROR(IF(TRIM(INDEX($A421:$AL421,MATCH(Lists!$F$5,$A$1:$AL$1,0))&amp;"")="","",IF(ISNUMBER(INDEX($A421:$AL421,MATCH(Lists!$F$5,$A$1:$AL$1,0))),INT(INDEX($A421:$AL421,MATCH(Lists!$F$5,$A$1:$AL$1,0))),DATE(VALUE(LEFT(INDEX($A421:$AL421,MATCH(Lists!$F$5,$A$1:$AL$1,0)),4)),VALUE(MID(INDEX($A421:$AL421,MATCH(Lists!$F$5,$A$1:$AL$1,0)),6,2)),VALUE(MID(INDEX($A421:$AL421,MATCH(Lists!$F$5,$A$1:$AL$1,0)),9,2))))),"")))</f>
        <v/>
      </c>
      <c r="AU421" s="21">
        <f>IF(IFERROR(TRIM(INDEX($A421:$AL421,MATCH(Lists!$F$2,$A$1:$AL$1,0))&amp;""),"")="",-1,IF(ISNUMBER(IFERROR(IF(TRIM(INDEX($A421:$AL421,MATCH(Lists!$F$6,$A$1:$AL$1,0))&amp;"")="","",IF(ISNUMBER(INDEX($A421:$AL421,MATCH(Lists!$F$6,$A$1:$AL$1,0))),ROUND(MOD(INDEX($A421:$AL421,MATCH(Lists!$F$6,$A$1:$AL$1,0)),1)*1440,0),VALUE(LEFT(INDEX($A421:$AL421,MATCH(Lists!$F$6,$A$1:$AL$1,0)),2))*60+VALUE(MID(INDEX($A421:$AL421,MATCH(Lists!$F$6,$A$1:$AL$1,0)),4,2)))),"")),IFERROR(IF(TRIM(INDEX($A421:$AL421,MATCH(Lists!$F$6,$A$1:$AL$1,0))&amp;"")="","",IF(ISNUMBER(INDEX($A421:$AL421,MATCH(Lists!$F$6,$A$1:$AL$1,0))),ROUND(MOD(INDEX($A421:$AL421,MATCH(Lists!$F$6,$A$1:$AL$1,0)),1)*1440,0),VALUE(LEFT(INDEX($A421:$AL421,MATCH(Lists!$F$6,$A$1:$AL$1,0)),2))*60+VALUE(MID(INDEX($A421:$AL421,MATCH(Lists!$F$6,$A$1:$AL$1,0)),4,2)))),""),-1))</f>
        <v/>
      </c>
      <c r="AV421" s="21">
        <f>IF(IFERROR(TRIM(INDEX($A421:$AL421,MATCH(Lists!$F$2,$A$1:$AL$1,0))&amp;""),"")="",-1,IF(ISNUMBER(IFERROR(IF(TRIM(INDEX($A421:$AL421,MATCH(Lists!$F$7,$A$1:$AL$1,0))&amp;"")="","",IF(ISNUMBER(INDEX($A421:$AL421,MATCH(Lists!$F$7,$A$1:$AL$1,0))),ROUND(MOD(INDEX($A421:$AL421,MATCH(Lists!$F$7,$A$1:$AL$1,0)),1)*1440,0),VALUE(LEFT(INDEX($A421:$AL421,MATCH(Lists!$F$7,$A$1:$AL$1,0)),2))*60+VALUE(MID(INDEX($A421:$AL421,MATCH(Lists!$F$7,$A$1:$AL$1,0)),4,2)))),"")),IFERROR(IF(TRIM(INDEX($A421:$AL421,MATCH(Lists!$F$7,$A$1:$AL$1,0))&amp;"")="","",IF(ISNUMBER(INDEX($A421:$AL421,MATCH(Lists!$F$7,$A$1:$AL$1,0))),ROUND(MOD(INDEX($A421:$AL421,MATCH(Lists!$F$7,$A$1:$AL$1,0)),1)*1440,0),VALUE(LEFT(INDEX($A421:$AL421,MATCH(Lists!$F$7,$A$1:$AL$1,0)),2))*60+VALUE(MID(INDEX($A421:$AL421,MATCH(Lists!$F$7,$A$1:$AL$1,0)),4,2)))),""),-1))</f>
        <v/>
      </c>
      <c r="AW421" s="21">
        <f>IF(IFERROR(TRIM(INDEX($A421:$AL421,MATCH(Lists!$F$2,$A$1:$AL$1,0))&amp;""),"")="","",IF(IFERROR(TRIM(INDEX($A421:$AL421,MATCH(Lists!$F$8,$A$1:$AL$1,0))&amp;""),"")&lt;&gt;"",IFERROR(TRIM(INDEX($A421:$AL421,MATCH(Lists!$F$8,$A$1:$AL$1,0))&amp;""),""),IFERROR(TRIM(INDEX($A421:$AL421,MATCH(Lists!$F$9,$A$1:$AL$1,0))&amp;""),"")))</f>
        <v/>
      </c>
      <c r="AX421" s="21">
        <f>IFERROR(IF(TRIM(INDEX($A421:$AL421,MATCH(Lists!$F$10,$A$1:$AL$1,0))&amp;"")="","",VALUE(TRIM(INDEX($A421:$AL421,MATCH(Lists!$F$10,$A$1:$AL$1,0))&amp;""))),"")</f>
        <v/>
      </c>
      <c r="AY421" s="21">
        <f>IF(IFERROR(TRIM(INDEX($A421:$AL421,MATCH(Lists!$F$2,$A$1:$AL$1,0))&amp;""),"")="","",IF(AN421="","New",AN421))</f>
        <v/>
      </c>
      <c r="AZ421" s="21">
        <f>IF(IFERROR(TRIM(INDEX($A421:$AL421,MATCH(Lists!$F$2,$A$1:$AL$1,0))&amp;""),"")="","",IF(OR(IFERROR(TRIM(INDEX($A421:$AL421,MATCH(Lists!$F$13,$A$1:$AL$1,0))&amp;""),"")="Paid",IFERROR(TRIM(INDEX($A421:$AL421,MATCH(Lists!$F$13,$A$1:$AL$1,0))&amp;""),"")="Partially refunded"),"Paid",IF(AP421="Yes","Paid (by hand)",IFERROR(TRIM(INDEX($A421:$AL421,MATCH(Lists!$F$13,$A$1:$AL$1,0))&amp;""),""))))</f>
        <v/>
      </c>
      <c r="BA421" s="21">
        <f>IF(AND(IFERROR(TRIM(INDEX($A421:$AL421,MATCH(Lists!$F$2,$A$1:$AL$1,0))&amp;""),"")&lt;&gt;"",AT421&gt;0,AU421&gt;=0,AV421&gt;AU421,AY421&lt;&gt;"Declined"),1,0)</f>
        <v/>
      </c>
      <c r="BB421" s="21">
        <f>IF(BA421=1,COUNTIFS($AS$2:$AS$501,AS421,$AT$2:$AT$501,AT421,$AU$2:$AU$501,"&lt;"&amp;AV421,$AV$2:$AV$501,"&gt;"&amp;AU421,$BA$2:$BA$501,1)-1,"")</f>
        <v/>
      </c>
      <c r="BC421" s="21">
        <f>IF(N(BB421)&gt;0,"Clashes with "&amp;INDEX($AW$2:$AW$501,SUMPRODUCT(MAX(($AS$2:$AS$501=AS421)*($AT$2:$AT$501=AT421)*($AU$2:$AU$501&lt;AV421)*($AV$2:$AV$501&gt;AU421)*($BA$2:$BA$501=1)*(ROW($AS$2:$AS$501)&lt;&gt;ROW())*ROW($AS$2:$AS$501)))-1)&amp;" ("&amp;INDEX($AY$2:$AY$501,SUMPRODUCT(MAX(($AS$2:$AS$501=AS421)*($AT$2:$AT$501=AT421)*($AU$2:$AU$501&lt;AV421)*($AV$2:$AV$501&gt;AU421)*($BA$2:$BA$501=1)*(ROW($AS$2:$AS$501)&lt;&gt;ROW())*ROW($AS$2:$AS$501)))-1)&amp;")"&amp;IF(BB421&gt;1," and "&amp;(BB421-1)&amp;" more",""),"")</f>
        <v/>
      </c>
      <c r="BD421" s="21">
        <f>IF(AND(BA421=1,AY421="Confirmed"),AT421*10000000+AU421*1000+ROW(),"")</f>
        <v/>
      </c>
      <c r="BE421" s="21">
        <f>IF(IFERROR(TRIM(INDEX($A421:$AL421,MATCH(Lists!$F$2,$A$1:$AL$1,0))&amp;""),"")="","",IFERROR(TRIM(INDEX($A421:$AL421,MATCH(Lists!$F$11,$A$1:$AL$1,0))&amp;""),""))</f>
        <v/>
      </c>
      <c r="BF421" s="21">
        <f>IF(IFERROR(TRIM(INDEX($A421:$AL421,MATCH(Lists!$F$2,$A$1:$AL$1,0))&amp;""),"")="","",IFERROR(TRIM(INDEX($A421:$AL421,MATCH(Lists!$F$12,$A$1:$AL$1,0))&amp;""),""))</f>
        <v/>
      </c>
    </row>
    <row r="422">
      <c r="AM422" s="19" t="n"/>
      <c r="AN422" s="23" t="n"/>
      <c r="AO422" s="23" t="n"/>
      <c r="AP422" s="23" t="n"/>
      <c r="AQ422" s="23" t="n"/>
      <c r="AR422" s="19" t="n"/>
      <c r="AS422" s="21">
        <f>IF(IFERROR(TRIM(INDEX($A422:$AL422,MATCH(Lists!$F$2,$A$1:$AL$1,0))&amp;""),"")="","",IF(AND(IFERROR(TRIM(INDEX($A422:$AL422,MATCH(Lists!$F$3,$A$1:$AL$1,0))&amp;""),"")="Other",IFERROR(TRIM(INDEX($A422:$AL422,MATCH(Lists!$F$4,$A$1:$AL$1,0))&amp;""),"")&lt;&gt;""),IFERROR(TRIM(INDEX($A422:$AL422,MATCH(Lists!$F$4,$A$1:$AL$1,0))&amp;""),""),IF(IFERROR(TRIM(INDEX($A422:$AL422,MATCH(Lists!$F$3,$A$1:$AL$1,0))&amp;""),"")="","(no space)",IFERROR(TRIM(INDEX($A422:$AL422,MATCH(Lists!$F$3,$A$1:$AL$1,0))&amp;""),""))))</f>
        <v/>
      </c>
      <c r="AT422" s="22">
        <f>IF(IFERROR(TRIM(INDEX($A422:$AL422,MATCH(Lists!$F$2,$A$1:$AL$1,0))&amp;""),"")="",0,N(IFERROR(IF(TRIM(INDEX($A422:$AL422,MATCH(Lists!$F$5,$A$1:$AL$1,0))&amp;"")="","",IF(ISNUMBER(INDEX($A422:$AL422,MATCH(Lists!$F$5,$A$1:$AL$1,0))),INT(INDEX($A422:$AL422,MATCH(Lists!$F$5,$A$1:$AL$1,0))),DATE(VALUE(LEFT(INDEX($A422:$AL422,MATCH(Lists!$F$5,$A$1:$AL$1,0)),4)),VALUE(MID(INDEX($A422:$AL422,MATCH(Lists!$F$5,$A$1:$AL$1,0)),6,2)),VALUE(MID(INDEX($A422:$AL422,MATCH(Lists!$F$5,$A$1:$AL$1,0)),9,2))))),"")))</f>
        <v/>
      </c>
      <c r="AU422" s="21">
        <f>IF(IFERROR(TRIM(INDEX($A422:$AL422,MATCH(Lists!$F$2,$A$1:$AL$1,0))&amp;""),"")="",-1,IF(ISNUMBER(IFERROR(IF(TRIM(INDEX($A422:$AL422,MATCH(Lists!$F$6,$A$1:$AL$1,0))&amp;"")="","",IF(ISNUMBER(INDEX($A422:$AL422,MATCH(Lists!$F$6,$A$1:$AL$1,0))),ROUND(MOD(INDEX($A422:$AL422,MATCH(Lists!$F$6,$A$1:$AL$1,0)),1)*1440,0),VALUE(LEFT(INDEX($A422:$AL422,MATCH(Lists!$F$6,$A$1:$AL$1,0)),2))*60+VALUE(MID(INDEX($A422:$AL422,MATCH(Lists!$F$6,$A$1:$AL$1,0)),4,2)))),"")),IFERROR(IF(TRIM(INDEX($A422:$AL422,MATCH(Lists!$F$6,$A$1:$AL$1,0))&amp;"")="","",IF(ISNUMBER(INDEX($A422:$AL422,MATCH(Lists!$F$6,$A$1:$AL$1,0))),ROUND(MOD(INDEX($A422:$AL422,MATCH(Lists!$F$6,$A$1:$AL$1,0)),1)*1440,0),VALUE(LEFT(INDEX($A422:$AL422,MATCH(Lists!$F$6,$A$1:$AL$1,0)),2))*60+VALUE(MID(INDEX($A422:$AL422,MATCH(Lists!$F$6,$A$1:$AL$1,0)),4,2)))),""),-1))</f>
        <v/>
      </c>
      <c r="AV422" s="21">
        <f>IF(IFERROR(TRIM(INDEX($A422:$AL422,MATCH(Lists!$F$2,$A$1:$AL$1,0))&amp;""),"")="",-1,IF(ISNUMBER(IFERROR(IF(TRIM(INDEX($A422:$AL422,MATCH(Lists!$F$7,$A$1:$AL$1,0))&amp;"")="","",IF(ISNUMBER(INDEX($A422:$AL422,MATCH(Lists!$F$7,$A$1:$AL$1,0))),ROUND(MOD(INDEX($A422:$AL422,MATCH(Lists!$F$7,$A$1:$AL$1,0)),1)*1440,0),VALUE(LEFT(INDEX($A422:$AL422,MATCH(Lists!$F$7,$A$1:$AL$1,0)),2))*60+VALUE(MID(INDEX($A422:$AL422,MATCH(Lists!$F$7,$A$1:$AL$1,0)),4,2)))),"")),IFERROR(IF(TRIM(INDEX($A422:$AL422,MATCH(Lists!$F$7,$A$1:$AL$1,0))&amp;"")="","",IF(ISNUMBER(INDEX($A422:$AL422,MATCH(Lists!$F$7,$A$1:$AL$1,0))),ROUND(MOD(INDEX($A422:$AL422,MATCH(Lists!$F$7,$A$1:$AL$1,0)),1)*1440,0),VALUE(LEFT(INDEX($A422:$AL422,MATCH(Lists!$F$7,$A$1:$AL$1,0)),2))*60+VALUE(MID(INDEX($A422:$AL422,MATCH(Lists!$F$7,$A$1:$AL$1,0)),4,2)))),""),-1))</f>
        <v/>
      </c>
      <c r="AW422" s="21">
        <f>IF(IFERROR(TRIM(INDEX($A422:$AL422,MATCH(Lists!$F$2,$A$1:$AL$1,0))&amp;""),"")="","",IF(IFERROR(TRIM(INDEX($A422:$AL422,MATCH(Lists!$F$8,$A$1:$AL$1,0))&amp;""),"")&lt;&gt;"",IFERROR(TRIM(INDEX($A422:$AL422,MATCH(Lists!$F$8,$A$1:$AL$1,0))&amp;""),""),IFERROR(TRIM(INDEX($A422:$AL422,MATCH(Lists!$F$9,$A$1:$AL$1,0))&amp;""),"")))</f>
        <v/>
      </c>
      <c r="AX422" s="21">
        <f>IFERROR(IF(TRIM(INDEX($A422:$AL422,MATCH(Lists!$F$10,$A$1:$AL$1,0))&amp;"")="","",VALUE(TRIM(INDEX($A422:$AL422,MATCH(Lists!$F$10,$A$1:$AL$1,0))&amp;""))),"")</f>
        <v/>
      </c>
      <c r="AY422" s="21">
        <f>IF(IFERROR(TRIM(INDEX($A422:$AL422,MATCH(Lists!$F$2,$A$1:$AL$1,0))&amp;""),"")="","",IF(AN422="","New",AN422))</f>
        <v/>
      </c>
      <c r="AZ422" s="21">
        <f>IF(IFERROR(TRIM(INDEX($A422:$AL422,MATCH(Lists!$F$2,$A$1:$AL$1,0))&amp;""),"")="","",IF(OR(IFERROR(TRIM(INDEX($A422:$AL422,MATCH(Lists!$F$13,$A$1:$AL$1,0))&amp;""),"")="Paid",IFERROR(TRIM(INDEX($A422:$AL422,MATCH(Lists!$F$13,$A$1:$AL$1,0))&amp;""),"")="Partially refunded"),"Paid",IF(AP422="Yes","Paid (by hand)",IFERROR(TRIM(INDEX($A422:$AL422,MATCH(Lists!$F$13,$A$1:$AL$1,0))&amp;""),""))))</f>
        <v/>
      </c>
      <c r="BA422" s="21">
        <f>IF(AND(IFERROR(TRIM(INDEX($A422:$AL422,MATCH(Lists!$F$2,$A$1:$AL$1,0))&amp;""),"")&lt;&gt;"",AT422&gt;0,AU422&gt;=0,AV422&gt;AU422,AY422&lt;&gt;"Declined"),1,0)</f>
        <v/>
      </c>
      <c r="BB422" s="21">
        <f>IF(BA422=1,COUNTIFS($AS$2:$AS$501,AS422,$AT$2:$AT$501,AT422,$AU$2:$AU$501,"&lt;"&amp;AV422,$AV$2:$AV$501,"&gt;"&amp;AU422,$BA$2:$BA$501,1)-1,"")</f>
        <v/>
      </c>
      <c r="BC422" s="21">
        <f>IF(N(BB422)&gt;0,"Clashes with "&amp;INDEX($AW$2:$AW$501,SUMPRODUCT(MAX(($AS$2:$AS$501=AS422)*($AT$2:$AT$501=AT422)*($AU$2:$AU$501&lt;AV422)*($AV$2:$AV$501&gt;AU422)*($BA$2:$BA$501=1)*(ROW($AS$2:$AS$501)&lt;&gt;ROW())*ROW($AS$2:$AS$501)))-1)&amp;" ("&amp;INDEX($AY$2:$AY$501,SUMPRODUCT(MAX(($AS$2:$AS$501=AS422)*($AT$2:$AT$501=AT422)*($AU$2:$AU$501&lt;AV422)*($AV$2:$AV$501&gt;AU422)*($BA$2:$BA$501=1)*(ROW($AS$2:$AS$501)&lt;&gt;ROW())*ROW($AS$2:$AS$501)))-1)&amp;")"&amp;IF(BB422&gt;1," and "&amp;(BB422-1)&amp;" more",""),"")</f>
        <v/>
      </c>
      <c r="BD422" s="21">
        <f>IF(AND(BA422=1,AY422="Confirmed"),AT422*10000000+AU422*1000+ROW(),"")</f>
        <v/>
      </c>
      <c r="BE422" s="21">
        <f>IF(IFERROR(TRIM(INDEX($A422:$AL422,MATCH(Lists!$F$2,$A$1:$AL$1,0))&amp;""),"")="","",IFERROR(TRIM(INDEX($A422:$AL422,MATCH(Lists!$F$11,$A$1:$AL$1,0))&amp;""),""))</f>
        <v/>
      </c>
      <c r="BF422" s="21">
        <f>IF(IFERROR(TRIM(INDEX($A422:$AL422,MATCH(Lists!$F$2,$A$1:$AL$1,0))&amp;""),"")="","",IFERROR(TRIM(INDEX($A422:$AL422,MATCH(Lists!$F$12,$A$1:$AL$1,0))&amp;""),""))</f>
        <v/>
      </c>
    </row>
    <row r="423">
      <c r="AM423" s="19" t="n"/>
      <c r="AN423" s="23" t="n"/>
      <c r="AO423" s="23" t="n"/>
      <c r="AP423" s="23" t="n"/>
      <c r="AQ423" s="23" t="n"/>
      <c r="AR423" s="19" t="n"/>
      <c r="AS423" s="21">
        <f>IF(IFERROR(TRIM(INDEX($A423:$AL423,MATCH(Lists!$F$2,$A$1:$AL$1,0))&amp;""),"")="","",IF(AND(IFERROR(TRIM(INDEX($A423:$AL423,MATCH(Lists!$F$3,$A$1:$AL$1,0))&amp;""),"")="Other",IFERROR(TRIM(INDEX($A423:$AL423,MATCH(Lists!$F$4,$A$1:$AL$1,0))&amp;""),"")&lt;&gt;""),IFERROR(TRIM(INDEX($A423:$AL423,MATCH(Lists!$F$4,$A$1:$AL$1,0))&amp;""),""),IF(IFERROR(TRIM(INDEX($A423:$AL423,MATCH(Lists!$F$3,$A$1:$AL$1,0))&amp;""),"")="","(no space)",IFERROR(TRIM(INDEX($A423:$AL423,MATCH(Lists!$F$3,$A$1:$AL$1,0))&amp;""),""))))</f>
        <v/>
      </c>
      <c r="AT423" s="22">
        <f>IF(IFERROR(TRIM(INDEX($A423:$AL423,MATCH(Lists!$F$2,$A$1:$AL$1,0))&amp;""),"")="",0,N(IFERROR(IF(TRIM(INDEX($A423:$AL423,MATCH(Lists!$F$5,$A$1:$AL$1,0))&amp;"")="","",IF(ISNUMBER(INDEX($A423:$AL423,MATCH(Lists!$F$5,$A$1:$AL$1,0))),INT(INDEX($A423:$AL423,MATCH(Lists!$F$5,$A$1:$AL$1,0))),DATE(VALUE(LEFT(INDEX($A423:$AL423,MATCH(Lists!$F$5,$A$1:$AL$1,0)),4)),VALUE(MID(INDEX($A423:$AL423,MATCH(Lists!$F$5,$A$1:$AL$1,0)),6,2)),VALUE(MID(INDEX($A423:$AL423,MATCH(Lists!$F$5,$A$1:$AL$1,0)),9,2))))),"")))</f>
        <v/>
      </c>
      <c r="AU423" s="21">
        <f>IF(IFERROR(TRIM(INDEX($A423:$AL423,MATCH(Lists!$F$2,$A$1:$AL$1,0))&amp;""),"")="",-1,IF(ISNUMBER(IFERROR(IF(TRIM(INDEX($A423:$AL423,MATCH(Lists!$F$6,$A$1:$AL$1,0))&amp;"")="","",IF(ISNUMBER(INDEX($A423:$AL423,MATCH(Lists!$F$6,$A$1:$AL$1,0))),ROUND(MOD(INDEX($A423:$AL423,MATCH(Lists!$F$6,$A$1:$AL$1,0)),1)*1440,0),VALUE(LEFT(INDEX($A423:$AL423,MATCH(Lists!$F$6,$A$1:$AL$1,0)),2))*60+VALUE(MID(INDEX($A423:$AL423,MATCH(Lists!$F$6,$A$1:$AL$1,0)),4,2)))),"")),IFERROR(IF(TRIM(INDEX($A423:$AL423,MATCH(Lists!$F$6,$A$1:$AL$1,0))&amp;"")="","",IF(ISNUMBER(INDEX($A423:$AL423,MATCH(Lists!$F$6,$A$1:$AL$1,0))),ROUND(MOD(INDEX($A423:$AL423,MATCH(Lists!$F$6,$A$1:$AL$1,0)),1)*1440,0),VALUE(LEFT(INDEX($A423:$AL423,MATCH(Lists!$F$6,$A$1:$AL$1,0)),2))*60+VALUE(MID(INDEX($A423:$AL423,MATCH(Lists!$F$6,$A$1:$AL$1,0)),4,2)))),""),-1))</f>
        <v/>
      </c>
      <c r="AV423" s="21">
        <f>IF(IFERROR(TRIM(INDEX($A423:$AL423,MATCH(Lists!$F$2,$A$1:$AL$1,0))&amp;""),"")="",-1,IF(ISNUMBER(IFERROR(IF(TRIM(INDEX($A423:$AL423,MATCH(Lists!$F$7,$A$1:$AL$1,0))&amp;"")="","",IF(ISNUMBER(INDEX($A423:$AL423,MATCH(Lists!$F$7,$A$1:$AL$1,0))),ROUND(MOD(INDEX($A423:$AL423,MATCH(Lists!$F$7,$A$1:$AL$1,0)),1)*1440,0),VALUE(LEFT(INDEX($A423:$AL423,MATCH(Lists!$F$7,$A$1:$AL$1,0)),2))*60+VALUE(MID(INDEX($A423:$AL423,MATCH(Lists!$F$7,$A$1:$AL$1,0)),4,2)))),"")),IFERROR(IF(TRIM(INDEX($A423:$AL423,MATCH(Lists!$F$7,$A$1:$AL$1,0))&amp;"")="","",IF(ISNUMBER(INDEX($A423:$AL423,MATCH(Lists!$F$7,$A$1:$AL$1,0))),ROUND(MOD(INDEX($A423:$AL423,MATCH(Lists!$F$7,$A$1:$AL$1,0)),1)*1440,0),VALUE(LEFT(INDEX($A423:$AL423,MATCH(Lists!$F$7,$A$1:$AL$1,0)),2))*60+VALUE(MID(INDEX($A423:$AL423,MATCH(Lists!$F$7,$A$1:$AL$1,0)),4,2)))),""),-1))</f>
        <v/>
      </c>
      <c r="AW423" s="21">
        <f>IF(IFERROR(TRIM(INDEX($A423:$AL423,MATCH(Lists!$F$2,$A$1:$AL$1,0))&amp;""),"")="","",IF(IFERROR(TRIM(INDEX($A423:$AL423,MATCH(Lists!$F$8,$A$1:$AL$1,0))&amp;""),"")&lt;&gt;"",IFERROR(TRIM(INDEX($A423:$AL423,MATCH(Lists!$F$8,$A$1:$AL$1,0))&amp;""),""),IFERROR(TRIM(INDEX($A423:$AL423,MATCH(Lists!$F$9,$A$1:$AL$1,0))&amp;""),"")))</f>
        <v/>
      </c>
      <c r="AX423" s="21">
        <f>IFERROR(IF(TRIM(INDEX($A423:$AL423,MATCH(Lists!$F$10,$A$1:$AL$1,0))&amp;"")="","",VALUE(TRIM(INDEX($A423:$AL423,MATCH(Lists!$F$10,$A$1:$AL$1,0))&amp;""))),"")</f>
        <v/>
      </c>
      <c r="AY423" s="21">
        <f>IF(IFERROR(TRIM(INDEX($A423:$AL423,MATCH(Lists!$F$2,$A$1:$AL$1,0))&amp;""),"")="","",IF(AN423="","New",AN423))</f>
        <v/>
      </c>
      <c r="AZ423" s="21">
        <f>IF(IFERROR(TRIM(INDEX($A423:$AL423,MATCH(Lists!$F$2,$A$1:$AL$1,0))&amp;""),"")="","",IF(OR(IFERROR(TRIM(INDEX($A423:$AL423,MATCH(Lists!$F$13,$A$1:$AL$1,0))&amp;""),"")="Paid",IFERROR(TRIM(INDEX($A423:$AL423,MATCH(Lists!$F$13,$A$1:$AL$1,0))&amp;""),"")="Partially refunded"),"Paid",IF(AP423="Yes","Paid (by hand)",IFERROR(TRIM(INDEX($A423:$AL423,MATCH(Lists!$F$13,$A$1:$AL$1,0))&amp;""),""))))</f>
        <v/>
      </c>
      <c r="BA423" s="21">
        <f>IF(AND(IFERROR(TRIM(INDEX($A423:$AL423,MATCH(Lists!$F$2,$A$1:$AL$1,0))&amp;""),"")&lt;&gt;"",AT423&gt;0,AU423&gt;=0,AV423&gt;AU423,AY423&lt;&gt;"Declined"),1,0)</f>
        <v/>
      </c>
      <c r="BB423" s="21">
        <f>IF(BA423=1,COUNTIFS($AS$2:$AS$501,AS423,$AT$2:$AT$501,AT423,$AU$2:$AU$501,"&lt;"&amp;AV423,$AV$2:$AV$501,"&gt;"&amp;AU423,$BA$2:$BA$501,1)-1,"")</f>
        <v/>
      </c>
      <c r="BC423" s="21">
        <f>IF(N(BB423)&gt;0,"Clashes with "&amp;INDEX($AW$2:$AW$501,SUMPRODUCT(MAX(($AS$2:$AS$501=AS423)*($AT$2:$AT$501=AT423)*($AU$2:$AU$501&lt;AV423)*($AV$2:$AV$501&gt;AU423)*($BA$2:$BA$501=1)*(ROW($AS$2:$AS$501)&lt;&gt;ROW())*ROW($AS$2:$AS$501)))-1)&amp;" ("&amp;INDEX($AY$2:$AY$501,SUMPRODUCT(MAX(($AS$2:$AS$501=AS423)*($AT$2:$AT$501=AT423)*($AU$2:$AU$501&lt;AV423)*($AV$2:$AV$501&gt;AU423)*($BA$2:$BA$501=1)*(ROW($AS$2:$AS$501)&lt;&gt;ROW())*ROW($AS$2:$AS$501)))-1)&amp;")"&amp;IF(BB423&gt;1," and "&amp;(BB423-1)&amp;" more",""),"")</f>
        <v/>
      </c>
      <c r="BD423" s="21">
        <f>IF(AND(BA423=1,AY423="Confirmed"),AT423*10000000+AU423*1000+ROW(),"")</f>
        <v/>
      </c>
      <c r="BE423" s="21">
        <f>IF(IFERROR(TRIM(INDEX($A423:$AL423,MATCH(Lists!$F$2,$A$1:$AL$1,0))&amp;""),"")="","",IFERROR(TRIM(INDEX($A423:$AL423,MATCH(Lists!$F$11,$A$1:$AL$1,0))&amp;""),""))</f>
        <v/>
      </c>
      <c r="BF423" s="21">
        <f>IF(IFERROR(TRIM(INDEX($A423:$AL423,MATCH(Lists!$F$2,$A$1:$AL$1,0))&amp;""),"")="","",IFERROR(TRIM(INDEX($A423:$AL423,MATCH(Lists!$F$12,$A$1:$AL$1,0))&amp;""),""))</f>
        <v/>
      </c>
    </row>
    <row r="424">
      <c r="AM424" s="19" t="n"/>
      <c r="AN424" s="23" t="n"/>
      <c r="AO424" s="23" t="n"/>
      <c r="AP424" s="23" t="n"/>
      <c r="AQ424" s="23" t="n"/>
      <c r="AR424" s="19" t="n"/>
      <c r="AS424" s="21">
        <f>IF(IFERROR(TRIM(INDEX($A424:$AL424,MATCH(Lists!$F$2,$A$1:$AL$1,0))&amp;""),"")="","",IF(AND(IFERROR(TRIM(INDEX($A424:$AL424,MATCH(Lists!$F$3,$A$1:$AL$1,0))&amp;""),"")="Other",IFERROR(TRIM(INDEX($A424:$AL424,MATCH(Lists!$F$4,$A$1:$AL$1,0))&amp;""),"")&lt;&gt;""),IFERROR(TRIM(INDEX($A424:$AL424,MATCH(Lists!$F$4,$A$1:$AL$1,0))&amp;""),""),IF(IFERROR(TRIM(INDEX($A424:$AL424,MATCH(Lists!$F$3,$A$1:$AL$1,0))&amp;""),"")="","(no space)",IFERROR(TRIM(INDEX($A424:$AL424,MATCH(Lists!$F$3,$A$1:$AL$1,0))&amp;""),""))))</f>
        <v/>
      </c>
      <c r="AT424" s="22">
        <f>IF(IFERROR(TRIM(INDEX($A424:$AL424,MATCH(Lists!$F$2,$A$1:$AL$1,0))&amp;""),"")="",0,N(IFERROR(IF(TRIM(INDEX($A424:$AL424,MATCH(Lists!$F$5,$A$1:$AL$1,0))&amp;"")="","",IF(ISNUMBER(INDEX($A424:$AL424,MATCH(Lists!$F$5,$A$1:$AL$1,0))),INT(INDEX($A424:$AL424,MATCH(Lists!$F$5,$A$1:$AL$1,0))),DATE(VALUE(LEFT(INDEX($A424:$AL424,MATCH(Lists!$F$5,$A$1:$AL$1,0)),4)),VALUE(MID(INDEX($A424:$AL424,MATCH(Lists!$F$5,$A$1:$AL$1,0)),6,2)),VALUE(MID(INDEX($A424:$AL424,MATCH(Lists!$F$5,$A$1:$AL$1,0)),9,2))))),"")))</f>
        <v/>
      </c>
      <c r="AU424" s="21">
        <f>IF(IFERROR(TRIM(INDEX($A424:$AL424,MATCH(Lists!$F$2,$A$1:$AL$1,0))&amp;""),"")="",-1,IF(ISNUMBER(IFERROR(IF(TRIM(INDEX($A424:$AL424,MATCH(Lists!$F$6,$A$1:$AL$1,0))&amp;"")="","",IF(ISNUMBER(INDEX($A424:$AL424,MATCH(Lists!$F$6,$A$1:$AL$1,0))),ROUND(MOD(INDEX($A424:$AL424,MATCH(Lists!$F$6,$A$1:$AL$1,0)),1)*1440,0),VALUE(LEFT(INDEX($A424:$AL424,MATCH(Lists!$F$6,$A$1:$AL$1,0)),2))*60+VALUE(MID(INDEX($A424:$AL424,MATCH(Lists!$F$6,$A$1:$AL$1,0)),4,2)))),"")),IFERROR(IF(TRIM(INDEX($A424:$AL424,MATCH(Lists!$F$6,$A$1:$AL$1,0))&amp;"")="","",IF(ISNUMBER(INDEX($A424:$AL424,MATCH(Lists!$F$6,$A$1:$AL$1,0))),ROUND(MOD(INDEX($A424:$AL424,MATCH(Lists!$F$6,$A$1:$AL$1,0)),1)*1440,0),VALUE(LEFT(INDEX($A424:$AL424,MATCH(Lists!$F$6,$A$1:$AL$1,0)),2))*60+VALUE(MID(INDEX($A424:$AL424,MATCH(Lists!$F$6,$A$1:$AL$1,0)),4,2)))),""),-1))</f>
        <v/>
      </c>
      <c r="AV424" s="21">
        <f>IF(IFERROR(TRIM(INDEX($A424:$AL424,MATCH(Lists!$F$2,$A$1:$AL$1,0))&amp;""),"")="",-1,IF(ISNUMBER(IFERROR(IF(TRIM(INDEX($A424:$AL424,MATCH(Lists!$F$7,$A$1:$AL$1,0))&amp;"")="","",IF(ISNUMBER(INDEX($A424:$AL424,MATCH(Lists!$F$7,$A$1:$AL$1,0))),ROUND(MOD(INDEX($A424:$AL424,MATCH(Lists!$F$7,$A$1:$AL$1,0)),1)*1440,0),VALUE(LEFT(INDEX($A424:$AL424,MATCH(Lists!$F$7,$A$1:$AL$1,0)),2))*60+VALUE(MID(INDEX($A424:$AL424,MATCH(Lists!$F$7,$A$1:$AL$1,0)),4,2)))),"")),IFERROR(IF(TRIM(INDEX($A424:$AL424,MATCH(Lists!$F$7,$A$1:$AL$1,0))&amp;"")="","",IF(ISNUMBER(INDEX($A424:$AL424,MATCH(Lists!$F$7,$A$1:$AL$1,0))),ROUND(MOD(INDEX($A424:$AL424,MATCH(Lists!$F$7,$A$1:$AL$1,0)),1)*1440,0),VALUE(LEFT(INDEX($A424:$AL424,MATCH(Lists!$F$7,$A$1:$AL$1,0)),2))*60+VALUE(MID(INDEX($A424:$AL424,MATCH(Lists!$F$7,$A$1:$AL$1,0)),4,2)))),""),-1))</f>
        <v/>
      </c>
      <c r="AW424" s="21">
        <f>IF(IFERROR(TRIM(INDEX($A424:$AL424,MATCH(Lists!$F$2,$A$1:$AL$1,0))&amp;""),"")="","",IF(IFERROR(TRIM(INDEX($A424:$AL424,MATCH(Lists!$F$8,$A$1:$AL$1,0))&amp;""),"")&lt;&gt;"",IFERROR(TRIM(INDEX($A424:$AL424,MATCH(Lists!$F$8,$A$1:$AL$1,0))&amp;""),""),IFERROR(TRIM(INDEX($A424:$AL424,MATCH(Lists!$F$9,$A$1:$AL$1,0))&amp;""),"")))</f>
        <v/>
      </c>
      <c r="AX424" s="21">
        <f>IFERROR(IF(TRIM(INDEX($A424:$AL424,MATCH(Lists!$F$10,$A$1:$AL$1,0))&amp;"")="","",VALUE(TRIM(INDEX($A424:$AL424,MATCH(Lists!$F$10,$A$1:$AL$1,0))&amp;""))),"")</f>
        <v/>
      </c>
      <c r="AY424" s="21">
        <f>IF(IFERROR(TRIM(INDEX($A424:$AL424,MATCH(Lists!$F$2,$A$1:$AL$1,0))&amp;""),"")="","",IF(AN424="","New",AN424))</f>
        <v/>
      </c>
      <c r="AZ424" s="21">
        <f>IF(IFERROR(TRIM(INDEX($A424:$AL424,MATCH(Lists!$F$2,$A$1:$AL$1,0))&amp;""),"")="","",IF(OR(IFERROR(TRIM(INDEX($A424:$AL424,MATCH(Lists!$F$13,$A$1:$AL$1,0))&amp;""),"")="Paid",IFERROR(TRIM(INDEX($A424:$AL424,MATCH(Lists!$F$13,$A$1:$AL$1,0))&amp;""),"")="Partially refunded"),"Paid",IF(AP424="Yes","Paid (by hand)",IFERROR(TRIM(INDEX($A424:$AL424,MATCH(Lists!$F$13,$A$1:$AL$1,0))&amp;""),""))))</f>
        <v/>
      </c>
      <c r="BA424" s="21">
        <f>IF(AND(IFERROR(TRIM(INDEX($A424:$AL424,MATCH(Lists!$F$2,$A$1:$AL$1,0))&amp;""),"")&lt;&gt;"",AT424&gt;0,AU424&gt;=0,AV424&gt;AU424,AY424&lt;&gt;"Declined"),1,0)</f>
        <v/>
      </c>
      <c r="BB424" s="21">
        <f>IF(BA424=1,COUNTIFS($AS$2:$AS$501,AS424,$AT$2:$AT$501,AT424,$AU$2:$AU$501,"&lt;"&amp;AV424,$AV$2:$AV$501,"&gt;"&amp;AU424,$BA$2:$BA$501,1)-1,"")</f>
        <v/>
      </c>
      <c r="BC424" s="21">
        <f>IF(N(BB424)&gt;0,"Clashes with "&amp;INDEX($AW$2:$AW$501,SUMPRODUCT(MAX(($AS$2:$AS$501=AS424)*($AT$2:$AT$501=AT424)*($AU$2:$AU$501&lt;AV424)*($AV$2:$AV$501&gt;AU424)*($BA$2:$BA$501=1)*(ROW($AS$2:$AS$501)&lt;&gt;ROW())*ROW($AS$2:$AS$501)))-1)&amp;" ("&amp;INDEX($AY$2:$AY$501,SUMPRODUCT(MAX(($AS$2:$AS$501=AS424)*($AT$2:$AT$501=AT424)*($AU$2:$AU$501&lt;AV424)*($AV$2:$AV$501&gt;AU424)*($BA$2:$BA$501=1)*(ROW($AS$2:$AS$501)&lt;&gt;ROW())*ROW($AS$2:$AS$501)))-1)&amp;")"&amp;IF(BB424&gt;1," and "&amp;(BB424-1)&amp;" more",""),"")</f>
        <v/>
      </c>
      <c r="BD424" s="21">
        <f>IF(AND(BA424=1,AY424="Confirmed"),AT424*10000000+AU424*1000+ROW(),"")</f>
        <v/>
      </c>
      <c r="BE424" s="21">
        <f>IF(IFERROR(TRIM(INDEX($A424:$AL424,MATCH(Lists!$F$2,$A$1:$AL$1,0))&amp;""),"")="","",IFERROR(TRIM(INDEX($A424:$AL424,MATCH(Lists!$F$11,$A$1:$AL$1,0))&amp;""),""))</f>
        <v/>
      </c>
      <c r="BF424" s="21">
        <f>IF(IFERROR(TRIM(INDEX($A424:$AL424,MATCH(Lists!$F$2,$A$1:$AL$1,0))&amp;""),"")="","",IFERROR(TRIM(INDEX($A424:$AL424,MATCH(Lists!$F$12,$A$1:$AL$1,0))&amp;""),""))</f>
        <v/>
      </c>
    </row>
    <row r="425">
      <c r="AM425" s="19" t="n"/>
      <c r="AN425" s="23" t="n"/>
      <c r="AO425" s="23" t="n"/>
      <c r="AP425" s="23" t="n"/>
      <c r="AQ425" s="23" t="n"/>
      <c r="AR425" s="19" t="n"/>
      <c r="AS425" s="21">
        <f>IF(IFERROR(TRIM(INDEX($A425:$AL425,MATCH(Lists!$F$2,$A$1:$AL$1,0))&amp;""),"")="","",IF(AND(IFERROR(TRIM(INDEX($A425:$AL425,MATCH(Lists!$F$3,$A$1:$AL$1,0))&amp;""),"")="Other",IFERROR(TRIM(INDEX($A425:$AL425,MATCH(Lists!$F$4,$A$1:$AL$1,0))&amp;""),"")&lt;&gt;""),IFERROR(TRIM(INDEX($A425:$AL425,MATCH(Lists!$F$4,$A$1:$AL$1,0))&amp;""),""),IF(IFERROR(TRIM(INDEX($A425:$AL425,MATCH(Lists!$F$3,$A$1:$AL$1,0))&amp;""),"")="","(no space)",IFERROR(TRIM(INDEX($A425:$AL425,MATCH(Lists!$F$3,$A$1:$AL$1,0))&amp;""),""))))</f>
        <v/>
      </c>
      <c r="AT425" s="22">
        <f>IF(IFERROR(TRIM(INDEX($A425:$AL425,MATCH(Lists!$F$2,$A$1:$AL$1,0))&amp;""),"")="",0,N(IFERROR(IF(TRIM(INDEX($A425:$AL425,MATCH(Lists!$F$5,$A$1:$AL$1,0))&amp;"")="","",IF(ISNUMBER(INDEX($A425:$AL425,MATCH(Lists!$F$5,$A$1:$AL$1,0))),INT(INDEX($A425:$AL425,MATCH(Lists!$F$5,$A$1:$AL$1,0))),DATE(VALUE(LEFT(INDEX($A425:$AL425,MATCH(Lists!$F$5,$A$1:$AL$1,0)),4)),VALUE(MID(INDEX($A425:$AL425,MATCH(Lists!$F$5,$A$1:$AL$1,0)),6,2)),VALUE(MID(INDEX($A425:$AL425,MATCH(Lists!$F$5,$A$1:$AL$1,0)),9,2))))),"")))</f>
        <v/>
      </c>
      <c r="AU425" s="21">
        <f>IF(IFERROR(TRIM(INDEX($A425:$AL425,MATCH(Lists!$F$2,$A$1:$AL$1,0))&amp;""),"")="",-1,IF(ISNUMBER(IFERROR(IF(TRIM(INDEX($A425:$AL425,MATCH(Lists!$F$6,$A$1:$AL$1,0))&amp;"")="","",IF(ISNUMBER(INDEX($A425:$AL425,MATCH(Lists!$F$6,$A$1:$AL$1,0))),ROUND(MOD(INDEX($A425:$AL425,MATCH(Lists!$F$6,$A$1:$AL$1,0)),1)*1440,0),VALUE(LEFT(INDEX($A425:$AL425,MATCH(Lists!$F$6,$A$1:$AL$1,0)),2))*60+VALUE(MID(INDEX($A425:$AL425,MATCH(Lists!$F$6,$A$1:$AL$1,0)),4,2)))),"")),IFERROR(IF(TRIM(INDEX($A425:$AL425,MATCH(Lists!$F$6,$A$1:$AL$1,0))&amp;"")="","",IF(ISNUMBER(INDEX($A425:$AL425,MATCH(Lists!$F$6,$A$1:$AL$1,0))),ROUND(MOD(INDEX($A425:$AL425,MATCH(Lists!$F$6,$A$1:$AL$1,0)),1)*1440,0),VALUE(LEFT(INDEX($A425:$AL425,MATCH(Lists!$F$6,$A$1:$AL$1,0)),2))*60+VALUE(MID(INDEX($A425:$AL425,MATCH(Lists!$F$6,$A$1:$AL$1,0)),4,2)))),""),-1))</f>
        <v/>
      </c>
      <c r="AV425" s="21">
        <f>IF(IFERROR(TRIM(INDEX($A425:$AL425,MATCH(Lists!$F$2,$A$1:$AL$1,0))&amp;""),"")="",-1,IF(ISNUMBER(IFERROR(IF(TRIM(INDEX($A425:$AL425,MATCH(Lists!$F$7,$A$1:$AL$1,0))&amp;"")="","",IF(ISNUMBER(INDEX($A425:$AL425,MATCH(Lists!$F$7,$A$1:$AL$1,0))),ROUND(MOD(INDEX($A425:$AL425,MATCH(Lists!$F$7,$A$1:$AL$1,0)),1)*1440,0),VALUE(LEFT(INDEX($A425:$AL425,MATCH(Lists!$F$7,$A$1:$AL$1,0)),2))*60+VALUE(MID(INDEX($A425:$AL425,MATCH(Lists!$F$7,$A$1:$AL$1,0)),4,2)))),"")),IFERROR(IF(TRIM(INDEX($A425:$AL425,MATCH(Lists!$F$7,$A$1:$AL$1,0))&amp;"")="","",IF(ISNUMBER(INDEX($A425:$AL425,MATCH(Lists!$F$7,$A$1:$AL$1,0))),ROUND(MOD(INDEX($A425:$AL425,MATCH(Lists!$F$7,$A$1:$AL$1,0)),1)*1440,0),VALUE(LEFT(INDEX($A425:$AL425,MATCH(Lists!$F$7,$A$1:$AL$1,0)),2))*60+VALUE(MID(INDEX($A425:$AL425,MATCH(Lists!$F$7,$A$1:$AL$1,0)),4,2)))),""),-1))</f>
        <v/>
      </c>
      <c r="AW425" s="21">
        <f>IF(IFERROR(TRIM(INDEX($A425:$AL425,MATCH(Lists!$F$2,$A$1:$AL$1,0))&amp;""),"")="","",IF(IFERROR(TRIM(INDEX($A425:$AL425,MATCH(Lists!$F$8,$A$1:$AL$1,0))&amp;""),"")&lt;&gt;"",IFERROR(TRIM(INDEX($A425:$AL425,MATCH(Lists!$F$8,$A$1:$AL$1,0))&amp;""),""),IFERROR(TRIM(INDEX($A425:$AL425,MATCH(Lists!$F$9,$A$1:$AL$1,0))&amp;""),"")))</f>
        <v/>
      </c>
      <c r="AX425" s="21">
        <f>IFERROR(IF(TRIM(INDEX($A425:$AL425,MATCH(Lists!$F$10,$A$1:$AL$1,0))&amp;"")="","",VALUE(TRIM(INDEX($A425:$AL425,MATCH(Lists!$F$10,$A$1:$AL$1,0))&amp;""))),"")</f>
        <v/>
      </c>
      <c r="AY425" s="21">
        <f>IF(IFERROR(TRIM(INDEX($A425:$AL425,MATCH(Lists!$F$2,$A$1:$AL$1,0))&amp;""),"")="","",IF(AN425="","New",AN425))</f>
        <v/>
      </c>
      <c r="AZ425" s="21">
        <f>IF(IFERROR(TRIM(INDEX($A425:$AL425,MATCH(Lists!$F$2,$A$1:$AL$1,0))&amp;""),"")="","",IF(OR(IFERROR(TRIM(INDEX($A425:$AL425,MATCH(Lists!$F$13,$A$1:$AL$1,0))&amp;""),"")="Paid",IFERROR(TRIM(INDEX($A425:$AL425,MATCH(Lists!$F$13,$A$1:$AL$1,0))&amp;""),"")="Partially refunded"),"Paid",IF(AP425="Yes","Paid (by hand)",IFERROR(TRIM(INDEX($A425:$AL425,MATCH(Lists!$F$13,$A$1:$AL$1,0))&amp;""),""))))</f>
        <v/>
      </c>
      <c r="BA425" s="21">
        <f>IF(AND(IFERROR(TRIM(INDEX($A425:$AL425,MATCH(Lists!$F$2,$A$1:$AL$1,0))&amp;""),"")&lt;&gt;"",AT425&gt;0,AU425&gt;=0,AV425&gt;AU425,AY425&lt;&gt;"Declined"),1,0)</f>
        <v/>
      </c>
      <c r="BB425" s="21">
        <f>IF(BA425=1,COUNTIFS($AS$2:$AS$501,AS425,$AT$2:$AT$501,AT425,$AU$2:$AU$501,"&lt;"&amp;AV425,$AV$2:$AV$501,"&gt;"&amp;AU425,$BA$2:$BA$501,1)-1,"")</f>
        <v/>
      </c>
      <c r="BC425" s="21">
        <f>IF(N(BB425)&gt;0,"Clashes with "&amp;INDEX($AW$2:$AW$501,SUMPRODUCT(MAX(($AS$2:$AS$501=AS425)*($AT$2:$AT$501=AT425)*($AU$2:$AU$501&lt;AV425)*($AV$2:$AV$501&gt;AU425)*($BA$2:$BA$501=1)*(ROW($AS$2:$AS$501)&lt;&gt;ROW())*ROW($AS$2:$AS$501)))-1)&amp;" ("&amp;INDEX($AY$2:$AY$501,SUMPRODUCT(MAX(($AS$2:$AS$501=AS425)*($AT$2:$AT$501=AT425)*($AU$2:$AU$501&lt;AV425)*($AV$2:$AV$501&gt;AU425)*($BA$2:$BA$501=1)*(ROW($AS$2:$AS$501)&lt;&gt;ROW())*ROW($AS$2:$AS$501)))-1)&amp;")"&amp;IF(BB425&gt;1," and "&amp;(BB425-1)&amp;" more",""),"")</f>
        <v/>
      </c>
      <c r="BD425" s="21">
        <f>IF(AND(BA425=1,AY425="Confirmed"),AT425*10000000+AU425*1000+ROW(),"")</f>
        <v/>
      </c>
      <c r="BE425" s="21">
        <f>IF(IFERROR(TRIM(INDEX($A425:$AL425,MATCH(Lists!$F$2,$A$1:$AL$1,0))&amp;""),"")="","",IFERROR(TRIM(INDEX($A425:$AL425,MATCH(Lists!$F$11,$A$1:$AL$1,0))&amp;""),""))</f>
        <v/>
      </c>
      <c r="BF425" s="21">
        <f>IF(IFERROR(TRIM(INDEX($A425:$AL425,MATCH(Lists!$F$2,$A$1:$AL$1,0))&amp;""),"")="","",IFERROR(TRIM(INDEX($A425:$AL425,MATCH(Lists!$F$12,$A$1:$AL$1,0))&amp;""),""))</f>
        <v/>
      </c>
    </row>
    <row r="426">
      <c r="AM426" s="19" t="n"/>
      <c r="AN426" s="23" t="n"/>
      <c r="AO426" s="23" t="n"/>
      <c r="AP426" s="23" t="n"/>
      <c r="AQ426" s="23" t="n"/>
      <c r="AR426" s="19" t="n"/>
      <c r="AS426" s="21">
        <f>IF(IFERROR(TRIM(INDEX($A426:$AL426,MATCH(Lists!$F$2,$A$1:$AL$1,0))&amp;""),"")="","",IF(AND(IFERROR(TRIM(INDEX($A426:$AL426,MATCH(Lists!$F$3,$A$1:$AL$1,0))&amp;""),"")="Other",IFERROR(TRIM(INDEX($A426:$AL426,MATCH(Lists!$F$4,$A$1:$AL$1,0))&amp;""),"")&lt;&gt;""),IFERROR(TRIM(INDEX($A426:$AL426,MATCH(Lists!$F$4,$A$1:$AL$1,0))&amp;""),""),IF(IFERROR(TRIM(INDEX($A426:$AL426,MATCH(Lists!$F$3,$A$1:$AL$1,0))&amp;""),"")="","(no space)",IFERROR(TRIM(INDEX($A426:$AL426,MATCH(Lists!$F$3,$A$1:$AL$1,0))&amp;""),""))))</f>
        <v/>
      </c>
      <c r="AT426" s="22">
        <f>IF(IFERROR(TRIM(INDEX($A426:$AL426,MATCH(Lists!$F$2,$A$1:$AL$1,0))&amp;""),"")="",0,N(IFERROR(IF(TRIM(INDEX($A426:$AL426,MATCH(Lists!$F$5,$A$1:$AL$1,0))&amp;"")="","",IF(ISNUMBER(INDEX($A426:$AL426,MATCH(Lists!$F$5,$A$1:$AL$1,0))),INT(INDEX($A426:$AL426,MATCH(Lists!$F$5,$A$1:$AL$1,0))),DATE(VALUE(LEFT(INDEX($A426:$AL426,MATCH(Lists!$F$5,$A$1:$AL$1,0)),4)),VALUE(MID(INDEX($A426:$AL426,MATCH(Lists!$F$5,$A$1:$AL$1,0)),6,2)),VALUE(MID(INDEX($A426:$AL426,MATCH(Lists!$F$5,$A$1:$AL$1,0)),9,2))))),"")))</f>
        <v/>
      </c>
      <c r="AU426" s="21">
        <f>IF(IFERROR(TRIM(INDEX($A426:$AL426,MATCH(Lists!$F$2,$A$1:$AL$1,0))&amp;""),"")="",-1,IF(ISNUMBER(IFERROR(IF(TRIM(INDEX($A426:$AL426,MATCH(Lists!$F$6,$A$1:$AL$1,0))&amp;"")="","",IF(ISNUMBER(INDEX($A426:$AL426,MATCH(Lists!$F$6,$A$1:$AL$1,0))),ROUND(MOD(INDEX($A426:$AL426,MATCH(Lists!$F$6,$A$1:$AL$1,0)),1)*1440,0),VALUE(LEFT(INDEX($A426:$AL426,MATCH(Lists!$F$6,$A$1:$AL$1,0)),2))*60+VALUE(MID(INDEX($A426:$AL426,MATCH(Lists!$F$6,$A$1:$AL$1,0)),4,2)))),"")),IFERROR(IF(TRIM(INDEX($A426:$AL426,MATCH(Lists!$F$6,$A$1:$AL$1,0))&amp;"")="","",IF(ISNUMBER(INDEX($A426:$AL426,MATCH(Lists!$F$6,$A$1:$AL$1,0))),ROUND(MOD(INDEX($A426:$AL426,MATCH(Lists!$F$6,$A$1:$AL$1,0)),1)*1440,0),VALUE(LEFT(INDEX($A426:$AL426,MATCH(Lists!$F$6,$A$1:$AL$1,0)),2))*60+VALUE(MID(INDEX($A426:$AL426,MATCH(Lists!$F$6,$A$1:$AL$1,0)),4,2)))),""),-1))</f>
        <v/>
      </c>
      <c r="AV426" s="21">
        <f>IF(IFERROR(TRIM(INDEX($A426:$AL426,MATCH(Lists!$F$2,$A$1:$AL$1,0))&amp;""),"")="",-1,IF(ISNUMBER(IFERROR(IF(TRIM(INDEX($A426:$AL426,MATCH(Lists!$F$7,$A$1:$AL$1,0))&amp;"")="","",IF(ISNUMBER(INDEX($A426:$AL426,MATCH(Lists!$F$7,$A$1:$AL$1,0))),ROUND(MOD(INDEX($A426:$AL426,MATCH(Lists!$F$7,$A$1:$AL$1,0)),1)*1440,0),VALUE(LEFT(INDEX($A426:$AL426,MATCH(Lists!$F$7,$A$1:$AL$1,0)),2))*60+VALUE(MID(INDEX($A426:$AL426,MATCH(Lists!$F$7,$A$1:$AL$1,0)),4,2)))),"")),IFERROR(IF(TRIM(INDEX($A426:$AL426,MATCH(Lists!$F$7,$A$1:$AL$1,0))&amp;"")="","",IF(ISNUMBER(INDEX($A426:$AL426,MATCH(Lists!$F$7,$A$1:$AL$1,0))),ROUND(MOD(INDEX($A426:$AL426,MATCH(Lists!$F$7,$A$1:$AL$1,0)),1)*1440,0),VALUE(LEFT(INDEX($A426:$AL426,MATCH(Lists!$F$7,$A$1:$AL$1,0)),2))*60+VALUE(MID(INDEX($A426:$AL426,MATCH(Lists!$F$7,$A$1:$AL$1,0)),4,2)))),""),-1))</f>
        <v/>
      </c>
      <c r="AW426" s="21">
        <f>IF(IFERROR(TRIM(INDEX($A426:$AL426,MATCH(Lists!$F$2,$A$1:$AL$1,0))&amp;""),"")="","",IF(IFERROR(TRIM(INDEX($A426:$AL426,MATCH(Lists!$F$8,$A$1:$AL$1,0))&amp;""),"")&lt;&gt;"",IFERROR(TRIM(INDEX($A426:$AL426,MATCH(Lists!$F$8,$A$1:$AL$1,0))&amp;""),""),IFERROR(TRIM(INDEX($A426:$AL426,MATCH(Lists!$F$9,$A$1:$AL$1,0))&amp;""),"")))</f>
        <v/>
      </c>
      <c r="AX426" s="21">
        <f>IFERROR(IF(TRIM(INDEX($A426:$AL426,MATCH(Lists!$F$10,$A$1:$AL$1,0))&amp;"")="","",VALUE(TRIM(INDEX($A426:$AL426,MATCH(Lists!$F$10,$A$1:$AL$1,0))&amp;""))),"")</f>
        <v/>
      </c>
      <c r="AY426" s="21">
        <f>IF(IFERROR(TRIM(INDEX($A426:$AL426,MATCH(Lists!$F$2,$A$1:$AL$1,0))&amp;""),"")="","",IF(AN426="","New",AN426))</f>
        <v/>
      </c>
      <c r="AZ426" s="21">
        <f>IF(IFERROR(TRIM(INDEX($A426:$AL426,MATCH(Lists!$F$2,$A$1:$AL$1,0))&amp;""),"")="","",IF(OR(IFERROR(TRIM(INDEX($A426:$AL426,MATCH(Lists!$F$13,$A$1:$AL$1,0))&amp;""),"")="Paid",IFERROR(TRIM(INDEX($A426:$AL426,MATCH(Lists!$F$13,$A$1:$AL$1,0))&amp;""),"")="Partially refunded"),"Paid",IF(AP426="Yes","Paid (by hand)",IFERROR(TRIM(INDEX($A426:$AL426,MATCH(Lists!$F$13,$A$1:$AL$1,0))&amp;""),""))))</f>
        <v/>
      </c>
      <c r="BA426" s="21">
        <f>IF(AND(IFERROR(TRIM(INDEX($A426:$AL426,MATCH(Lists!$F$2,$A$1:$AL$1,0))&amp;""),"")&lt;&gt;"",AT426&gt;0,AU426&gt;=0,AV426&gt;AU426,AY426&lt;&gt;"Declined"),1,0)</f>
        <v/>
      </c>
      <c r="BB426" s="21">
        <f>IF(BA426=1,COUNTIFS($AS$2:$AS$501,AS426,$AT$2:$AT$501,AT426,$AU$2:$AU$501,"&lt;"&amp;AV426,$AV$2:$AV$501,"&gt;"&amp;AU426,$BA$2:$BA$501,1)-1,"")</f>
        <v/>
      </c>
      <c r="BC426" s="21">
        <f>IF(N(BB426)&gt;0,"Clashes with "&amp;INDEX($AW$2:$AW$501,SUMPRODUCT(MAX(($AS$2:$AS$501=AS426)*($AT$2:$AT$501=AT426)*($AU$2:$AU$501&lt;AV426)*($AV$2:$AV$501&gt;AU426)*($BA$2:$BA$501=1)*(ROW($AS$2:$AS$501)&lt;&gt;ROW())*ROW($AS$2:$AS$501)))-1)&amp;" ("&amp;INDEX($AY$2:$AY$501,SUMPRODUCT(MAX(($AS$2:$AS$501=AS426)*($AT$2:$AT$501=AT426)*($AU$2:$AU$501&lt;AV426)*($AV$2:$AV$501&gt;AU426)*($BA$2:$BA$501=1)*(ROW($AS$2:$AS$501)&lt;&gt;ROW())*ROW($AS$2:$AS$501)))-1)&amp;")"&amp;IF(BB426&gt;1," and "&amp;(BB426-1)&amp;" more",""),"")</f>
        <v/>
      </c>
      <c r="BD426" s="21">
        <f>IF(AND(BA426=1,AY426="Confirmed"),AT426*10000000+AU426*1000+ROW(),"")</f>
        <v/>
      </c>
      <c r="BE426" s="21">
        <f>IF(IFERROR(TRIM(INDEX($A426:$AL426,MATCH(Lists!$F$2,$A$1:$AL$1,0))&amp;""),"")="","",IFERROR(TRIM(INDEX($A426:$AL426,MATCH(Lists!$F$11,$A$1:$AL$1,0))&amp;""),""))</f>
        <v/>
      </c>
      <c r="BF426" s="21">
        <f>IF(IFERROR(TRIM(INDEX($A426:$AL426,MATCH(Lists!$F$2,$A$1:$AL$1,0))&amp;""),"")="","",IFERROR(TRIM(INDEX($A426:$AL426,MATCH(Lists!$F$12,$A$1:$AL$1,0))&amp;""),""))</f>
        <v/>
      </c>
    </row>
    <row r="427">
      <c r="AM427" s="19" t="n"/>
      <c r="AN427" s="23" t="n"/>
      <c r="AO427" s="23" t="n"/>
      <c r="AP427" s="23" t="n"/>
      <c r="AQ427" s="23" t="n"/>
      <c r="AR427" s="19" t="n"/>
      <c r="AS427" s="21">
        <f>IF(IFERROR(TRIM(INDEX($A427:$AL427,MATCH(Lists!$F$2,$A$1:$AL$1,0))&amp;""),"")="","",IF(AND(IFERROR(TRIM(INDEX($A427:$AL427,MATCH(Lists!$F$3,$A$1:$AL$1,0))&amp;""),"")="Other",IFERROR(TRIM(INDEX($A427:$AL427,MATCH(Lists!$F$4,$A$1:$AL$1,0))&amp;""),"")&lt;&gt;""),IFERROR(TRIM(INDEX($A427:$AL427,MATCH(Lists!$F$4,$A$1:$AL$1,0))&amp;""),""),IF(IFERROR(TRIM(INDEX($A427:$AL427,MATCH(Lists!$F$3,$A$1:$AL$1,0))&amp;""),"")="","(no space)",IFERROR(TRIM(INDEX($A427:$AL427,MATCH(Lists!$F$3,$A$1:$AL$1,0))&amp;""),""))))</f>
        <v/>
      </c>
      <c r="AT427" s="22">
        <f>IF(IFERROR(TRIM(INDEX($A427:$AL427,MATCH(Lists!$F$2,$A$1:$AL$1,0))&amp;""),"")="",0,N(IFERROR(IF(TRIM(INDEX($A427:$AL427,MATCH(Lists!$F$5,$A$1:$AL$1,0))&amp;"")="","",IF(ISNUMBER(INDEX($A427:$AL427,MATCH(Lists!$F$5,$A$1:$AL$1,0))),INT(INDEX($A427:$AL427,MATCH(Lists!$F$5,$A$1:$AL$1,0))),DATE(VALUE(LEFT(INDEX($A427:$AL427,MATCH(Lists!$F$5,$A$1:$AL$1,0)),4)),VALUE(MID(INDEX($A427:$AL427,MATCH(Lists!$F$5,$A$1:$AL$1,0)),6,2)),VALUE(MID(INDEX($A427:$AL427,MATCH(Lists!$F$5,$A$1:$AL$1,0)),9,2))))),"")))</f>
        <v/>
      </c>
      <c r="AU427" s="21">
        <f>IF(IFERROR(TRIM(INDEX($A427:$AL427,MATCH(Lists!$F$2,$A$1:$AL$1,0))&amp;""),"")="",-1,IF(ISNUMBER(IFERROR(IF(TRIM(INDEX($A427:$AL427,MATCH(Lists!$F$6,$A$1:$AL$1,0))&amp;"")="","",IF(ISNUMBER(INDEX($A427:$AL427,MATCH(Lists!$F$6,$A$1:$AL$1,0))),ROUND(MOD(INDEX($A427:$AL427,MATCH(Lists!$F$6,$A$1:$AL$1,0)),1)*1440,0),VALUE(LEFT(INDEX($A427:$AL427,MATCH(Lists!$F$6,$A$1:$AL$1,0)),2))*60+VALUE(MID(INDEX($A427:$AL427,MATCH(Lists!$F$6,$A$1:$AL$1,0)),4,2)))),"")),IFERROR(IF(TRIM(INDEX($A427:$AL427,MATCH(Lists!$F$6,$A$1:$AL$1,0))&amp;"")="","",IF(ISNUMBER(INDEX($A427:$AL427,MATCH(Lists!$F$6,$A$1:$AL$1,0))),ROUND(MOD(INDEX($A427:$AL427,MATCH(Lists!$F$6,$A$1:$AL$1,0)),1)*1440,0),VALUE(LEFT(INDEX($A427:$AL427,MATCH(Lists!$F$6,$A$1:$AL$1,0)),2))*60+VALUE(MID(INDEX($A427:$AL427,MATCH(Lists!$F$6,$A$1:$AL$1,0)),4,2)))),""),-1))</f>
        <v/>
      </c>
      <c r="AV427" s="21">
        <f>IF(IFERROR(TRIM(INDEX($A427:$AL427,MATCH(Lists!$F$2,$A$1:$AL$1,0))&amp;""),"")="",-1,IF(ISNUMBER(IFERROR(IF(TRIM(INDEX($A427:$AL427,MATCH(Lists!$F$7,$A$1:$AL$1,0))&amp;"")="","",IF(ISNUMBER(INDEX($A427:$AL427,MATCH(Lists!$F$7,$A$1:$AL$1,0))),ROUND(MOD(INDEX($A427:$AL427,MATCH(Lists!$F$7,$A$1:$AL$1,0)),1)*1440,0),VALUE(LEFT(INDEX($A427:$AL427,MATCH(Lists!$F$7,$A$1:$AL$1,0)),2))*60+VALUE(MID(INDEX($A427:$AL427,MATCH(Lists!$F$7,$A$1:$AL$1,0)),4,2)))),"")),IFERROR(IF(TRIM(INDEX($A427:$AL427,MATCH(Lists!$F$7,$A$1:$AL$1,0))&amp;"")="","",IF(ISNUMBER(INDEX($A427:$AL427,MATCH(Lists!$F$7,$A$1:$AL$1,0))),ROUND(MOD(INDEX($A427:$AL427,MATCH(Lists!$F$7,$A$1:$AL$1,0)),1)*1440,0),VALUE(LEFT(INDEX($A427:$AL427,MATCH(Lists!$F$7,$A$1:$AL$1,0)),2))*60+VALUE(MID(INDEX($A427:$AL427,MATCH(Lists!$F$7,$A$1:$AL$1,0)),4,2)))),""),-1))</f>
        <v/>
      </c>
      <c r="AW427" s="21">
        <f>IF(IFERROR(TRIM(INDEX($A427:$AL427,MATCH(Lists!$F$2,$A$1:$AL$1,0))&amp;""),"")="","",IF(IFERROR(TRIM(INDEX($A427:$AL427,MATCH(Lists!$F$8,$A$1:$AL$1,0))&amp;""),"")&lt;&gt;"",IFERROR(TRIM(INDEX($A427:$AL427,MATCH(Lists!$F$8,$A$1:$AL$1,0))&amp;""),""),IFERROR(TRIM(INDEX($A427:$AL427,MATCH(Lists!$F$9,$A$1:$AL$1,0))&amp;""),"")))</f>
        <v/>
      </c>
      <c r="AX427" s="21">
        <f>IFERROR(IF(TRIM(INDEX($A427:$AL427,MATCH(Lists!$F$10,$A$1:$AL$1,0))&amp;"")="","",VALUE(TRIM(INDEX($A427:$AL427,MATCH(Lists!$F$10,$A$1:$AL$1,0))&amp;""))),"")</f>
        <v/>
      </c>
      <c r="AY427" s="21">
        <f>IF(IFERROR(TRIM(INDEX($A427:$AL427,MATCH(Lists!$F$2,$A$1:$AL$1,0))&amp;""),"")="","",IF(AN427="","New",AN427))</f>
        <v/>
      </c>
      <c r="AZ427" s="21">
        <f>IF(IFERROR(TRIM(INDEX($A427:$AL427,MATCH(Lists!$F$2,$A$1:$AL$1,0))&amp;""),"")="","",IF(OR(IFERROR(TRIM(INDEX($A427:$AL427,MATCH(Lists!$F$13,$A$1:$AL$1,0))&amp;""),"")="Paid",IFERROR(TRIM(INDEX($A427:$AL427,MATCH(Lists!$F$13,$A$1:$AL$1,0))&amp;""),"")="Partially refunded"),"Paid",IF(AP427="Yes","Paid (by hand)",IFERROR(TRIM(INDEX($A427:$AL427,MATCH(Lists!$F$13,$A$1:$AL$1,0))&amp;""),""))))</f>
        <v/>
      </c>
      <c r="BA427" s="21">
        <f>IF(AND(IFERROR(TRIM(INDEX($A427:$AL427,MATCH(Lists!$F$2,$A$1:$AL$1,0))&amp;""),"")&lt;&gt;"",AT427&gt;0,AU427&gt;=0,AV427&gt;AU427,AY427&lt;&gt;"Declined"),1,0)</f>
        <v/>
      </c>
      <c r="BB427" s="21">
        <f>IF(BA427=1,COUNTIFS($AS$2:$AS$501,AS427,$AT$2:$AT$501,AT427,$AU$2:$AU$501,"&lt;"&amp;AV427,$AV$2:$AV$501,"&gt;"&amp;AU427,$BA$2:$BA$501,1)-1,"")</f>
        <v/>
      </c>
      <c r="BC427" s="21">
        <f>IF(N(BB427)&gt;0,"Clashes with "&amp;INDEX($AW$2:$AW$501,SUMPRODUCT(MAX(($AS$2:$AS$501=AS427)*($AT$2:$AT$501=AT427)*($AU$2:$AU$501&lt;AV427)*($AV$2:$AV$501&gt;AU427)*($BA$2:$BA$501=1)*(ROW($AS$2:$AS$501)&lt;&gt;ROW())*ROW($AS$2:$AS$501)))-1)&amp;" ("&amp;INDEX($AY$2:$AY$501,SUMPRODUCT(MAX(($AS$2:$AS$501=AS427)*($AT$2:$AT$501=AT427)*($AU$2:$AU$501&lt;AV427)*($AV$2:$AV$501&gt;AU427)*($BA$2:$BA$501=1)*(ROW($AS$2:$AS$501)&lt;&gt;ROW())*ROW($AS$2:$AS$501)))-1)&amp;")"&amp;IF(BB427&gt;1," and "&amp;(BB427-1)&amp;" more",""),"")</f>
        <v/>
      </c>
      <c r="BD427" s="21">
        <f>IF(AND(BA427=1,AY427="Confirmed"),AT427*10000000+AU427*1000+ROW(),"")</f>
        <v/>
      </c>
      <c r="BE427" s="21">
        <f>IF(IFERROR(TRIM(INDEX($A427:$AL427,MATCH(Lists!$F$2,$A$1:$AL$1,0))&amp;""),"")="","",IFERROR(TRIM(INDEX($A427:$AL427,MATCH(Lists!$F$11,$A$1:$AL$1,0))&amp;""),""))</f>
        <v/>
      </c>
      <c r="BF427" s="21">
        <f>IF(IFERROR(TRIM(INDEX($A427:$AL427,MATCH(Lists!$F$2,$A$1:$AL$1,0))&amp;""),"")="","",IFERROR(TRIM(INDEX($A427:$AL427,MATCH(Lists!$F$12,$A$1:$AL$1,0))&amp;""),""))</f>
        <v/>
      </c>
    </row>
    <row r="428">
      <c r="AM428" s="19" t="n"/>
      <c r="AN428" s="23" t="n"/>
      <c r="AO428" s="23" t="n"/>
      <c r="AP428" s="23" t="n"/>
      <c r="AQ428" s="23" t="n"/>
      <c r="AR428" s="19" t="n"/>
      <c r="AS428" s="21">
        <f>IF(IFERROR(TRIM(INDEX($A428:$AL428,MATCH(Lists!$F$2,$A$1:$AL$1,0))&amp;""),"")="","",IF(AND(IFERROR(TRIM(INDEX($A428:$AL428,MATCH(Lists!$F$3,$A$1:$AL$1,0))&amp;""),"")="Other",IFERROR(TRIM(INDEX($A428:$AL428,MATCH(Lists!$F$4,$A$1:$AL$1,0))&amp;""),"")&lt;&gt;""),IFERROR(TRIM(INDEX($A428:$AL428,MATCH(Lists!$F$4,$A$1:$AL$1,0))&amp;""),""),IF(IFERROR(TRIM(INDEX($A428:$AL428,MATCH(Lists!$F$3,$A$1:$AL$1,0))&amp;""),"")="","(no space)",IFERROR(TRIM(INDEX($A428:$AL428,MATCH(Lists!$F$3,$A$1:$AL$1,0))&amp;""),""))))</f>
        <v/>
      </c>
      <c r="AT428" s="22">
        <f>IF(IFERROR(TRIM(INDEX($A428:$AL428,MATCH(Lists!$F$2,$A$1:$AL$1,0))&amp;""),"")="",0,N(IFERROR(IF(TRIM(INDEX($A428:$AL428,MATCH(Lists!$F$5,$A$1:$AL$1,0))&amp;"")="","",IF(ISNUMBER(INDEX($A428:$AL428,MATCH(Lists!$F$5,$A$1:$AL$1,0))),INT(INDEX($A428:$AL428,MATCH(Lists!$F$5,$A$1:$AL$1,0))),DATE(VALUE(LEFT(INDEX($A428:$AL428,MATCH(Lists!$F$5,$A$1:$AL$1,0)),4)),VALUE(MID(INDEX($A428:$AL428,MATCH(Lists!$F$5,$A$1:$AL$1,0)),6,2)),VALUE(MID(INDEX($A428:$AL428,MATCH(Lists!$F$5,$A$1:$AL$1,0)),9,2))))),"")))</f>
        <v/>
      </c>
      <c r="AU428" s="21">
        <f>IF(IFERROR(TRIM(INDEX($A428:$AL428,MATCH(Lists!$F$2,$A$1:$AL$1,0))&amp;""),"")="",-1,IF(ISNUMBER(IFERROR(IF(TRIM(INDEX($A428:$AL428,MATCH(Lists!$F$6,$A$1:$AL$1,0))&amp;"")="","",IF(ISNUMBER(INDEX($A428:$AL428,MATCH(Lists!$F$6,$A$1:$AL$1,0))),ROUND(MOD(INDEX($A428:$AL428,MATCH(Lists!$F$6,$A$1:$AL$1,0)),1)*1440,0),VALUE(LEFT(INDEX($A428:$AL428,MATCH(Lists!$F$6,$A$1:$AL$1,0)),2))*60+VALUE(MID(INDEX($A428:$AL428,MATCH(Lists!$F$6,$A$1:$AL$1,0)),4,2)))),"")),IFERROR(IF(TRIM(INDEX($A428:$AL428,MATCH(Lists!$F$6,$A$1:$AL$1,0))&amp;"")="","",IF(ISNUMBER(INDEX($A428:$AL428,MATCH(Lists!$F$6,$A$1:$AL$1,0))),ROUND(MOD(INDEX($A428:$AL428,MATCH(Lists!$F$6,$A$1:$AL$1,0)),1)*1440,0),VALUE(LEFT(INDEX($A428:$AL428,MATCH(Lists!$F$6,$A$1:$AL$1,0)),2))*60+VALUE(MID(INDEX($A428:$AL428,MATCH(Lists!$F$6,$A$1:$AL$1,0)),4,2)))),""),-1))</f>
        <v/>
      </c>
      <c r="AV428" s="21">
        <f>IF(IFERROR(TRIM(INDEX($A428:$AL428,MATCH(Lists!$F$2,$A$1:$AL$1,0))&amp;""),"")="",-1,IF(ISNUMBER(IFERROR(IF(TRIM(INDEX($A428:$AL428,MATCH(Lists!$F$7,$A$1:$AL$1,0))&amp;"")="","",IF(ISNUMBER(INDEX($A428:$AL428,MATCH(Lists!$F$7,$A$1:$AL$1,0))),ROUND(MOD(INDEX($A428:$AL428,MATCH(Lists!$F$7,$A$1:$AL$1,0)),1)*1440,0),VALUE(LEFT(INDEX($A428:$AL428,MATCH(Lists!$F$7,$A$1:$AL$1,0)),2))*60+VALUE(MID(INDEX($A428:$AL428,MATCH(Lists!$F$7,$A$1:$AL$1,0)),4,2)))),"")),IFERROR(IF(TRIM(INDEX($A428:$AL428,MATCH(Lists!$F$7,$A$1:$AL$1,0))&amp;"")="","",IF(ISNUMBER(INDEX($A428:$AL428,MATCH(Lists!$F$7,$A$1:$AL$1,0))),ROUND(MOD(INDEX($A428:$AL428,MATCH(Lists!$F$7,$A$1:$AL$1,0)),1)*1440,0),VALUE(LEFT(INDEX($A428:$AL428,MATCH(Lists!$F$7,$A$1:$AL$1,0)),2))*60+VALUE(MID(INDEX($A428:$AL428,MATCH(Lists!$F$7,$A$1:$AL$1,0)),4,2)))),""),-1))</f>
        <v/>
      </c>
      <c r="AW428" s="21">
        <f>IF(IFERROR(TRIM(INDEX($A428:$AL428,MATCH(Lists!$F$2,$A$1:$AL$1,0))&amp;""),"")="","",IF(IFERROR(TRIM(INDEX($A428:$AL428,MATCH(Lists!$F$8,$A$1:$AL$1,0))&amp;""),"")&lt;&gt;"",IFERROR(TRIM(INDEX($A428:$AL428,MATCH(Lists!$F$8,$A$1:$AL$1,0))&amp;""),""),IFERROR(TRIM(INDEX($A428:$AL428,MATCH(Lists!$F$9,$A$1:$AL$1,0))&amp;""),"")))</f>
        <v/>
      </c>
      <c r="AX428" s="21">
        <f>IFERROR(IF(TRIM(INDEX($A428:$AL428,MATCH(Lists!$F$10,$A$1:$AL$1,0))&amp;"")="","",VALUE(TRIM(INDEX($A428:$AL428,MATCH(Lists!$F$10,$A$1:$AL$1,0))&amp;""))),"")</f>
        <v/>
      </c>
      <c r="AY428" s="21">
        <f>IF(IFERROR(TRIM(INDEX($A428:$AL428,MATCH(Lists!$F$2,$A$1:$AL$1,0))&amp;""),"")="","",IF(AN428="","New",AN428))</f>
        <v/>
      </c>
      <c r="AZ428" s="21">
        <f>IF(IFERROR(TRIM(INDEX($A428:$AL428,MATCH(Lists!$F$2,$A$1:$AL$1,0))&amp;""),"")="","",IF(OR(IFERROR(TRIM(INDEX($A428:$AL428,MATCH(Lists!$F$13,$A$1:$AL$1,0))&amp;""),"")="Paid",IFERROR(TRIM(INDEX($A428:$AL428,MATCH(Lists!$F$13,$A$1:$AL$1,0))&amp;""),"")="Partially refunded"),"Paid",IF(AP428="Yes","Paid (by hand)",IFERROR(TRIM(INDEX($A428:$AL428,MATCH(Lists!$F$13,$A$1:$AL$1,0))&amp;""),""))))</f>
        <v/>
      </c>
      <c r="BA428" s="21">
        <f>IF(AND(IFERROR(TRIM(INDEX($A428:$AL428,MATCH(Lists!$F$2,$A$1:$AL$1,0))&amp;""),"")&lt;&gt;"",AT428&gt;0,AU428&gt;=0,AV428&gt;AU428,AY428&lt;&gt;"Declined"),1,0)</f>
        <v/>
      </c>
      <c r="BB428" s="21">
        <f>IF(BA428=1,COUNTIFS($AS$2:$AS$501,AS428,$AT$2:$AT$501,AT428,$AU$2:$AU$501,"&lt;"&amp;AV428,$AV$2:$AV$501,"&gt;"&amp;AU428,$BA$2:$BA$501,1)-1,"")</f>
        <v/>
      </c>
      <c r="BC428" s="21">
        <f>IF(N(BB428)&gt;0,"Clashes with "&amp;INDEX($AW$2:$AW$501,SUMPRODUCT(MAX(($AS$2:$AS$501=AS428)*($AT$2:$AT$501=AT428)*($AU$2:$AU$501&lt;AV428)*($AV$2:$AV$501&gt;AU428)*($BA$2:$BA$501=1)*(ROW($AS$2:$AS$501)&lt;&gt;ROW())*ROW($AS$2:$AS$501)))-1)&amp;" ("&amp;INDEX($AY$2:$AY$501,SUMPRODUCT(MAX(($AS$2:$AS$501=AS428)*($AT$2:$AT$501=AT428)*($AU$2:$AU$501&lt;AV428)*($AV$2:$AV$501&gt;AU428)*($BA$2:$BA$501=1)*(ROW($AS$2:$AS$501)&lt;&gt;ROW())*ROW($AS$2:$AS$501)))-1)&amp;")"&amp;IF(BB428&gt;1," and "&amp;(BB428-1)&amp;" more",""),"")</f>
        <v/>
      </c>
      <c r="BD428" s="21">
        <f>IF(AND(BA428=1,AY428="Confirmed"),AT428*10000000+AU428*1000+ROW(),"")</f>
        <v/>
      </c>
      <c r="BE428" s="21">
        <f>IF(IFERROR(TRIM(INDEX($A428:$AL428,MATCH(Lists!$F$2,$A$1:$AL$1,0))&amp;""),"")="","",IFERROR(TRIM(INDEX($A428:$AL428,MATCH(Lists!$F$11,$A$1:$AL$1,0))&amp;""),""))</f>
        <v/>
      </c>
      <c r="BF428" s="21">
        <f>IF(IFERROR(TRIM(INDEX($A428:$AL428,MATCH(Lists!$F$2,$A$1:$AL$1,0))&amp;""),"")="","",IFERROR(TRIM(INDEX($A428:$AL428,MATCH(Lists!$F$12,$A$1:$AL$1,0))&amp;""),""))</f>
        <v/>
      </c>
    </row>
    <row r="429">
      <c r="AM429" s="19" t="n"/>
      <c r="AN429" s="23" t="n"/>
      <c r="AO429" s="23" t="n"/>
      <c r="AP429" s="23" t="n"/>
      <c r="AQ429" s="23" t="n"/>
      <c r="AR429" s="19" t="n"/>
      <c r="AS429" s="21">
        <f>IF(IFERROR(TRIM(INDEX($A429:$AL429,MATCH(Lists!$F$2,$A$1:$AL$1,0))&amp;""),"")="","",IF(AND(IFERROR(TRIM(INDEX($A429:$AL429,MATCH(Lists!$F$3,$A$1:$AL$1,0))&amp;""),"")="Other",IFERROR(TRIM(INDEX($A429:$AL429,MATCH(Lists!$F$4,$A$1:$AL$1,0))&amp;""),"")&lt;&gt;""),IFERROR(TRIM(INDEX($A429:$AL429,MATCH(Lists!$F$4,$A$1:$AL$1,0))&amp;""),""),IF(IFERROR(TRIM(INDEX($A429:$AL429,MATCH(Lists!$F$3,$A$1:$AL$1,0))&amp;""),"")="","(no space)",IFERROR(TRIM(INDEX($A429:$AL429,MATCH(Lists!$F$3,$A$1:$AL$1,0))&amp;""),""))))</f>
        <v/>
      </c>
      <c r="AT429" s="22">
        <f>IF(IFERROR(TRIM(INDEX($A429:$AL429,MATCH(Lists!$F$2,$A$1:$AL$1,0))&amp;""),"")="",0,N(IFERROR(IF(TRIM(INDEX($A429:$AL429,MATCH(Lists!$F$5,$A$1:$AL$1,0))&amp;"")="","",IF(ISNUMBER(INDEX($A429:$AL429,MATCH(Lists!$F$5,$A$1:$AL$1,0))),INT(INDEX($A429:$AL429,MATCH(Lists!$F$5,$A$1:$AL$1,0))),DATE(VALUE(LEFT(INDEX($A429:$AL429,MATCH(Lists!$F$5,$A$1:$AL$1,0)),4)),VALUE(MID(INDEX($A429:$AL429,MATCH(Lists!$F$5,$A$1:$AL$1,0)),6,2)),VALUE(MID(INDEX($A429:$AL429,MATCH(Lists!$F$5,$A$1:$AL$1,0)),9,2))))),"")))</f>
        <v/>
      </c>
      <c r="AU429" s="21">
        <f>IF(IFERROR(TRIM(INDEX($A429:$AL429,MATCH(Lists!$F$2,$A$1:$AL$1,0))&amp;""),"")="",-1,IF(ISNUMBER(IFERROR(IF(TRIM(INDEX($A429:$AL429,MATCH(Lists!$F$6,$A$1:$AL$1,0))&amp;"")="","",IF(ISNUMBER(INDEX($A429:$AL429,MATCH(Lists!$F$6,$A$1:$AL$1,0))),ROUND(MOD(INDEX($A429:$AL429,MATCH(Lists!$F$6,$A$1:$AL$1,0)),1)*1440,0),VALUE(LEFT(INDEX($A429:$AL429,MATCH(Lists!$F$6,$A$1:$AL$1,0)),2))*60+VALUE(MID(INDEX($A429:$AL429,MATCH(Lists!$F$6,$A$1:$AL$1,0)),4,2)))),"")),IFERROR(IF(TRIM(INDEX($A429:$AL429,MATCH(Lists!$F$6,$A$1:$AL$1,0))&amp;"")="","",IF(ISNUMBER(INDEX($A429:$AL429,MATCH(Lists!$F$6,$A$1:$AL$1,0))),ROUND(MOD(INDEX($A429:$AL429,MATCH(Lists!$F$6,$A$1:$AL$1,0)),1)*1440,0),VALUE(LEFT(INDEX($A429:$AL429,MATCH(Lists!$F$6,$A$1:$AL$1,0)),2))*60+VALUE(MID(INDEX($A429:$AL429,MATCH(Lists!$F$6,$A$1:$AL$1,0)),4,2)))),""),-1))</f>
        <v/>
      </c>
      <c r="AV429" s="21">
        <f>IF(IFERROR(TRIM(INDEX($A429:$AL429,MATCH(Lists!$F$2,$A$1:$AL$1,0))&amp;""),"")="",-1,IF(ISNUMBER(IFERROR(IF(TRIM(INDEX($A429:$AL429,MATCH(Lists!$F$7,$A$1:$AL$1,0))&amp;"")="","",IF(ISNUMBER(INDEX($A429:$AL429,MATCH(Lists!$F$7,$A$1:$AL$1,0))),ROUND(MOD(INDEX($A429:$AL429,MATCH(Lists!$F$7,$A$1:$AL$1,0)),1)*1440,0),VALUE(LEFT(INDEX($A429:$AL429,MATCH(Lists!$F$7,$A$1:$AL$1,0)),2))*60+VALUE(MID(INDEX($A429:$AL429,MATCH(Lists!$F$7,$A$1:$AL$1,0)),4,2)))),"")),IFERROR(IF(TRIM(INDEX($A429:$AL429,MATCH(Lists!$F$7,$A$1:$AL$1,0))&amp;"")="","",IF(ISNUMBER(INDEX($A429:$AL429,MATCH(Lists!$F$7,$A$1:$AL$1,0))),ROUND(MOD(INDEX($A429:$AL429,MATCH(Lists!$F$7,$A$1:$AL$1,0)),1)*1440,0),VALUE(LEFT(INDEX($A429:$AL429,MATCH(Lists!$F$7,$A$1:$AL$1,0)),2))*60+VALUE(MID(INDEX($A429:$AL429,MATCH(Lists!$F$7,$A$1:$AL$1,0)),4,2)))),""),-1))</f>
        <v/>
      </c>
      <c r="AW429" s="21">
        <f>IF(IFERROR(TRIM(INDEX($A429:$AL429,MATCH(Lists!$F$2,$A$1:$AL$1,0))&amp;""),"")="","",IF(IFERROR(TRIM(INDEX($A429:$AL429,MATCH(Lists!$F$8,$A$1:$AL$1,0))&amp;""),"")&lt;&gt;"",IFERROR(TRIM(INDEX($A429:$AL429,MATCH(Lists!$F$8,$A$1:$AL$1,0))&amp;""),""),IFERROR(TRIM(INDEX($A429:$AL429,MATCH(Lists!$F$9,$A$1:$AL$1,0))&amp;""),"")))</f>
        <v/>
      </c>
      <c r="AX429" s="21">
        <f>IFERROR(IF(TRIM(INDEX($A429:$AL429,MATCH(Lists!$F$10,$A$1:$AL$1,0))&amp;"")="","",VALUE(TRIM(INDEX($A429:$AL429,MATCH(Lists!$F$10,$A$1:$AL$1,0))&amp;""))),"")</f>
        <v/>
      </c>
      <c r="AY429" s="21">
        <f>IF(IFERROR(TRIM(INDEX($A429:$AL429,MATCH(Lists!$F$2,$A$1:$AL$1,0))&amp;""),"")="","",IF(AN429="","New",AN429))</f>
        <v/>
      </c>
      <c r="AZ429" s="21">
        <f>IF(IFERROR(TRIM(INDEX($A429:$AL429,MATCH(Lists!$F$2,$A$1:$AL$1,0))&amp;""),"")="","",IF(OR(IFERROR(TRIM(INDEX($A429:$AL429,MATCH(Lists!$F$13,$A$1:$AL$1,0))&amp;""),"")="Paid",IFERROR(TRIM(INDEX($A429:$AL429,MATCH(Lists!$F$13,$A$1:$AL$1,0))&amp;""),"")="Partially refunded"),"Paid",IF(AP429="Yes","Paid (by hand)",IFERROR(TRIM(INDEX($A429:$AL429,MATCH(Lists!$F$13,$A$1:$AL$1,0))&amp;""),""))))</f>
        <v/>
      </c>
      <c r="BA429" s="21">
        <f>IF(AND(IFERROR(TRIM(INDEX($A429:$AL429,MATCH(Lists!$F$2,$A$1:$AL$1,0))&amp;""),"")&lt;&gt;"",AT429&gt;0,AU429&gt;=0,AV429&gt;AU429,AY429&lt;&gt;"Declined"),1,0)</f>
        <v/>
      </c>
      <c r="BB429" s="21">
        <f>IF(BA429=1,COUNTIFS($AS$2:$AS$501,AS429,$AT$2:$AT$501,AT429,$AU$2:$AU$501,"&lt;"&amp;AV429,$AV$2:$AV$501,"&gt;"&amp;AU429,$BA$2:$BA$501,1)-1,"")</f>
        <v/>
      </c>
      <c r="BC429" s="21">
        <f>IF(N(BB429)&gt;0,"Clashes with "&amp;INDEX($AW$2:$AW$501,SUMPRODUCT(MAX(($AS$2:$AS$501=AS429)*($AT$2:$AT$501=AT429)*($AU$2:$AU$501&lt;AV429)*($AV$2:$AV$501&gt;AU429)*($BA$2:$BA$501=1)*(ROW($AS$2:$AS$501)&lt;&gt;ROW())*ROW($AS$2:$AS$501)))-1)&amp;" ("&amp;INDEX($AY$2:$AY$501,SUMPRODUCT(MAX(($AS$2:$AS$501=AS429)*($AT$2:$AT$501=AT429)*($AU$2:$AU$501&lt;AV429)*($AV$2:$AV$501&gt;AU429)*($BA$2:$BA$501=1)*(ROW($AS$2:$AS$501)&lt;&gt;ROW())*ROW($AS$2:$AS$501)))-1)&amp;")"&amp;IF(BB429&gt;1," and "&amp;(BB429-1)&amp;" more",""),"")</f>
        <v/>
      </c>
      <c r="BD429" s="21">
        <f>IF(AND(BA429=1,AY429="Confirmed"),AT429*10000000+AU429*1000+ROW(),"")</f>
        <v/>
      </c>
      <c r="BE429" s="21">
        <f>IF(IFERROR(TRIM(INDEX($A429:$AL429,MATCH(Lists!$F$2,$A$1:$AL$1,0))&amp;""),"")="","",IFERROR(TRIM(INDEX($A429:$AL429,MATCH(Lists!$F$11,$A$1:$AL$1,0))&amp;""),""))</f>
        <v/>
      </c>
      <c r="BF429" s="21">
        <f>IF(IFERROR(TRIM(INDEX($A429:$AL429,MATCH(Lists!$F$2,$A$1:$AL$1,0))&amp;""),"")="","",IFERROR(TRIM(INDEX($A429:$AL429,MATCH(Lists!$F$12,$A$1:$AL$1,0))&amp;""),""))</f>
        <v/>
      </c>
    </row>
    <row r="430">
      <c r="AM430" s="19" t="n"/>
      <c r="AN430" s="23" t="n"/>
      <c r="AO430" s="23" t="n"/>
      <c r="AP430" s="23" t="n"/>
      <c r="AQ430" s="23" t="n"/>
      <c r="AR430" s="19" t="n"/>
      <c r="AS430" s="21">
        <f>IF(IFERROR(TRIM(INDEX($A430:$AL430,MATCH(Lists!$F$2,$A$1:$AL$1,0))&amp;""),"")="","",IF(AND(IFERROR(TRIM(INDEX($A430:$AL430,MATCH(Lists!$F$3,$A$1:$AL$1,0))&amp;""),"")="Other",IFERROR(TRIM(INDEX($A430:$AL430,MATCH(Lists!$F$4,$A$1:$AL$1,0))&amp;""),"")&lt;&gt;""),IFERROR(TRIM(INDEX($A430:$AL430,MATCH(Lists!$F$4,$A$1:$AL$1,0))&amp;""),""),IF(IFERROR(TRIM(INDEX($A430:$AL430,MATCH(Lists!$F$3,$A$1:$AL$1,0))&amp;""),"")="","(no space)",IFERROR(TRIM(INDEX($A430:$AL430,MATCH(Lists!$F$3,$A$1:$AL$1,0))&amp;""),""))))</f>
        <v/>
      </c>
      <c r="AT430" s="22">
        <f>IF(IFERROR(TRIM(INDEX($A430:$AL430,MATCH(Lists!$F$2,$A$1:$AL$1,0))&amp;""),"")="",0,N(IFERROR(IF(TRIM(INDEX($A430:$AL430,MATCH(Lists!$F$5,$A$1:$AL$1,0))&amp;"")="","",IF(ISNUMBER(INDEX($A430:$AL430,MATCH(Lists!$F$5,$A$1:$AL$1,0))),INT(INDEX($A430:$AL430,MATCH(Lists!$F$5,$A$1:$AL$1,0))),DATE(VALUE(LEFT(INDEX($A430:$AL430,MATCH(Lists!$F$5,$A$1:$AL$1,0)),4)),VALUE(MID(INDEX($A430:$AL430,MATCH(Lists!$F$5,$A$1:$AL$1,0)),6,2)),VALUE(MID(INDEX($A430:$AL430,MATCH(Lists!$F$5,$A$1:$AL$1,0)),9,2))))),"")))</f>
        <v/>
      </c>
      <c r="AU430" s="21">
        <f>IF(IFERROR(TRIM(INDEX($A430:$AL430,MATCH(Lists!$F$2,$A$1:$AL$1,0))&amp;""),"")="",-1,IF(ISNUMBER(IFERROR(IF(TRIM(INDEX($A430:$AL430,MATCH(Lists!$F$6,$A$1:$AL$1,0))&amp;"")="","",IF(ISNUMBER(INDEX($A430:$AL430,MATCH(Lists!$F$6,$A$1:$AL$1,0))),ROUND(MOD(INDEX($A430:$AL430,MATCH(Lists!$F$6,$A$1:$AL$1,0)),1)*1440,0),VALUE(LEFT(INDEX($A430:$AL430,MATCH(Lists!$F$6,$A$1:$AL$1,0)),2))*60+VALUE(MID(INDEX($A430:$AL430,MATCH(Lists!$F$6,$A$1:$AL$1,0)),4,2)))),"")),IFERROR(IF(TRIM(INDEX($A430:$AL430,MATCH(Lists!$F$6,$A$1:$AL$1,0))&amp;"")="","",IF(ISNUMBER(INDEX($A430:$AL430,MATCH(Lists!$F$6,$A$1:$AL$1,0))),ROUND(MOD(INDEX($A430:$AL430,MATCH(Lists!$F$6,$A$1:$AL$1,0)),1)*1440,0),VALUE(LEFT(INDEX($A430:$AL430,MATCH(Lists!$F$6,$A$1:$AL$1,0)),2))*60+VALUE(MID(INDEX($A430:$AL430,MATCH(Lists!$F$6,$A$1:$AL$1,0)),4,2)))),""),-1))</f>
        <v/>
      </c>
      <c r="AV430" s="21">
        <f>IF(IFERROR(TRIM(INDEX($A430:$AL430,MATCH(Lists!$F$2,$A$1:$AL$1,0))&amp;""),"")="",-1,IF(ISNUMBER(IFERROR(IF(TRIM(INDEX($A430:$AL430,MATCH(Lists!$F$7,$A$1:$AL$1,0))&amp;"")="","",IF(ISNUMBER(INDEX($A430:$AL430,MATCH(Lists!$F$7,$A$1:$AL$1,0))),ROUND(MOD(INDEX($A430:$AL430,MATCH(Lists!$F$7,$A$1:$AL$1,0)),1)*1440,0),VALUE(LEFT(INDEX($A430:$AL430,MATCH(Lists!$F$7,$A$1:$AL$1,0)),2))*60+VALUE(MID(INDEX($A430:$AL430,MATCH(Lists!$F$7,$A$1:$AL$1,0)),4,2)))),"")),IFERROR(IF(TRIM(INDEX($A430:$AL430,MATCH(Lists!$F$7,$A$1:$AL$1,0))&amp;"")="","",IF(ISNUMBER(INDEX($A430:$AL430,MATCH(Lists!$F$7,$A$1:$AL$1,0))),ROUND(MOD(INDEX($A430:$AL430,MATCH(Lists!$F$7,$A$1:$AL$1,0)),1)*1440,0),VALUE(LEFT(INDEX($A430:$AL430,MATCH(Lists!$F$7,$A$1:$AL$1,0)),2))*60+VALUE(MID(INDEX($A430:$AL430,MATCH(Lists!$F$7,$A$1:$AL$1,0)),4,2)))),""),-1))</f>
        <v/>
      </c>
      <c r="AW430" s="21">
        <f>IF(IFERROR(TRIM(INDEX($A430:$AL430,MATCH(Lists!$F$2,$A$1:$AL$1,0))&amp;""),"")="","",IF(IFERROR(TRIM(INDEX($A430:$AL430,MATCH(Lists!$F$8,$A$1:$AL$1,0))&amp;""),"")&lt;&gt;"",IFERROR(TRIM(INDEX($A430:$AL430,MATCH(Lists!$F$8,$A$1:$AL$1,0))&amp;""),""),IFERROR(TRIM(INDEX($A430:$AL430,MATCH(Lists!$F$9,$A$1:$AL$1,0))&amp;""),"")))</f>
        <v/>
      </c>
      <c r="AX430" s="21">
        <f>IFERROR(IF(TRIM(INDEX($A430:$AL430,MATCH(Lists!$F$10,$A$1:$AL$1,0))&amp;"")="","",VALUE(TRIM(INDEX($A430:$AL430,MATCH(Lists!$F$10,$A$1:$AL$1,0))&amp;""))),"")</f>
        <v/>
      </c>
      <c r="AY430" s="21">
        <f>IF(IFERROR(TRIM(INDEX($A430:$AL430,MATCH(Lists!$F$2,$A$1:$AL$1,0))&amp;""),"")="","",IF(AN430="","New",AN430))</f>
        <v/>
      </c>
      <c r="AZ430" s="21">
        <f>IF(IFERROR(TRIM(INDEX($A430:$AL430,MATCH(Lists!$F$2,$A$1:$AL$1,0))&amp;""),"")="","",IF(OR(IFERROR(TRIM(INDEX($A430:$AL430,MATCH(Lists!$F$13,$A$1:$AL$1,0))&amp;""),"")="Paid",IFERROR(TRIM(INDEX($A430:$AL430,MATCH(Lists!$F$13,$A$1:$AL$1,0))&amp;""),"")="Partially refunded"),"Paid",IF(AP430="Yes","Paid (by hand)",IFERROR(TRIM(INDEX($A430:$AL430,MATCH(Lists!$F$13,$A$1:$AL$1,0))&amp;""),""))))</f>
        <v/>
      </c>
      <c r="BA430" s="21">
        <f>IF(AND(IFERROR(TRIM(INDEX($A430:$AL430,MATCH(Lists!$F$2,$A$1:$AL$1,0))&amp;""),"")&lt;&gt;"",AT430&gt;0,AU430&gt;=0,AV430&gt;AU430,AY430&lt;&gt;"Declined"),1,0)</f>
        <v/>
      </c>
      <c r="BB430" s="21">
        <f>IF(BA430=1,COUNTIFS($AS$2:$AS$501,AS430,$AT$2:$AT$501,AT430,$AU$2:$AU$501,"&lt;"&amp;AV430,$AV$2:$AV$501,"&gt;"&amp;AU430,$BA$2:$BA$501,1)-1,"")</f>
        <v/>
      </c>
      <c r="BC430" s="21">
        <f>IF(N(BB430)&gt;0,"Clashes with "&amp;INDEX($AW$2:$AW$501,SUMPRODUCT(MAX(($AS$2:$AS$501=AS430)*($AT$2:$AT$501=AT430)*($AU$2:$AU$501&lt;AV430)*($AV$2:$AV$501&gt;AU430)*($BA$2:$BA$501=1)*(ROW($AS$2:$AS$501)&lt;&gt;ROW())*ROW($AS$2:$AS$501)))-1)&amp;" ("&amp;INDEX($AY$2:$AY$501,SUMPRODUCT(MAX(($AS$2:$AS$501=AS430)*($AT$2:$AT$501=AT430)*($AU$2:$AU$501&lt;AV430)*($AV$2:$AV$501&gt;AU430)*($BA$2:$BA$501=1)*(ROW($AS$2:$AS$501)&lt;&gt;ROW())*ROW($AS$2:$AS$501)))-1)&amp;")"&amp;IF(BB430&gt;1," and "&amp;(BB430-1)&amp;" more",""),"")</f>
        <v/>
      </c>
      <c r="BD430" s="21">
        <f>IF(AND(BA430=1,AY430="Confirmed"),AT430*10000000+AU430*1000+ROW(),"")</f>
        <v/>
      </c>
      <c r="BE430" s="21">
        <f>IF(IFERROR(TRIM(INDEX($A430:$AL430,MATCH(Lists!$F$2,$A$1:$AL$1,0))&amp;""),"")="","",IFERROR(TRIM(INDEX($A430:$AL430,MATCH(Lists!$F$11,$A$1:$AL$1,0))&amp;""),""))</f>
        <v/>
      </c>
      <c r="BF430" s="21">
        <f>IF(IFERROR(TRIM(INDEX($A430:$AL430,MATCH(Lists!$F$2,$A$1:$AL$1,0))&amp;""),"")="","",IFERROR(TRIM(INDEX($A430:$AL430,MATCH(Lists!$F$12,$A$1:$AL$1,0))&amp;""),""))</f>
        <v/>
      </c>
    </row>
    <row r="431">
      <c r="AM431" s="19" t="n"/>
      <c r="AN431" s="23" t="n"/>
      <c r="AO431" s="23" t="n"/>
      <c r="AP431" s="23" t="n"/>
      <c r="AQ431" s="23" t="n"/>
      <c r="AR431" s="19" t="n"/>
      <c r="AS431" s="21">
        <f>IF(IFERROR(TRIM(INDEX($A431:$AL431,MATCH(Lists!$F$2,$A$1:$AL$1,0))&amp;""),"")="","",IF(AND(IFERROR(TRIM(INDEX($A431:$AL431,MATCH(Lists!$F$3,$A$1:$AL$1,0))&amp;""),"")="Other",IFERROR(TRIM(INDEX($A431:$AL431,MATCH(Lists!$F$4,$A$1:$AL$1,0))&amp;""),"")&lt;&gt;""),IFERROR(TRIM(INDEX($A431:$AL431,MATCH(Lists!$F$4,$A$1:$AL$1,0))&amp;""),""),IF(IFERROR(TRIM(INDEX($A431:$AL431,MATCH(Lists!$F$3,$A$1:$AL$1,0))&amp;""),"")="","(no space)",IFERROR(TRIM(INDEX($A431:$AL431,MATCH(Lists!$F$3,$A$1:$AL$1,0))&amp;""),""))))</f>
        <v/>
      </c>
      <c r="AT431" s="22">
        <f>IF(IFERROR(TRIM(INDEX($A431:$AL431,MATCH(Lists!$F$2,$A$1:$AL$1,0))&amp;""),"")="",0,N(IFERROR(IF(TRIM(INDEX($A431:$AL431,MATCH(Lists!$F$5,$A$1:$AL$1,0))&amp;"")="","",IF(ISNUMBER(INDEX($A431:$AL431,MATCH(Lists!$F$5,$A$1:$AL$1,0))),INT(INDEX($A431:$AL431,MATCH(Lists!$F$5,$A$1:$AL$1,0))),DATE(VALUE(LEFT(INDEX($A431:$AL431,MATCH(Lists!$F$5,$A$1:$AL$1,0)),4)),VALUE(MID(INDEX($A431:$AL431,MATCH(Lists!$F$5,$A$1:$AL$1,0)),6,2)),VALUE(MID(INDEX($A431:$AL431,MATCH(Lists!$F$5,$A$1:$AL$1,0)),9,2))))),"")))</f>
        <v/>
      </c>
      <c r="AU431" s="21">
        <f>IF(IFERROR(TRIM(INDEX($A431:$AL431,MATCH(Lists!$F$2,$A$1:$AL$1,0))&amp;""),"")="",-1,IF(ISNUMBER(IFERROR(IF(TRIM(INDEX($A431:$AL431,MATCH(Lists!$F$6,$A$1:$AL$1,0))&amp;"")="","",IF(ISNUMBER(INDEX($A431:$AL431,MATCH(Lists!$F$6,$A$1:$AL$1,0))),ROUND(MOD(INDEX($A431:$AL431,MATCH(Lists!$F$6,$A$1:$AL$1,0)),1)*1440,0),VALUE(LEFT(INDEX($A431:$AL431,MATCH(Lists!$F$6,$A$1:$AL$1,0)),2))*60+VALUE(MID(INDEX($A431:$AL431,MATCH(Lists!$F$6,$A$1:$AL$1,0)),4,2)))),"")),IFERROR(IF(TRIM(INDEX($A431:$AL431,MATCH(Lists!$F$6,$A$1:$AL$1,0))&amp;"")="","",IF(ISNUMBER(INDEX($A431:$AL431,MATCH(Lists!$F$6,$A$1:$AL$1,0))),ROUND(MOD(INDEX($A431:$AL431,MATCH(Lists!$F$6,$A$1:$AL$1,0)),1)*1440,0),VALUE(LEFT(INDEX($A431:$AL431,MATCH(Lists!$F$6,$A$1:$AL$1,0)),2))*60+VALUE(MID(INDEX($A431:$AL431,MATCH(Lists!$F$6,$A$1:$AL$1,0)),4,2)))),""),-1))</f>
        <v/>
      </c>
      <c r="AV431" s="21">
        <f>IF(IFERROR(TRIM(INDEX($A431:$AL431,MATCH(Lists!$F$2,$A$1:$AL$1,0))&amp;""),"")="",-1,IF(ISNUMBER(IFERROR(IF(TRIM(INDEX($A431:$AL431,MATCH(Lists!$F$7,$A$1:$AL$1,0))&amp;"")="","",IF(ISNUMBER(INDEX($A431:$AL431,MATCH(Lists!$F$7,$A$1:$AL$1,0))),ROUND(MOD(INDEX($A431:$AL431,MATCH(Lists!$F$7,$A$1:$AL$1,0)),1)*1440,0),VALUE(LEFT(INDEX($A431:$AL431,MATCH(Lists!$F$7,$A$1:$AL$1,0)),2))*60+VALUE(MID(INDEX($A431:$AL431,MATCH(Lists!$F$7,$A$1:$AL$1,0)),4,2)))),"")),IFERROR(IF(TRIM(INDEX($A431:$AL431,MATCH(Lists!$F$7,$A$1:$AL$1,0))&amp;"")="","",IF(ISNUMBER(INDEX($A431:$AL431,MATCH(Lists!$F$7,$A$1:$AL$1,0))),ROUND(MOD(INDEX($A431:$AL431,MATCH(Lists!$F$7,$A$1:$AL$1,0)),1)*1440,0),VALUE(LEFT(INDEX($A431:$AL431,MATCH(Lists!$F$7,$A$1:$AL$1,0)),2))*60+VALUE(MID(INDEX($A431:$AL431,MATCH(Lists!$F$7,$A$1:$AL$1,0)),4,2)))),""),-1))</f>
        <v/>
      </c>
      <c r="AW431" s="21">
        <f>IF(IFERROR(TRIM(INDEX($A431:$AL431,MATCH(Lists!$F$2,$A$1:$AL$1,0))&amp;""),"")="","",IF(IFERROR(TRIM(INDEX($A431:$AL431,MATCH(Lists!$F$8,$A$1:$AL$1,0))&amp;""),"")&lt;&gt;"",IFERROR(TRIM(INDEX($A431:$AL431,MATCH(Lists!$F$8,$A$1:$AL$1,0))&amp;""),""),IFERROR(TRIM(INDEX($A431:$AL431,MATCH(Lists!$F$9,$A$1:$AL$1,0))&amp;""),"")))</f>
        <v/>
      </c>
      <c r="AX431" s="21">
        <f>IFERROR(IF(TRIM(INDEX($A431:$AL431,MATCH(Lists!$F$10,$A$1:$AL$1,0))&amp;"")="","",VALUE(TRIM(INDEX($A431:$AL431,MATCH(Lists!$F$10,$A$1:$AL$1,0))&amp;""))),"")</f>
        <v/>
      </c>
      <c r="AY431" s="21">
        <f>IF(IFERROR(TRIM(INDEX($A431:$AL431,MATCH(Lists!$F$2,$A$1:$AL$1,0))&amp;""),"")="","",IF(AN431="","New",AN431))</f>
        <v/>
      </c>
      <c r="AZ431" s="21">
        <f>IF(IFERROR(TRIM(INDEX($A431:$AL431,MATCH(Lists!$F$2,$A$1:$AL$1,0))&amp;""),"")="","",IF(OR(IFERROR(TRIM(INDEX($A431:$AL431,MATCH(Lists!$F$13,$A$1:$AL$1,0))&amp;""),"")="Paid",IFERROR(TRIM(INDEX($A431:$AL431,MATCH(Lists!$F$13,$A$1:$AL$1,0))&amp;""),"")="Partially refunded"),"Paid",IF(AP431="Yes","Paid (by hand)",IFERROR(TRIM(INDEX($A431:$AL431,MATCH(Lists!$F$13,$A$1:$AL$1,0))&amp;""),""))))</f>
        <v/>
      </c>
      <c r="BA431" s="21">
        <f>IF(AND(IFERROR(TRIM(INDEX($A431:$AL431,MATCH(Lists!$F$2,$A$1:$AL$1,0))&amp;""),"")&lt;&gt;"",AT431&gt;0,AU431&gt;=0,AV431&gt;AU431,AY431&lt;&gt;"Declined"),1,0)</f>
        <v/>
      </c>
      <c r="BB431" s="21">
        <f>IF(BA431=1,COUNTIFS($AS$2:$AS$501,AS431,$AT$2:$AT$501,AT431,$AU$2:$AU$501,"&lt;"&amp;AV431,$AV$2:$AV$501,"&gt;"&amp;AU431,$BA$2:$BA$501,1)-1,"")</f>
        <v/>
      </c>
      <c r="BC431" s="21">
        <f>IF(N(BB431)&gt;0,"Clashes with "&amp;INDEX($AW$2:$AW$501,SUMPRODUCT(MAX(($AS$2:$AS$501=AS431)*($AT$2:$AT$501=AT431)*($AU$2:$AU$501&lt;AV431)*($AV$2:$AV$501&gt;AU431)*($BA$2:$BA$501=1)*(ROW($AS$2:$AS$501)&lt;&gt;ROW())*ROW($AS$2:$AS$501)))-1)&amp;" ("&amp;INDEX($AY$2:$AY$501,SUMPRODUCT(MAX(($AS$2:$AS$501=AS431)*($AT$2:$AT$501=AT431)*($AU$2:$AU$501&lt;AV431)*($AV$2:$AV$501&gt;AU431)*($BA$2:$BA$501=1)*(ROW($AS$2:$AS$501)&lt;&gt;ROW())*ROW($AS$2:$AS$501)))-1)&amp;")"&amp;IF(BB431&gt;1," and "&amp;(BB431-1)&amp;" more",""),"")</f>
        <v/>
      </c>
      <c r="BD431" s="21">
        <f>IF(AND(BA431=1,AY431="Confirmed"),AT431*10000000+AU431*1000+ROW(),"")</f>
        <v/>
      </c>
      <c r="BE431" s="21">
        <f>IF(IFERROR(TRIM(INDEX($A431:$AL431,MATCH(Lists!$F$2,$A$1:$AL$1,0))&amp;""),"")="","",IFERROR(TRIM(INDEX($A431:$AL431,MATCH(Lists!$F$11,$A$1:$AL$1,0))&amp;""),""))</f>
        <v/>
      </c>
      <c r="BF431" s="21">
        <f>IF(IFERROR(TRIM(INDEX($A431:$AL431,MATCH(Lists!$F$2,$A$1:$AL$1,0))&amp;""),"")="","",IFERROR(TRIM(INDEX($A431:$AL431,MATCH(Lists!$F$12,$A$1:$AL$1,0))&amp;""),""))</f>
        <v/>
      </c>
    </row>
    <row r="432">
      <c r="AM432" s="19" t="n"/>
      <c r="AN432" s="23" t="n"/>
      <c r="AO432" s="23" t="n"/>
      <c r="AP432" s="23" t="n"/>
      <c r="AQ432" s="23" t="n"/>
      <c r="AR432" s="19" t="n"/>
      <c r="AS432" s="21">
        <f>IF(IFERROR(TRIM(INDEX($A432:$AL432,MATCH(Lists!$F$2,$A$1:$AL$1,0))&amp;""),"")="","",IF(AND(IFERROR(TRIM(INDEX($A432:$AL432,MATCH(Lists!$F$3,$A$1:$AL$1,0))&amp;""),"")="Other",IFERROR(TRIM(INDEX($A432:$AL432,MATCH(Lists!$F$4,$A$1:$AL$1,0))&amp;""),"")&lt;&gt;""),IFERROR(TRIM(INDEX($A432:$AL432,MATCH(Lists!$F$4,$A$1:$AL$1,0))&amp;""),""),IF(IFERROR(TRIM(INDEX($A432:$AL432,MATCH(Lists!$F$3,$A$1:$AL$1,0))&amp;""),"")="","(no space)",IFERROR(TRIM(INDEX($A432:$AL432,MATCH(Lists!$F$3,$A$1:$AL$1,0))&amp;""),""))))</f>
        <v/>
      </c>
      <c r="AT432" s="22">
        <f>IF(IFERROR(TRIM(INDEX($A432:$AL432,MATCH(Lists!$F$2,$A$1:$AL$1,0))&amp;""),"")="",0,N(IFERROR(IF(TRIM(INDEX($A432:$AL432,MATCH(Lists!$F$5,$A$1:$AL$1,0))&amp;"")="","",IF(ISNUMBER(INDEX($A432:$AL432,MATCH(Lists!$F$5,$A$1:$AL$1,0))),INT(INDEX($A432:$AL432,MATCH(Lists!$F$5,$A$1:$AL$1,0))),DATE(VALUE(LEFT(INDEX($A432:$AL432,MATCH(Lists!$F$5,$A$1:$AL$1,0)),4)),VALUE(MID(INDEX($A432:$AL432,MATCH(Lists!$F$5,$A$1:$AL$1,0)),6,2)),VALUE(MID(INDEX($A432:$AL432,MATCH(Lists!$F$5,$A$1:$AL$1,0)),9,2))))),"")))</f>
        <v/>
      </c>
      <c r="AU432" s="21">
        <f>IF(IFERROR(TRIM(INDEX($A432:$AL432,MATCH(Lists!$F$2,$A$1:$AL$1,0))&amp;""),"")="",-1,IF(ISNUMBER(IFERROR(IF(TRIM(INDEX($A432:$AL432,MATCH(Lists!$F$6,$A$1:$AL$1,0))&amp;"")="","",IF(ISNUMBER(INDEX($A432:$AL432,MATCH(Lists!$F$6,$A$1:$AL$1,0))),ROUND(MOD(INDEX($A432:$AL432,MATCH(Lists!$F$6,$A$1:$AL$1,0)),1)*1440,0),VALUE(LEFT(INDEX($A432:$AL432,MATCH(Lists!$F$6,$A$1:$AL$1,0)),2))*60+VALUE(MID(INDEX($A432:$AL432,MATCH(Lists!$F$6,$A$1:$AL$1,0)),4,2)))),"")),IFERROR(IF(TRIM(INDEX($A432:$AL432,MATCH(Lists!$F$6,$A$1:$AL$1,0))&amp;"")="","",IF(ISNUMBER(INDEX($A432:$AL432,MATCH(Lists!$F$6,$A$1:$AL$1,0))),ROUND(MOD(INDEX($A432:$AL432,MATCH(Lists!$F$6,$A$1:$AL$1,0)),1)*1440,0),VALUE(LEFT(INDEX($A432:$AL432,MATCH(Lists!$F$6,$A$1:$AL$1,0)),2))*60+VALUE(MID(INDEX($A432:$AL432,MATCH(Lists!$F$6,$A$1:$AL$1,0)),4,2)))),""),-1))</f>
        <v/>
      </c>
      <c r="AV432" s="21">
        <f>IF(IFERROR(TRIM(INDEX($A432:$AL432,MATCH(Lists!$F$2,$A$1:$AL$1,0))&amp;""),"")="",-1,IF(ISNUMBER(IFERROR(IF(TRIM(INDEX($A432:$AL432,MATCH(Lists!$F$7,$A$1:$AL$1,0))&amp;"")="","",IF(ISNUMBER(INDEX($A432:$AL432,MATCH(Lists!$F$7,$A$1:$AL$1,0))),ROUND(MOD(INDEX($A432:$AL432,MATCH(Lists!$F$7,$A$1:$AL$1,0)),1)*1440,0),VALUE(LEFT(INDEX($A432:$AL432,MATCH(Lists!$F$7,$A$1:$AL$1,0)),2))*60+VALUE(MID(INDEX($A432:$AL432,MATCH(Lists!$F$7,$A$1:$AL$1,0)),4,2)))),"")),IFERROR(IF(TRIM(INDEX($A432:$AL432,MATCH(Lists!$F$7,$A$1:$AL$1,0))&amp;"")="","",IF(ISNUMBER(INDEX($A432:$AL432,MATCH(Lists!$F$7,$A$1:$AL$1,0))),ROUND(MOD(INDEX($A432:$AL432,MATCH(Lists!$F$7,$A$1:$AL$1,0)),1)*1440,0),VALUE(LEFT(INDEX($A432:$AL432,MATCH(Lists!$F$7,$A$1:$AL$1,0)),2))*60+VALUE(MID(INDEX($A432:$AL432,MATCH(Lists!$F$7,$A$1:$AL$1,0)),4,2)))),""),-1))</f>
        <v/>
      </c>
      <c r="AW432" s="21">
        <f>IF(IFERROR(TRIM(INDEX($A432:$AL432,MATCH(Lists!$F$2,$A$1:$AL$1,0))&amp;""),"")="","",IF(IFERROR(TRIM(INDEX($A432:$AL432,MATCH(Lists!$F$8,$A$1:$AL$1,0))&amp;""),"")&lt;&gt;"",IFERROR(TRIM(INDEX($A432:$AL432,MATCH(Lists!$F$8,$A$1:$AL$1,0))&amp;""),""),IFERROR(TRIM(INDEX($A432:$AL432,MATCH(Lists!$F$9,$A$1:$AL$1,0))&amp;""),"")))</f>
        <v/>
      </c>
      <c r="AX432" s="21">
        <f>IFERROR(IF(TRIM(INDEX($A432:$AL432,MATCH(Lists!$F$10,$A$1:$AL$1,0))&amp;"")="","",VALUE(TRIM(INDEX($A432:$AL432,MATCH(Lists!$F$10,$A$1:$AL$1,0))&amp;""))),"")</f>
        <v/>
      </c>
      <c r="AY432" s="21">
        <f>IF(IFERROR(TRIM(INDEX($A432:$AL432,MATCH(Lists!$F$2,$A$1:$AL$1,0))&amp;""),"")="","",IF(AN432="","New",AN432))</f>
        <v/>
      </c>
      <c r="AZ432" s="21">
        <f>IF(IFERROR(TRIM(INDEX($A432:$AL432,MATCH(Lists!$F$2,$A$1:$AL$1,0))&amp;""),"")="","",IF(OR(IFERROR(TRIM(INDEX($A432:$AL432,MATCH(Lists!$F$13,$A$1:$AL$1,0))&amp;""),"")="Paid",IFERROR(TRIM(INDEX($A432:$AL432,MATCH(Lists!$F$13,$A$1:$AL$1,0))&amp;""),"")="Partially refunded"),"Paid",IF(AP432="Yes","Paid (by hand)",IFERROR(TRIM(INDEX($A432:$AL432,MATCH(Lists!$F$13,$A$1:$AL$1,0))&amp;""),""))))</f>
        <v/>
      </c>
      <c r="BA432" s="21">
        <f>IF(AND(IFERROR(TRIM(INDEX($A432:$AL432,MATCH(Lists!$F$2,$A$1:$AL$1,0))&amp;""),"")&lt;&gt;"",AT432&gt;0,AU432&gt;=0,AV432&gt;AU432,AY432&lt;&gt;"Declined"),1,0)</f>
        <v/>
      </c>
      <c r="BB432" s="21">
        <f>IF(BA432=1,COUNTIFS($AS$2:$AS$501,AS432,$AT$2:$AT$501,AT432,$AU$2:$AU$501,"&lt;"&amp;AV432,$AV$2:$AV$501,"&gt;"&amp;AU432,$BA$2:$BA$501,1)-1,"")</f>
        <v/>
      </c>
      <c r="BC432" s="21">
        <f>IF(N(BB432)&gt;0,"Clashes with "&amp;INDEX($AW$2:$AW$501,SUMPRODUCT(MAX(($AS$2:$AS$501=AS432)*($AT$2:$AT$501=AT432)*($AU$2:$AU$501&lt;AV432)*($AV$2:$AV$501&gt;AU432)*($BA$2:$BA$501=1)*(ROW($AS$2:$AS$501)&lt;&gt;ROW())*ROW($AS$2:$AS$501)))-1)&amp;" ("&amp;INDEX($AY$2:$AY$501,SUMPRODUCT(MAX(($AS$2:$AS$501=AS432)*($AT$2:$AT$501=AT432)*($AU$2:$AU$501&lt;AV432)*($AV$2:$AV$501&gt;AU432)*($BA$2:$BA$501=1)*(ROW($AS$2:$AS$501)&lt;&gt;ROW())*ROW($AS$2:$AS$501)))-1)&amp;")"&amp;IF(BB432&gt;1," and "&amp;(BB432-1)&amp;" more",""),"")</f>
        <v/>
      </c>
      <c r="BD432" s="21">
        <f>IF(AND(BA432=1,AY432="Confirmed"),AT432*10000000+AU432*1000+ROW(),"")</f>
        <v/>
      </c>
      <c r="BE432" s="21">
        <f>IF(IFERROR(TRIM(INDEX($A432:$AL432,MATCH(Lists!$F$2,$A$1:$AL$1,0))&amp;""),"")="","",IFERROR(TRIM(INDEX($A432:$AL432,MATCH(Lists!$F$11,$A$1:$AL$1,0))&amp;""),""))</f>
        <v/>
      </c>
      <c r="BF432" s="21">
        <f>IF(IFERROR(TRIM(INDEX($A432:$AL432,MATCH(Lists!$F$2,$A$1:$AL$1,0))&amp;""),"")="","",IFERROR(TRIM(INDEX($A432:$AL432,MATCH(Lists!$F$12,$A$1:$AL$1,0))&amp;""),""))</f>
        <v/>
      </c>
    </row>
    <row r="433">
      <c r="AM433" s="19" t="n"/>
      <c r="AN433" s="23" t="n"/>
      <c r="AO433" s="23" t="n"/>
      <c r="AP433" s="23" t="n"/>
      <c r="AQ433" s="23" t="n"/>
      <c r="AR433" s="19" t="n"/>
      <c r="AS433" s="21">
        <f>IF(IFERROR(TRIM(INDEX($A433:$AL433,MATCH(Lists!$F$2,$A$1:$AL$1,0))&amp;""),"")="","",IF(AND(IFERROR(TRIM(INDEX($A433:$AL433,MATCH(Lists!$F$3,$A$1:$AL$1,0))&amp;""),"")="Other",IFERROR(TRIM(INDEX($A433:$AL433,MATCH(Lists!$F$4,$A$1:$AL$1,0))&amp;""),"")&lt;&gt;""),IFERROR(TRIM(INDEX($A433:$AL433,MATCH(Lists!$F$4,$A$1:$AL$1,0))&amp;""),""),IF(IFERROR(TRIM(INDEX($A433:$AL433,MATCH(Lists!$F$3,$A$1:$AL$1,0))&amp;""),"")="","(no space)",IFERROR(TRIM(INDEX($A433:$AL433,MATCH(Lists!$F$3,$A$1:$AL$1,0))&amp;""),""))))</f>
        <v/>
      </c>
      <c r="AT433" s="22">
        <f>IF(IFERROR(TRIM(INDEX($A433:$AL433,MATCH(Lists!$F$2,$A$1:$AL$1,0))&amp;""),"")="",0,N(IFERROR(IF(TRIM(INDEX($A433:$AL433,MATCH(Lists!$F$5,$A$1:$AL$1,0))&amp;"")="","",IF(ISNUMBER(INDEX($A433:$AL433,MATCH(Lists!$F$5,$A$1:$AL$1,0))),INT(INDEX($A433:$AL433,MATCH(Lists!$F$5,$A$1:$AL$1,0))),DATE(VALUE(LEFT(INDEX($A433:$AL433,MATCH(Lists!$F$5,$A$1:$AL$1,0)),4)),VALUE(MID(INDEX($A433:$AL433,MATCH(Lists!$F$5,$A$1:$AL$1,0)),6,2)),VALUE(MID(INDEX($A433:$AL433,MATCH(Lists!$F$5,$A$1:$AL$1,0)),9,2))))),"")))</f>
        <v/>
      </c>
      <c r="AU433" s="21">
        <f>IF(IFERROR(TRIM(INDEX($A433:$AL433,MATCH(Lists!$F$2,$A$1:$AL$1,0))&amp;""),"")="",-1,IF(ISNUMBER(IFERROR(IF(TRIM(INDEX($A433:$AL433,MATCH(Lists!$F$6,$A$1:$AL$1,0))&amp;"")="","",IF(ISNUMBER(INDEX($A433:$AL433,MATCH(Lists!$F$6,$A$1:$AL$1,0))),ROUND(MOD(INDEX($A433:$AL433,MATCH(Lists!$F$6,$A$1:$AL$1,0)),1)*1440,0),VALUE(LEFT(INDEX($A433:$AL433,MATCH(Lists!$F$6,$A$1:$AL$1,0)),2))*60+VALUE(MID(INDEX($A433:$AL433,MATCH(Lists!$F$6,$A$1:$AL$1,0)),4,2)))),"")),IFERROR(IF(TRIM(INDEX($A433:$AL433,MATCH(Lists!$F$6,$A$1:$AL$1,0))&amp;"")="","",IF(ISNUMBER(INDEX($A433:$AL433,MATCH(Lists!$F$6,$A$1:$AL$1,0))),ROUND(MOD(INDEX($A433:$AL433,MATCH(Lists!$F$6,$A$1:$AL$1,0)),1)*1440,0),VALUE(LEFT(INDEX($A433:$AL433,MATCH(Lists!$F$6,$A$1:$AL$1,0)),2))*60+VALUE(MID(INDEX($A433:$AL433,MATCH(Lists!$F$6,$A$1:$AL$1,0)),4,2)))),""),-1))</f>
        <v/>
      </c>
      <c r="AV433" s="21">
        <f>IF(IFERROR(TRIM(INDEX($A433:$AL433,MATCH(Lists!$F$2,$A$1:$AL$1,0))&amp;""),"")="",-1,IF(ISNUMBER(IFERROR(IF(TRIM(INDEX($A433:$AL433,MATCH(Lists!$F$7,$A$1:$AL$1,0))&amp;"")="","",IF(ISNUMBER(INDEX($A433:$AL433,MATCH(Lists!$F$7,$A$1:$AL$1,0))),ROUND(MOD(INDEX($A433:$AL433,MATCH(Lists!$F$7,$A$1:$AL$1,0)),1)*1440,0),VALUE(LEFT(INDEX($A433:$AL433,MATCH(Lists!$F$7,$A$1:$AL$1,0)),2))*60+VALUE(MID(INDEX($A433:$AL433,MATCH(Lists!$F$7,$A$1:$AL$1,0)),4,2)))),"")),IFERROR(IF(TRIM(INDEX($A433:$AL433,MATCH(Lists!$F$7,$A$1:$AL$1,0))&amp;"")="","",IF(ISNUMBER(INDEX($A433:$AL433,MATCH(Lists!$F$7,$A$1:$AL$1,0))),ROUND(MOD(INDEX($A433:$AL433,MATCH(Lists!$F$7,$A$1:$AL$1,0)),1)*1440,0),VALUE(LEFT(INDEX($A433:$AL433,MATCH(Lists!$F$7,$A$1:$AL$1,0)),2))*60+VALUE(MID(INDEX($A433:$AL433,MATCH(Lists!$F$7,$A$1:$AL$1,0)),4,2)))),""),-1))</f>
        <v/>
      </c>
      <c r="AW433" s="21">
        <f>IF(IFERROR(TRIM(INDEX($A433:$AL433,MATCH(Lists!$F$2,$A$1:$AL$1,0))&amp;""),"")="","",IF(IFERROR(TRIM(INDEX($A433:$AL433,MATCH(Lists!$F$8,$A$1:$AL$1,0))&amp;""),"")&lt;&gt;"",IFERROR(TRIM(INDEX($A433:$AL433,MATCH(Lists!$F$8,$A$1:$AL$1,0))&amp;""),""),IFERROR(TRIM(INDEX($A433:$AL433,MATCH(Lists!$F$9,$A$1:$AL$1,0))&amp;""),"")))</f>
        <v/>
      </c>
      <c r="AX433" s="21">
        <f>IFERROR(IF(TRIM(INDEX($A433:$AL433,MATCH(Lists!$F$10,$A$1:$AL$1,0))&amp;"")="","",VALUE(TRIM(INDEX($A433:$AL433,MATCH(Lists!$F$10,$A$1:$AL$1,0))&amp;""))),"")</f>
        <v/>
      </c>
      <c r="AY433" s="21">
        <f>IF(IFERROR(TRIM(INDEX($A433:$AL433,MATCH(Lists!$F$2,$A$1:$AL$1,0))&amp;""),"")="","",IF(AN433="","New",AN433))</f>
        <v/>
      </c>
      <c r="AZ433" s="21">
        <f>IF(IFERROR(TRIM(INDEX($A433:$AL433,MATCH(Lists!$F$2,$A$1:$AL$1,0))&amp;""),"")="","",IF(OR(IFERROR(TRIM(INDEX($A433:$AL433,MATCH(Lists!$F$13,$A$1:$AL$1,0))&amp;""),"")="Paid",IFERROR(TRIM(INDEX($A433:$AL433,MATCH(Lists!$F$13,$A$1:$AL$1,0))&amp;""),"")="Partially refunded"),"Paid",IF(AP433="Yes","Paid (by hand)",IFERROR(TRIM(INDEX($A433:$AL433,MATCH(Lists!$F$13,$A$1:$AL$1,0))&amp;""),""))))</f>
        <v/>
      </c>
      <c r="BA433" s="21">
        <f>IF(AND(IFERROR(TRIM(INDEX($A433:$AL433,MATCH(Lists!$F$2,$A$1:$AL$1,0))&amp;""),"")&lt;&gt;"",AT433&gt;0,AU433&gt;=0,AV433&gt;AU433,AY433&lt;&gt;"Declined"),1,0)</f>
        <v/>
      </c>
      <c r="BB433" s="21">
        <f>IF(BA433=1,COUNTIFS($AS$2:$AS$501,AS433,$AT$2:$AT$501,AT433,$AU$2:$AU$501,"&lt;"&amp;AV433,$AV$2:$AV$501,"&gt;"&amp;AU433,$BA$2:$BA$501,1)-1,"")</f>
        <v/>
      </c>
      <c r="BC433" s="21">
        <f>IF(N(BB433)&gt;0,"Clashes with "&amp;INDEX($AW$2:$AW$501,SUMPRODUCT(MAX(($AS$2:$AS$501=AS433)*($AT$2:$AT$501=AT433)*($AU$2:$AU$501&lt;AV433)*($AV$2:$AV$501&gt;AU433)*($BA$2:$BA$501=1)*(ROW($AS$2:$AS$501)&lt;&gt;ROW())*ROW($AS$2:$AS$501)))-1)&amp;" ("&amp;INDEX($AY$2:$AY$501,SUMPRODUCT(MAX(($AS$2:$AS$501=AS433)*($AT$2:$AT$501=AT433)*($AU$2:$AU$501&lt;AV433)*($AV$2:$AV$501&gt;AU433)*($BA$2:$BA$501=1)*(ROW($AS$2:$AS$501)&lt;&gt;ROW())*ROW($AS$2:$AS$501)))-1)&amp;")"&amp;IF(BB433&gt;1," and "&amp;(BB433-1)&amp;" more",""),"")</f>
        <v/>
      </c>
      <c r="BD433" s="21">
        <f>IF(AND(BA433=1,AY433="Confirmed"),AT433*10000000+AU433*1000+ROW(),"")</f>
        <v/>
      </c>
      <c r="BE433" s="21">
        <f>IF(IFERROR(TRIM(INDEX($A433:$AL433,MATCH(Lists!$F$2,$A$1:$AL$1,0))&amp;""),"")="","",IFERROR(TRIM(INDEX($A433:$AL433,MATCH(Lists!$F$11,$A$1:$AL$1,0))&amp;""),""))</f>
        <v/>
      </c>
      <c r="BF433" s="21">
        <f>IF(IFERROR(TRIM(INDEX($A433:$AL433,MATCH(Lists!$F$2,$A$1:$AL$1,0))&amp;""),"")="","",IFERROR(TRIM(INDEX($A433:$AL433,MATCH(Lists!$F$12,$A$1:$AL$1,0))&amp;""),""))</f>
        <v/>
      </c>
    </row>
    <row r="434">
      <c r="AM434" s="19" t="n"/>
      <c r="AN434" s="23" t="n"/>
      <c r="AO434" s="23" t="n"/>
      <c r="AP434" s="23" t="n"/>
      <c r="AQ434" s="23" t="n"/>
      <c r="AR434" s="19" t="n"/>
      <c r="AS434" s="21">
        <f>IF(IFERROR(TRIM(INDEX($A434:$AL434,MATCH(Lists!$F$2,$A$1:$AL$1,0))&amp;""),"")="","",IF(AND(IFERROR(TRIM(INDEX($A434:$AL434,MATCH(Lists!$F$3,$A$1:$AL$1,0))&amp;""),"")="Other",IFERROR(TRIM(INDEX($A434:$AL434,MATCH(Lists!$F$4,$A$1:$AL$1,0))&amp;""),"")&lt;&gt;""),IFERROR(TRIM(INDEX($A434:$AL434,MATCH(Lists!$F$4,$A$1:$AL$1,0))&amp;""),""),IF(IFERROR(TRIM(INDEX($A434:$AL434,MATCH(Lists!$F$3,$A$1:$AL$1,0))&amp;""),"")="","(no space)",IFERROR(TRIM(INDEX($A434:$AL434,MATCH(Lists!$F$3,$A$1:$AL$1,0))&amp;""),""))))</f>
        <v/>
      </c>
      <c r="AT434" s="22">
        <f>IF(IFERROR(TRIM(INDEX($A434:$AL434,MATCH(Lists!$F$2,$A$1:$AL$1,0))&amp;""),"")="",0,N(IFERROR(IF(TRIM(INDEX($A434:$AL434,MATCH(Lists!$F$5,$A$1:$AL$1,0))&amp;"")="","",IF(ISNUMBER(INDEX($A434:$AL434,MATCH(Lists!$F$5,$A$1:$AL$1,0))),INT(INDEX($A434:$AL434,MATCH(Lists!$F$5,$A$1:$AL$1,0))),DATE(VALUE(LEFT(INDEX($A434:$AL434,MATCH(Lists!$F$5,$A$1:$AL$1,0)),4)),VALUE(MID(INDEX($A434:$AL434,MATCH(Lists!$F$5,$A$1:$AL$1,0)),6,2)),VALUE(MID(INDEX($A434:$AL434,MATCH(Lists!$F$5,$A$1:$AL$1,0)),9,2))))),"")))</f>
        <v/>
      </c>
      <c r="AU434" s="21">
        <f>IF(IFERROR(TRIM(INDEX($A434:$AL434,MATCH(Lists!$F$2,$A$1:$AL$1,0))&amp;""),"")="",-1,IF(ISNUMBER(IFERROR(IF(TRIM(INDEX($A434:$AL434,MATCH(Lists!$F$6,$A$1:$AL$1,0))&amp;"")="","",IF(ISNUMBER(INDEX($A434:$AL434,MATCH(Lists!$F$6,$A$1:$AL$1,0))),ROUND(MOD(INDEX($A434:$AL434,MATCH(Lists!$F$6,$A$1:$AL$1,0)),1)*1440,0),VALUE(LEFT(INDEX($A434:$AL434,MATCH(Lists!$F$6,$A$1:$AL$1,0)),2))*60+VALUE(MID(INDEX($A434:$AL434,MATCH(Lists!$F$6,$A$1:$AL$1,0)),4,2)))),"")),IFERROR(IF(TRIM(INDEX($A434:$AL434,MATCH(Lists!$F$6,$A$1:$AL$1,0))&amp;"")="","",IF(ISNUMBER(INDEX($A434:$AL434,MATCH(Lists!$F$6,$A$1:$AL$1,0))),ROUND(MOD(INDEX($A434:$AL434,MATCH(Lists!$F$6,$A$1:$AL$1,0)),1)*1440,0),VALUE(LEFT(INDEX($A434:$AL434,MATCH(Lists!$F$6,$A$1:$AL$1,0)),2))*60+VALUE(MID(INDEX($A434:$AL434,MATCH(Lists!$F$6,$A$1:$AL$1,0)),4,2)))),""),-1))</f>
        <v/>
      </c>
      <c r="AV434" s="21">
        <f>IF(IFERROR(TRIM(INDEX($A434:$AL434,MATCH(Lists!$F$2,$A$1:$AL$1,0))&amp;""),"")="",-1,IF(ISNUMBER(IFERROR(IF(TRIM(INDEX($A434:$AL434,MATCH(Lists!$F$7,$A$1:$AL$1,0))&amp;"")="","",IF(ISNUMBER(INDEX($A434:$AL434,MATCH(Lists!$F$7,$A$1:$AL$1,0))),ROUND(MOD(INDEX($A434:$AL434,MATCH(Lists!$F$7,$A$1:$AL$1,0)),1)*1440,0),VALUE(LEFT(INDEX($A434:$AL434,MATCH(Lists!$F$7,$A$1:$AL$1,0)),2))*60+VALUE(MID(INDEX($A434:$AL434,MATCH(Lists!$F$7,$A$1:$AL$1,0)),4,2)))),"")),IFERROR(IF(TRIM(INDEX($A434:$AL434,MATCH(Lists!$F$7,$A$1:$AL$1,0))&amp;"")="","",IF(ISNUMBER(INDEX($A434:$AL434,MATCH(Lists!$F$7,$A$1:$AL$1,0))),ROUND(MOD(INDEX($A434:$AL434,MATCH(Lists!$F$7,$A$1:$AL$1,0)),1)*1440,0),VALUE(LEFT(INDEX($A434:$AL434,MATCH(Lists!$F$7,$A$1:$AL$1,0)),2))*60+VALUE(MID(INDEX($A434:$AL434,MATCH(Lists!$F$7,$A$1:$AL$1,0)),4,2)))),""),-1))</f>
        <v/>
      </c>
      <c r="AW434" s="21">
        <f>IF(IFERROR(TRIM(INDEX($A434:$AL434,MATCH(Lists!$F$2,$A$1:$AL$1,0))&amp;""),"")="","",IF(IFERROR(TRIM(INDEX($A434:$AL434,MATCH(Lists!$F$8,$A$1:$AL$1,0))&amp;""),"")&lt;&gt;"",IFERROR(TRIM(INDEX($A434:$AL434,MATCH(Lists!$F$8,$A$1:$AL$1,0))&amp;""),""),IFERROR(TRIM(INDEX($A434:$AL434,MATCH(Lists!$F$9,$A$1:$AL$1,0))&amp;""),"")))</f>
        <v/>
      </c>
      <c r="AX434" s="21">
        <f>IFERROR(IF(TRIM(INDEX($A434:$AL434,MATCH(Lists!$F$10,$A$1:$AL$1,0))&amp;"")="","",VALUE(TRIM(INDEX($A434:$AL434,MATCH(Lists!$F$10,$A$1:$AL$1,0))&amp;""))),"")</f>
        <v/>
      </c>
      <c r="AY434" s="21">
        <f>IF(IFERROR(TRIM(INDEX($A434:$AL434,MATCH(Lists!$F$2,$A$1:$AL$1,0))&amp;""),"")="","",IF(AN434="","New",AN434))</f>
        <v/>
      </c>
      <c r="AZ434" s="21">
        <f>IF(IFERROR(TRIM(INDEX($A434:$AL434,MATCH(Lists!$F$2,$A$1:$AL$1,0))&amp;""),"")="","",IF(OR(IFERROR(TRIM(INDEX($A434:$AL434,MATCH(Lists!$F$13,$A$1:$AL$1,0))&amp;""),"")="Paid",IFERROR(TRIM(INDEX($A434:$AL434,MATCH(Lists!$F$13,$A$1:$AL$1,0))&amp;""),"")="Partially refunded"),"Paid",IF(AP434="Yes","Paid (by hand)",IFERROR(TRIM(INDEX($A434:$AL434,MATCH(Lists!$F$13,$A$1:$AL$1,0))&amp;""),""))))</f>
        <v/>
      </c>
      <c r="BA434" s="21">
        <f>IF(AND(IFERROR(TRIM(INDEX($A434:$AL434,MATCH(Lists!$F$2,$A$1:$AL$1,0))&amp;""),"")&lt;&gt;"",AT434&gt;0,AU434&gt;=0,AV434&gt;AU434,AY434&lt;&gt;"Declined"),1,0)</f>
        <v/>
      </c>
      <c r="BB434" s="21">
        <f>IF(BA434=1,COUNTIFS($AS$2:$AS$501,AS434,$AT$2:$AT$501,AT434,$AU$2:$AU$501,"&lt;"&amp;AV434,$AV$2:$AV$501,"&gt;"&amp;AU434,$BA$2:$BA$501,1)-1,"")</f>
        <v/>
      </c>
      <c r="BC434" s="21">
        <f>IF(N(BB434)&gt;0,"Clashes with "&amp;INDEX($AW$2:$AW$501,SUMPRODUCT(MAX(($AS$2:$AS$501=AS434)*($AT$2:$AT$501=AT434)*($AU$2:$AU$501&lt;AV434)*($AV$2:$AV$501&gt;AU434)*($BA$2:$BA$501=1)*(ROW($AS$2:$AS$501)&lt;&gt;ROW())*ROW($AS$2:$AS$501)))-1)&amp;" ("&amp;INDEX($AY$2:$AY$501,SUMPRODUCT(MAX(($AS$2:$AS$501=AS434)*($AT$2:$AT$501=AT434)*($AU$2:$AU$501&lt;AV434)*($AV$2:$AV$501&gt;AU434)*($BA$2:$BA$501=1)*(ROW($AS$2:$AS$501)&lt;&gt;ROW())*ROW($AS$2:$AS$501)))-1)&amp;")"&amp;IF(BB434&gt;1," and "&amp;(BB434-1)&amp;" more",""),"")</f>
        <v/>
      </c>
      <c r="BD434" s="21">
        <f>IF(AND(BA434=1,AY434="Confirmed"),AT434*10000000+AU434*1000+ROW(),"")</f>
        <v/>
      </c>
      <c r="BE434" s="21">
        <f>IF(IFERROR(TRIM(INDEX($A434:$AL434,MATCH(Lists!$F$2,$A$1:$AL$1,0))&amp;""),"")="","",IFERROR(TRIM(INDEX($A434:$AL434,MATCH(Lists!$F$11,$A$1:$AL$1,0))&amp;""),""))</f>
        <v/>
      </c>
      <c r="BF434" s="21">
        <f>IF(IFERROR(TRIM(INDEX($A434:$AL434,MATCH(Lists!$F$2,$A$1:$AL$1,0))&amp;""),"")="","",IFERROR(TRIM(INDEX($A434:$AL434,MATCH(Lists!$F$12,$A$1:$AL$1,0))&amp;""),""))</f>
        <v/>
      </c>
    </row>
    <row r="435">
      <c r="AM435" s="19" t="n"/>
      <c r="AN435" s="23" t="n"/>
      <c r="AO435" s="23" t="n"/>
      <c r="AP435" s="23" t="n"/>
      <c r="AQ435" s="23" t="n"/>
      <c r="AR435" s="19" t="n"/>
      <c r="AS435" s="21">
        <f>IF(IFERROR(TRIM(INDEX($A435:$AL435,MATCH(Lists!$F$2,$A$1:$AL$1,0))&amp;""),"")="","",IF(AND(IFERROR(TRIM(INDEX($A435:$AL435,MATCH(Lists!$F$3,$A$1:$AL$1,0))&amp;""),"")="Other",IFERROR(TRIM(INDEX($A435:$AL435,MATCH(Lists!$F$4,$A$1:$AL$1,0))&amp;""),"")&lt;&gt;""),IFERROR(TRIM(INDEX($A435:$AL435,MATCH(Lists!$F$4,$A$1:$AL$1,0))&amp;""),""),IF(IFERROR(TRIM(INDEX($A435:$AL435,MATCH(Lists!$F$3,$A$1:$AL$1,0))&amp;""),"")="","(no space)",IFERROR(TRIM(INDEX($A435:$AL435,MATCH(Lists!$F$3,$A$1:$AL$1,0))&amp;""),""))))</f>
        <v/>
      </c>
      <c r="AT435" s="22">
        <f>IF(IFERROR(TRIM(INDEX($A435:$AL435,MATCH(Lists!$F$2,$A$1:$AL$1,0))&amp;""),"")="",0,N(IFERROR(IF(TRIM(INDEX($A435:$AL435,MATCH(Lists!$F$5,$A$1:$AL$1,0))&amp;"")="","",IF(ISNUMBER(INDEX($A435:$AL435,MATCH(Lists!$F$5,$A$1:$AL$1,0))),INT(INDEX($A435:$AL435,MATCH(Lists!$F$5,$A$1:$AL$1,0))),DATE(VALUE(LEFT(INDEX($A435:$AL435,MATCH(Lists!$F$5,$A$1:$AL$1,0)),4)),VALUE(MID(INDEX($A435:$AL435,MATCH(Lists!$F$5,$A$1:$AL$1,0)),6,2)),VALUE(MID(INDEX($A435:$AL435,MATCH(Lists!$F$5,$A$1:$AL$1,0)),9,2))))),"")))</f>
        <v/>
      </c>
      <c r="AU435" s="21">
        <f>IF(IFERROR(TRIM(INDEX($A435:$AL435,MATCH(Lists!$F$2,$A$1:$AL$1,0))&amp;""),"")="",-1,IF(ISNUMBER(IFERROR(IF(TRIM(INDEX($A435:$AL435,MATCH(Lists!$F$6,$A$1:$AL$1,0))&amp;"")="","",IF(ISNUMBER(INDEX($A435:$AL435,MATCH(Lists!$F$6,$A$1:$AL$1,0))),ROUND(MOD(INDEX($A435:$AL435,MATCH(Lists!$F$6,$A$1:$AL$1,0)),1)*1440,0),VALUE(LEFT(INDEX($A435:$AL435,MATCH(Lists!$F$6,$A$1:$AL$1,0)),2))*60+VALUE(MID(INDEX($A435:$AL435,MATCH(Lists!$F$6,$A$1:$AL$1,0)),4,2)))),"")),IFERROR(IF(TRIM(INDEX($A435:$AL435,MATCH(Lists!$F$6,$A$1:$AL$1,0))&amp;"")="","",IF(ISNUMBER(INDEX($A435:$AL435,MATCH(Lists!$F$6,$A$1:$AL$1,0))),ROUND(MOD(INDEX($A435:$AL435,MATCH(Lists!$F$6,$A$1:$AL$1,0)),1)*1440,0),VALUE(LEFT(INDEX($A435:$AL435,MATCH(Lists!$F$6,$A$1:$AL$1,0)),2))*60+VALUE(MID(INDEX($A435:$AL435,MATCH(Lists!$F$6,$A$1:$AL$1,0)),4,2)))),""),-1))</f>
        <v/>
      </c>
      <c r="AV435" s="21">
        <f>IF(IFERROR(TRIM(INDEX($A435:$AL435,MATCH(Lists!$F$2,$A$1:$AL$1,0))&amp;""),"")="",-1,IF(ISNUMBER(IFERROR(IF(TRIM(INDEX($A435:$AL435,MATCH(Lists!$F$7,$A$1:$AL$1,0))&amp;"")="","",IF(ISNUMBER(INDEX($A435:$AL435,MATCH(Lists!$F$7,$A$1:$AL$1,0))),ROUND(MOD(INDEX($A435:$AL435,MATCH(Lists!$F$7,$A$1:$AL$1,0)),1)*1440,0),VALUE(LEFT(INDEX($A435:$AL435,MATCH(Lists!$F$7,$A$1:$AL$1,0)),2))*60+VALUE(MID(INDEX($A435:$AL435,MATCH(Lists!$F$7,$A$1:$AL$1,0)),4,2)))),"")),IFERROR(IF(TRIM(INDEX($A435:$AL435,MATCH(Lists!$F$7,$A$1:$AL$1,0))&amp;"")="","",IF(ISNUMBER(INDEX($A435:$AL435,MATCH(Lists!$F$7,$A$1:$AL$1,0))),ROUND(MOD(INDEX($A435:$AL435,MATCH(Lists!$F$7,$A$1:$AL$1,0)),1)*1440,0),VALUE(LEFT(INDEX($A435:$AL435,MATCH(Lists!$F$7,$A$1:$AL$1,0)),2))*60+VALUE(MID(INDEX($A435:$AL435,MATCH(Lists!$F$7,$A$1:$AL$1,0)),4,2)))),""),-1))</f>
        <v/>
      </c>
      <c r="AW435" s="21">
        <f>IF(IFERROR(TRIM(INDEX($A435:$AL435,MATCH(Lists!$F$2,$A$1:$AL$1,0))&amp;""),"")="","",IF(IFERROR(TRIM(INDEX($A435:$AL435,MATCH(Lists!$F$8,$A$1:$AL$1,0))&amp;""),"")&lt;&gt;"",IFERROR(TRIM(INDEX($A435:$AL435,MATCH(Lists!$F$8,$A$1:$AL$1,0))&amp;""),""),IFERROR(TRIM(INDEX($A435:$AL435,MATCH(Lists!$F$9,$A$1:$AL$1,0))&amp;""),"")))</f>
        <v/>
      </c>
      <c r="AX435" s="21">
        <f>IFERROR(IF(TRIM(INDEX($A435:$AL435,MATCH(Lists!$F$10,$A$1:$AL$1,0))&amp;"")="","",VALUE(TRIM(INDEX($A435:$AL435,MATCH(Lists!$F$10,$A$1:$AL$1,0))&amp;""))),"")</f>
        <v/>
      </c>
      <c r="AY435" s="21">
        <f>IF(IFERROR(TRIM(INDEX($A435:$AL435,MATCH(Lists!$F$2,$A$1:$AL$1,0))&amp;""),"")="","",IF(AN435="","New",AN435))</f>
        <v/>
      </c>
      <c r="AZ435" s="21">
        <f>IF(IFERROR(TRIM(INDEX($A435:$AL435,MATCH(Lists!$F$2,$A$1:$AL$1,0))&amp;""),"")="","",IF(OR(IFERROR(TRIM(INDEX($A435:$AL435,MATCH(Lists!$F$13,$A$1:$AL$1,0))&amp;""),"")="Paid",IFERROR(TRIM(INDEX($A435:$AL435,MATCH(Lists!$F$13,$A$1:$AL$1,0))&amp;""),"")="Partially refunded"),"Paid",IF(AP435="Yes","Paid (by hand)",IFERROR(TRIM(INDEX($A435:$AL435,MATCH(Lists!$F$13,$A$1:$AL$1,0))&amp;""),""))))</f>
        <v/>
      </c>
      <c r="BA435" s="21">
        <f>IF(AND(IFERROR(TRIM(INDEX($A435:$AL435,MATCH(Lists!$F$2,$A$1:$AL$1,0))&amp;""),"")&lt;&gt;"",AT435&gt;0,AU435&gt;=0,AV435&gt;AU435,AY435&lt;&gt;"Declined"),1,0)</f>
        <v/>
      </c>
      <c r="BB435" s="21">
        <f>IF(BA435=1,COUNTIFS($AS$2:$AS$501,AS435,$AT$2:$AT$501,AT435,$AU$2:$AU$501,"&lt;"&amp;AV435,$AV$2:$AV$501,"&gt;"&amp;AU435,$BA$2:$BA$501,1)-1,"")</f>
        <v/>
      </c>
      <c r="BC435" s="21">
        <f>IF(N(BB435)&gt;0,"Clashes with "&amp;INDEX($AW$2:$AW$501,SUMPRODUCT(MAX(($AS$2:$AS$501=AS435)*($AT$2:$AT$501=AT435)*($AU$2:$AU$501&lt;AV435)*($AV$2:$AV$501&gt;AU435)*($BA$2:$BA$501=1)*(ROW($AS$2:$AS$501)&lt;&gt;ROW())*ROW($AS$2:$AS$501)))-1)&amp;" ("&amp;INDEX($AY$2:$AY$501,SUMPRODUCT(MAX(($AS$2:$AS$501=AS435)*($AT$2:$AT$501=AT435)*($AU$2:$AU$501&lt;AV435)*($AV$2:$AV$501&gt;AU435)*($BA$2:$BA$501=1)*(ROW($AS$2:$AS$501)&lt;&gt;ROW())*ROW($AS$2:$AS$501)))-1)&amp;")"&amp;IF(BB435&gt;1," and "&amp;(BB435-1)&amp;" more",""),"")</f>
        <v/>
      </c>
      <c r="BD435" s="21">
        <f>IF(AND(BA435=1,AY435="Confirmed"),AT435*10000000+AU435*1000+ROW(),"")</f>
        <v/>
      </c>
      <c r="BE435" s="21">
        <f>IF(IFERROR(TRIM(INDEX($A435:$AL435,MATCH(Lists!$F$2,$A$1:$AL$1,0))&amp;""),"")="","",IFERROR(TRIM(INDEX($A435:$AL435,MATCH(Lists!$F$11,$A$1:$AL$1,0))&amp;""),""))</f>
        <v/>
      </c>
      <c r="BF435" s="21">
        <f>IF(IFERROR(TRIM(INDEX($A435:$AL435,MATCH(Lists!$F$2,$A$1:$AL$1,0))&amp;""),"")="","",IFERROR(TRIM(INDEX($A435:$AL435,MATCH(Lists!$F$12,$A$1:$AL$1,0))&amp;""),""))</f>
        <v/>
      </c>
    </row>
    <row r="436">
      <c r="AM436" s="19" t="n"/>
      <c r="AN436" s="23" t="n"/>
      <c r="AO436" s="23" t="n"/>
      <c r="AP436" s="23" t="n"/>
      <c r="AQ436" s="23" t="n"/>
      <c r="AR436" s="19" t="n"/>
      <c r="AS436" s="21">
        <f>IF(IFERROR(TRIM(INDEX($A436:$AL436,MATCH(Lists!$F$2,$A$1:$AL$1,0))&amp;""),"")="","",IF(AND(IFERROR(TRIM(INDEX($A436:$AL436,MATCH(Lists!$F$3,$A$1:$AL$1,0))&amp;""),"")="Other",IFERROR(TRIM(INDEX($A436:$AL436,MATCH(Lists!$F$4,$A$1:$AL$1,0))&amp;""),"")&lt;&gt;""),IFERROR(TRIM(INDEX($A436:$AL436,MATCH(Lists!$F$4,$A$1:$AL$1,0))&amp;""),""),IF(IFERROR(TRIM(INDEX($A436:$AL436,MATCH(Lists!$F$3,$A$1:$AL$1,0))&amp;""),"")="","(no space)",IFERROR(TRIM(INDEX($A436:$AL436,MATCH(Lists!$F$3,$A$1:$AL$1,0))&amp;""),""))))</f>
        <v/>
      </c>
      <c r="AT436" s="22">
        <f>IF(IFERROR(TRIM(INDEX($A436:$AL436,MATCH(Lists!$F$2,$A$1:$AL$1,0))&amp;""),"")="",0,N(IFERROR(IF(TRIM(INDEX($A436:$AL436,MATCH(Lists!$F$5,$A$1:$AL$1,0))&amp;"")="","",IF(ISNUMBER(INDEX($A436:$AL436,MATCH(Lists!$F$5,$A$1:$AL$1,0))),INT(INDEX($A436:$AL436,MATCH(Lists!$F$5,$A$1:$AL$1,0))),DATE(VALUE(LEFT(INDEX($A436:$AL436,MATCH(Lists!$F$5,$A$1:$AL$1,0)),4)),VALUE(MID(INDEX($A436:$AL436,MATCH(Lists!$F$5,$A$1:$AL$1,0)),6,2)),VALUE(MID(INDEX($A436:$AL436,MATCH(Lists!$F$5,$A$1:$AL$1,0)),9,2))))),"")))</f>
        <v/>
      </c>
      <c r="AU436" s="21">
        <f>IF(IFERROR(TRIM(INDEX($A436:$AL436,MATCH(Lists!$F$2,$A$1:$AL$1,0))&amp;""),"")="",-1,IF(ISNUMBER(IFERROR(IF(TRIM(INDEX($A436:$AL436,MATCH(Lists!$F$6,$A$1:$AL$1,0))&amp;"")="","",IF(ISNUMBER(INDEX($A436:$AL436,MATCH(Lists!$F$6,$A$1:$AL$1,0))),ROUND(MOD(INDEX($A436:$AL436,MATCH(Lists!$F$6,$A$1:$AL$1,0)),1)*1440,0),VALUE(LEFT(INDEX($A436:$AL436,MATCH(Lists!$F$6,$A$1:$AL$1,0)),2))*60+VALUE(MID(INDEX($A436:$AL436,MATCH(Lists!$F$6,$A$1:$AL$1,0)),4,2)))),"")),IFERROR(IF(TRIM(INDEX($A436:$AL436,MATCH(Lists!$F$6,$A$1:$AL$1,0))&amp;"")="","",IF(ISNUMBER(INDEX($A436:$AL436,MATCH(Lists!$F$6,$A$1:$AL$1,0))),ROUND(MOD(INDEX($A436:$AL436,MATCH(Lists!$F$6,$A$1:$AL$1,0)),1)*1440,0),VALUE(LEFT(INDEX($A436:$AL436,MATCH(Lists!$F$6,$A$1:$AL$1,0)),2))*60+VALUE(MID(INDEX($A436:$AL436,MATCH(Lists!$F$6,$A$1:$AL$1,0)),4,2)))),""),-1))</f>
        <v/>
      </c>
      <c r="AV436" s="21">
        <f>IF(IFERROR(TRIM(INDEX($A436:$AL436,MATCH(Lists!$F$2,$A$1:$AL$1,0))&amp;""),"")="",-1,IF(ISNUMBER(IFERROR(IF(TRIM(INDEX($A436:$AL436,MATCH(Lists!$F$7,$A$1:$AL$1,0))&amp;"")="","",IF(ISNUMBER(INDEX($A436:$AL436,MATCH(Lists!$F$7,$A$1:$AL$1,0))),ROUND(MOD(INDEX($A436:$AL436,MATCH(Lists!$F$7,$A$1:$AL$1,0)),1)*1440,0),VALUE(LEFT(INDEX($A436:$AL436,MATCH(Lists!$F$7,$A$1:$AL$1,0)),2))*60+VALUE(MID(INDEX($A436:$AL436,MATCH(Lists!$F$7,$A$1:$AL$1,0)),4,2)))),"")),IFERROR(IF(TRIM(INDEX($A436:$AL436,MATCH(Lists!$F$7,$A$1:$AL$1,0))&amp;"")="","",IF(ISNUMBER(INDEX($A436:$AL436,MATCH(Lists!$F$7,$A$1:$AL$1,0))),ROUND(MOD(INDEX($A436:$AL436,MATCH(Lists!$F$7,$A$1:$AL$1,0)),1)*1440,0),VALUE(LEFT(INDEX($A436:$AL436,MATCH(Lists!$F$7,$A$1:$AL$1,0)),2))*60+VALUE(MID(INDEX($A436:$AL436,MATCH(Lists!$F$7,$A$1:$AL$1,0)),4,2)))),""),-1))</f>
        <v/>
      </c>
      <c r="AW436" s="21">
        <f>IF(IFERROR(TRIM(INDEX($A436:$AL436,MATCH(Lists!$F$2,$A$1:$AL$1,0))&amp;""),"")="","",IF(IFERROR(TRIM(INDEX($A436:$AL436,MATCH(Lists!$F$8,$A$1:$AL$1,0))&amp;""),"")&lt;&gt;"",IFERROR(TRIM(INDEX($A436:$AL436,MATCH(Lists!$F$8,$A$1:$AL$1,0))&amp;""),""),IFERROR(TRIM(INDEX($A436:$AL436,MATCH(Lists!$F$9,$A$1:$AL$1,0))&amp;""),"")))</f>
        <v/>
      </c>
      <c r="AX436" s="21">
        <f>IFERROR(IF(TRIM(INDEX($A436:$AL436,MATCH(Lists!$F$10,$A$1:$AL$1,0))&amp;"")="","",VALUE(TRIM(INDEX($A436:$AL436,MATCH(Lists!$F$10,$A$1:$AL$1,0))&amp;""))),"")</f>
        <v/>
      </c>
      <c r="AY436" s="21">
        <f>IF(IFERROR(TRIM(INDEX($A436:$AL436,MATCH(Lists!$F$2,$A$1:$AL$1,0))&amp;""),"")="","",IF(AN436="","New",AN436))</f>
        <v/>
      </c>
      <c r="AZ436" s="21">
        <f>IF(IFERROR(TRIM(INDEX($A436:$AL436,MATCH(Lists!$F$2,$A$1:$AL$1,0))&amp;""),"")="","",IF(OR(IFERROR(TRIM(INDEX($A436:$AL436,MATCH(Lists!$F$13,$A$1:$AL$1,0))&amp;""),"")="Paid",IFERROR(TRIM(INDEX($A436:$AL436,MATCH(Lists!$F$13,$A$1:$AL$1,0))&amp;""),"")="Partially refunded"),"Paid",IF(AP436="Yes","Paid (by hand)",IFERROR(TRIM(INDEX($A436:$AL436,MATCH(Lists!$F$13,$A$1:$AL$1,0))&amp;""),""))))</f>
        <v/>
      </c>
      <c r="BA436" s="21">
        <f>IF(AND(IFERROR(TRIM(INDEX($A436:$AL436,MATCH(Lists!$F$2,$A$1:$AL$1,0))&amp;""),"")&lt;&gt;"",AT436&gt;0,AU436&gt;=0,AV436&gt;AU436,AY436&lt;&gt;"Declined"),1,0)</f>
        <v/>
      </c>
      <c r="BB436" s="21">
        <f>IF(BA436=1,COUNTIFS($AS$2:$AS$501,AS436,$AT$2:$AT$501,AT436,$AU$2:$AU$501,"&lt;"&amp;AV436,$AV$2:$AV$501,"&gt;"&amp;AU436,$BA$2:$BA$501,1)-1,"")</f>
        <v/>
      </c>
      <c r="BC436" s="21">
        <f>IF(N(BB436)&gt;0,"Clashes with "&amp;INDEX($AW$2:$AW$501,SUMPRODUCT(MAX(($AS$2:$AS$501=AS436)*($AT$2:$AT$501=AT436)*($AU$2:$AU$501&lt;AV436)*($AV$2:$AV$501&gt;AU436)*($BA$2:$BA$501=1)*(ROW($AS$2:$AS$501)&lt;&gt;ROW())*ROW($AS$2:$AS$501)))-1)&amp;" ("&amp;INDEX($AY$2:$AY$501,SUMPRODUCT(MAX(($AS$2:$AS$501=AS436)*($AT$2:$AT$501=AT436)*($AU$2:$AU$501&lt;AV436)*($AV$2:$AV$501&gt;AU436)*($BA$2:$BA$501=1)*(ROW($AS$2:$AS$501)&lt;&gt;ROW())*ROW($AS$2:$AS$501)))-1)&amp;")"&amp;IF(BB436&gt;1," and "&amp;(BB436-1)&amp;" more",""),"")</f>
        <v/>
      </c>
      <c r="BD436" s="21">
        <f>IF(AND(BA436=1,AY436="Confirmed"),AT436*10000000+AU436*1000+ROW(),"")</f>
        <v/>
      </c>
      <c r="BE436" s="21">
        <f>IF(IFERROR(TRIM(INDEX($A436:$AL436,MATCH(Lists!$F$2,$A$1:$AL$1,0))&amp;""),"")="","",IFERROR(TRIM(INDEX($A436:$AL436,MATCH(Lists!$F$11,$A$1:$AL$1,0))&amp;""),""))</f>
        <v/>
      </c>
      <c r="BF436" s="21">
        <f>IF(IFERROR(TRIM(INDEX($A436:$AL436,MATCH(Lists!$F$2,$A$1:$AL$1,0))&amp;""),"")="","",IFERROR(TRIM(INDEX($A436:$AL436,MATCH(Lists!$F$12,$A$1:$AL$1,0))&amp;""),""))</f>
        <v/>
      </c>
    </row>
    <row r="437">
      <c r="AM437" s="19" t="n"/>
      <c r="AN437" s="23" t="n"/>
      <c r="AO437" s="23" t="n"/>
      <c r="AP437" s="23" t="n"/>
      <c r="AQ437" s="23" t="n"/>
      <c r="AR437" s="19" t="n"/>
      <c r="AS437" s="21">
        <f>IF(IFERROR(TRIM(INDEX($A437:$AL437,MATCH(Lists!$F$2,$A$1:$AL$1,0))&amp;""),"")="","",IF(AND(IFERROR(TRIM(INDEX($A437:$AL437,MATCH(Lists!$F$3,$A$1:$AL$1,0))&amp;""),"")="Other",IFERROR(TRIM(INDEX($A437:$AL437,MATCH(Lists!$F$4,$A$1:$AL$1,0))&amp;""),"")&lt;&gt;""),IFERROR(TRIM(INDEX($A437:$AL437,MATCH(Lists!$F$4,$A$1:$AL$1,0))&amp;""),""),IF(IFERROR(TRIM(INDEX($A437:$AL437,MATCH(Lists!$F$3,$A$1:$AL$1,0))&amp;""),"")="","(no space)",IFERROR(TRIM(INDEX($A437:$AL437,MATCH(Lists!$F$3,$A$1:$AL$1,0))&amp;""),""))))</f>
        <v/>
      </c>
      <c r="AT437" s="22">
        <f>IF(IFERROR(TRIM(INDEX($A437:$AL437,MATCH(Lists!$F$2,$A$1:$AL$1,0))&amp;""),"")="",0,N(IFERROR(IF(TRIM(INDEX($A437:$AL437,MATCH(Lists!$F$5,$A$1:$AL$1,0))&amp;"")="","",IF(ISNUMBER(INDEX($A437:$AL437,MATCH(Lists!$F$5,$A$1:$AL$1,0))),INT(INDEX($A437:$AL437,MATCH(Lists!$F$5,$A$1:$AL$1,0))),DATE(VALUE(LEFT(INDEX($A437:$AL437,MATCH(Lists!$F$5,$A$1:$AL$1,0)),4)),VALUE(MID(INDEX($A437:$AL437,MATCH(Lists!$F$5,$A$1:$AL$1,0)),6,2)),VALUE(MID(INDEX($A437:$AL437,MATCH(Lists!$F$5,$A$1:$AL$1,0)),9,2))))),"")))</f>
        <v/>
      </c>
      <c r="AU437" s="21">
        <f>IF(IFERROR(TRIM(INDEX($A437:$AL437,MATCH(Lists!$F$2,$A$1:$AL$1,0))&amp;""),"")="",-1,IF(ISNUMBER(IFERROR(IF(TRIM(INDEX($A437:$AL437,MATCH(Lists!$F$6,$A$1:$AL$1,0))&amp;"")="","",IF(ISNUMBER(INDEX($A437:$AL437,MATCH(Lists!$F$6,$A$1:$AL$1,0))),ROUND(MOD(INDEX($A437:$AL437,MATCH(Lists!$F$6,$A$1:$AL$1,0)),1)*1440,0),VALUE(LEFT(INDEX($A437:$AL437,MATCH(Lists!$F$6,$A$1:$AL$1,0)),2))*60+VALUE(MID(INDEX($A437:$AL437,MATCH(Lists!$F$6,$A$1:$AL$1,0)),4,2)))),"")),IFERROR(IF(TRIM(INDEX($A437:$AL437,MATCH(Lists!$F$6,$A$1:$AL$1,0))&amp;"")="","",IF(ISNUMBER(INDEX($A437:$AL437,MATCH(Lists!$F$6,$A$1:$AL$1,0))),ROUND(MOD(INDEX($A437:$AL437,MATCH(Lists!$F$6,$A$1:$AL$1,0)),1)*1440,0),VALUE(LEFT(INDEX($A437:$AL437,MATCH(Lists!$F$6,$A$1:$AL$1,0)),2))*60+VALUE(MID(INDEX($A437:$AL437,MATCH(Lists!$F$6,$A$1:$AL$1,0)),4,2)))),""),-1))</f>
        <v/>
      </c>
      <c r="AV437" s="21">
        <f>IF(IFERROR(TRIM(INDEX($A437:$AL437,MATCH(Lists!$F$2,$A$1:$AL$1,0))&amp;""),"")="",-1,IF(ISNUMBER(IFERROR(IF(TRIM(INDEX($A437:$AL437,MATCH(Lists!$F$7,$A$1:$AL$1,0))&amp;"")="","",IF(ISNUMBER(INDEX($A437:$AL437,MATCH(Lists!$F$7,$A$1:$AL$1,0))),ROUND(MOD(INDEX($A437:$AL437,MATCH(Lists!$F$7,$A$1:$AL$1,0)),1)*1440,0),VALUE(LEFT(INDEX($A437:$AL437,MATCH(Lists!$F$7,$A$1:$AL$1,0)),2))*60+VALUE(MID(INDEX($A437:$AL437,MATCH(Lists!$F$7,$A$1:$AL$1,0)),4,2)))),"")),IFERROR(IF(TRIM(INDEX($A437:$AL437,MATCH(Lists!$F$7,$A$1:$AL$1,0))&amp;"")="","",IF(ISNUMBER(INDEX($A437:$AL437,MATCH(Lists!$F$7,$A$1:$AL$1,0))),ROUND(MOD(INDEX($A437:$AL437,MATCH(Lists!$F$7,$A$1:$AL$1,0)),1)*1440,0),VALUE(LEFT(INDEX($A437:$AL437,MATCH(Lists!$F$7,$A$1:$AL$1,0)),2))*60+VALUE(MID(INDEX($A437:$AL437,MATCH(Lists!$F$7,$A$1:$AL$1,0)),4,2)))),""),-1))</f>
        <v/>
      </c>
      <c r="AW437" s="21">
        <f>IF(IFERROR(TRIM(INDEX($A437:$AL437,MATCH(Lists!$F$2,$A$1:$AL$1,0))&amp;""),"")="","",IF(IFERROR(TRIM(INDEX($A437:$AL437,MATCH(Lists!$F$8,$A$1:$AL$1,0))&amp;""),"")&lt;&gt;"",IFERROR(TRIM(INDEX($A437:$AL437,MATCH(Lists!$F$8,$A$1:$AL$1,0))&amp;""),""),IFERROR(TRIM(INDEX($A437:$AL437,MATCH(Lists!$F$9,$A$1:$AL$1,0))&amp;""),"")))</f>
        <v/>
      </c>
      <c r="AX437" s="21">
        <f>IFERROR(IF(TRIM(INDEX($A437:$AL437,MATCH(Lists!$F$10,$A$1:$AL$1,0))&amp;"")="","",VALUE(TRIM(INDEX($A437:$AL437,MATCH(Lists!$F$10,$A$1:$AL$1,0))&amp;""))),"")</f>
        <v/>
      </c>
      <c r="AY437" s="21">
        <f>IF(IFERROR(TRIM(INDEX($A437:$AL437,MATCH(Lists!$F$2,$A$1:$AL$1,0))&amp;""),"")="","",IF(AN437="","New",AN437))</f>
        <v/>
      </c>
      <c r="AZ437" s="21">
        <f>IF(IFERROR(TRIM(INDEX($A437:$AL437,MATCH(Lists!$F$2,$A$1:$AL$1,0))&amp;""),"")="","",IF(OR(IFERROR(TRIM(INDEX($A437:$AL437,MATCH(Lists!$F$13,$A$1:$AL$1,0))&amp;""),"")="Paid",IFERROR(TRIM(INDEX($A437:$AL437,MATCH(Lists!$F$13,$A$1:$AL$1,0))&amp;""),"")="Partially refunded"),"Paid",IF(AP437="Yes","Paid (by hand)",IFERROR(TRIM(INDEX($A437:$AL437,MATCH(Lists!$F$13,$A$1:$AL$1,0))&amp;""),""))))</f>
        <v/>
      </c>
      <c r="BA437" s="21">
        <f>IF(AND(IFERROR(TRIM(INDEX($A437:$AL437,MATCH(Lists!$F$2,$A$1:$AL$1,0))&amp;""),"")&lt;&gt;"",AT437&gt;0,AU437&gt;=0,AV437&gt;AU437,AY437&lt;&gt;"Declined"),1,0)</f>
        <v/>
      </c>
      <c r="BB437" s="21">
        <f>IF(BA437=1,COUNTIFS($AS$2:$AS$501,AS437,$AT$2:$AT$501,AT437,$AU$2:$AU$501,"&lt;"&amp;AV437,$AV$2:$AV$501,"&gt;"&amp;AU437,$BA$2:$BA$501,1)-1,"")</f>
        <v/>
      </c>
      <c r="BC437" s="21">
        <f>IF(N(BB437)&gt;0,"Clashes with "&amp;INDEX($AW$2:$AW$501,SUMPRODUCT(MAX(($AS$2:$AS$501=AS437)*($AT$2:$AT$501=AT437)*($AU$2:$AU$501&lt;AV437)*($AV$2:$AV$501&gt;AU437)*($BA$2:$BA$501=1)*(ROW($AS$2:$AS$501)&lt;&gt;ROW())*ROW($AS$2:$AS$501)))-1)&amp;" ("&amp;INDEX($AY$2:$AY$501,SUMPRODUCT(MAX(($AS$2:$AS$501=AS437)*($AT$2:$AT$501=AT437)*($AU$2:$AU$501&lt;AV437)*($AV$2:$AV$501&gt;AU437)*($BA$2:$BA$501=1)*(ROW($AS$2:$AS$501)&lt;&gt;ROW())*ROW($AS$2:$AS$501)))-1)&amp;")"&amp;IF(BB437&gt;1," and "&amp;(BB437-1)&amp;" more",""),"")</f>
        <v/>
      </c>
      <c r="BD437" s="21">
        <f>IF(AND(BA437=1,AY437="Confirmed"),AT437*10000000+AU437*1000+ROW(),"")</f>
        <v/>
      </c>
      <c r="BE437" s="21">
        <f>IF(IFERROR(TRIM(INDEX($A437:$AL437,MATCH(Lists!$F$2,$A$1:$AL$1,0))&amp;""),"")="","",IFERROR(TRIM(INDEX($A437:$AL437,MATCH(Lists!$F$11,$A$1:$AL$1,0))&amp;""),""))</f>
        <v/>
      </c>
      <c r="BF437" s="21">
        <f>IF(IFERROR(TRIM(INDEX($A437:$AL437,MATCH(Lists!$F$2,$A$1:$AL$1,0))&amp;""),"")="","",IFERROR(TRIM(INDEX($A437:$AL437,MATCH(Lists!$F$12,$A$1:$AL$1,0))&amp;""),""))</f>
        <v/>
      </c>
    </row>
    <row r="438">
      <c r="AM438" s="19" t="n"/>
      <c r="AN438" s="23" t="n"/>
      <c r="AO438" s="23" t="n"/>
      <c r="AP438" s="23" t="n"/>
      <c r="AQ438" s="23" t="n"/>
      <c r="AR438" s="19" t="n"/>
      <c r="AS438" s="21">
        <f>IF(IFERROR(TRIM(INDEX($A438:$AL438,MATCH(Lists!$F$2,$A$1:$AL$1,0))&amp;""),"")="","",IF(AND(IFERROR(TRIM(INDEX($A438:$AL438,MATCH(Lists!$F$3,$A$1:$AL$1,0))&amp;""),"")="Other",IFERROR(TRIM(INDEX($A438:$AL438,MATCH(Lists!$F$4,$A$1:$AL$1,0))&amp;""),"")&lt;&gt;""),IFERROR(TRIM(INDEX($A438:$AL438,MATCH(Lists!$F$4,$A$1:$AL$1,0))&amp;""),""),IF(IFERROR(TRIM(INDEX($A438:$AL438,MATCH(Lists!$F$3,$A$1:$AL$1,0))&amp;""),"")="","(no space)",IFERROR(TRIM(INDEX($A438:$AL438,MATCH(Lists!$F$3,$A$1:$AL$1,0))&amp;""),""))))</f>
        <v/>
      </c>
      <c r="AT438" s="22">
        <f>IF(IFERROR(TRIM(INDEX($A438:$AL438,MATCH(Lists!$F$2,$A$1:$AL$1,0))&amp;""),"")="",0,N(IFERROR(IF(TRIM(INDEX($A438:$AL438,MATCH(Lists!$F$5,$A$1:$AL$1,0))&amp;"")="","",IF(ISNUMBER(INDEX($A438:$AL438,MATCH(Lists!$F$5,$A$1:$AL$1,0))),INT(INDEX($A438:$AL438,MATCH(Lists!$F$5,$A$1:$AL$1,0))),DATE(VALUE(LEFT(INDEX($A438:$AL438,MATCH(Lists!$F$5,$A$1:$AL$1,0)),4)),VALUE(MID(INDEX($A438:$AL438,MATCH(Lists!$F$5,$A$1:$AL$1,0)),6,2)),VALUE(MID(INDEX($A438:$AL438,MATCH(Lists!$F$5,$A$1:$AL$1,0)),9,2))))),"")))</f>
        <v/>
      </c>
      <c r="AU438" s="21">
        <f>IF(IFERROR(TRIM(INDEX($A438:$AL438,MATCH(Lists!$F$2,$A$1:$AL$1,0))&amp;""),"")="",-1,IF(ISNUMBER(IFERROR(IF(TRIM(INDEX($A438:$AL438,MATCH(Lists!$F$6,$A$1:$AL$1,0))&amp;"")="","",IF(ISNUMBER(INDEX($A438:$AL438,MATCH(Lists!$F$6,$A$1:$AL$1,0))),ROUND(MOD(INDEX($A438:$AL438,MATCH(Lists!$F$6,$A$1:$AL$1,0)),1)*1440,0),VALUE(LEFT(INDEX($A438:$AL438,MATCH(Lists!$F$6,$A$1:$AL$1,0)),2))*60+VALUE(MID(INDEX($A438:$AL438,MATCH(Lists!$F$6,$A$1:$AL$1,0)),4,2)))),"")),IFERROR(IF(TRIM(INDEX($A438:$AL438,MATCH(Lists!$F$6,$A$1:$AL$1,0))&amp;"")="","",IF(ISNUMBER(INDEX($A438:$AL438,MATCH(Lists!$F$6,$A$1:$AL$1,0))),ROUND(MOD(INDEX($A438:$AL438,MATCH(Lists!$F$6,$A$1:$AL$1,0)),1)*1440,0),VALUE(LEFT(INDEX($A438:$AL438,MATCH(Lists!$F$6,$A$1:$AL$1,0)),2))*60+VALUE(MID(INDEX($A438:$AL438,MATCH(Lists!$F$6,$A$1:$AL$1,0)),4,2)))),""),-1))</f>
        <v/>
      </c>
      <c r="AV438" s="21">
        <f>IF(IFERROR(TRIM(INDEX($A438:$AL438,MATCH(Lists!$F$2,$A$1:$AL$1,0))&amp;""),"")="",-1,IF(ISNUMBER(IFERROR(IF(TRIM(INDEX($A438:$AL438,MATCH(Lists!$F$7,$A$1:$AL$1,0))&amp;"")="","",IF(ISNUMBER(INDEX($A438:$AL438,MATCH(Lists!$F$7,$A$1:$AL$1,0))),ROUND(MOD(INDEX($A438:$AL438,MATCH(Lists!$F$7,$A$1:$AL$1,0)),1)*1440,0),VALUE(LEFT(INDEX($A438:$AL438,MATCH(Lists!$F$7,$A$1:$AL$1,0)),2))*60+VALUE(MID(INDEX($A438:$AL438,MATCH(Lists!$F$7,$A$1:$AL$1,0)),4,2)))),"")),IFERROR(IF(TRIM(INDEX($A438:$AL438,MATCH(Lists!$F$7,$A$1:$AL$1,0))&amp;"")="","",IF(ISNUMBER(INDEX($A438:$AL438,MATCH(Lists!$F$7,$A$1:$AL$1,0))),ROUND(MOD(INDEX($A438:$AL438,MATCH(Lists!$F$7,$A$1:$AL$1,0)),1)*1440,0),VALUE(LEFT(INDEX($A438:$AL438,MATCH(Lists!$F$7,$A$1:$AL$1,0)),2))*60+VALUE(MID(INDEX($A438:$AL438,MATCH(Lists!$F$7,$A$1:$AL$1,0)),4,2)))),""),-1))</f>
        <v/>
      </c>
      <c r="AW438" s="21">
        <f>IF(IFERROR(TRIM(INDEX($A438:$AL438,MATCH(Lists!$F$2,$A$1:$AL$1,0))&amp;""),"")="","",IF(IFERROR(TRIM(INDEX($A438:$AL438,MATCH(Lists!$F$8,$A$1:$AL$1,0))&amp;""),"")&lt;&gt;"",IFERROR(TRIM(INDEX($A438:$AL438,MATCH(Lists!$F$8,$A$1:$AL$1,0))&amp;""),""),IFERROR(TRIM(INDEX($A438:$AL438,MATCH(Lists!$F$9,$A$1:$AL$1,0))&amp;""),"")))</f>
        <v/>
      </c>
      <c r="AX438" s="21">
        <f>IFERROR(IF(TRIM(INDEX($A438:$AL438,MATCH(Lists!$F$10,$A$1:$AL$1,0))&amp;"")="","",VALUE(TRIM(INDEX($A438:$AL438,MATCH(Lists!$F$10,$A$1:$AL$1,0))&amp;""))),"")</f>
        <v/>
      </c>
      <c r="AY438" s="21">
        <f>IF(IFERROR(TRIM(INDEX($A438:$AL438,MATCH(Lists!$F$2,$A$1:$AL$1,0))&amp;""),"")="","",IF(AN438="","New",AN438))</f>
        <v/>
      </c>
      <c r="AZ438" s="21">
        <f>IF(IFERROR(TRIM(INDEX($A438:$AL438,MATCH(Lists!$F$2,$A$1:$AL$1,0))&amp;""),"")="","",IF(OR(IFERROR(TRIM(INDEX($A438:$AL438,MATCH(Lists!$F$13,$A$1:$AL$1,0))&amp;""),"")="Paid",IFERROR(TRIM(INDEX($A438:$AL438,MATCH(Lists!$F$13,$A$1:$AL$1,0))&amp;""),"")="Partially refunded"),"Paid",IF(AP438="Yes","Paid (by hand)",IFERROR(TRIM(INDEX($A438:$AL438,MATCH(Lists!$F$13,$A$1:$AL$1,0))&amp;""),""))))</f>
        <v/>
      </c>
      <c r="BA438" s="21">
        <f>IF(AND(IFERROR(TRIM(INDEX($A438:$AL438,MATCH(Lists!$F$2,$A$1:$AL$1,0))&amp;""),"")&lt;&gt;"",AT438&gt;0,AU438&gt;=0,AV438&gt;AU438,AY438&lt;&gt;"Declined"),1,0)</f>
        <v/>
      </c>
      <c r="BB438" s="21">
        <f>IF(BA438=1,COUNTIFS($AS$2:$AS$501,AS438,$AT$2:$AT$501,AT438,$AU$2:$AU$501,"&lt;"&amp;AV438,$AV$2:$AV$501,"&gt;"&amp;AU438,$BA$2:$BA$501,1)-1,"")</f>
        <v/>
      </c>
      <c r="BC438" s="21">
        <f>IF(N(BB438)&gt;0,"Clashes with "&amp;INDEX($AW$2:$AW$501,SUMPRODUCT(MAX(($AS$2:$AS$501=AS438)*($AT$2:$AT$501=AT438)*($AU$2:$AU$501&lt;AV438)*($AV$2:$AV$501&gt;AU438)*($BA$2:$BA$501=1)*(ROW($AS$2:$AS$501)&lt;&gt;ROW())*ROW($AS$2:$AS$501)))-1)&amp;" ("&amp;INDEX($AY$2:$AY$501,SUMPRODUCT(MAX(($AS$2:$AS$501=AS438)*($AT$2:$AT$501=AT438)*($AU$2:$AU$501&lt;AV438)*($AV$2:$AV$501&gt;AU438)*($BA$2:$BA$501=1)*(ROW($AS$2:$AS$501)&lt;&gt;ROW())*ROW($AS$2:$AS$501)))-1)&amp;")"&amp;IF(BB438&gt;1," and "&amp;(BB438-1)&amp;" more",""),"")</f>
        <v/>
      </c>
      <c r="BD438" s="21">
        <f>IF(AND(BA438=1,AY438="Confirmed"),AT438*10000000+AU438*1000+ROW(),"")</f>
        <v/>
      </c>
      <c r="BE438" s="21">
        <f>IF(IFERROR(TRIM(INDEX($A438:$AL438,MATCH(Lists!$F$2,$A$1:$AL$1,0))&amp;""),"")="","",IFERROR(TRIM(INDEX($A438:$AL438,MATCH(Lists!$F$11,$A$1:$AL$1,0))&amp;""),""))</f>
        <v/>
      </c>
      <c r="BF438" s="21">
        <f>IF(IFERROR(TRIM(INDEX($A438:$AL438,MATCH(Lists!$F$2,$A$1:$AL$1,0))&amp;""),"")="","",IFERROR(TRIM(INDEX($A438:$AL438,MATCH(Lists!$F$12,$A$1:$AL$1,0))&amp;""),""))</f>
        <v/>
      </c>
    </row>
    <row r="439">
      <c r="AM439" s="19" t="n"/>
      <c r="AN439" s="23" t="n"/>
      <c r="AO439" s="23" t="n"/>
      <c r="AP439" s="23" t="n"/>
      <c r="AQ439" s="23" t="n"/>
      <c r="AR439" s="19" t="n"/>
      <c r="AS439" s="21">
        <f>IF(IFERROR(TRIM(INDEX($A439:$AL439,MATCH(Lists!$F$2,$A$1:$AL$1,0))&amp;""),"")="","",IF(AND(IFERROR(TRIM(INDEX($A439:$AL439,MATCH(Lists!$F$3,$A$1:$AL$1,0))&amp;""),"")="Other",IFERROR(TRIM(INDEX($A439:$AL439,MATCH(Lists!$F$4,$A$1:$AL$1,0))&amp;""),"")&lt;&gt;""),IFERROR(TRIM(INDEX($A439:$AL439,MATCH(Lists!$F$4,$A$1:$AL$1,0))&amp;""),""),IF(IFERROR(TRIM(INDEX($A439:$AL439,MATCH(Lists!$F$3,$A$1:$AL$1,0))&amp;""),"")="","(no space)",IFERROR(TRIM(INDEX($A439:$AL439,MATCH(Lists!$F$3,$A$1:$AL$1,0))&amp;""),""))))</f>
        <v/>
      </c>
      <c r="AT439" s="22">
        <f>IF(IFERROR(TRIM(INDEX($A439:$AL439,MATCH(Lists!$F$2,$A$1:$AL$1,0))&amp;""),"")="",0,N(IFERROR(IF(TRIM(INDEX($A439:$AL439,MATCH(Lists!$F$5,$A$1:$AL$1,0))&amp;"")="","",IF(ISNUMBER(INDEX($A439:$AL439,MATCH(Lists!$F$5,$A$1:$AL$1,0))),INT(INDEX($A439:$AL439,MATCH(Lists!$F$5,$A$1:$AL$1,0))),DATE(VALUE(LEFT(INDEX($A439:$AL439,MATCH(Lists!$F$5,$A$1:$AL$1,0)),4)),VALUE(MID(INDEX($A439:$AL439,MATCH(Lists!$F$5,$A$1:$AL$1,0)),6,2)),VALUE(MID(INDEX($A439:$AL439,MATCH(Lists!$F$5,$A$1:$AL$1,0)),9,2))))),"")))</f>
        <v/>
      </c>
      <c r="AU439" s="21">
        <f>IF(IFERROR(TRIM(INDEX($A439:$AL439,MATCH(Lists!$F$2,$A$1:$AL$1,0))&amp;""),"")="",-1,IF(ISNUMBER(IFERROR(IF(TRIM(INDEX($A439:$AL439,MATCH(Lists!$F$6,$A$1:$AL$1,0))&amp;"")="","",IF(ISNUMBER(INDEX($A439:$AL439,MATCH(Lists!$F$6,$A$1:$AL$1,0))),ROUND(MOD(INDEX($A439:$AL439,MATCH(Lists!$F$6,$A$1:$AL$1,0)),1)*1440,0),VALUE(LEFT(INDEX($A439:$AL439,MATCH(Lists!$F$6,$A$1:$AL$1,0)),2))*60+VALUE(MID(INDEX($A439:$AL439,MATCH(Lists!$F$6,$A$1:$AL$1,0)),4,2)))),"")),IFERROR(IF(TRIM(INDEX($A439:$AL439,MATCH(Lists!$F$6,$A$1:$AL$1,0))&amp;"")="","",IF(ISNUMBER(INDEX($A439:$AL439,MATCH(Lists!$F$6,$A$1:$AL$1,0))),ROUND(MOD(INDEX($A439:$AL439,MATCH(Lists!$F$6,$A$1:$AL$1,0)),1)*1440,0),VALUE(LEFT(INDEX($A439:$AL439,MATCH(Lists!$F$6,$A$1:$AL$1,0)),2))*60+VALUE(MID(INDEX($A439:$AL439,MATCH(Lists!$F$6,$A$1:$AL$1,0)),4,2)))),""),-1))</f>
        <v/>
      </c>
      <c r="AV439" s="21">
        <f>IF(IFERROR(TRIM(INDEX($A439:$AL439,MATCH(Lists!$F$2,$A$1:$AL$1,0))&amp;""),"")="",-1,IF(ISNUMBER(IFERROR(IF(TRIM(INDEX($A439:$AL439,MATCH(Lists!$F$7,$A$1:$AL$1,0))&amp;"")="","",IF(ISNUMBER(INDEX($A439:$AL439,MATCH(Lists!$F$7,$A$1:$AL$1,0))),ROUND(MOD(INDEX($A439:$AL439,MATCH(Lists!$F$7,$A$1:$AL$1,0)),1)*1440,0),VALUE(LEFT(INDEX($A439:$AL439,MATCH(Lists!$F$7,$A$1:$AL$1,0)),2))*60+VALUE(MID(INDEX($A439:$AL439,MATCH(Lists!$F$7,$A$1:$AL$1,0)),4,2)))),"")),IFERROR(IF(TRIM(INDEX($A439:$AL439,MATCH(Lists!$F$7,$A$1:$AL$1,0))&amp;"")="","",IF(ISNUMBER(INDEX($A439:$AL439,MATCH(Lists!$F$7,$A$1:$AL$1,0))),ROUND(MOD(INDEX($A439:$AL439,MATCH(Lists!$F$7,$A$1:$AL$1,0)),1)*1440,0),VALUE(LEFT(INDEX($A439:$AL439,MATCH(Lists!$F$7,$A$1:$AL$1,0)),2))*60+VALUE(MID(INDEX($A439:$AL439,MATCH(Lists!$F$7,$A$1:$AL$1,0)),4,2)))),""),-1))</f>
        <v/>
      </c>
      <c r="AW439" s="21">
        <f>IF(IFERROR(TRIM(INDEX($A439:$AL439,MATCH(Lists!$F$2,$A$1:$AL$1,0))&amp;""),"")="","",IF(IFERROR(TRIM(INDEX($A439:$AL439,MATCH(Lists!$F$8,$A$1:$AL$1,0))&amp;""),"")&lt;&gt;"",IFERROR(TRIM(INDEX($A439:$AL439,MATCH(Lists!$F$8,$A$1:$AL$1,0))&amp;""),""),IFERROR(TRIM(INDEX($A439:$AL439,MATCH(Lists!$F$9,$A$1:$AL$1,0))&amp;""),"")))</f>
        <v/>
      </c>
      <c r="AX439" s="21">
        <f>IFERROR(IF(TRIM(INDEX($A439:$AL439,MATCH(Lists!$F$10,$A$1:$AL$1,0))&amp;"")="","",VALUE(TRIM(INDEX($A439:$AL439,MATCH(Lists!$F$10,$A$1:$AL$1,0))&amp;""))),"")</f>
        <v/>
      </c>
      <c r="AY439" s="21">
        <f>IF(IFERROR(TRIM(INDEX($A439:$AL439,MATCH(Lists!$F$2,$A$1:$AL$1,0))&amp;""),"")="","",IF(AN439="","New",AN439))</f>
        <v/>
      </c>
      <c r="AZ439" s="21">
        <f>IF(IFERROR(TRIM(INDEX($A439:$AL439,MATCH(Lists!$F$2,$A$1:$AL$1,0))&amp;""),"")="","",IF(OR(IFERROR(TRIM(INDEX($A439:$AL439,MATCH(Lists!$F$13,$A$1:$AL$1,0))&amp;""),"")="Paid",IFERROR(TRIM(INDEX($A439:$AL439,MATCH(Lists!$F$13,$A$1:$AL$1,0))&amp;""),"")="Partially refunded"),"Paid",IF(AP439="Yes","Paid (by hand)",IFERROR(TRIM(INDEX($A439:$AL439,MATCH(Lists!$F$13,$A$1:$AL$1,0))&amp;""),""))))</f>
        <v/>
      </c>
      <c r="BA439" s="21">
        <f>IF(AND(IFERROR(TRIM(INDEX($A439:$AL439,MATCH(Lists!$F$2,$A$1:$AL$1,0))&amp;""),"")&lt;&gt;"",AT439&gt;0,AU439&gt;=0,AV439&gt;AU439,AY439&lt;&gt;"Declined"),1,0)</f>
        <v/>
      </c>
      <c r="BB439" s="21">
        <f>IF(BA439=1,COUNTIFS($AS$2:$AS$501,AS439,$AT$2:$AT$501,AT439,$AU$2:$AU$501,"&lt;"&amp;AV439,$AV$2:$AV$501,"&gt;"&amp;AU439,$BA$2:$BA$501,1)-1,"")</f>
        <v/>
      </c>
      <c r="BC439" s="21">
        <f>IF(N(BB439)&gt;0,"Clashes with "&amp;INDEX($AW$2:$AW$501,SUMPRODUCT(MAX(($AS$2:$AS$501=AS439)*($AT$2:$AT$501=AT439)*($AU$2:$AU$501&lt;AV439)*($AV$2:$AV$501&gt;AU439)*($BA$2:$BA$501=1)*(ROW($AS$2:$AS$501)&lt;&gt;ROW())*ROW($AS$2:$AS$501)))-1)&amp;" ("&amp;INDEX($AY$2:$AY$501,SUMPRODUCT(MAX(($AS$2:$AS$501=AS439)*($AT$2:$AT$501=AT439)*($AU$2:$AU$501&lt;AV439)*($AV$2:$AV$501&gt;AU439)*($BA$2:$BA$501=1)*(ROW($AS$2:$AS$501)&lt;&gt;ROW())*ROW($AS$2:$AS$501)))-1)&amp;")"&amp;IF(BB439&gt;1," and "&amp;(BB439-1)&amp;" more",""),"")</f>
        <v/>
      </c>
      <c r="BD439" s="21">
        <f>IF(AND(BA439=1,AY439="Confirmed"),AT439*10000000+AU439*1000+ROW(),"")</f>
        <v/>
      </c>
      <c r="BE439" s="21">
        <f>IF(IFERROR(TRIM(INDEX($A439:$AL439,MATCH(Lists!$F$2,$A$1:$AL$1,0))&amp;""),"")="","",IFERROR(TRIM(INDEX($A439:$AL439,MATCH(Lists!$F$11,$A$1:$AL$1,0))&amp;""),""))</f>
        <v/>
      </c>
      <c r="BF439" s="21">
        <f>IF(IFERROR(TRIM(INDEX($A439:$AL439,MATCH(Lists!$F$2,$A$1:$AL$1,0))&amp;""),"")="","",IFERROR(TRIM(INDEX($A439:$AL439,MATCH(Lists!$F$12,$A$1:$AL$1,0))&amp;""),""))</f>
        <v/>
      </c>
    </row>
    <row r="440">
      <c r="AM440" s="19" t="n"/>
      <c r="AN440" s="23" t="n"/>
      <c r="AO440" s="23" t="n"/>
      <c r="AP440" s="23" t="n"/>
      <c r="AQ440" s="23" t="n"/>
      <c r="AR440" s="19" t="n"/>
      <c r="AS440" s="21">
        <f>IF(IFERROR(TRIM(INDEX($A440:$AL440,MATCH(Lists!$F$2,$A$1:$AL$1,0))&amp;""),"")="","",IF(AND(IFERROR(TRIM(INDEX($A440:$AL440,MATCH(Lists!$F$3,$A$1:$AL$1,0))&amp;""),"")="Other",IFERROR(TRIM(INDEX($A440:$AL440,MATCH(Lists!$F$4,$A$1:$AL$1,0))&amp;""),"")&lt;&gt;""),IFERROR(TRIM(INDEX($A440:$AL440,MATCH(Lists!$F$4,$A$1:$AL$1,0))&amp;""),""),IF(IFERROR(TRIM(INDEX($A440:$AL440,MATCH(Lists!$F$3,$A$1:$AL$1,0))&amp;""),"")="","(no space)",IFERROR(TRIM(INDEX($A440:$AL440,MATCH(Lists!$F$3,$A$1:$AL$1,0))&amp;""),""))))</f>
        <v/>
      </c>
      <c r="AT440" s="22">
        <f>IF(IFERROR(TRIM(INDEX($A440:$AL440,MATCH(Lists!$F$2,$A$1:$AL$1,0))&amp;""),"")="",0,N(IFERROR(IF(TRIM(INDEX($A440:$AL440,MATCH(Lists!$F$5,$A$1:$AL$1,0))&amp;"")="","",IF(ISNUMBER(INDEX($A440:$AL440,MATCH(Lists!$F$5,$A$1:$AL$1,0))),INT(INDEX($A440:$AL440,MATCH(Lists!$F$5,$A$1:$AL$1,0))),DATE(VALUE(LEFT(INDEX($A440:$AL440,MATCH(Lists!$F$5,$A$1:$AL$1,0)),4)),VALUE(MID(INDEX($A440:$AL440,MATCH(Lists!$F$5,$A$1:$AL$1,0)),6,2)),VALUE(MID(INDEX($A440:$AL440,MATCH(Lists!$F$5,$A$1:$AL$1,0)),9,2))))),"")))</f>
        <v/>
      </c>
      <c r="AU440" s="21">
        <f>IF(IFERROR(TRIM(INDEX($A440:$AL440,MATCH(Lists!$F$2,$A$1:$AL$1,0))&amp;""),"")="",-1,IF(ISNUMBER(IFERROR(IF(TRIM(INDEX($A440:$AL440,MATCH(Lists!$F$6,$A$1:$AL$1,0))&amp;"")="","",IF(ISNUMBER(INDEX($A440:$AL440,MATCH(Lists!$F$6,$A$1:$AL$1,0))),ROUND(MOD(INDEX($A440:$AL440,MATCH(Lists!$F$6,$A$1:$AL$1,0)),1)*1440,0),VALUE(LEFT(INDEX($A440:$AL440,MATCH(Lists!$F$6,$A$1:$AL$1,0)),2))*60+VALUE(MID(INDEX($A440:$AL440,MATCH(Lists!$F$6,$A$1:$AL$1,0)),4,2)))),"")),IFERROR(IF(TRIM(INDEX($A440:$AL440,MATCH(Lists!$F$6,$A$1:$AL$1,0))&amp;"")="","",IF(ISNUMBER(INDEX($A440:$AL440,MATCH(Lists!$F$6,$A$1:$AL$1,0))),ROUND(MOD(INDEX($A440:$AL440,MATCH(Lists!$F$6,$A$1:$AL$1,0)),1)*1440,0),VALUE(LEFT(INDEX($A440:$AL440,MATCH(Lists!$F$6,$A$1:$AL$1,0)),2))*60+VALUE(MID(INDEX($A440:$AL440,MATCH(Lists!$F$6,$A$1:$AL$1,0)),4,2)))),""),-1))</f>
        <v/>
      </c>
      <c r="AV440" s="21">
        <f>IF(IFERROR(TRIM(INDEX($A440:$AL440,MATCH(Lists!$F$2,$A$1:$AL$1,0))&amp;""),"")="",-1,IF(ISNUMBER(IFERROR(IF(TRIM(INDEX($A440:$AL440,MATCH(Lists!$F$7,$A$1:$AL$1,0))&amp;"")="","",IF(ISNUMBER(INDEX($A440:$AL440,MATCH(Lists!$F$7,$A$1:$AL$1,0))),ROUND(MOD(INDEX($A440:$AL440,MATCH(Lists!$F$7,$A$1:$AL$1,0)),1)*1440,0),VALUE(LEFT(INDEX($A440:$AL440,MATCH(Lists!$F$7,$A$1:$AL$1,0)),2))*60+VALUE(MID(INDEX($A440:$AL440,MATCH(Lists!$F$7,$A$1:$AL$1,0)),4,2)))),"")),IFERROR(IF(TRIM(INDEX($A440:$AL440,MATCH(Lists!$F$7,$A$1:$AL$1,0))&amp;"")="","",IF(ISNUMBER(INDEX($A440:$AL440,MATCH(Lists!$F$7,$A$1:$AL$1,0))),ROUND(MOD(INDEX($A440:$AL440,MATCH(Lists!$F$7,$A$1:$AL$1,0)),1)*1440,0),VALUE(LEFT(INDEX($A440:$AL440,MATCH(Lists!$F$7,$A$1:$AL$1,0)),2))*60+VALUE(MID(INDEX($A440:$AL440,MATCH(Lists!$F$7,$A$1:$AL$1,0)),4,2)))),""),-1))</f>
        <v/>
      </c>
      <c r="AW440" s="21">
        <f>IF(IFERROR(TRIM(INDEX($A440:$AL440,MATCH(Lists!$F$2,$A$1:$AL$1,0))&amp;""),"")="","",IF(IFERROR(TRIM(INDEX($A440:$AL440,MATCH(Lists!$F$8,$A$1:$AL$1,0))&amp;""),"")&lt;&gt;"",IFERROR(TRIM(INDEX($A440:$AL440,MATCH(Lists!$F$8,$A$1:$AL$1,0))&amp;""),""),IFERROR(TRIM(INDEX($A440:$AL440,MATCH(Lists!$F$9,$A$1:$AL$1,0))&amp;""),"")))</f>
        <v/>
      </c>
      <c r="AX440" s="21">
        <f>IFERROR(IF(TRIM(INDEX($A440:$AL440,MATCH(Lists!$F$10,$A$1:$AL$1,0))&amp;"")="","",VALUE(TRIM(INDEX($A440:$AL440,MATCH(Lists!$F$10,$A$1:$AL$1,0))&amp;""))),"")</f>
        <v/>
      </c>
      <c r="AY440" s="21">
        <f>IF(IFERROR(TRIM(INDEX($A440:$AL440,MATCH(Lists!$F$2,$A$1:$AL$1,0))&amp;""),"")="","",IF(AN440="","New",AN440))</f>
        <v/>
      </c>
      <c r="AZ440" s="21">
        <f>IF(IFERROR(TRIM(INDEX($A440:$AL440,MATCH(Lists!$F$2,$A$1:$AL$1,0))&amp;""),"")="","",IF(OR(IFERROR(TRIM(INDEX($A440:$AL440,MATCH(Lists!$F$13,$A$1:$AL$1,0))&amp;""),"")="Paid",IFERROR(TRIM(INDEX($A440:$AL440,MATCH(Lists!$F$13,$A$1:$AL$1,0))&amp;""),"")="Partially refunded"),"Paid",IF(AP440="Yes","Paid (by hand)",IFERROR(TRIM(INDEX($A440:$AL440,MATCH(Lists!$F$13,$A$1:$AL$1,0))&amp;""),""))))</f>
        <v/>
      </c>
      <c r="BA440" s="21">
        <f>IF(AND(IFERROR(TRIM(INDEX($A440:$AL440,MATCH(Lists!$F$2,$A$1:$AL$1,0))&amp;""),"")&lt;&gt;"",AT440&gt;0,AU440&gt;=0,AV440&gt;AU440,AY440&lt;&gt;"Declined"),1,0)</f>
        <v/>
      </c>
      <c r="BB440" s="21">
        <f>IF(BA440=1,COUNTIFS($AS$2:$AS$501,AS440,$AT$2:$AT$501,AT440,$AU$2:$AU$501,"&lt;"&amp;AV440,$AV$2:$AV$501,"&gt;"&amp;AU440,$BA$2:$BA$501,1)-1,"")</f>
        <v/>
      </c>
      <c r="BC440" s="21">
        <f>IF(N(BB440)&gt;0,"Clashes with "&amp;INDEX($AW$2:$AW$501,SUMPRODUCT(MAX(($AS$2:$AS$501=AS440)*($AT$2:$AT$501=AT440)*($AU$2:$AU$501&lt;AV440)*($AV$2:$AV$501&gt;AU440)*($BA$2:$BA$501=1)*(ROW($AS$2:$AS$501)&lt;&gt;ROW())*ROW($AS$2:$AS$501)))-1)&amp;" ("&amp;INDEX($AY$2:$AY$501,SUMPRODUCT(MAX(($AS$2:$AS$501=AS440)*($AT$2:$AT$501=AT440)*($AU$2:$AU$501&lt;AV440)*($AV$2:$AV$501&gt;AU440)*($BA$2:$BA$501=1)*(ROW($AS$2:$AS$501)&lt;&gt;ROW())*ROW($AS$2:$AS$501)))-1)&amp;")"&amp;IF(BB440&gt;1," and "&amp;(BB440-1)&amp;" more",""),"")</f>
        <v/>
      </c>
      <c r="BD440" s="21">
        <f>IF(AND(BA440=1,AY440="Confirmed"),AT440*10000000+AU440*1000+ROW(),"")</f>
        <v/>
      </c>
      <c r="BE440" s="21">
        <f>IF(IFERROR(TRIM(INDEX($A440:$AL440,MATCH(Lists!$F$2,$A$1:$AL$1,0))&amp;""),"")="","",IFERROR(TRIM(INDEX($A440:$AL440,MATCH(Lists!$F$11,$A$1:$AL$1,0))&amp;""),""))</f>
        <v/>
      </c>
      <c r="BF440" s="21">
        <f>IF(IFERROR(TRIM(INDEX($A440:$AL440,MATCH(Lists!$F$2,$A$1:$AL$1,0))&amp;""),"")="","",IFERROR(TRIM(INDEX($A440:$AL440,MATCH(Lists!$F$12,$A$1:$AL$1,0))&amp;""),""))</f>
        <v/>
      </c>
    </row>
    <row r="441">
      <c r="AM441" s="19" t="n"/>
      <c r="AN441" s="23" t="n"/>
      <c r="AO441" s="23" t="n"/>
      <c r="AP441" s="23" t="n"/>
      <c r="AQ441" s="23" t="n"/>
      <c r="AR441" s="19" t="n"/>
      <c r="AS441" s="21">
        <f>IF(IFERROR(TRIM(INDEX($A441:$AL441,MATCH(Lists!$F$2,$A$1:$AL$1,0))&amp;""),"")="","",IF(AND(IFERROR(TRIM(INDEX($A441:$AL441,MATCH(Lists!$F$3,$A$1:$AL$1,0))&amp;""),"")="Other",IFERROR(TRIM(INDEX($A441:$AL441,MATCH(Lists!$F$4,$A$1:$AL$1,0))&amp;""),"")&lt;&gt;""),IFERROR(TRIM(INDEX($A441:$AL441,MATCH(Lists!$F$4,$A$1:$AL$1,0))&amp;""),""),IF(IFERROR(TRIM(INDEX($A441:$AL441,MATCH(Lists!$F$3,$A$1:$AL$1,0))&amp;""),"")="","(no space)",IFERROR(TRIM(INDEX($A441:$AL441,MATCH(Lists!$F$3,$A$1:$AL$1,0))&amp;""),""))))</f>
        <v/>
      </c>
      <c r="AT441" s="22">
        <f>IF(IFERROR(TRIM(INDEX($A441:$AL441,MATCH(Lists!$F$2,$A$1:$AL$1,0))&amp;""),"")="",0,N(IFERROR(IF(TRIM(INDEX($A441:$AL441,MATCH(Lists!$F$5,$A$1:$AL$1,0))&amp;"")="","",IF(ISNUMBER(INDEX($A441:$AL441,MATCH(Lists!$F$5,$A$1:$AL$1,0))),INT(INDEX($A441:$AL441,MATCH(Lists!$F$5,$A$1:$AL$1,0))),DATE(VALUE(LEFT(INDEX($A441:$AL441,MATCH(Lists!$F$5,$A$1:$AL$1,0)),4)),VALUE(MID(INDEX($A441:$AL441,MATCH(Lists!$F$5,$A$1:$AL$1,0)),6,2)),VALUE(MID(INDEX($A441:$AL441,MATCH(Lists!$F$5,$A$1:$AL$1,0)),9,2))))),"")))</f>
        <v/>
      </c>
      <c r="AU441" s="21">
        <f>IF(IFERROR(TRIM(INDEX($A441:$AL441,MATCH(Lists!$F$2,$A$1:$AL$1,0))&amp;""),"")="",-1,IF(ISNUMBER(IFERROR(IF(TRIM(INDEX($A441:$AL441,MATCH(Lists!$F$6,$A$1:$AL$1,0))&amp;"")="","",IF(ISNUMBER(INDEX($A441:$AL441,MATCH(Lists!$F$6,$A$1:$AL$1,0))),ROUND(MOD(INDEX($A441:$AL441,MATCH(Lists!$F$6,$A$1:$AL$1,0)),1)*1440,0),VALUE(LEFT(INDEX($A441:$AL441,MATCH(Lists!$F$6,$A$1:$AL$1,0)),2))*60+VALUE(MID(INDEX($A441:$AL441,MATCH(Lists!$F$6,$A$1:$AL$1,0)),4,2)))),"")),IFERROR(IF(TRIM(INDEX($A441:$AL441,MATCH(Lists!$F$6,$A$1:$AL$1,0))&amp;"")="","",IF(ISNUMBER(INDEX($A441:$AL441,MATCH(Lists!$F$6,$A$1:$AL$1,0))),ROUND(MOD(INDEX($A441:$AL441,MATCH(Lists!$F$6,$A$1:$AL$1,0)),1)*1440,0),VALUE(LEFT(INDEX($A441:$AL441,MATCH(Lists!$F$6,$A$1:$AL$1,0)),2))*60+VALUE(MID(INDEX($A441:$AL441,MATCH(Lists!$F$6,$A$1:$AL$1,0)),4,2)))),""),-1))</f>
        <v/>
      </c>
      <c r="AV441" s="21">
        <f>IF(IFERROR(TRIM(INDEX($A441:$AL441,MATCH(Lists!$F$2,$A$1:$AL$1,0))&amp;""),"")="",-1,IF(ISNUMBER(IFERROR(IF(TRIM(INDEX($A441:$AL441,MATCH(Lists!$F$7,$A$1:$AL$1,0))&amp;"")="","",IF(ISNUMBER(INDEX($A441:$AL441,MATCH(Lists!$F$7,$A$1:$AL$1,0))),ROUND(MOD(INDEX($A441:$AL441,MATCH(Lists!$F$7,$A$1:$AL$1,0)),1)*1440,0),VALUE(LEFT(INDEX($A441:$AL441,MATCH(Lists!$F$7,$A$1:$AL$1,0)),2))*60+VALUE(MID(INDEX($A441:$AL441,MATCH(Lists!$F$7,$A$1:$AL$1,0)),4,2)))),"")),IFERROR(IF(TRIM(INDEX($A441:$AL441,MATCH(Lists!$F$7,$A$1:$AL$1,0))&amp;"")="","",IF(ISNUMBER(INDEX($A441:$AL441,MATCH(Lists!$F$7,$A$1:$AL$1,0))),ROUND(MOD(INDEX($A441:$AL441,MATCH(Lists!$F$7,$A$1:$AL$1,0)),1)*1440,0),VALUE(LEFT(INDEX($A441:$AL441,MATCH(Lists!$F$7,$A$1:$AL$1,0)),2))*60+VALUE(MID(INDEX($A441:$AL441,MATCH(Lists!$F$7,$A$1:$AL$1,0)),4,2)))),""),-1))</f>
        <v/>
      </c>
      <c r="AW441" s="21">
        <f>IF(IFERROR(TRIM(INDEX($A441:$AL441,MATCH(Lists!$F$2,$A$1:$AL$1,0))&amp;""),"")="","",IF(IFERROR(TRIM(INDEX($A441:$AL441,MATCH(Lists!$F$8,$A$1:$AL$1,0))&amp;""),"")&lt;&gt;"",IFERROR(TRIM(INDEX($A441:$AL441,MATCH(Lists!$F$8,$A$1:$AL$1,0))&amp;""),""),IFERROR(TRIM(INDEX($A441:$AL441,MATCH(Lists!$F$9,$A$1:$AL$1,0))&amp;""),"")))</f>
        <v/>
      </c>
      <c r="AX441" s="21">
        <f>IFERROR(IF(TRIM(INDEX($A441:$AL441,MATCH(Lists!$F$10,$A$1:$AL$1,0))&amp;"")="","",VALUE(TRIM(INDEX($A441:$AL441,MATCH(Lists!$F$10,$A$1:$AL$1,0))&amp;""))),"")</f>
        <v/>
      </c>
      <c r="AY441" s="21">
        <f>IF(IFERROR(TRIM(INDEX($A441:$AL441,MATCH(Lists!$F$2,$A$1:$AL$1,0))&amp;""),"")="","",IF(AN441="","New",AN441))</f>
        <v/>
      </c>
      <c r="AZ441" s="21">
        <f>IF(IFERROR(TRIM(INDEX($A441:$AL441,MATCH(Lists!$F$2,$A$1:$AL$1,0))&amp;""),"")="","",IF(OR(IFERROR(TRIM(INDEX($A441:$AL441,MATCH(Lists!$F$13,$A$1:$AL$1,0))&amp;""),"")="Paid",IFERROR(TRIM(INDEX($A441:$AL441,MATCH(Lists!$F$13,$A$1:$AL$1,0))&amp;""),"")="Partially refunded"),"Paid",IF(AP441="Yes","Paid (by hand)",IFERROR(TRIM(INDEX($A441:$AL441,MATCH(Lists!$F$13,$A$1:$AL$1,0))&amp;""),""))))</f>
        <v/>
      </c>
      <c r="BA441" s="21">
        <f>IF(AND(IFERROR(TRIM(INDEX($A441:$AL441,MATCH(Lists!$F$2,$A$1:$AL$1,0))&amp;""),"")&lt;&gt;"",AT441&gt;0,AU441&gt;=0,AV441&gt;AU441,AY441&lt;&gt;"Declined"),1,0)</f>
        <v/>
      </c>
      <c r="BB441" s="21">
        <f>IF(BA441=1,COUNTIFS($AS$2:$AS$501,AS441,$AT$2:$AT$501,AT441,$AU$2:$AU$501,"&lt;"&amp;AV441,$AV$2:$AV$501,"&gt;"&amp;AU441,$BA$2:$BA$501,1)-1,"")</f>
        <v/>
      </c>
      <c r="BC441" s="21">
        <f>IF(N(BB441)&gt;0,"Clashes with "&amp;INDEX($AW$2:$AW$501,SUMPRODUCT(MAX(($AS$2:$AS$501=AS441)*($AT$2:$AT$501=AT441)*($AU$2:$AU$501&lt;AV441)*($AV$2:$AV$501&gt;AU441)*($BA$2:$BA$501=1)*(ROW($AS$2:$AS$501)&lt;&gt;ROW())*ROW($AS$2:$AS$501)))-1)&amp;" ("&amp;INDEX($AY$2:$AY$501,SUMPRODUCT(MAX(($AS$2:$AS$501=AS441)*($AT$2:$AT$501=AT441)*($AU$2:$AU$501&lt;AV441)*($AV$2:$AV$501&gt;AU441)*($BA$2:$BA$501=1)*(ROW($AS$2:$AS$501)&lt;&gt;ROW())*ROW($AS$2:$AS$501)))-1)&amp;")"&amp;IF(BB441&gt;1," and "&amp;(BB441-1)&amp;" more",""),"")</f>
        <v/>
      </c>
      <c r="BD441" s="21">
        <f>IF(AND(BA441=1,AY441="Confirmed"),AT441*10000000+AU441*1000+ROW(),"")</f>
        <v/>
      </c>
      <c r="BE441" s="21">
        <f>IF(IFERROR(TRIM(INDEX($A441:$AL441,MATCH(Lists!$F$2,$A$1:$AL$1,0))&amp;""),"")="","",IFERROR(TRIM(INDEX($A441:$AL441,MATCH(Lists!$F$11,$A$1:$AL$1,0))&amp;""),""))</f>
        <v/>
      </c>
      <c r="BF441" s="21">
        <f>IF(IFERROR(TRIM(INDEX($A441:$AL441,MATCH(Lists!$F$2,$A$1:$AL$1,0))&amp;""),"")="","",IFERROR(TRIM(INDEX($A441:$AL441,MATCH(Lists!$F$12,$A$1:$AL$1,0))&amp;""),""))</f>
        <v/>
      </c>
    </row>
    <row r="442">
      <c r="AM442" s="19" t="n"/>
      <c r="AN442" s="23" t="n"/>
      <c r="AO442" s="23" t="n"/>
      <c r="AP442" s="23" t="n"/>
      <c r="AQ442" s="23" t="n"/>
      <c r="AR442" s="19" t="n"/>
      <c r="AS442" s="21">
        <f>IF(IFERROR(TRIM(INDEX($A442:$AL442,MATCH(Lists!$F$2,$A$1:$AL$1,0))&amp;""),"")="","",IF(AND(IFERROR(TRIM(INDEX($A442:$AL442,MATCH(Lists!$F$3,$A$1:$AL$1,0))&amp;""),"")="Other",IFERROR(TRIM(INDEX($A442:$AL442,MATCH(Lists!$F$4,$A$1:$AL$1,0))&amp;""),"")&lt;&gt;""),IFERROR(TRIM(INDEX($A442:$AL442,MATCH(Lists!$F$4,$A$1:$AL$1,0))&amp;""),""),IF(IFERROR(TRIM(INDEX($A442:$AL442,MATCH(Lists!$F$3,$A$1:$AL$1,0))&amp;""),"")="","(no space)",IFERROR(TRIM(INDEX($A442:$AL442,MATCH(Lists!$F$3,$A$1:$AL$1,0))&amp;""),""))))</f>
        <v/>
      </c>
      <c r="AT442" s="22">
        <f>IF(IFERROR(TRIM(INDEX($A442:$AL442,MATCH(Lists!$F$2,$A$1:$AL$1,0))&amp;""),"")="",0,N(IFERROR(IF(TRIM(INDEX($A442:$AL442,MATCH(Lists!$F$5,$A$1:$AL$1,0))&amp;"")="","",IF(ISNUMBER(INDEX($A442:$AL442,MATCH(Lists!$F$5,$A$1:$AL$1,0))),INT(INDEX($A442:$AL442,MATCH(Lists!$F$5,$A$1:$AL$1,0))),DATE(VALUE(LEFT(INDEX($A442:$AL442,MATCH(Lists!$F$5,$A$1:$AL$1,0)),4)),VALUE(MID(INDEX($A442:$AL442,MATCH(Lists!$F$5,$A$1:$AL$1,0)),6,2)),VALUE(MID(INDEX($A442:$AL442,MATCH(Lists!$F$5,$A$1:$AL$1,0)),9,2))))),"")))</f>
        <v/>
      </c>
      <c r="AU442" s="21">
        <f>IF(IFERROR(TRIM(INDEX($A442:$AL442,MATCH(Lists!$F$2,$A$1:$AL$1,0))&amp;""),"")="",-1,IF(ISNUMBER(IFERROR(IF(TRIM(INDEX($A442:$AL442,MATCH(Lists!$F$6,$A$1:$AL$1,0))&amp;"")="","",IF(ISNUMBER(INDEX($A442:$AL442,MATCH(Lists!$F$6,$A$1:$AL$1,0))),ROUND(MOD(INDEX($A442:$AL442,MATCH(Lists!$F$6,$A$1:$AL$1,0)),1)*1440,0),VALUE(LEFT(INDEX($A442:$AL442,MATCH(Lists!$F$6,$A$1:$AL$1,0)),2))*60+VALUE(MID(INDEX($A442:$AL442,MATCH(Lists!$F$6,$A$1:$AL$1,0)),4,2)))),"")),IFERROR(IF(TRIM(INDEX($A442:$AL442,MATCH(Lists!$F$6,$A$1:$AL$1,0))&amp;"")="","",IF(ISNUMBER(INDEX($A442:$AL442,MATCH(Lists!$F$6,$A$1:$AL$1,0))),ROUND(MOD(INDEX($A442:$AL442,MATCH(Lists!$F$6,$A$1:$AL$1,0)),1)*1440,0),VALUE(LEFT(INDEX($A442:$AL442,MATCH(Lists!$F$6,$A$1:$AL$1,0)),2))*60+VALUE(MID(INDEX($A442:$AL442,MATCH(Lists!$F$6,$A$1:$AL$1,0)),4,2)))),""),-1))</f>
        <v/>
      </c>
      <c r="AV442" s="21">
        <f>IF(IFERROR(TRIM(INDEX($A442:$AL442,MATCH(Lists!$F$2,$A$1:$AL$1,0))&amp;""),"")="",-1,IF(ISNUMBER(IFERROR(IF(TRIM(INDEX($A442:$AL442,MATCH(Lists!$F$7,$A$1:$AL$1,0))&amp;"")="","",IF(ISNUMBER(INDEX($A442:$AL442,MATCH(Lists!$F$7,$A$1:$AL$1,0))),ROUND(MOD(INDEX($A442:$AL442,MATCH(Lists!$F$7,$A$1:$AL$1,0)),1)*1440,0),VALUE(LEFT(INDEX($A442:$AL442,MATCH(Lists!$F$7,$A$1:$AL$1,0)),2))*60+VALUE(MID(INDEX($A442:$AL442,MATCH(Lists!$F$7,$A$1:$AL$1,0)),4,2)))),"")),IFERROR(IF(TRIM(INDEX($A442:$AL442,MATCH(Lists!$F$7,$A$1:$AL$1,0))&amp;"")="","",IF(ISNUMBER(INDEX($A442:$AL442,MATCH(Lists!$F$7,$A$1:$AL$1,0))),ROUND(MOD(INDEX($A442:$AL442,MATCH(Lists!$F$7,$A$1:$AL$1,0)),1)*1440,0),VALUE(LEFT(INDEX($A442:$AL442,MATCH(Lists!$F$7,$A$1:$AL$1,0)),2))*60+VALUE(MID(INDEX($A442:$AL442,MATCH(Lists!$F$7,$A$1:$AL$1,0)),4,2)))),""),-1))</f>
        <v/>
      </c>
      <c r="AW442" s="21">
        <f>IF(IFERROR(TRIM(INDEX($A442:$AL442,MATCH(Lists!$F$2,$A$1:$AL$1,0))&amp;""),"")="","",IF(IFERROR(TRIM(INDEX($A442:$AL442,MATCH(Lists!$F$8,$A$1:$AL$1,0))&amp;""),"")&lt;&gt;"",IFERROR(TRIM(INDEX($A442:$AL442,MATCH(Lists!$F$8,$A$1:$AL$1,0))&amp;""),""),IFERROR(TRIM(INDEX($A442:$AL442,MATCH(Lists!$F$9,$A$1:$AL$1,0))&amp;""),"")))</f>
        <v/>
      </c>
      <c r="AX442" s="21">
        <f>IFERROR(IF(TRIM(INDEX($A442:$AL442,MATCH(Lists!$F$10,$A$1:$AL$1,0))&amp;"")="","",VALUE(TRIM(INDEX($A442:$AL442,MATCH(Lists!$F$10,$A$1:$AL$1,0))&amp;""))),"")</f>
        <v/>
      </c>
      <c r="AY442" s="21">
        <f>IF(IFERROR(TRIM(INDEX($A442:$AL442,MATCH(Lists!$F$2,$A$1:$AL$1,0))&amp;""),"")="","",IF(AN442="","New",AN442))</f>
        <v/>
      </c>
      <c r="AZ442" s="21">
        <f>IF(IFERROR(TRIM(INDEX($A442:$AL442,MATCH(Lists!$F$2,$A$1:$AL$1,0))&amp;""),"")="","",IF(OR(IFERROR(TRIM(INDEX($A442:$AL442,MATCH(Lists!$F$13,$A$1:$AL$1,0))&amp;""),"")="Paid",IFERROR(TRIM(INDEX($A442:$AL442,MATCH(Lists!$F$13,$A$1:$AL$1,0))&amp;""),"")="Partially refunded"),"Paid",IF(AP442="Yes","Paid (by hand)",IFERROR(TRIM(INDEX($A442:$AL442,MATCH(Lists!$F$13,$A$1:$AL$1,0))&amp;""),""))))</f>
        <v/>
      </c>
      <c r="BA442" s="21">
        <f>IF(AND(IFERROR(TRIM(INDEX($A442:$AL442,MATCH(Lists!$F$2,$A$1:$AL$1,0))&amp;""),"")&lt;&gt;"",AT442&gt;0,AU442&gt;=0,AV442&gt;AU442,AY442&lt;&gt;"Declined"),1,0)</f>
        <v/>
      </c>
      <c r="BB442" s="21">
        <f>IF(BA442=1,COUNTIFS($AS$2:$AS$501,AS442,$AT$2:$AT$501,AT442,$AU$2:$AU$501,"&lt;"&amp;AV442,$AV$2:$AV$501,"&gt;"&amp;AU442,$BA$2:$BA$501,1)-1,"")</f>
        <v/>
      </c>
      <c r="BC442" s="21">
        <f>IF(N(BB442)&gt;0,"Clashes with "&amp;INDEX($AW$2:$AW$501,SUMPRODUCT(MAX(($AS$2:$AS$501=AS442)*($AT$2:$AT$501=AT442)*($AU$2:$AU$501&lt;AV442)*($AV$2:$AV$501&gt;AU442)*($BA$2:$BA$501=1)*(ROW($AS$2:$AS$501)&lt;&gt;ROW())*ROW($AS$2:$AS$501)))-1)&amp;" ("&amp;INDEX($AY$2:$AY$501,SUMPRODUCT(MAX(($AS$2:$AS$501=AS442)*($AT$2:$AT$501=AT442)*($AU$2:$AU$501&lt;AV442)*($AV$2:$AV$501&gt;AU442)*($BA$2:$BA$501=1)*(ROW($AS$2:$AS$501)&lt;&gt;ROW())*ROW($AS$2:$AS$501)))-1)&amp;")"&amp;IF(BB442&gt;1," and "&amp;(BB442-1)&amp;" more",""),"")</f>
        <v/>
      </c>
      <c r="BD442" s="21">
        <f>IF(AND(BA442=1,AY442="Confirmed"),AT442*10000000+AU442*1000+ROW(),"")</f>
        <v/>
      </c>
      <c r="BE442" s="21">
        <f>IF(IFERROR(TRIM(INDEX($A442:$AL442,MATCH(Lists!$F$2,$A$1:$AL$1,0))&amp;""),"")="","",IFERROR(TRIM(INDEX($A442:$AL442,MATCH(Lists!$F$11,$A$1:$AL$1,0))&amp;""),""))</f>
        <v/>
      </c>
      <c r="BF442" s="21">
        <f>IF(IFERROR(TRIM(INDEX($A442:$AL442,MATCH(Lists!$F$2,$A$1:$AL$1,0))&amp;""),"")="","",IFERROR(TRIM(INDEX($A442:$AL442,MATCH(Lists!$F$12,$A$1:$AL$1,0))&amp;""),""))</f>
        <v/>
      </c>
    </row>
    <row r="443">
      <c r="AM443" s="19" t="n"/>
      <c r="AN443" s="23" t="n"/>
      <c r="AO443" s="23" t="n"/>
      <c r="AP443" s="23" t="n"/>
      <c r="AQ443" s="23" t="n"/>
      <c r="AR443" s="19" t="n"/>
      <c r="AS443" s="21">
        <f>IF(IFERROR(TRIM(INDEX($A443:$AL443,MATCH(Lists!$F$2,$A$1:$AL$1,0))&amp;""),"")="","",IF(AND(IFERROR(TRIM(INDEX($A443:$AL443,MATCH(Lists!$F$3,$A$1:$AL$1,0))&amp;""),"")="Other",IFERROR(TRIM(INDEX($A443:$AL443,MATCH(Lists!$F$4,$A$1:$AL$1,0))&amp;""),"")&lt;&gt;""),IFERROR(TRIM(INDEX($A443:$AL443,MATCH(Lists!$F$4,$A$1:$AL$1,0))&amp;""),""),IF(IFERROR(TRIM(INDEX($A443:$AL443,MATCH(Lists!$F$3,$A$1:$AL$1,0))&amp;""),"")="","(no space)",IFERROR(TRIM(INDEX($A443:$AL443,MATCH(Lists!$F$3,$A$1:$AL$1,0))&amp;""),""))))</f>
        <v/>
      </c>
      <c r="AT443" s="22">
        <f>IF(IFERROR(TRIM(INDEX($A443:$AL443,MATCH(Lists!$F$2,$A$1:$AL$1,0))&amp;""),"")="",0,N(IFERROR(IF(TRIM(INDEX($A443:$AL443,MATCH(Lists!$F$5,$A$1:$AL$1,0))&amp;"")="","",IF(ISNUMBER(INDEX($A443:$AL443,MATCH(Lists!$F$5,$A$1:$AL$1,0))),INT(INDEX($A443:$AL443,MATCH(Lists!$F$5,$A$1:$AL$1,0))),DATE(VALUE(LEFT(INDEX($A443:$AL443,MATCH(Lists!$F$5,$A$1:$AL$1,0)),4)),VALUE(MID(INDEX($A443:$AL443,MATCH(Lists!$F$5,$A$1:$AL$1,0)),6,2)),VALUE(MID(INDEX($A443:$AL443,MATCH(Lists!$F$5,$A$1:$AL$1,0)),9,2))))),"")))</f>
        <v/>
      </c>
      <c r="AU443" s="21">
        <f>IF(IFERROR(TRIM(INDEX($A443:$AL443,MATCH(Lists!$F$2,$A$1:$AL$1,0))&amp;""),"")="",-1,IF(ISNUMBER(IFERROR(IF(TRIM(INDEX($A443:$AL443,MATCH(Lists!$F$6,$A$1:$AL$1,0))&amp;"")="","",IF(ISNUMBER(INDEX($A443:$AL443,MATCH(Lists!$F$6,$A$1:$AL$1,0))),ROUND(MOD(INDEX($A443:$AL443,MATCH(Lists!$F$6,$A$1:$AL$1,0)),1)*1440,0),VALUE(LEFT(INDEX($A443:$AL443,MATCH(Lists!$F$6,$A$1:$AL$1,0)),2))*60+VALUE(MID(INDEX($A443:$AL443,MATCH(Lists!$F$6,$A$1:$AL$1,0)),4,2)))),"")),IFERROR(IF(TRIM(INDEX($A443:$AL443,MATCH(Lists!$F$6,$A$1:$AL$1,0))&amp;"")="","",IF(ISNUMBER(INDEX($A443:$AL443,MATCH(Lists!$F$6,$A$1:$AL$1,0))),ROUND(MOD(INDEX($A443:$AL443,MATCH(Lists!$F$6,$A$1:$AL$1,0)),1)*1440,0),VALUE(LEFT(INDEX($A443:$AL443,MATCH(Lists!$F$6,$A$1:$AL$1,0)),2))*60+VALUE(MID(INDEX($A443:$AL443,MATCH(Lists!$F$6,$A$1:$AL$1,0)),4,2)))),""),-1))</f>
        <v/>
      </c>
      <c r="AV443" s="21">
        <f>IF(IFERROR(TRIM(INDEX($A443:$AL443,MATCH(Lists!$F$2,$A$1:$AL$1,0))&amp;""),"")="",-1,IF(ISNUMBER(IFERROR(IF(TRIM(INDEX($A443:$AL443,MATCH(Lists!$F$7,$A$1:$AL$1,0))&amp;"")="","",IF(ISNUMBER(INDEX($A443:$AL443,MATCH(Lists!$F$7,$A$1:$AL$1,0))),ROUND(MOD(INDEX($A443:$AL443,MATCH(Lists!$F$7,$A$1:$AL$1,0)),1)*1440,0),VALUE(LEFT(INDEX($A443:$AL443,MATCH(Lists!$F$7,$A$1:$AL$1,0)),2))*60+VALUE(MID(INDEX($A443:$AL443,MATCH(Lists!$F$7,$A$1:$AL$1,0)),4,2)))),"")),IFERROR(IF(TRIM(INDEX($A443:$AL443,MATCH(Lists!$F$7,$A$1:$AL$1,0))&amp;"")="","",IF(ISNUMBER(INDEX($A443:$AL443,MATCH(Lists!$F$7,$A$1:$AL$1,0))),ROUND(MOD(INDEX($A443:$AL443,MATCH(Lists!$F$7,$A$1:$AL$1,0)),1)*1440,0),VALUE(LEFT(INDEX($A443:$AL443,MATCH(Lists!$F$7,$A$1:$AL$1,0)),2))*60+VALUE(MID(INDEX($A443:$AL443,MATCH(Lists!$F$7,$A$1:$AL$1,0)),4,2)))),""),-1))</f>
        <v/>
      </c>
      <c r="AW443" s="21">
        <f>IF(IFERROR(TRIM(INDEX($A443:$AL443,MATCH(Lists!$F$2,$A$1:$AL$1,0))&amp;""),"")="","",IF(IFERROR(TRIM(INDEX($A443:$AL443,MATCH(Lists!$F$8,$A$1:$AL$1,0))&amp;""),"")&lt;&gt;"",IFERROR(TRIM(INDEX($A443:$AL443,MATCH(Lists!$F$8,$A$1:$AL$1,0))&amp;""),""),IFERROR(TRIM(INDEX($A443:$AL443,MATCH(Lists!$F$9,$A$1:$AL$1,0))&amp;""),"")))</f>
        <v/>
      </c>
      <c r="AX443" s="21">
        <f>IFERROR(IF(TRIM(INDEX($A443:$AL443,MATCH(Lists!$F$10,$A$1:$AL$1,0))&amp;"")="","",VALUE(TRIM(INDEX($A443:$AL443,MATCH(Lists!$F$10,$A$1:$AL$1,0))&amp;""))),"")</f>
        <v/>
      </c>
      <c r="AY443" s="21">
        <f>IF(IFERROR(TRIM(INDEX($A443:$AL443,MATCH(Lists!$F$2,$A$1:$AL$1,0))&amp;""),"")="","",IF(AN443="","New",AN443))</f>
        <v/>
      </c>
      <c r="AZ443" s="21">
        <f>IF(IFERROR(TRIM(INDEX($A443:$AL443,MATCH(Lists!$F$2,$A$1:$AL$1,0))&amp;""),"")="","",IF(OR(IFERROR(TRIM(INDEX($A443:$AL443,MATCH(Lists!$F$13,$A$1:$AL$1,0))&amp;""),"")="Paid",IFERROR(TRIM(INDEX($A443:$AL443,MATCH(Lists!$F$13,$A$1:$AL$1,0))&amp;""),"")="Partially refunded"),"Paid",IF(AP443="Yes","Paid (by hand)",IFERROR(TRIM(INDEX($A443:$AL443,MATCH(Lists!$F$13,$A$1:$AL$1,0))&amp;""),""))))</f>
        <v/>
      </c>
      <c r="BA443" s="21">
        <f>IF(AND(IFERROR(TRIM(INDEX($A443:$AL443,MATCH(Lists!$F$2,$A$1:$AL$1,0))&amp;""),"")&lt;&gt;"",AT443&gt;0,AU443&gt;=0,AV443&gt;AU443,AY443&lt;&gt;"Declined"),1,0)</f>
        <v/>
      </c>
      <c r="BB443" s="21">
        <f>IF(BA443=1,COUNTIFS($AS$2:$AS$501,AS443,$AT$2:$AT$501,AT443,$AU$2:$AU$501,"&lt;"&amp;AV443,$AV$2:$AV$501,"&gt;"&amp;AU443,$BA$2:$BA$501,1)-1,"")</f>
        <v/>
      </c>
      <c r="BC443" s="21">
        <f>IF(N(BB443)&gt;0,"Clashes with "&amp;INDEX($AW$2:$AW$501,SUMPRODUCT(MAX(($AS$2:$AS$501=AS443)*($AT$2:$AT$501=AT443)*($AU$2:$AU$501&lt;AV443)*($AV$2:$AV$501&gt;AU443)*($BA$2:$BA$501=1)*(ROW($AS$2:$AS$501)&lt;&gt;ROW())*ROW($AS$2:$AS$501)))-1)&amp;" ("&amp;INDEX($AY$2:$AY$501,SUMPRODUCT(MAX(($AS$2:$AS$501=AS443)*($AT$2:$AT$501=AT443)*($AU$2:$AU$501&lt;AV443)*($AV$2:$AV$501&gt;AU443)*($BA$2:$BA$501=1)*(ROW($AS$2:$AS$501)&lt;&gt;ROW())*ROW($AS$2:$AS$501)))-1)&amp;")"&amp;IF(BB443&gt;1," and "&amp;(BB443-1)&amp;" more",""),"")</f>
        <v/>
      </c>
      <c r="BD443" s="21">
        <f>IF(AND(BA443=1,AY443="Confirmed"),AT443*10000000+AU443*1000+ROW(),"")</f>
        <v/>
      </c>
      <c r="BE443" s="21">
        <f>IF(IFERROR(TRIM(INDEX($A443:$AL443,MATCH(Lists!$F$2,$A$1:$AL$1,0))&amp;""),"")="","",IFERROR(TRIM(INDEX($A443:$AL443,MATCH(Lists!$F$11,$A$1:$AL$1,0))&amp;""),""))</f>
        <v/>
      </c>
      <c r="BF443" s="21">
        <f>IF(IFERROR(TRIM(INDEX($A443:$AL443,MATCH(Lists!$F$2,$A$1:$AL$1,0))&amp;""),"")="","",IFERROR(TRIM(INDEX($A443:$AL443,MATCH(Lists!$F$12,$A$1:$AL$1,0))&amp;""),""))</f>
        <v/>
      </c>
    </row>
    <row r="444">
      <c r="AM444" s="19" t="n"/>
      <c r="AN444" s="23" t="n"/>
      <c r="AO444" s="23" t="n"/>
      <c r="AP444" s="23" t="n"/>
      <c r="AQ444" s="23" t="n"/>
      <c r="AR444" s="19" t="n"/>
      <c r="AS444" s="21">
        <f>IF(IFERROR(TRIM(INDEX($A444:$AL444,MATCH(Lists!$F$2,$A$1:$AL$1,0))&amp;""),"")="","",IF(AND(IFERROR(TRIM(INDEX($A444:$AL444,MATCH(Lists!$F$3,$A$1:$AL$1,0))&amp;""),"")="Other",IFERROR(TRIM(INDEX($A444:$AL444,MATCH(Lists!$F$4,$A$1:$AL$1,0))&amp;""),"")&lt;&gt;""),IFERROR(TRIM(INDEX($A444:$AL444,MATCH(Lists!$F$4,$A$1:$AL$1,0))&amp;""),""),IF(IFERROR(TRIM(INDEX($A444:$AL444,MATCH(Lists!$F$3,$A$1:$AL$1,0))&amp;""),"")="","(no space)",IFERROR(TRIM(INDEX($A444:$AL444,MATCH(Lists!$F$3,$A$1:$AL$1,0))&amp;""),""))))</f>
        <v/>
      </c>
      <c r="AT444" s="22">
        <f>IF(IFERROR(TRIM(INDEX($A444:$AL444,MATCH(Lists!$F$2,$A$1:$AL$1,0))&amp;""),"")="",0,N(IFERROR(IF(TRIM(INDEX($A444:$AL444,MATCH(Lists!$F$5,$A$1:$AL$1,0))&amp;"")="","",IF(ISNUMBER(INDEX($A444:$AL444,MATCH(Lists!$F$5,$A$1:$AL$1,0))),INT(INDEX($A444:$AL444,MATCH(Lists!$F$5,$A$1:$AL$1,0))),DATE(VALUE(LEFT(INDEX($A444:$AL444,MATCH(Lists!$F$5,$A$1:$AL$1,0)),4)),VALUE(MID(INDEX($A444:$AL444,MATCH(Lists!$F$5,$A$1:$AL$1,0)),6,2)),VALUE(MID(INDEX($A444:$AL444,MATCH(Lists!$F$5,$A$1:$AL$1,0)),9,2))))),"")))</f>
        <v/>
      </c>
      <c r="AU444" s="21">
        <f>IF(IFERROR(TRIM(INDEX($A444:$AL444,MATCH(Lists!$F$2,$A$1:$AL$1,0))&amp;""),"")="",-1,IF(ISNUMBER(IFERROR(IF(TRIM(INDEX($A444:$AL444,MATCH(Lists!$F$6,$A$1:$AL$1,0))&amp;"")="","",IF(ISNUMBER(INDEX($A444:$AL444,MATCH(Lists!$F$6,$A$1:$AL$1,0))),ROUND(MOD(INDEX($A444:$AL444,MATCH(Lists!$F$6,$A$1:$AL$1,0)),1)*1440,0),VALUE(LEFT(INDEX($A444:$AL444,MATCH(Lists!$F$6,$A$1:$AL$1,0)),2))*60+VALUE(MID(INDEX($A444:$AL444,MATCH(Lists!$F$6,$A$1:$AL$1,0)),4,2)))),"")),IFERROR(IF(TRIM(INDEX($A444:$AL444,MATCH(Lists!$F$6,$A$1:$AL$1,0))&amp;"")="","",IF(ISNUMBER(INDEX($A444:$AL444,MATCH(Lists!$F$6,$A$1:$AL$1,0))),ROUND(MOD(INDEX($A444:$AL444,MATCH(Lists!$F$6,$A$1:$AL$1,0)),1)*1440,0),VALUE(LEFT(INDEX($A444:$AL444,MATCH(Lists!$F$6,$A$1:$AL$1,0)),2))*60+VALUE(MID(INDEX($A444:$AL444,MATCH(Lists!$F$6,$A$1:$AL$1,0)),4,2)))),""),-1))</f>
        <v/>
      </c>
      <c r="AV444" s="21">
        <f>IF(IFERROR(TRIM(INDEX($A444:$AL444,MATCH(Lists!$F$2,$A$1:$AL$1,0))&amp;""),"")="",-1,IF(ISNUMBER(IFERROR(IF(TRIM(INDEX($A444:$AL444,MATCH(Lists!$F$7,$A$1:$AL$1,0))&amp;"")="","",IF(ISNUMBER(INDEX($A444:$AL444,MATCH(Lists!$F$7,$A$1:$AL$1,0))),ROUND(MOD(INDEX($A444:$AL444,MATCH(Lists!$F$7,$A$1:$AL$1,0)),1)*1440,0),VALUE(LEFT(INDEX($A444:$AL444,MATCH(Lists!$F$7,$A$1:$AL$1,0)),2))*60+VALUE(MID(INDEX($A444:$AL444,MATCH(Lists!$F$7,$A$1:$AL$1,0)),4,2)))),"")),IFERROR(IF(TRIM(INDEX($A444:$AL444,MATCH(Lists!$F$7,$A$1:$AL$1,0))&amp;"")="","",IF(ISNUMBER(INDEX($A444:$AL444,MATCH(Lists!$F$7,$A$1:$AL$1,0))),ROUND(MOD(INDEX($A444:$AL444,MATCH(Lists!$F$7,$A$1:$AL$1,0)),1)*1440,0),VALUE(LEFT(INDEX($A444:$AL444,MATCH(Lists!$F$7,$A$1:$AL$1,0)),2))*60+VALUE(MID(INDEX($A444:$AL444,MATCH(Lists!$F$7,$A$1:$AL$1,0)),4,2)))),""),-1))</f>
        <v/>
      </c>
      <c r="AW444" s="21">
        <f>IF(IFERROR(TRIM(INDEX($A444:$AL444,MATCH(Lists!$F$2,$A$1:$AL$1,0))&amp;""),"")="","",IF(IFERROR(TRIM(INDEX($A444:$AL444,MATCH(Lists!$F$8,$A$1:$AL$1,0))&amp;""),"")&lt;&gt;"",IFERROR(TRIM(INDEX($A444:$AL444,MATCH(Lists!$F$8,$A$1:$AL$1,0))&amp;""),""),IFERROR(TRIM(INDEX($A444:$AL444,MATCH(Lists!$F$9,$A$1:$AL$1,0))&amp;""),"")))</f>
        <v/>
      </c>
      <c r="AX444" s="21">
        <f>IFERROR(IF(TRIM(INDEX($A444:$AL444,MATCH(Lists!$F$10,$A$1:$AL$1,0))&amp;"")="","",VALUE(TRIM(INDEX($A444:$AL444,MATCH(Lists!$F$10,$A$1:$AL$1,0))&amp;""))),"")</f>
        <v/>
      </c>
      <c r="AY444" s="21">
        <f>IF(IFERROR(TRIM(INDEX($A444:$AL444,MATCH(Lists!$F$2,$A$1:$AL$1,0))&amp;""),"")="","",IF(AN444="","New",AN444))</f>
        <v/>
      </c>
      <c r="AZ444" s="21">
        <f>IF(IFERROR(TRIM(INDEX($A444:$AL444,MATCH(Lists!$F$2,$A$1:$AL$1,0))&amp;""),"")="","",IF(OR(IFERROR(TRIM(INDEX($A444:$AL444,MATCH(Lists!$F$13,$A$1:$AL$1,0))&amp;""),"")="Paid",IFERROR(TRIM(INDEX($A444:$AL444,MATCH(Lists!$F$13,$A$1:$AL$1,0))&amp;""),"")="Partially refunded"),"Paid",IF(AP444="Yes","Paid (by hand)",IFERROR(TRIM(INDEX($A444:$AL444,MATCH(Lists!$F$13,$A$1:$AL$1,0))&amp;""),""))))</f>
        <v/>
      </c>
      <c r="BA444" s="21">
        <f>IF(AND(IFERROR(TRIM(INDEX($A444:$AL444,MATCH(Lists!$F$2,$A$1:$AL$1,0))&amp;""),"")&lt;&gt;"",AT444&gt;0,AU444&gt;=0,AV444&gt;AU444,AY444&lt;&gt;"Declined"),1,0)</f>
        <v/>
      </c>
      <c r="BB444" s="21">
        <f>IF(BA444=1,COUNTIFS($AS$2:$AS$501,AS444,$AT$2:$AT$501,AT444,$AU$2:$AU$501,"&lt;"&amp;AV444,$AV$2:$AV$501,"&gt;"&amp;AU444,$BA$2:$BA$501,1)-1,"")</f>
        <v/>
      </c>
      <c r="BC444" s="21">
        <f>IF(N(BB444)&gt;0,"Clashes with "&amp;INDEX($AW$2:$AW$501,SUMPRODUCT(MAX(($AS$2:$AS$501=AS444)*($AT$2:$AT$501=AT444)*($AU$2:$AU$501&lt;AV444)*($AV$2:$AV$501&gt;AU444)*($BA$2:$BA$501=1)*(ROW($AS$2:$AS$501)&lt;&gt;ROW())*ROW($AS$2:$AS$501)))-1)&amp;" ("&amp;INDEX($AY$2:$AY$501,SUMPRODUCT(MAX(($AS$2:$AS$501=AS444)*($AT$2:$AT$501=AT444)*($AU$2:$AU$501&lt;AV444)*($AV$2:$AV$501&gt;AU444)*($BA$2:$BA$501=1)*(ROW($AS$2:$AS$501)&lt;&gt;ROW())*ROW($AS$2:$AS$501)))-1)&amp;")"&amp;IF(BB444&gt;1," and "&amp;(BB444-1)&amp;" more",""),"")</f>
        <v/>
      </c>
      <c r="BD444" s="21">
        <f>IF(AND(BA444=1,AY444="Confirmed"),AT444*10000000+AU444*1000+ROW(),"")</f>
        <v/>
      </c>
      <c r="BE444" s="21">
        <f>IF(IFERROR(TRIM(INDEX($A444:$AL444,MATCH(Lists!$F$2,$A$1:$AL$1,0))&amp;""),"")="","",IFERROR(TRIM(INDEX($A444:$AL444,MATCH(Lists!$F$11,$A$1:$AL$1,0))&amp;""),""))</f>
        <v/>
      </c>
      <c r="BF444" s="21">
        <f>IF(IFERROR(TRIM(INDEX($A444:$AL444,MATCH(Lists!$F$2,$A$1:$AL$1,0))&amp;""),"")="","",IFERROR(TRIM(INDEX($A444:$AL444,MATCH(Lists!$F$12,$A$1:$AL$1,0))&amp;""),""))</f>
        <v/>
      </c>
    </row>
    <row r="445">
      <c r="AM445" s="19" t="n"/>
      <c r="AN445" s="23" t="n"/>
      <c r="AO445" s="23" t="n"/>
      <c r="AP445" s="23" t="n"/>
      <c r="AQ445" s="23" t="n"/>
      <c r="AR445" s="19" t="n"/>
      <c r="AS445" s="21">
        <f>IF(IFERROR(TRIM(INDEX($A445:$AL445,MATCH(Lists!$F$2,$A$1:$AL$1,0))&amp;""),"")="","",IF(AND(IFERROR(TRIM(INDEX($A445:$AL445,MATCH(Lists!$F$3,$A$1:$AL$1,0))&amp;""),"")="Other",IFERROR(TRIM(INDEX($A445:$AL445,MATCH(Lists!$F$4,$A$1:$AL$1,0))&amp;""),"")&lt;&gt;""),IFERROR(TRIM(INDEX($A445:$AL445,MATCH(Lists!$F$4,$A$1:$AL$1,0))&amp;""),""),IF(IFERROR(TRIM(INDEX($A445:$AL445,MATCH(Lists!$F$3,$A$1:$AL$1,0))&amp;""),"")="","(no space)",IFERROR(TRIM(INDEX($A445:$AL445,MATCH(Lists!$F$3,$A$1:$AL$1,0))&amp;""),""))))</f>
        <v/>
      </c>
      <c r="AT445" s="22">
        <f>IF(IFERROR(TRIM(INDEX($A445:$AL445,MATCH(Lists!$F$2,$A$1:$AL$1,0))&amp;""),"")="",0,N(IFERROR(IF(TRIM(INDEX($A445:$AL445,MATCH(Lists!$F$5,$A$1:$AL$1,0))&amp;"")="","",IF(ISNUMBER(INDEX($A445:$AL445,MATCH(Lists!$F$5,$A$1:$AL$1,0))),INT(INDEX($A445:$AL445,MATCH(Lists!$F$5,$A$1:$AL$1,0))),DATE(VALUE(LEFT(INDEX($A445:$AL445,MATCH(Lists!$F$5,$A$1:$AL$1,0)),4)),VALUE(MID(INDEX($A445:$AL445,MATCH(Lists!$F$5,$A$1:$AL$1,0)),6,2)),VALUE(MID(INDEX($A445:$AL445,MATCH(Lists!$F$5,$A$1:$AL$1,0)),9,2))))),"")))</f>
        <v/>
      </c>
      <c r="AU445" s="21">
        <f>IF(IFERROR(TRIM(INDEX($A445:$AL445,MATCH(Lists!$F$2,$A$1:$AL$1,0))&amp;""),"")="",-1,IF(ISNUMBER(IFERROR(IF(TRIM(INDEX($A445:$AL445,MATCH(Lists!$F$6,$A$1:$AL$1,0))&amp;"")="","",IF(ISNUMBER(INDEX($A445:$AL445,MATCH(Lists!$F$6,$A$1:$AL$1,0))),ROUND(MOD(INDEX($A445:$AL445,MATCH(Lists!$F$6,$A$1:$AL$1,0)),1)*1440,0),VALUE(LEFT(INDEX($A445:$AL445,MATCH(Lists!$F$6,$A$1:$AL$1,0)),2))*60+VALUE(MID(INDEX($A445:$AL445,MATCH(Lists!$F$6,$A$1:$AL$1,0)),4,2)))),"")),IFERROR(IF(TRIM(INDEX($A445:$AL445,MATCH(Lists!$F$6,$A$1:$AL$1,0))&amp;"")="","",IF(ISNUMBER(INDEX($A445:$AL445,MATCH(Lists!$F$6,$A$1:$AL$1,0))),ROUND(MOD(INDEX($A445:$AL445,MATCH(Lists!$F$6,$A$1:$AL$1,0)),1)*1440,0),VALUE(LEFT(INDEX($A445:$AL445,MATCH(Lists!$F$6,$A$1:$AL$1,0)),2))*60+VALUE(MID(INDEX($A445:$AL445,MATCH(Lists!$F$6,$A$1:$AL$1,0)),4,2)))),""),-1))</f>
        <v/>
      </c>
      <c r="AV445" s="21">
        <f>IF(IFERROR(TRIM(INDEX($A445:$AL445,MATCH(Lists!$F$2,$A$1:$AL$1,0))&amp;""),"")="",-1,IF(ISNUMBER(IFERROR(IF(TRIM(INDEX($A445:$AL445,MATCH(Lists!$F$7,$A$1:$AL$1,0))&amp;"")="","",IF(ISNUMBER(INDEX($A445:$AL445,MATCH(Lists!$F$7,$A$1:$AL$1,0))),ROUND(MOD(INDEX($A445:$AL445,MATCH(Lists!$F$7,$A$1:$AL$1,0)),1)*1440,0),VALUE(LEFT(INDEX($A445:$AL445,MATCH(Lists!$F$7,$A$1:$AL$1,0)),2))*60+VALUE(MID(INDEX($A445:$AL445,MATCH(Lists!$F$7,$A$1:$AL$1,0)),4,2)))),"")),IFERROR(IF(TRIM(INDEX($A445:$AL445,MATCH(Lists!$F$7,$A$1:$AL$1,0))&amp;"")="","",IF(ISNUMBER(INDEX($A445:$AL445,MATCH(Lists!$F$7,$A$1:$AL$1,0))),ROUND(MOD(INDEX($A445:$AL445,MATCH(Lists!$F$7,$A$1:$AL$1,0)),1)*1440,0),VALUE(LEFT(INDEX($A445:$AL445,MATCH(Lists!$F$7,$A$1:$AL$1,0)),2))*60+VALUE(MID(INDEX($A445:$AL445,MATCH(Lists!$F$7,$A$1:$AL$1,0)),4,2)))),""),-1))</f>
        <v/>
      </c>
      <c r="AW445" s="21">
        <f>IF(IFERROR(TRIM(INDEX($A445:$AL445,MATCH(Lists!$F$2,$A$1:$AL$1,0))&amp;""),"")="","",IF(IFERROR(TRIM(INDEX($A445:$AL445,MATCH(Lists!$F$8,$A$1:$AL$1,0))&amp;""),"")&lt;&gt;"",IFERROR(TRIM(INDEX($A445:$AL445,MATCH(Lists!$F$8,$A$1:$AL$1,0))&amp;""),""),IFERROR(TRIM(INDEX($A445:$AL445,MATCH(Lists!$F$9,$A$1:$AL$1,0))&amp;""),"")))</f>
        <v/>
      </c>
      <c r="AX445" s="21">
        <f>IFERROR(IF(TRIM(INDEX($A445:$AL445,MATCH(Lists!$F$10,$A$1:$AL$1,0))&amp;"")="","",VALUE(TRIM(INDEX($A445:$AL445,MATCH(Lists!$F$10,$A$1:$AL$1,0))&amp;""))),"")</f>
        <v/>
      </c>
      <c r="AY445" s="21">
        <f>IF(IFERROR(TRIM(INDEX($A445:$AL445,MATCH(Lists!$F$2,$A$1:$AL$1,0))&amp;""),"")="","",IF(AN445="","New",AN445))</f>
        <v/>
      </c>
      <c r="AZ445" s="21">
        <f>IF(IFERROR(TRIM(INDEX($A445:$AL445,MATCH(Lists!$F$2,$A$1:$AL$1,0))&amp;""),"")="","",IF(OR(IFERROR(TRIM(INDEX($A445:$AL445,MATCH(Lists!$F$13,$A$1:$AL$1,0))&amp;""),"")="Paid",IFERROR(TRIM(INDEX($A445:$AL445,MATCH(Lists!$F$13,$A$1:$AL$1,0))&amp;""),"")="Partially refunded"),"Paid",IF(AP445="Yes","Paid (by hand)",IFERROR(TRIM(INDEX($A445:$AL445,MATCH(Lists!$F$13,$A$1:$AL$1,0))&amp;""),""))))</f>
        <v/>
      </c>
      <c r="BA445" s="21">
        <f>IF(AND(IFERROR(TRIM(INDEX($A445:$AL445,MATCH(Lists!$F$2,$A$1:$AL$1,0))&amp;""),"")&lt;&gt;"",AT445&gt;0,AU445&gt;=0,AV445&gt;AU445,AY445&lt;&gt;"Declined"),1,0)</f>
        <v/>
      </c>
      <c r="BB445" s="21">
        <f>IF(BA445=1,COUNTIFS($AS$2:$AS$501,AS445,$AT$2:$AT$501,AT445,$AU$2:$AU$501,"&lt;"&amp;AV445,$AV$2:$AV$501,"&gt;"&amp;AU445,$BA$2:$BA$501,1)-1,"")</f>
        <v/>
      </c>
      <c r="BC445" s="21">
        <f>IF(N(BB445)&gt;0,"Clashes with "&amp;INDEX($AW$2:$AW$501,SUMPRODUCT(MAX(($AS$2:$AS$501=AS445)*($AT$2:$AT$501=AT445)*($AU$2:$AU$501&lt;AV445)*($AV$2:$AV$501&gt;AU445)*($BA$2:$BA$501=1)*(ROW($AS$2:$AS$501)&lt;&gt;ROW())*ROW($AS$2:$AS$501)))-1)&amp;" ("&amp;INDEX($AY$2:$AY$501,SUMPRODUCT(MAX(($AS$2:$AS$501=AS445)*($AT$2:$AT$501=AT445)*($AU$2:$AU$501&lt;AV445)*($AV$2:$AV$501&gt;AU445)*($BA$2:$BA$501=1)*(ROW($AS$2:$AS$501)&lt;&gt;ROW())*ROW($AS$2:$AS$501)))-1)&amp;")"&amp;IF(BB445&gt;1," and "&amp;(BB445-1)&amp;" more",""),"")</f>
        <v/>
      </c>
      <c r="BD445" s="21">
        <f>IF(AND(BA445=1,AY445="Confirmed"),AT445*10000000+AU445*1000+ROW(),"")</f>
        <v/>
      </c>
      <c r="BE445" s="21">
        <f>IF(IFERROR(TRIM(INDEX($A445:$AL445,MATCH(Lists!$F$2,$A$1:$AL$1,0))&amp;""),"")="","",IFERROR(TRIM(INDEX($A445:$AL445,MATCH(Lists!$F$11,$A$1:$AL$1,0))&amp;""),""))</f>
        <v/>
      </c>
      <c r="BF445" s="21">
        <f>IF(IFERROR(TRIM(INDEX($A445:$AL445,MATCH(Lists!$F$2,$A$1:$AL$1,0))&amp;""),"")="","",IFERROR(TRIM(INDEX($A445:$AL445,MATCH(Lists!$F$12,$A$1:$AL$1,0))&amp;""),""))</f>
        <v/>
      </c>
    </row>
    <row r="446">
      <c r="AM446" s="19" t="n"/>
      <c r="AN446" s="23" t="n"/>
      <c r="AO446" s="23" t="n"/>
      <c r="AP446" s="23" t="n"/>
      <c r="AQ446" s="23" t="n"/>
      <c r="AR446" s="19" t="n"/>
      <c r="AS446" s="21">
        <f>IF(IFERROR(TRIM(INDEX($A446:$AL446,MATCH(Lists!$F$2,$A$1:$AL$1,0))&amp;""),"")="","",IF(AND(IFERROR(TRIM(INDEX($A446:$AL446,MATCH(Lists!$F$3,$A$1:$AL$1,0))&amp;""),"")="Other",IFERROR(TRIM(INDEX($A446:$AL446,MATCH(Lists!$F$4,$A$1:$AL$1,0))&amp;""),"")&lt;&gt;""),IFERROR(TRIM(INDEX($A446:$AL446,MATCH(Lists!$F$4,$A$1:$AL$1,0))&amp;""),""),IF(IFERROR(TRIM(INDEX($A446:$AL446,MATCH(Lists!$F$3,$A$1:$AL$1,0))&amp;""),"")="","(no space)",IFERROR(TRIM(INDEX($A446:$AL446,MATCH(Lists!$F$3,$A$1:$AL$1,0))&amp;""),""))))</f>
        <v/>
      </c>
      <c r="AT446" s="22">
        <f>IF(IFERROR(TRIM(INDEX($A446:$AL446,MATCH(Lists!$F$2,$A$1:$AL$1,0))&amp;""),"")="",0,N(IFERROR(IF(TRIM(INDEX($A446:$AL446,MATCH(Lists!$F$5,$A$1:$AL$1,0))&amp;"")="","",IF(ISNUMBER(INDEX($A446:$AL446,MATCH(Lists!$F$5,$A$1:$AL$1,0))),INT(INDEX($A446:$AL446,MATCH(Lists!$F$5,$A$1:$AL$1,0))),DATE(VALUE(LEFT(INDEX($A446:$AL446,MATCH(Lists!$F$5,$A$1:$AL$1,0)),4)),VALUE(MID(INDEX($A446:$AL446,MATCH(Lists!$F$5,$A$1:$AL$1,0)),6,2)),VALUE(MID(INDEX($A446:$AL446,MATCH(Lists!$F$5,$A$1:$AL$1,0)),9,2))))),"")))</f>
        <v/>
      </c>
      <c r="AU446" s="21">
        <f>IF(IFERROR(TRIM(INDEX($A446:$AL446,MATCH(Lists!$F$2,$A$1:$AL$1,0))&amp;""),"")="",-1,IF(ISNUMBER(IFERROR(IF(TRIM(INDEX($A446:$AL446,MATCH(Lists!$F$6,$A$1:$AL$1,0))&amp;"")="","",IF(ISNUMBER(INDEX($A446:$AL446,MATCH(Lists!$F$6,$A$1:$AL$1,0))),ROUND(MOD(INDEX($A446:$AL446,MATCH(Lists!$F$6,$A$1:$AL$1,0)),1)*1440,0),VALUE(LEFT(INDEX($A446:$AL446,MATCH(Lists!$F$6,$A$1:$AL$1,0)),2))*60+VALUE(MID(INDEX($A446:$AL446,MATCH(Lists!$F$6,$A$1:$AL$1,0)),4,2)))),"")),IFERROR(IF(TRIM(INDEX($A446:$AL446,MATCH(Lists!$F$6,$A$1:$AL$1,0))&amp;"")="","",IF(ISNUMBER(INDEX($A446:$AL446,MATCH(Lists!$F$6,$A$1:$AL$1,0))),ROUND(MOD(INDEX($A446:$AL446,MATCH(Lists!$F$6,$A$1:$AL$1,0)),1)*1440,0),VALUE(LEFT(INDEX($A446:$AL446,MATCH(Lists!$F$6,$A$1:$AL$1,0)),2))*60+VALUE(MID(INDEX($A446:$AL446,MATCH(Lists!$F$6,$A$1:$AL$1,0)),4,2)))),""),-1))</f>
        <v/>
      </c>
      <c r="AV446" s="21">
        <f>IF(IFERROR(TRIM(INDEX($A446:$AL446,MATCH(Lists!$F$2,$A$1:$AL$1,0))&amp;""),"")="",-1,IF(ISNUMBER(IFERROR(IF(TRIM(INDEX($A446:$AL446,MATCH(Lists!$F$7,$A$1:$AL$1,0))&amp;"")="","",IF(ISNUMBER(INDEX($A446:$AL446,MATCH(Lists!$F$7,$A$1:$AL$1,0))),ROUND(MOD(INDEX($A446:$AL446,MATCH(Lists!$F$7,$A$1:$AL$1,0)),1)*1440,0),VALUE(LEFT(INDEX($A446:$AL446,MATCH(Lists!$F$7,$A$1:$AL$1,0)),2))*60+VALUE(MID(INDEX($A446:$AL446,MATCH(Lists!$F$7,$A$1:$AL$1,0)),4,2)))),"")),IFERROR(IF(TRIM(INDEX($A446:$AL446,MATCH(Lists!$F$7,$A$1:$AL$1,0))&amp;"")="","",IF(ISNUMBER(INDEX($A446:$AL446,MATCH(Lists!$F$7,$A$1:$AL$1,0))),ROUND(MOD(INDEX($A446:$AL446,MATCH(Lists!$F$7,$A$1:$AL$1,0)),1)*1440,0),VALUE(LEFT(INDEX($A446:$AL446,MATCH(Lists!$F$7,$A$1:$AL$1,0)),2))*60+VALUE(MID(INDEX($A446:$AL446,MATCH(Lists!$F$7,$A$1:$AL$1,0)),4,2)))),""),-1))</f>
        <v/>
      </c>
      <c r="AW446" s="21">
        <f>IF(IFERROR(TRIM(INDEX($A446:$AL446,MATCH(Lists!$F$2,$A$1:$AL$1,0))&amp;""),"")="","",IF(IFERROR(TRIM(INDEX($A446:$AL446,MATCH(Lists!$F$8,$A$1:$AL$1,0))&amp;""),"")&lt;&gt;"",IFERROR(TRIM(INDEX($A446:$AL446,MATCH(Lists!$F$8,$A$1:$AL$1,0))&amp;""),""),IFERROR(TRIM(INDEX($A446:$AL446,MATCH(Lists!$F$9,$A$1:$AL$1,0))&amp;""),"")))</f>
        <v/>
      </c>
      <c r="AX446" s="21">
        <f>IFERROR(IF(TRIM(INDEX($A446:$AL446,MATCH(Lists!$F$10,$A$1:$AL$1,0))&amp;"")="","",VALUE(TRIM(INDEX($A446:$AL446,MATCH(Lists!$F$10,$A$1:$AL$1,0))&amp;""))),"")</f>
        <v/>
      </c>
      <c r="AY446" s="21">
        <f>IF(IFERROR(TRIM(INDEX($A446:$AL446,MATCH(Lists!$F$2,$A$1:$AL$1,0))&amp;""),"")="","",IF(AN446="","New",AN446))</f>
        <v/>
      </c>
      <c r="AZ446" s="21">
        <f>IF(IFERROR(TRIM(INDEX($A446:$AL446,MATCH(Lists!$F$2,$A$1:$AL$1,0))&amp;""),"")="","",IF(OR(IFERROR(TRIM(INDEX($A446:$AL446,MATCH(Lists!$F$13,$A$1:$AL$1,0))&amp;""),"")="Paid",IFERROR(TRIM(INDEX($A446:$AL446,MATCH(Lists!$F$13,$A$1:$AL$1,0))&amp;""),"")="Partially refunded"),"Paid",IF(AP446="Yes","Paid (by hand)",IFERROR(TRIM(INDEX($A446:$AL446,MATCH(Lists!$F$13,$A$1:$AL$1,0))&amp;""),""))))</f>
        <v/>
      </c>
      <c r="BA446" s="21">
        <f>IF(AND(IFERROR(TRIM(INDEX($A446:$AL446,MATCH(Lists!$F$2,$A$1:$AL$1,0))&amp;""),"")&lt;&gt;"",AT446&gt;0,AU446&gt;=0,AV446&gt;AU446,AY446&lt;&gt;"Declined"),1,0)</f>
        <v/>
      </c>
      <c r="BB446" s="21">
        <f>IF(BA446=1,COUNTIFS($AS$2:$AS$501,AS446,$AT$2:$AT$501,AT446,$AU$2:$AU$501,"&lt;"&amp;AV446,$AV$2:$AV$501,"&gt;"&amp;AU446,$BA$2:$BA$501,1)-1,"")</f>
        <v/>
      </c>
      <c r="BC446" s="21">
        <f>IF(N(BB446)&gt;0,"Clashes with "&amp;INDEX($AW$2:$AW$501,SUMPRODUCT(MAX(($AS$2:$AS$501=AS446)*($AT$2:$AT$501=AT446)*($AU$2:$AU$501&lt;AV446)*($AV$2:$AV$501&gt;AU446)*($BA$2:$BA$501=1)*(ROW($AS$2:$AS$501)&lt;&gt;ROW())*ROW($AS$2:$AS$501)))-1)&amp;" ("&amp;INDEX($AY$2:$AY$501,SUMPRODUCT(MAX(($AS$2:$AS$501=AS446)*($AT$2:$AT$501=AT446)*($AU$2:$AU$501&lt;AV446)*($AV$2:$AV$501&gt;AU446)*($BA$2:$BA$501=1)*(ROW($AS$2:$AS$501)&lt;&gt;ROW())*ROW($AS$2:$AS$501)))-1)&amp;")"&amp;IF(BB446&gt;1," and "&amp;(BB446-1)&amp;" more",""),"")</f>
        <v/>
      </c>
      <c r="BD446" s="21">
        <f>IF(AND(BA446=1,AY446="Confirmed"),AT446*10000000+AU446*1000+ROW(),"")</f>
        <v/>
      </c>
      <c r="BE446" s="21">
        <f>IF(IFERROR(TRIM(INDEX($A446:$AL446,MATCH(Lists!$F$2,$A$1:$AL$1,0))&amp;""),"")="","",IFERROR(TRIM(INDEX($A446:$AL446,MATCH(Lists!$F$11,$A$1:$AL$1,0))&amp;""),""))</f>
        <v/>
      </c>
      <c r="BF446" s="21">
        <f>IF(IFERROR(TRIM(INDEX($A446:$AL446,MATCH(Lists!$F$2,$A$1:$AL$1,0))&amp;""),"")="","",IFERROR(TRIM(INDEX($A446:$AL446,MATCH(Lists!$F$12,$A$1:$AL$1,0))&amp;""),""))</f>
        <v/>
      </c>
    </row>
    <row r="447">
      <c r="AM447" s="19" t="n"/>
      <c r="AN447" s="23" t="n"/>
      <c r="AO447" s="23" t="n"/>
      <c r="AP447" s="23" t="n"/>
      <c r="AQ447" s="23" t="n"/>
      <c r="AR447" s="19" t="n"/>
      <c r="AS447" s="21">
        <f>IF(IFERROR(TRIM(INDEX($A447:$AL447,MATCH(Lists!$F$2,$A$1:$AL$1,0))&amp;""),"")="","",IF(AND(IFERROR(TRIM(INDEX($A447:$AL447,MATCH(Lists!$F$3,$A$1:$AL$1,0))&amp;""),"")="Other",IFERROR(TRIM(INDEX($A447:$AL447,MATCH(Lists!$F$4,$A$1:$AL$1,0))&amp;""),"")&lt;&gt;""),IFERROR(TRIM(INDEX($A447:$AL447,MATCH(Lists!$F$4,$A$1:$AL$1,0))&amp;""),""),IF(IFERROR(TRIM(INDEX($A447:$AL447,MATCH(Lists!$F$3,$A$1:$AL$1,0))&amp;""),"")="","(no space)",IFERROR(TRIM(INDEX($A447:$AL447,MATCH(Lists!$F$3,$A$1:$AL$1,0))&amp;""),""))))</f>
        <v/>
      </c>
      <c r="AT447" s="22">
        <f>IF(IFERROR(TRIM(INDEX($A447:$AL447,MATCH(Lists!$F$2,$A$1:$AL$1,0))&amp;""),"")="",0,N(IFERROR(IF(TRIM(INDEX($A447:$AL447,MATCH(Lists!$F$5,$A$1:$AL$1,0))&amp;"")="","",IF(ISNUMBER(INDEX($A447:$AL447,MATCH(Lists!$F$5,$A$1:$AL$1,0))),INT(INDEX($A447:$AL447,MATCH(Lists!$F$5,$A$1:$AL$1,0))),DATE(VALUE(LEFT(INDEX($A447:$AL447,MATCH(Lists!$F$5,$A$1:$AL$1,0)),4)),VALUE(MID(INDEX($A447:$AL447,MATCH(Lists!$F$5,$A$1:$AL$1,0)),6,2)),VALUE(MID(INDEX($A447:$AL447,MATCH(Lists!$F$5,$A$1:$AL$1,0)),9,2))))),"")))</f>
        <v/>
      </c>
      <c r="AU447" s="21">
        <f>IF(IFERROR(TRIM(INDEX($A447:$AL447,MATCH(Lists!$F$2,$A$1:$AL$1,0))&amp;""),"")="",-1,IF(ISNUMBER(IFERROR(IF(TRIM(INDEX($A447:$AL447,MATCH(Lists!$F$6,$A$1:$AL$1,0))&amp;"")="","",IF(ISNUMBER(INDEX($A447:$AL447,MATCH(Lists!$F$6,$A$1:$AL$1,0))),ROUND(MOD(INDEX($A447:$AL447,MATCH(Lists!$F$6,$A$1:$AL$1,0)),1)*1440,0),VALUE(LEFT(INDEX($A447:$AL447,MATCH(Lists!$F$6,$A$1:$AL$1,0)),2))*60+VALUE(MID(INDEX($A447:$AL447,MATCH(Lists!$F$6,$A$1:$AL$1,0)),4,2)))),"")),IFERROR(IF(TRIM(INDEX($A447:$AL447,MATCH(Lists!$F$6,$A$1:$AL$1,0))&amp;"")="","",IF(ISNUMBER(INDEX($A447:$AL447,MATCH(Lists!$F$6,$A$1:$AL$1,0))),ROUND(MOD(INDEX($A447:$AL447,MATCH(Lists!$F$6,$A$1:$AL$1,0)),1)*1440,0),VALUE(LEFT(INDEX($A447:$AL447,MATCH(Lists!$F$6,$A$1:$AL$1,0)),2))*60+VALUE(MID(INDEX($A447:$AL447,MATCH(Lists!$F$6,$A$1:$AL$1,0)),4,2)))),""),-1))</f>
        <v/>
      </c>
      <c r="AV447" s="21">
        <f>IF(IFERROR(TRIM(INDEX($A447:$AL447,MATCH(Lists!$F$2,$A$1:$AL$1,0))&amp;""),"")="",-1,IF(ISNUMBER(IFERROR(IF(TRIM(INDEX($A447:$AL447,MATCH(Lists!$F$7,$A$1:$AL$1,0))&amp;"")="","",IF(ISNUMBER(INDEX($A447:$AL447,MATCH(Lists!$F$7,$A$1:$AL$1,0))),ROUND(MOD(INDEX($A447:$AL447,MATCH(Lists!$F$7,$A$1:$AL$1,0)),1)*1440,0),VALUE(LEFT(INDEX($A447:$AL447,MATCH(Lists!$F$7,$A$1:$AL$1,0)),2))*60+VALUE(MID(INDEX($A447:$AL447,MATCH(Lists!$F$7,$A$1:$AL$1,0)),4,2)))),"")),IFERROR(IF(TRIM(INDEX($A447:$AL447,MATCH(Lists!$F$7,$A$1:$AL$1,0))&amp;"")="","",IF(ISNUMBER(INDEX($A447:$AL447,MATCH(Lists!$F$7,$A$1:$AL$1,0))),ROUND(MOD(INDEX($A447:$AL447,MATCH(Lists!$F$7,$A$1:$AL$1,0)),1)*1440,0),VALUE(LEFT(INDEX($A447:$AL447,MATCH(Lists!$F$7,$A$1:$AL$1,0)),2))*60+VALUE(MID(INDEX($A447:$AL447,MATCH(Lists!$F$7,$A$1:$AL$1,0)),4,2)))),""),-1))</f>
        <v/>
      </c>
      <c r="AW447" s="21">
        <f>IF(IFERROR(TRIM(INDEX($A447:$AL447,MATCH(Lists!$F$2,$A$1:$AL$1,0))&amp;""),"")="","",IF(IFERROR(TRIM(INDEX($A447:$AL447,MATCH(Lists!$F$8,$A$1:$AL$1,0))&amp;""),"")&lt;&gt;"",IFERROR(TRIM(INDEX($A447:$AL447,MATCH(Lists!$F$8,$A$1:$AL$1,0))&amp;""),""),IFERROR(TRIM(INDEX($A447:$AL447,MATCH(Lists!$F$9,$A$1:$AL$1,0))&amp;""),"")))</f>
        <v/>
      </c>
      <c r="AX447" s="21">
        <f>IFERROR(IF(TRIM(INDEX($A447:$AL447,MATCH(Lists!$F$10,$A$1:$AL$1,0))&amp;"")="","",VALUE(TRIM(INDEX($A447:$AL447,MATCH(Lists!$F$10,$A$1:$AL$1,0))&amp;""))),"")</f>
        <v/>
      </c>
      <c r="AY447" s="21">
        <f>IF(IFERROR(TRIM(INDEX($A447:$AL447,MATCH(Lists!$F$2,$A$1:$AL$1,0))&amp;""),"")="","",IF(AN447="","New",AN447))</f>
        <v/>
      </c>
      <c r="AZ447" s="21">
        <f>IF(IFERROR(TRIM(INDEX($A447:$AL447,MATCH(Lists!$F$2,$A$1:$AL$1,0))&amp;""),"")="","",IF(OR(IFERROR(TRIM(INDEX($A447:$AL447,MATCH(Lists!$F$13,$A$1:$AL$1,0))&amp;""),"")="Paid",IFERROR(TRIM(INDEX($A447:$AL447,MATCH(Lists!$F$13,$A$1:$AL$1,0))&amp;""),"")="Partially refunded"),"Paid",IF(AP447="Yes","Paid (by hand)",IFERROR(TRIM(INDEX($A447:$AL447,MATCH(Lists!$F$13,$A$1:$AL$1,0))&amp;""),""))))</f>
        <v/>
      </c>
      <c r="BA447" s="21">
        <f>IF(AND(IFERROR(TRIM(INDEX($A447:$AL447,MATCH(Lists!$F$2,$A$1:$AL$1,0))&amp;""),"")&lt;&gt;"",AT447&gt;0,AU447&gt;=0,AV447&gt;AU447,AY447&lt;&gt;"Declined"),1,0)</f>
        <v/>
      </c>
      <c r="BB447" s="21">
        <f>IF(BA447=1,COUNTIFS($AS$2:$AS$501,AS447,$AT$2:$AT$501,AT447,$AU$2:$AU$501,"&lt;"&amp;AV447,$AV$2:$AV$501,"&gt;"&amp;AU447,$BA$2:$BA$501,1)-1,"")</f>
        <v/>
      </c>
      <c r="BC447" s="21">
        <f>IF(N(BB447)&gt;0,"Clashes with "&amp;INDEX($AW$2:$AW$501,SUMPRODUCT(MAX(($AS$2:$AS$501=AS447)*($AT$2:$AT$501=AT447)*($AU$2:$AU$501&lt;AV447)*($AV$2:$AV$501&gt;AU447)*($BA$2:$BA$501=1)*(ROW($AS$2:$AS$501)&lt;&gt;ROW())*ROW($AS$2:$AS$501)))-1)&amp;" ("&amp;INDEX($AY$2:$AY$501,SUMPRODUCT(MAX(($AS$2:$AS$501=AS447)*($AT$2:$AT$501=AT447)*($AU$2:$AU$501&lt;AV447)*($AV$2:$AV$501&gt;AU447)*($BA$2:$BA$501=1)*(ROW($AS$2:$AS$501)&lt;&gt;ROW())*ROW($AS$2:$AS$501)))-1)&amp;")"&amp;IF(BB447&gt;1," and "&amp;(BB447-1)&amp;" more",""),"")</f>
        <v/>
      </c>
      <c r="BD447" s="21">
        <f>IF(AND(BA447=1,AY447="Confirmed"),AT447*10000000+AU447*1000+ROW(),"")</f>
        <v/>
      </c>
      <c r="BE447" s="21">
        <f>IF(IFERROR(TRIM(INDEX($A447:$AL447,MATCH(Lists!$F$2,$A$1:$AL$1,0))&amp;""),"")="","",IFERROR(TRIM(INDEX($A447:$AL447,MATCH(Lists!$F$11,$A$1:$AL$1,0))&amp;""),""))</f>
        <v/>
      </c>
      <c r="BF447" s="21">
        <f>IF(IFERROR(TRIM(INDEX($A447:$AL447,MATCH(Lists!$F$2,$A$1:$AL$1,0))&amp;""),"")="","",IFERROR(TRIM(INDEX($A447:$AL447,MATCH(Lists!$F$12,$A$1:$AL$1,0))&amp;""),""))</f>
        <v/>
      </c>
    </row>
    <row r="448">
      <c r="AM448" s="19" t="n"/>
      <c r="AN448" s="23" t="n"/>
      <c r="AO448" s="23" t="n"/>
      <c r="AP448" s="23" t="n"/>
      <c r="AQ448" s="23" t="n"/>
      <c r="AR448" s="19" t="n"/>
      <c r="AS448" s="21">
        <f>IF(IFERROR(TRIM(INDEX($A448:$AL448,MATCH(Lists!$F$2,$A$1:$AL$1,0))&amp;""),"")="","",IF(AND(IFERROR(TRIM(INDEX($A448:$AL448,MATCH(Lists!$F$3,$A$1:$AL$1,0))&amp;""),"")="Other",IFERROR(TRIM(INDEX($A448:$AL448,MATCH(Lists!$F$4,$A$1:$AL$1,0))&amp;""),"")&lt;&gt;""),IFERROR(TRIM(INDEX($A448:$AL448,MATCH(Lists!$F$4,$A$1:$AL$1,0))&amp;""),""),IF(IFERROR(TRIM(INDEX($A448:$AL448,MATCH(Lists!$F$3,$A$1:$AL$1,0))&amp;""),"")="","(no space)",IFERROR(TRIM(INDEX($A448:$AL448,MATCH(Lists!$F$3,$A$1:$AL$1,0))&amp;""),""))))</f>
        <v/>
      </c>
      <c r="AT448" s="22">
        <f>IF(IFERROR(TRIM(INDEX($A448:$AL448,MATCH(Lists!$F$2,$A$1:$AL$1,0))&amp;""),"")="",0,N(IFERROR(IF(TRIM(INDEX($A448:$AL448,MATCH(Lists!$F$5,$A$1:$AL$1,0))&amp;"")="","",IF(ISNUMBER(INDEX($A448:$AL448,MATCH(Lists!$F$5,$A$1:$AL$1,0))),INT(INDEX($A448:$AL448,MATCH(Lists!$F$5,$A$1:$AL$1,0))),DATE(VALUE(LEFT(INDEX($A448:$AL448,MATCH(Lists!$F$5,$A$1:$AL$1,0)),4)),VALUE(MID(INDEX($A448:$AL448,MATCH(Lists!$F$5,$A$1:$AL$1,0)),6,2)),VALUE(MID(INDEX($A448:$AL448,MATCH(Lists!$F$5,$A$1:$AL$1,0)),9,2))))),"")))</f>
        <v/>
      </c>
      <c r="AU448" s="21">
        <f>IF(IFERROR(TRIM(INDEX($A448:$AL448,MATCH(Lists!$F$2,$A$1:$AL$1,0))&amp;""),"")="",-1,IF(ISNUMBER(IFERROR(IF(TRIM(INDEX($A448:$AL448,MATCH(Lists!$F$6,$A$1:$AL$1,0))&amp;"")="","",IF(ISNUMBER(INDEX($A448:$AL448,MATCH(Lists!$F$6,$A$1:$AL$1,0))),ROUND(MOD(INDEX($A448:$AL448,MATCH(Lists!$F$6,$A$1:$AL$1,0)),1)*1440,0),VALUE(LEFT(INDEX($A448:$AL448,MATCH(Lists!$F$6,$A$1:$AL$1,0)),2))*60+VALUE(MID(INDEX($A448:$AL448,MATCH(Lists!$F$6,$A$1:$AL$1,0)),4,2)))),"")),IFERROR(IF(TRIM(INDEX($A448:$AL448,MATCH(Lists!$F$6,$A$1:$AL$1,0))&amp;"")="","",IF(ISNUMBER(INDEX($A448:$AL448,MATCH(Lists!$F$6,$A$1:$AL$1,0))),ROUND(MOD(INDEX($A448:$AL448,MATCH(Lists!$F$6,$A$1:$AL$1,0)),1)*1440,0),VALUE(LEFT(INDEX($A448:$AL448,MATCH(Lists!$F$6,$A$1:$AL$1,0)),2))*60+VALUE(MID(INDEX($A448:$AL448,MATCH(Lists!$F$6,$A$1:$AL$1,0)),4,2)))),""),-1))</f>
        <v/>
      </c>
      <c r="AV448" s="21">
        <f>IF(IFERROR(TRIM(INDEX($A448:$AL448,MATCH(Lists!$F$2,$A$1:$AL$1,0))&amp;""),"")="",-1,IF(ISNUMBER(IFERROR(IF(TRIM(INDEX($A448:$AL448,MATCH(Lists!$F$7,$A$1:$AL$1,0))&amp;"")="","",IF(ISNUMBER(INDEX($A448:$AL448,MATCH(Lists!$F$7,$A$1:$AL$1,0))),ROUND(MOD(INDEX($A448:$AL448,MATCH(Lists!$F$7,$A$1:$AL$1,0)),1)*1440,0),VALUE(LEFT(INDEX($A448:$AL448,MATCH(Lists!$F$7,$A$1:$AL$1,0)),2))*60+VALUE(MID(INDEX($A448:$AL448,MATCH(Lists!$F$7,$A$1:$AL$1,0)),4,2)))),"")),IFERROR(IF(TRIM(INDEX($A448:$AL448,MATCH(Lists!$F$7,$A$1:$AL$1,0))&amp;"")="","",IF(ISNUMBER(INDEX($A448:$AL448,MATCH(Lists!$F$7,$A$1:$AL$1,0))),ROUND(MOD(INDEX($A448:$AL448,MATCH(Lists!$F$7,$A$1:$AL$1,0)),1)*1440,0),VALUE(LEFT(INDEX($A448:$AL448,MATCH(Lists!$F$7,$A$1:$AL$1,0)),2))*60+VALUE(MID(INDEX($A448:$AL448,MATCH(Lists!$F$7,$A$1:$AL$1,0)),4,2)))),""),-1))</f>
        <v/>
      </c>
      <c r="AW448" s="21">
        <f>IF(IFERROR(TRIM(INDEX($A448:$AL448,MATCH(Lists!$F$2,$A$1:$AL$1,0))&amp;""),"")="","",IF(IFERROR(TRIM(INDEX($A448:$AL448,MATCH(Lists!$F$8,$A$1:$AL$1,0))&amp;""),"")&lt;&gt;"",IFERROR(TRIM(INDEX($A448:$AL448,MATCH(Lists!$F$8,$A$1:$AL$1,0))&amp;""),""),IFERROR(TRIM(INDEX($A448:$AL448,MATCH(Lists!$F$9,$A$1:$AL$1,0))&amp;""),"")))</f>
        <v/>
      </c>
      <c r="AX448" s="21">
        <f>IFERROR(IF(TRIM(INDEX($A448:$AL448,MATCH(Lists!$F$10,$A$1:$AL$1,0))&amp;"")="","",VALUE(TRIM(INDEX($A448:$AL448,MATCH(Lists!$F$10,$A$1:$AL$1,0))&amp;""))),"")</f>
        <v/>
      </c>
      <c r="AY448" s="21">
        <f>IF(IFERROR(TRIM(INDEX($A448:$AL448,MATCH(Lists!$F$2,$A$1:$AL$1,0))&amp;""),"")="","",IF(AN448="","New",AN448))</f>
        <v/>
      </c>
      <c r="AZ448" s="21">
        <f>IF(IFERROR(TRIM(INDEX($A448:$AL448,MATCH(Lists!$F$2,$A$1:$AL$1,0))&amp;""),"")="","",IF(OR(IFERROR(TRIM(INDEX($A448:$AL448,MATCH(Lists!$F$13,$A$1:$AL$1,0))&amp;""),"")="Paid",IFERROR(TRIM(INDEX($A448:$AL448,MATCH(Lists!$F$13,$A$1:$AL$1,0))&amp;""),"")="Partially refunded"),"Paid",IF(AP448="Yes","Paid (by hand)",IFERROR(TRIM(INDEX($A448:$AL448,MATCH(Lists!$F$13,$A$1:$AL$1,0))&amp;""),""))))</f>
        <v/>
      </c>
      <c r="BA448" s="21">
        <f>IF(AND(IFERROR(TRIM(INDEX($A448:$AL448,MATCH(Lists!$F$2,$A$1:$AL$1,0))&amp;""),"")&lt;&gt;"",AT448&gt;0,AU448&gt;=0,AV448&gt;AU448,AY448&lt;&gt;"Declined"),1,0)</f>
        <v/>
      </c>
      <c r="BB448" s="21">
        <f>IF(BA448=1,COUNTIFS($AS$2:$AS$501,AS448,$AT$2:$AT$501,AT448,$AU$2:$AU$501,"&lt;"&amp;AV448,$AV$2:$AV$501,"&gt;"&amp;AU448,$BA$2:$BA$501,1)-1,"")</f>
        <v/>
      </c>
      <c r="BC448" s="21">
        <f>IF(N(BB448)&gt;0,"Clashes with "&amp;INDEX($AW$2:$AW$501,SUMPRODUCT(MAX(($AS$2:$AS$501=AS448)*($AT$2:$AT$501=AT448)*($AU$2:$AU$501&lt;AV448)*($AV$2:$AV$501&gt;AU448)*($BA$2:$BA$501=1)*(ROW($AS$2:$AS$501)&lt;&gt;ROW())*ROW($AS$2:$AS$501)))-1)&amp;" ("&amp;INDEX($AY$2:$AY$501,SUMPRODUCT(MAX(($AS$2:$AS$501=AS448)*($AT$2:$AT$501=AT448)*($AU$2:$AU$501&lt;AV448)*($AV$2:$AV$501&gt;AU448)*($BA$2:$BA$501=1)*(ROW($AS$2:$AS$501)&lt;&gt;ROW())*ROW($AS$2:$AS$501)))-1)&amp;")"&amp;IF(BB448&gt;1," and "&amp;(BB448-1)&amp;" more",""),"")</f>
        <v/>
      </c>
      <c r="BD448" s="21">
        <f>IF(AND(BA448=1,AY448="Confirmed"),AT448*10000000+AU448*1000+ROW(),"")</f>
        <v/>
      </c>
      <c r="BE448" s="21">
        <f>IF(IFERROR(TRIM(INDEX($A448:$AL448,MATCH(Lists!$F$2,$A$1:$AL$1,0))&amp;""),"")="","",IFERROR(TRIM(INDEX($A448:$AL448,MATCH(Lists!$F$11,$A$1:$AL$1,0))&amp;""),""))</f>
        <v/>
      </c>
      <c r="BF448" s="21">
        <f>IF(IFERROR(TRIM(INDEX($A448:$AL448,MATCH(Lists!$F$2,$A$1:$AL$1,0))&amp;""),"")="","",IFERROR(TRIM(INDEX($A448:$AL448,MATCH(Lists!$F$12,$A$1:$AL$1,0))&amp;""),""))</f>
        <v/>
      </c>
    </row>
    <row r="449">
      <c r="AM449" s="19" t="n"/>
      <c r="AN449" s="23" t="n"/>
      <c r="AO449" s="23" t="n"/>
      <c r="AP449" s="23" t="n"/>
      <c r="AQ449" s="23" t="n"/>
      <c r="AR449" s="19" t="n"/>
      <c r="AS449" s="21">
        <f>IF(IFERROR(TRIM(INDEX($A449:$AL449,MATCH(Lists!$F$2,$A$1:$AL$1,0))&amp;""),"")="","",IF(AND(IFERROR(TRIM(INDEX($A449:$AL449,MATCH(Lists!$F$3,$A$1:$AL$1,0))&amp;""),"")="Other",IFERROR(TRIM(INDEX($A449:$AL449,MATCH(Lists!$F$4,$A$1:$AL$1,0))&amp;""),"")&lt;&gt;""),IFERROR(TRIM(INDEX($A449:$AL449,MATCH(Lists!$F$4,$A$1:$AL$1,0))&amp;""),""),IF(IFERROR(TRIM(INDEX($A449:$AL449,MATCH(Lists!$F$3,$A$1:$AL$1,0))&amp;""),"")="","(no space)",IFERROR(TRIM(INDEX($A449:$AL449,MATCH(Lists!$F$3,$A$1:$AL$1,0))&amp;""),""))))</f>
        <v/>
      </c>
      <c r="AT449" s="22">
        <f>IF(IFERROR(TRIM(INDEX($A449:$AL449,MATCH(Lists!$F$2,$A$1:$AL$1,0))&amp;""),"")="",0,N(IFERROR(IF(TRIM(INDEX($A449:$AL449,MATCH(Lists!$F$5,$A$1:$AL$1,0))&amp;"")="","",IF(ISNUMBER(INDEX($A449:$AL449,MATCH(Lists!$F$5,$A$1:$AL$1,0))),INT(INDEX($A449:$AL449,MATCH(Lists!$F$5,$A$1:$AL$1,0))),DATE(VALUE(LEFT(INDEX($A449:$AL449,MATCH(Lists!$F$5,$A$1:$AL$1,0)),4)),VALUE(MID(INDEX($A449:$AL449,MATCH(Lists!$F$5,$A$1:$AL$1,0)),6,2)),VALUE(MID(INDEX($A449:$AL449,MATCH(Lists!$F$5,$A$1:$AL$1,0)),9,2))))),"")))</f>
        <v/>
      </c>
      <c r="AU449" s="21">
        <f>IF(IFERROR(TRIM(INDEX($A449:$AL449,MATCH(Lists!$F$2,$A$1:$AL$1,0))&amp;""),"")="",-1,IF(ISNUMBER(IFERROR(IF(TRIM(INDEX($A449:$AL449,MATCH(Lists!$F$6,$A$1:$AL$1,0))&amp;"")="","",IF(ISNUMBER(INDEX($A449:$AL449,MATCH(Lists!$F$6,$A$1:$AL$1,0))),ROUND(MOD(INDEX($A449:$AL449,MATCH(Lists!$F$6,$A$1:$AL$1,0)),1)*1440,0),VALUE(LEFT(INDEX($A449:$AL449,MATCH(Lists!$F$6,$A$1:$AL$1,0)),2))*60+VALUE(MID(INDEX($A449:$AL449,MATCH(Lists!$F$6,$A$1:$AL$1,0)),4,2)))),"")),IFERROR(IF(TRIM(INDEX($A449:$AL449,MATCH(Lists!$F$6,$A$1:$AL$1,0))&amp;"")="","",IF(ISNUMBER(INDEX($A449:$AL449,MATCH(Lists!$F$6,$A$1:$AL$1,0))),ROUND(MOD(INDEX($A449:$AL449,MATCH(Lists!$F$6,$A$1:$AL$1,0)),1)*1440,0),VALUE(LEFT(INDEX($A449:$AL449,MATCH(Lists!$F$6,$A$1:$AL$1,0)),2))*60+VALUE(MID(INDEX($A449:$AL449,MATCH(Lists!$F$6,$A$1:$AL$1,0)),4,2)))),""),-1))</f>
        <v/>
      </c>
      <c r="AV449" s="21">
        <f>IF(IFERROR(TRIM(INDEX($A449:$AL449,MATCH(Lists!$F$2,$A$1:$AL$1,0))&amp;""),"")="",-1,IF(ISNUMBER(IFERROR(IF(TRIM(INDEX($A449:$AL449,MATCH(Lists!$F$7,$A$1:$AL$1,0))&amp;"")="","",IF(ISNUMBER(INDEX($A449:$AL449,MATCH(Lists!$F$7,$A$1:$AL$1,0))),ROUND(MOD(INDEX($A449:$AL449,MATCH(Lists!$F$7,$A$1:$AL$1,0)),1)*1440,0),VALUE(LEFT(INDEX($A449:$AL449,MATCH(Lists!$F$7,$A$1:$AL$1,0)),2))*60+VALUE(MID(INDEX($A449:$AL449,MATCH(Lists!$F$7,$A$1:$AL$1,0)),4,2)))),"")),IFERROR(IF(TRIM(INDEX($A449:$AL449,MATCH(Lists!$F$7,$A$1:$AL$1,0))&amp;"")="","",IF(ISNUMBER(INDEX($A449:$AL449,MATCH(Lists!$F$7,$A$1:$AL$1,0))),ROUND(MOD(INDEX($A449:$AL449,MATCH(Lists!$F$7,$A$1:$AL$1,0)),1)*1440,0),VALUE(LEFT(INDEX($A449:$AL449,MATCH(Lists!$F$7,$A$1:$AL$1,0)),2))*60+VALUE(MID(INDEX($A449:$AL449,MATCH(Lists!$F$7,$A$1:$AL$1,0)),4,2)))),""),-1))</f>
        <v/>
      </c>
      <c r="AW449" s="21">
        <f>IF(IFERROR(TRIM(INDEX($A449:$AL449,MATCH(Lists!$F$2,$A$1:$AL$1,0))&amp;""),"")="","",IF(IFERROR(TRIM(INDEX($A449:$AL449,MATCH(Lists!$F$8,$A$1:$AL$1,0))&amp;""),"")&lt;&gt;"",IFERROR(TRIM(INDEX($A449:$AL449,MATCH(Lists!$F$8,$A$1:$AL$1,0))&amp;""),""),IFERROR(TRIM(INDEX($A449:$AL449,MATCH(Lists!$F$9,$A$1:$AL$1,0))&amp;""),"")))</f>
        <v/>
      </c>
      <c r="AX449" s="21">
        <f>IFERROR(IF(TRIM(INDEX($A449:$AL449,MATCH(Lists!$F$10,$A$1:$AL$1,0))&amp;"")="","",VALUE(TRIM(INDEX($A449:$AL449,MATCH(Lists!$F$10,$A$1:$AL$1,0))&amp;""))),"")</f>
        <v/>
      </c>
      <c r="AY449" s="21">
        <f>IF(IFERROR(TRIM(INDEX($A449:$AL449,MATCH(Lists!$F$2,$A$1:$AL$1,0))&amp;""),"")="","",IF(AN449="","New",AN449))</f>
        <v/>
      </c>
      <c r="AZ449" s="21">
        <f>IF(IFERROR(TRIM(INDEX($A449:$AL449,MATCH(Lists!$F$2,$A$1:$AL$1,0))&amp;""),"")="","",IF(OR(IFERROR(TRIM(INDEX($A449:$AL449,MATCH(Lists!$F$13,$A$1:$AL$1,0))&amp;""),"")="Paid",IFERROR(TRIM(INDEX($A449:$AL449,MATCH(Lists!$F$13,$A$1:$AL$1,0))&amp;""),"")="Partially refunded"),"Paid",IF(AP449="Yes","Paid (by hand)",IFERROR(TRIM(INDEX($A449:$AL449,MATCH(Lists!$F$13,$A$1:$AL$1,0))&amp;""),""))))</f>
        <v/>
      </c>
      <c r="BA449" s="21">
        <f>IF(AND(IFERROR(TRIM(INDEX($A449:$AL449,MATCH(Lists!$F$2,$A$1:$AL$1,0))&amp;""),"")&lt;&gt;"",AT449&gt;0,AU449&gt;=0,AV449&gt;AU449,AY449&lt;&gt;"Declined"),1,0)</f>
        <v/>
      </c>
      <c r="BB449" s="21">
        <f>IF(BA449=1,COUNTIFS($AS$2:$AS$501,AS449,$AT$2:$AT$501,AT449,$AU$2:$AU$501,"&lt;"&amp;AV449,$AV$2:$AV$501,"&gt;"&amp;AU449,$BA$2:$BA$501,1)-1,"")</f>
        <v/>
      </c>
      <c r="BC449" s="21">
        <f>IF(N(BB449)&gt;0,"Clashes with "&amp;INDEX($AW$2:$AW$501,SUMPRODUCT(MAX(($AS$2:$AS$501=AS449)*($AT$2:$AT$501=AT449)*($AU$2:$AU$501&lt;AV449)*($AV$2:$AV$501&gt;AU449)*($BA$2:$BA$501=1)*(ROW($AS$2:$AS$501)&lt;&gt;ROW())*ROW($AS$2:$AS$501)))-1)&amp;" ("&amp;INDEX($AY$2:$AY$501,SUMPRODUCT(MAX(($AS$2:$AS$501=AS449)*($AT$2:$AT$501=AT449)*($AU$2:$AU$501&lt;AV449)*($AV$2:$AV$501&gt;AU449)*($BA$2:$BA$501=1)*(ROW($AS$2:$AS$501)&lt;&gt;ROW())*ROW($AS$2:$AS$501)))-1)&amp;")"&amp;IF(BB449&gt;1," and "&amp;(BB449-1)&amp;" more",""),"")</f>
        <v/>
      </c>
      <c r="BD449" s="21">
        <f>IF(AND(BA449=1,AY449="Confirmed"),AT449*10000000+AU449*1000+ROW(),"")</f>
        <v/>
      </c>
      <c r="BE449" s="21">
        <f>IF(IFERROR(TRIM(INDEX($A449:$AL449,MATCH(Lists!$F$2,$A$1:$AL$1,0))&amp;""),"")="","",IFERROR(TRIM(INDEX($A449:$AL449,MATCH(Lists!$F$11,$A$1:$AL$1,0))&amp;""),""))</f>
        <v/>
      </c>
      <c r="BF449" s="21">
        <f>IF(IFERROR(TRIM(INDEX($A449:$AL449,MATCH(Lists!$F$2,$A$1:$AL$1,0))&amp;""),"")="","",IFERROR(TRIM(INDEX($A449:$AL449,MATCH(Lists!$F$12,$A$1:$AL$1,0))&amp;""),""))</f>
        <v/>
      </c>
    </row>
    <row r="450">
      <c r="AM450" s="19" t="n"/>
      <c r="AN450" s="23" t="n"/>
      <c r="AO450" s="23" t="n"/>
      <c r="AP450" s="23" t="n"/>
      <c r="AQ450" s="23" t="n"/>
      <c r="AR450" s="19" t="n"/>
      <c r="AS450" s="21">
        <f>IF(IFERROR(TRIM(INDEX($A450:$AL450,MATCH(Lists!$F$2,$A$1:$AL$1,0))&amp;""),"")="","",IF(AND(IFERROR(TRIM(INDEX($A450:$AL450,MATCH(Lists!$F$3,$A$1:$AL$1,0))&amp;""),"")="Other",IFERROR(TRIM(INDEX($A450:$AL450,MATCH(Lists!$F$4,$A$1:$AL$1,0))&amp;""),"")&lt;&gt;""),IFERROR(TRIM(INDEX($A450:$AL450,MATCH(Lists!$F$4,$A$1:$AL$1,0))&amp;""),""),IF(IFERROR(TRIM(INDEX($A450:$AL450,MATCH(Lists!$F$3,$A$1:$AL$1,0))&amp;""),"")="","(no space)",IFERROR(TRIM(INDEX($A450:$AL450,MATCH(Lists!$F$3,$A$1:$AL$1,0))&amp;""),""))))</f>
        <v/>
      </c>
      <c r="AT450" s="22">
        <f>IF(IFERROR(TRIM(INDEX($A450:$AL450,MATCH(Lists!$F$2,$A$1:$AL$1,0))&amp;""),"")="",0,N(IFERROR(IF(TRIM(INDEX($A450:$AL450,MATCH(Lists!$F$5,$A$1:$AL$1,0))&amp;"")="","",IF(ISNUMBER(INDEX($A450:$AL450,MATCH(Lists!$F$5,$A$1:$AL$1,0))),INT(INDEX($A450:$AL450,MATCH(Lists!$F$5,$A$1:$AL$1,0))),DATE(VALUE(LEFT(INDEX($A450:$AL450,MATCH(Lists!$F$5,$A$1:$AL$1,0)),4)),VALUE(MID(INDEX($A450:$AL450,MATCH(Lists!$F$5,$A$1:$AL$1,0)),6,2)),VALUE(MID(INDEX($A450:$AL450,MATCH(Lists!$F$5,$A$1:$AL$1,0)),9,2))))),"")))</f>
        <v/>
      </c>
      <c r="AU450" s="21">
        <f>IF(IFERROR(TRIM(INDEX($A450:$AL450,MATCH(Lists!$F$2,$A$1:$AL$1,0))&amp;""),"")="",-1,IF(ISNUMBER(IFERROR(IF(TRIM(INDEX($A450:$AL450,MATCH(Lists!$F$6,$A$1:$AL$1,0))&amp;"")="","",IF(ISNUMBER(INDEX($A450:$AL450,MATCH(Lists!$F$6,$A$1:$AL$1,0))),ROUND(MOD(INDEX($A450:$AL450,MATCH(Lists!$F$6,$A$1:$AL$1,0)),1)*1440,0),VALUE(LEFT(INDEX($A450:$AL450,MATCH(Lists!$F$6,$A$1:$AL$1,0)),2))*60+VALUE(MID(INDEX($A450:$AL450,MATCH(Lists!$F$6,$A$1:$AL$1,0)),4,2)))),"")),IFERROR(IF(TRIM(INDEX($A450:$AL450,MATCH(Lists!$F$6,$A$1:$AL$1,0))&amp;"")="","",IF(ISNUMBER(INDEX($A450:$AL450,MATCH(Lists!$F$6,$A$1:$AL$1,0))),ROUND(MOD(INDEX($A450:$AL450,MATCH(Lists!$F$6,$A$1:$AL$1,0)),1)*1440,0),VALUE(LEFT(INDEX($A450:$AL450,MATCH(Lists!$F$6,$A$1:$AL$1,0)),2))*60+VALUE(MID(INDEX($A450:$AL450,MATCH(Lists!$F$6,$A$1:$AL$1,0)),4,2)))),""),-1))</f>
        <v/>
      </c>
      <c r="AV450" s="21">
        <f>IF(IFERROR(TRIM(INDEX($A450:$AL450,MATCH(Lists!$F$2,$A$1:$AL$1,0))&amp;""),"")="",-1,IF(ISNUMBER(IFERROR(IF(TRIM(INDEX($A450:$AL450,MATCH(Lists!$F$7,$A$1:$AL$1,0))&amp;"")="","",IF(ISNUMBER(INDEX($A450:$AL450,MATCH(Lists!$F$7,$A$1:$AL$1,0))),ROUND(MOD(INDEX($A450:$AL450,MATCH(Lists!$F$7,$A$1:$AL$1,0)),1)*1440,0),VALUE(LEFT(INDEX($A450:$AL450,MATCH(Lists!$F$7,$A$1:$AL$1,0)),2))*60+VALUE(MID(INDEX($A450:$AL450,MATCH(Lists!$F$7,$A$1:$AL$1,0)),4,2)))),"")),IFERROR(IF(TRIM(INDEX($A450:$AL450,MATCH(Lists!$F$7,$A$1:$AL$1,0))&amp;"")="","",IF(ISNUMBER(INDEX($A450:$AL450,MATCH(Lists!$F$7,$A$1:$AL$1,0))),ROUND(MOD(INDEX($A450:$AL450,MATCH(Lists!$F$7,$A$1:$AL$1,0)),1)*1440,0),VALUE(LEFT(INDEX($A450:$AL450,MATCH(Lists!$F$7,$A$1:$AL$1,0)),2))*60+VALUE(MID(INDEX($A450:$AL450,MATCH(Lists!$F$7,$A$1:$AL$1,0)),4,2)))),""),-1))</f>
        <v/>
      </c>
      <c r="AW450" s="21">
        <f>IF(IFERROR(TRIM(INDEX($A450:$AL450,MATCH(Lists!$F$2,$A$1:$AL$1,0))&amp;""),"")="","",IF(IFERROR(TRIM(INDEX($A450:$AL450,MATCH(Lists!$F$8,$A$1:$AL$1,0))&amp;""),"")&lt;&gt;"",IFERROR(TRIM(INDEX($A450:$AL450,MATCH(Lists!$F$8,$A$1:$AL$1,0))&amp;""),""),IFERROR(TRIM(INDEX($A450:$AL450,MATCH(Lists!$F$9,$A$1:$AL$1,0))&amp;""),"")))</f>
        <v/>
      </c>
      <c r="AX450" s="21">
        <f>IFERROR(IF(TRIM(INDEX($A450:$AL450,MATCH(Lists!$F$10,$A$1:$AL$1,0))&amp;"")="","",VALUE(TRIM(INDEX($A450:$AL450,MATCH(Lists!$F$10,$A$1:$AL$1,0))&amp;""))),"")</f>
        <v/>
      </c>
      <c r="AY450" s="21">
        <f>IF(IFERROR(TRIM(INDEX($A450:$AL450,MATCH(Lists!$F$2,$A$1:$AL$1,0))&amp;""),"")="","",IF(AN450="","New",AN450))</f>
        <v/>
      </c>
      <c r="AZ450" s="21">
        <f>IF(IFERROR(TRIM(INDEX($A450:$AL450,MATCH(Lists!$F$2,$A$1:$AL$1,0))&amp;""),"")="","",IF(OR(IFERROR(TRIM(INDEX($A450:$AL450,MATCH(Lists!$F$13,$A$1:$AL$1,0))&amp;""),"")="Paid",IFERROR(TRIM(INDEX($A450:$AL450,MATCH(Lists!$F$13,$A$1:$AL$1,0))&amp;""),"")="Partially refunded"),"Paid",IF(AP450="Yes","Paid (by hand)",IFERROR(TRIM(INDEX($A450:$AL450,MATCH(Lists!$F$13,$A$1:$AL$1,0))&amp;""),""))))</f>
        <v/>
      </c>
      <c r="BA450" s="21">
        <f>IF(AND(IFERROR(TRIM(INDEX($A450:$AL450,MATCH(Lists!$F$2,$A$1:$AL$1,0))&amp;""),"")&lt;&gt;"",AT450&gt;0,AU450&gt;=0,AV450&gt;AU450,AY450&lt;&gt;"Declined"),1,0)</f>
        <v/>
      </c>
      <c r="BB450" s="21">
        <f>IF(BA450=1,COUNTIFS($AS$2:$AS$501,AS450,$AT$2:$AT$501,AT450,$AU$2:$AU$501,"&lt;"&amp;AV450,$AV$2:$AV$501,"&gt;"&amp;AU450,$BA$2:$BA$501,1)-1,"")</f>
        <v/>
      </c>
      <c r="BC450" s="21">
        <f>IF(N(BB450)&gt;0,"Clashes with "&amp;INDEX($AW$2:$AW$501,SUMPRODUCT(MAX(($AS$2:$AS$501=AS450)*($AT$2:$AT$501=AT450)*($AU$2:$AU$501&lt;AV450)*($AV$2:$AV$501&gt;AU450)*($BA$2:$BA$501=1)*(ROW($AS$2:$AS$501)&lt;&gt;ROW())*ROW($AS$2:$AS$501)))-1)&amp;" ("&amp;INDEX($AY$2:$AY$501,SUMPRODUCT(MAX(($AS$2:$AS$501=AS450)*($AT$2:$AT$501=AT450)*($AU$2:$AU$501&lt;AV450)*($AV$2:$AV$501&gt;AU450)*($BA$2:$BA$501=1)*(ROW($AS$2:$AS$501)&lt;&gt;ROW())*ROW($AS$2:$AS$501)))-1)&amp;")"&amp;IF(BB450&gt;1," and "&amp;(BB450-1)&amp;" more",""),"")</f>
        <v/>
      </c>
      <c r="BD450" s="21">
        <f>IF(AND(BA450=1,AY450="Confirmed"),AT450*10000000+AU450*1000+ROW(),"")</f>
        <v/>
      </c>
      <c r="BE450" s="21">
        <f>IF(IFERROR(TRIM(INDEX($A450:$AL450,MATCH(Lists!$F$2,$A$1:$AL$1,0))&amp;""),"")="","",IFERROR(TRIM(INDEX($A450:$AL450,MATCH(Lists!$F$11,$A$1:$AL$1,0))&amp;""),""))</f>
        <v/>
      </c>
      <c r="BF450" s="21">
        <f>IF(IFERROR(TRIM(INDEX($A450:$AL450,MATCH(Lists!$F$2,$A$1:$AL$1,0))&amp;""),"")="","",IFERROR(TRIM(INDEX($A450:$AL450,MATCH(Lists!$F$12,$A$1:$AL$1,0))&amp;""),""))</f>
        <v/>
      </c>
    </row>
    <row r="451">
      <c r="AM451" s="19" t="n"/>
      <c r="AN451" s="23" t="n"/>
      <c r="AO451" s="23" t="n"/>
      <c r="AP451" s="23" t="n"/>
      <c r="AQ451" s="23" t="n"/>
      <c r="AR451" s="19" t="n"/>
      <c r="AS451" s="21">
        <f>IF(IFERROR(TRIM(INDEX($A451:$AL451,MATCH(Lists!$F$2,$A$1:$AL$1,0))&amp;""),"")="","",IF(AND(IFERROR(TRIM(INDEX($A451:$AL451,MATCH(Lists!$F$3,$A$1:$AL$1,0))&amp;""),"")="Other",IFERROR(TRIM(INDEX($A451:$AL451,MATCH(Lists!$F$4,$A$1:$AL$1,0))&amp;""),"")&lt;&gt;""),IFERROR(TRIM(INDEX($A451:$AL451,MATCH(Lists!$F$4,$A$1:$AL$1,0))&amp;""),""),IF(IFERROR(TRIM(INDEX($A451:$AL451,MATCH(Lists!$F$3,$A$1:$AL$1,0))&amp;""),"")="","(no space)",IFERROR(TRIM(INDEX($A451:$AL451,MATCH(Lists!$F$3,$A$1:$AL$1,0))&amp;""),""))))</f>
        <v/>
      </c>
      <c r="AT451" s="22">
        <f>IF(IFERROR(TRIM(INDEX($A451:$AL451,MATCH(Lists!$F$2,$A$1:$AL$1,0))&amp;""),"")="",0,N(IFERROR(IF(TRIM(INDEX($A451:$AL451,MATCH(Lists!$F$5,$A$1:$AL$1,0))&amp;"")="","",IF(ISNUMBER(INDEX($A451:$AL451,MATCH(Lists!$F$5,$A$1:$AL$1,0))),INT(INDEX($A451:$AL451,MATCH(Lists!$F$5,$A$1:$AL$1,0))),DATE(VALUE(LEFT(INDEX($A451:$AL451,MATCH(Lists!$F$5,$A$1:$AL$1,0)),4)),VALUE(MID(INDEX($A451:$AL451,MATCH(Lists!$F$5,$A$1:$AL$1,0)),6,2)),VALUE(MID(INDEX($A451:$AL451,MATCH(Lists!$F$5,$A$1:$AL$1,0)),9,2))))),"")))</f>
        <v/>
      </c>
      <c r="AU451" s="21">
        <f>IF(IFERROR(TRIM(INDEX($A451:$AL451,MATCH(Lists!$F$2,$A$1:$AL$1,0))&amp;""),"")="",-1,IF(ISNUMBER(IFERROR(IF(TRIM(INDEX($A451:$AL451,MATCH(Lists!$F$6,$A$1:$AL$1,0))&amp;"")="","",IF(ISNUMBER(INDEX($A451:$AL451,MATCH(Lists!$F$6,$A$1:$AL$1,0))),ROUND(MOD(INDEX($A451:$AL451,MATCH(Lists!$F$6,$A$1:$AL$1,0)),1)*1440,0),VALUE(LEFT(INDEX($A451:$AL451,MATCH(Lists!$F$6,$A$1:$AL$1,0)),2))*60+VALUE(MID(INDEX($A451:$AL451,MATCH(Lists!$F$6,$A$1:$AL$1,0)),4,2)))),"")),IFERROR(IF(TRIM(INDEX($A451:$AL451,MATCH(Lists!$F$6,$A$1:$AL$1,0))&amp;"")="","",IF(ISNUMBER(INDEX($A451:$AL451,MATCH(Lists!$F$6,$A$1:$AL$1,0))),ROUND(MOD(INDEX($A451:$AL451,MATCH(Lists!$F$6,$A$1:$AL$1,0)),1)*1440,0),VALUE(LEFT(INDEX($A451:$AL451,MATCH(Lists!$F$6,$A$1:$AL$1,0)),2))*60+VALUE(MID(INDEX($A451:$AL451,MATCH(Lists!$F$6,$A$1:$AL$1,0)),4,2)))),""),-1))</f>
        <v/>
      </c>
      <c r="AV451" s="21">
        <f>IF(IFERROR(TRIM(INDEX($A451:$AL451,MATCH(Lists!$F$2,$A$1:$AL$1,0))&amp;""),"")="",-1,IF(ISNUMBER(IFERROR(IF(TRIM(INDEX($A451:$AL451,MATCH(Lists!$F$7,$A$1:$AL$1,0))&amp;"")="","",IF(ISNUMBER(INDEX($A451:$AL451,MATCH(Lists!$F$7,$A$1:$AL$1,0))),ROUND(MOD(INDEX($A451:$AL451,MATCH(Lists!$F$7,$A$1:$AL$1,0)),1)*1440,0),VALUE(LEFT(INDEX($A451:$AL451,MATCH(Lists!$F$7,$A$1:$AL$1,0)),2))*60+VALUE(MID(INDEX($A451:$AL451,MATCH(Lists!$F$7,$A$1:$AL$1,0)),4,2)))),"")),IFERROR(IF(TRIM(INDEX($A451:$AL451,MATCH(Lists!$F$7,$A$1:$AL$1,0))&amp;"")="","",IF(ISNUMBER(INDEX($A451:$AL451,MATCH(Lists!$F$7,$A$1:$AL$1,0))),ROUND(MOD(INDEX($A451:$AL451,MATCH(Lists!$F$7,$A$1:$AL$1,0)),1)*1440,0),VALUE(LEFT(INDEX($A451:$AL451,MATCH(Lists!$F$7,$A$1:$AL$1,0)),2))*60+VALUE(MID(INDEX($A451:$AL451,MATCH(Lists!$F$7,$A$1:$AL$1,0)),4,2)))),""),-1))</f>
        <v/>
      </c>
      <c r="AW451" s="21">
        <f>IF(IFERROR(TRIM(INDEX($A451:$AL451,MATCH(Lists!$F$2,$A$1:$AL$1,0))&amp;""),"")="","",IF(IFERROR(TRIM(INDEX($A451:$AL451,MATCH(Lists!$F$8,$A$1:$AL$1,0))&amp;""),"")&lt;&gt;"",IFERROR(TRIM(INDEX($A451:$AL451,MATCH(Lists!$F$8,$A$1:$AL$1,0))&amp;""),""),IFERROR(TRIM(INDEX($A451:$AL451,MATCH(Lists!$F$9,$A$1:$AL$1,0))&amp;""),"")))</f>
        <v/>
      </c>
      <c r="AX451" s="21">
        <f>IFERROR(IF(TRIM(INDEX($A451:$AL451,MATCH(Lists!$F$10,$A$1:$AL$1,0))&amp;"")="","",VALUE(TRIM(INDEX($A451:$AL451,MATCH(Lists!$F$10,$A$1:$AL$1,0))&amp;""))),"")</f>
        <v/>
      </c>
      <c r="AY451" s="21">
        <f>IF(IFERROR(TRIM(INDEX($A451:$AL451,MATCH(Lists!$F$2,$A$1:$AL$1,0))&amp;""),"")="","",IF(AN451="","New",AN451))</f>
        <v/>
      </c>
      <c r="AZ451" s="21">
        <f>IF(IFERROR(TRIM(INDEX($A451:$AL451,MATCH(Lists!$F$2,$A$1:$AL$1,0))&amp;""),"")="","",IF(OR(IFERROR(TRIM(INDEX($A451:$AL451,MATCH(Lists!$F$13,$A$1:$AL$1,0))&amp;""),"")="Paid",IFERROR(TRIM(INDEX($A451:$AL451,MATCH(Lists!$F$13,$A$1:$AL$1,0))&amp;""),"")="Partially refunded"),"Paid",IF(AP451="Yes","Paid (by hand)",IFERROR(TRIM(INDEX($A451:$AL451,MATCH(Lists!$F$13,$A$1:$AL$1,0))&amp;""),""))))</f>
        <v/>
      </c>
      <c r="BA451" s="21">
        <f>IF(AND(IFERROR(TRIM(INDEX($A451:$AL451,MATCH(Lists!$F$2,$A$1:$AL$1,0))&amp;""),"")&lt;&gt;"",AT451&gt;0,AU451&gt;=0,AV451&gt;AU451,AY451&lt;&gt;"Declined"),1,0)</f>
        <v/>
      </c>
      <c r="BB451" s="21">
        <f>IF(BA451=1,COUNTIFS($AS$2:$AS$501,AS451,$AT$2:$AT$501,AT451,$AU$2:$AU$501,"&lt;"&amp;AV451,$AV$2:$AV$501,"&gt;"&amp;AU451,$BA$2:$BA$501,1)-1,"")</f>
        <v/>
      </c>
      <c r="BC451" s="21">
        <f>IF(N(BB451)&gt;0,"Clashes with "&amp;INDEX($AW$2:$AW$501,SUMPRODUCT(MAX(($AS$2:$AS$501=AS451)*($AT$2:$AT$501=AT451)*($AU$2:$AU$501&lt;AV451)*($AV$2:$AV$501&gt;AU451)*($BA$2:$BA$501=1)*(ROW($AS$2:$AS$501)&lt;&gt;ROW())*ROW($AS$2:$AS$501)))-1)&amp;" ("&amp;INDEX($AY$2:$AY$501,SUMPRODUCT(MAX(($AS$2:$AS$501=AS451)*($AT$2:$AT$501=AT451)*($AU$2:$AU$501&lt;AV451)*($AV$2:$AV$501&gt;AU451)*($BA$2:$BA$501=1)*(ROW($AS$2:$AS$501)&lt;&gt;ROW())*ROW($AS$2:$AS$501)))-1)&amp;")"&amp;IF(BB451&gt;1," and "&amp;(BB451-1)&amp;" more",""),"")</f>
        <v/>
      </c>
      <c r="BD451" s="21">
        <f>IF(AND(BA451=1,AY451="Confirmed"),AT451*10000000+AU451*1000+ROW(),"")</f>
        <v/>
      </c>
      <c r="BE451" s="21">
        <f>IF(IFERROR(TRIM(INDEX($A451:$AL451,MATCH(Lists!$F$2,$A$1:$AL$1,0))&amp;""),"")="","",IFERROR(TRIM(INDEX($A451:$AL451,MATCH(Lists!$F$11,$A$1:$AL$1,0))&amp;""),""))</f>
        <v/>
      </c>
      <c r="BF451" s="21">
        <f>IF(IFERROR(TRIM(INDEX($A451:$AL451,MATCH(Lists!$F$2,$A$1:$AL$1,0))&amp;""),"")="","",IFERROR(TRIM(INDEX($A451:$AL451,MATCH(Lists!$F$12,$A$1:$AL$1,0))&amp;""),""))</f>
        <v/>
      </c>
    </row>
    <row r="452">
      <c r="AM452" s="19" t="n"/>
      <c r="AN452" s="23" t="n"/>
      <c r="AO452" s="23" t="n"/>
      <c r="AP452" s="23" t="n"/>
      <c r="AQ452" s="23" t="n"/>
      <c r="AR452" s="19" t="n"/>
      <c r="AS452" s="21">
        <f>IF(IFERROR(TRIM(INDEX($A452:$AL452,MATCH(Lists!$F$2,$A$1:$AL$1,0))&amp;""),"")="","",IF(AND(IFERROR(TRIM(INDEX($A452:$AL452,MATCH(Lists!$F$3,$A$1:$AL$1,0))&amp;""),"")="Other",IFERROR(TRIM(INDEX($A452:$AL452,MATCH(Lists!$F$4,$A$1:$AL$1,0))&amp;""),"")&lt;&gt;""),IFERROR(TRIM(INDEX($A452:$AL452,MATCH(Lists!$F$4,$A$1:$AL$1,0))&amp;""),""),IF(IFERROR(TRIM(INDEX($A452:$AL452,MATCH(Lists!$F$3,$A$1:$AL$1,0))&amp;""),"")="","(no space)",IFERROR(TRIM(INDEX($A452:$AL452,MATCH(Lists!$F$3,$A$1:$AL$1,0))&amp;""),""))))</f>
        <v/>
      </c>
      <c r="AT452" s="22">
        <f>IF(IFERROR(TRIM(INDEX($A452:$AL452,MATCH(Lists!$F$2,$A$1:$AL$1,0))&amp;""),"")="",0,N(IFERROR(IF(TRIM(INDEX($A452:$AL452,MATCH(Lists!$F$5,$A$1:$AL$1,0))&amp;"")="","",IF(ISNUMBER(INDEX($A452:$AL452,MATCH(Lists!$F$5,$A$1:$AL$1,0))),INT(INDEX($A452:$AL452,MATCH(Lists!$F$5,$A$1:$AL$1,0))),DATE(VALUE(LEFT(INDEX($A452:$AL452,MATCH(Lists!$F$5,$A$1:$AL$1,0)),4)),VALUE(MID(INDEX($A452:$AL452,MATCH(Lists!$F$5,$A$1:$AL$1,0)),6,2)),VALUE(MID(INDEX($A452:$AL452,MATCH(Lists!$F$5,$A$1:$AL$1,0)),9,2))))),"")))</f>
        <v/>
      </c>
      <c r="AU452" s="21">
        <f>IF(IFERROR(TRIM(INDEX($A452:$AL452,MATCH(Lists!$F$2,$A$1:$AL$1,0))&amp;""),"")="",-1,IF(ISNUMBER(IFERROR(IF(TRIM(INDEX($A452:$AL452,MATCH(Lists!$F$6,$A$1:$AL$1,0))&amp;"")="","",IF(ISNUMBER(INDEX($A452:$AL452,MATCH(Lists!$F$6,$A$1:$AL$1,0))),ROUND(MOD(INDEX($A452:$AL452,MATCH(Lists!$F$6,$A$1:$AL$1,0)),1)*1440,0),VALUE(LEFT(INDEX($A452:$AL452,MATCH(Lists!$F$6,$A$1:$AL$1,0)),2))*60+VALUE(MID(INDEX($A452:$AL452,MATCH(Lists!$F$6,$A$1:$AL$1,0)),4,2)))),"")),IFERROR(IF(TRIM(INDEX($A452:$AL452,MATCH(Lists!$F$6,$A$1:$AL$1,0))&amp;"")="","",IF(ISNUMBER(INDEX($A452:$AL452,MATCH(Lists!$F$6,$A$1:$AL$1,0))),ROUND(MOD(INDEX($A452:$AL452,MATCH(Lists!$F$6,$A$1:$AL$1,0)),1)*1440,0),VALUE(LEFT(INDEX($A452:$AL452,MATCH(Lists!$F$6,$A$1:$AL$1,0)),2))*60+VALUE(MID(INDEX($A452:$AL452,MATCH(Lists!$F$6,$A$1:$AL$1,0)),4,2)))),""),-1))</f>
        <v/>
      </c>
      <c r="AV452" s="21">
        <f>IF(IFERROR(TRIM(INDEX($A452:$AL452,MATCH(Lists!$F$2,$A$1:$AL$1,0))&amp;""),"")="",-1,IF(ISNUMBER(IFERROR(IF(TRIM(INDEX($A452:$AL452,MATCH(Lists!$F$7,$A$1:$AL$1,0))&amp;"")="","",IF(ISNUMBER(INDEX($A452:$AL452,MATCH(Lists!$F$7,$A$1:$AL$1,0))),ROUND(MOD(INDEX($A452:$AL452,MATCH(Lists!$F$7,$A$1:$AL$1,0)),1)*1440,0),VALUE(LEFT(INDEX($A452:$AL452,MATCH(Lists!$F$7,$A$1:$AL$1,0)),2))*60+VALUE(MID(INDEX($A452:$AL452,MATCH(Lists!$F$7,$A$1:$AL$1,0)),4,2)))),"")),IFERROR(IF(TRIM(INDEX($A452:$AL452,MATCH(Lists!$F$7,$A$1:$AL$1,0))&amp;"")="","",IF(ISNUMBER(INDEX($A452:$AL452,MATCH(Lists!$F$7,$A$1:$AL$1,0))),ROUND(MOD(INDEX($A452:$AL452,MATCH(Lists!$F$7,$A$1:$AL$1,0)),1)*1440,0),VALUE(LEFT(INDEX($A452:$AL452,MATCH(Lists!$F$7,$A$1:$AL$1,0)),2))*60+VALUE(MID(INDEX($A452:$AL452,MATCH(Lists!$F$7,$A$1:$AL$1,0)),4,2)))),""),-1))</f>
        <v/>
      </c>
      <c r="AW452" s="21">
        <f>IF(IFERROR(TRIM(INDEX($A452:$AL452,MATCH(Lists!$F$2,$A$1:$AL$1,0))&amp;""),"")="","",IF(IFERROR(TRIM(INDEX($A452:$AL452,MATCH(Lists!$F$8,$A$1:$AL$1,0))&amp;""),"")&lt;&gt;"",IFERROR(TRIM(INDEX($A452:$AL452,MATCH(Lists!$F$8,$A$1:$AL$1,0))&amp;""),""),IFERROR(TRIM(INDEX($A452:$AL452,MATCH(Lists!$F$9,$A$1:$AL$1,0))&amp;""),"")))</f>
        <v/>
      </c>
      <c r="AX452" s="21">
        <f>IFERROR(IF(TRIM(INDEX($A452:$AL452,MATCH(Lists!$F$10,$A$1:$AL$1,0))&amp;"")="","",VALUE(TRIM(INDEX($A452:$AL452,MATCH(Lists!$F$10,$A$1:$AL$1,0))&amp;""))),"")</f>
        <v/>
      </c>
      <c r="AY452" s="21">
        <f>IF(IFERROR(TRIM(INDEX($A452:$AL452,MATCH(Lists!$F$2,$A$1:$AL$1,0))&amp;""),"")="","",IF(AN452="","New",AN452))</f>
        <v/>
      </c>
      <c r="AZ452" s="21">
        <f>IF(IFERROR(TRIM(INDEX($A452:$AL452,MATCH(Lists!$F$2,$A$1:$AL$1,0))&amp;""),"")="","",IF(OR(IFERROR(TRIM(INDEX($A452:$AL452,MATCH(Lists!$F$13,$A$1:$AL$1,0))&amp;""),"")="Paid",IFERROR(TRIM(INDEX($A452:$AL452,MATCH(Lists!$F$13,$A$1:$AL$1,0))&amp;""),"")="Partially refunded"),"Paid",IF(AP452="Yes","Paid (by hand)",IFERROR(TRIM(INDEX($A452:$AL452,MATCH(Lists!$F$13,$A$1:$AL$1,0))&amp;""),""))))</f>
        <v/>
      </c>
      <c r="BA452" s="21">
        <f>IF(AND(IFERROR(TRIM(INDEX($A452:$AL452,MATCH(Lists!$F$2,$A$1:$AL$1,0))&amp;""),"")&lt;&gt;"",AT452&gt;0,AU452&gt;=0,AV452&gt;AU452,AY452&lt;&gt;"Declined"),1,0)</f>
        <v/>
      </c>
      <c r="BB452" s="21">
        <f>IF(BA452=1,COUNTIFS($AS$2:$AS$501,AS452,$AT$2:$AT$501,AT452,$AU$2:$AU$501,"&lt;"&amp;AV452,$AV$2:$AV$501,"&gt;"&amp;AU452,$BA$2:$BA$501,1)-1,"")</f>
        <v/>
      </c>
      <c r="BC452" s="21">
        <f>IF(N(BB452)&gt;0,"Clashes with "&amp;INDEX($AW$2:$AW$501,SUMPRODUCT(MAX(($AS$2:$AS$501=AS452)*($AT$2:$AT$501=AT452)*($AU$2:$AU$501&lt;AV452)*($AV$2:$AV$501&gt;AU452)*($BA$2:$BA$501=1)*(ROW($AS$2:$AS$501)&lt;&gt;ROW())*ROW($AS$2:$AS$501)))-1)&amp;" ("&amp;INDEX($AY$2:$AY$501,SUMPRODUCT(MAX(($AS$2:$AS$501=AS452)*($AT$2:$AT$501=AT452)*($AU$2:$AU$501&lt;AV452)*($AV$2:$AV$501&gt;AU452)*($BA$2:$BA$501=1)*(ROW($AS$2:$AS$501)&lt;&gt;ROW())*ROW($AS$2:$AS$501)))-1)&amp;")"&amp;IF(BB452&gt;1," and "&amp;(BB452-1)&amp;" more",""),"")</f>
        <v/>
      </c>
      <c r="BD452" s="21">
        <f>IF(AND(BA452=1,AY452="Confirmed"),AT452*10000000+AU452*1000+ROW(),"")</f>
        <v/>
      </c>
      <c r="BE452" s="21">
        <f>IF(IFERROR(TRIM(INDEX($A452:$AL452,MATCH(Lists!$F$2,$A$1:$AL$1,0))&amp;""),"")="","",IFERROR(TRIM(INDEX($A452:$AL452,MATCH(Lists!$F$11,$A$1:$AL$1,0))&amp;""),""))</f>
        <v/>
      </c>
      <c r="BF452" s="21">
        <f>IF(IFERROR(TRIM(INDEX($A452:$AL452,MATCH(Lists!$F$2,$A$1:$AL$1,0))&amp;""),"")="","",IFERROR(TRIM(INDEX($A452:$AL452,MATCH(Lists!$F$12,$A$1:$AL$1,0))&amp;""),""))</f>
        <v/>
      </c>
    </row>
    <row r="453">
      <c r="AM453" s="19" t="n"/>
      <c r="AN453" s="23" t="n"/>
      <c r="AO453" s="23" t="n"/>
      <c r="AP453" s="23" t="n"/>
      <c r="AQ453" s="23" t="n"/>
      <c r="AR453" s="19" t="n"/>
      <c r="AS453" s="21">
        <f>IF(IFERROR(TRIM(INDEX($A453:$AL453,MATCH(Lists!$F$2,$A$1:$AL$1,0))&amp;""),"")="","",IF(AND(IFERROR(TRIM(INDEX($A453:$AL453,MATCH(Lists!$F$3,$A$1:$AL$1,0))&amp;""),"")="Other",IFERROR(TRIM(INDEX($A453:$AL453,MATCH(Lists!$F$4,$A$1:$AL$1,0))&amp;""),"")&lt;&gt;""),IFERROR(TRIM(INDEX($A453:$AL453,MATCH(Lists!$F$4,$A$1:$AL$1,0))&amp;""),""),IF(IFERROR(TRIM(INDEX($A453:$AL453,MATCH(Lists!$F$3,$A$1:$AL$1,0))&amp;""),"")="","(no space)",IFERROR(TRIM(INDEX($A453:$AL453,MATCH(Lists!$F$3,$A$1:$AL$1,0))&amp;""),""))))</f>
        <v/>
      </c>
      <c r="AT453" s="22">
        <f>IF(IFERROR(TRIM(INDEX($A453:$AL453,MATCH(Lists!$F$2,$A$1:$AL$1,0))&amp;""),"")="",0,N(IFERROR(IF(TRIM(INDEX($A453:$AL453,MATCH(Lists!$F$5,$A$1:$AL$1,0))&amp;"")="","",IF(ISNUMBER(INDEX($A453:$AL453,MATCH(Lists!$F$5,$A$1:$AL$1,0))),INT(INDEX($A453:$AL453,MATCH(Lists!$F$5,$A$1:$AL$1,0))),DATE(VALUE(LEFT(INDEX($A453:$AL453,MATCH(Lists!$F$5,$A$1:$AL$1,0)),4)),VALUE(MID(INDEX($A453:$AL453,MATCH(Lists!$F$5,$A$1:$AL$1,0)),6,2)),VALUE(MID(INDEX($A453:$AL453,MATCH(Lists!$F$5,$A$1:$AL$1,0)),9,2))))),"")))</f>
        <v/>
      </c>
      <c r="AU453" s="21">
        <f>IF(IFERROR(TRIM(INDEX($A453:$AL453,MATCH(Lists!$F$2,$A$1:$AL$1,0))&amp;""),"")="",-1,IF(ISNUMBER(IFERROR(IF(TRIM(INDEX($A453:$AL453,MATCH(Lists!$F$6,$A$1:$AL$1,0))&amp;"")="","",IF(ISNUMBER(INDEX($A453:$AL453,MATCH(Lists!$F$6,$A$1:$AL$1,0))),ROUND(MOD(INDEX($A453:$AL453,MATCH(Lists!$F$6,$A$1:$AL$1,0)),1)*1440,0),VALUE(LEFT(INDEX($A453:$AL453,MATCH(Lists!$F$6,$A$1:$AL$1,0)),2))*60+VALUE(MID(INDEX($A453:$AL453,MATCH(Lists!$F$6,$A$1:$AL$1,0)),4,2)))),"")),IFERROR(IF(TRIM(INDEX($A453:$AL453,MATCH(Lists!$F$6,$A$1:$AL$1,0))&amp;"")="","",IF(ISNUMBER(INDEX($A453:$AL453,MATCH(Lists!$F$6,$A$1:$AL$1,0))),ROUND(MOD(INDEX($A453:$AL453,MATCH(Lists!$F$6,$A$1:$AL$1,0)),1)*1440,0),VALUE(LEFT(INDEX($A453:$AL453,MATCH(Lists!$F$6,$A$1:$AL$1,0)),2))*60+VALUE(MID(INDEX($A453:$AL453,MATCH(Lists!$F$6,$A$1:$AL$1,0)),4,2)))),""),-1))</f>
        <v/>
      </c>
      <c r="AV453" s="21">
        <f>IF(IFERROR(TRIM(INDEX($A453:$AL453,MATCH(Lists!$F$2,$A$1:$AL$1,0))&amp;""),"")="",-1,IF(ISNUMBER(IFERROR(IF(TRIM(INDEX($A453:$AL453,MATCH(Lists!$F$7,$A$1:$AL$1,0))&amp;"")="","",IF(ISNUMBER(INDEX($A453:$AL453,MATCH(Lists!$F$7,$A$1:$AL$1,0))),ROUND(MOD(INDEX($A453:$AL453,MATCH(Lists!$F$7,$A$1:$AL$1,0)),1)*1440,0),VALUE(LEFT(INDEX($A453:$AL453,MATCH(Lists!$F$7,$A$1:$AL$1,0)),2))*60+VALUE(MID(INDEX($A453:$AL453,MATCH(Lists!$F$7,$A$1:$AL$1,0)),4,2)))),"")),IFERROR(IF(TRIM(INDEX($A453:$AL453,MATCH(Lists!$F$7,$A$1:$AL$1,0))&amp;"")="","",IF(ISNUMBER(INDEX($A453:$AL453,MATCH(Lists!$F$7,$A$1:$AL$1,0))),ROUND(MOD(INDEX($A453:$AL453,MATCH(Lists!$F$7,$A$1:$AL$1,0)),1)*1440,0),VALUE(LEFT(INDEX($A453:$AL453,MATCH(Lists!$F$7,$A$1:$AL$1,0)),2))*60+VALUE(MID(INDEX($A453:$AL453,MATCH(Lists!$F$7,$A$1:$AL$1,0)),4,2)))),""),-1))</f>
        <v/>
      </c>
      <c r="AW453" s="21">
        <f>IF(IFERROR(TRIM(INDEX($A453:$AL453,MATCH(Lists!$F$2,$A$1:$AL$1,0))&amp;""),"")="","",IF(IFERROR(TRIM(INDEX($A453:$AL453,MATCH(Lists!$F$8,$A$1:$AL$1,0))&amp;""),"")&lt;&gt;"",IFERROR(TRIM(INDEX($A453:$AL453,MATCH(Lists!$F$8,$A$1:$AL$1,0))&amp;""),""),IFERROR(TRIM(INDEX($A453:$AL453,MATCH(Lists!$F$9,$A$1:$AL$1,0))&amp;""),"")))</f>
        <v/>
      </c>
      <c r="AX453" s="21">
        <f>IFERROR(IF(TRIM(INDEX($A453:$AL453,MATCH(Lists!$F$10,$A$1:$AL$1,0))&amp;"")="","",VALUE(TRIM(INDEX($A453:$AL453,MATCH(Lists!$F$10,$A$1:$AL$1,0))&amp;""))),"")</f>
        <v/>
      </c>
      <c r="AY453" s="21">
        <f>IF(IFERROR(TRIM(INDEX($A453:$AL453,MATCH(Lists!$F$2,$A$1:$AL$1,0))&amp;""),"")="","",IF(AN453="","New",AN453))</f>
        <v/>
      </c>
      <c r="AZ453" s="21">
        <f>IF(IFERROR(TRIM(INDEX($A453:$AL453,MATCH(Lists!$F$2,$A$1:$AL$1,0))&amp;""),"")="","",IF(OR(IFERROR(TRIM(INDEX($A453:$AL453,MATCH(Lists!$F$13,$A$1:$AL$1,0))&amp;""),"")="Paid",IFERROR(TRIM(INDEX($A453:$AL453,MATCH(Lists!$F$13,$A$1:$AL$1,0))&amp;""),"")="Partially refunded"),"Paid",IF(AP453="Yes","Paid (by hand)",IFERROR(TRIM(INDEX($A453:$AL453,MATCH(Lists!$F$13,$A$1:$AL$1,0))&amp;""),""))))</f>
        <v/>
      </c>
      <c r="BA453" s="21">
        <f>IF(AND(IFERROR(TRIM(INDEX($A453:$AL453,MATCH(Lists!$F$2,$A$1:$AL$1,0))&amp;""),"")&lt;&gt;"",AT453&gt;0,AU453&gt;=0,AV453&gt;AU453,AY453&lt;&gt;"Declined"),1,0)</f>
        <v/>
      </c>
      <c r="BB453" s="21">
        <f>IF(BA453=1,COUNTIFS($AS$2:$AS$501,AS453,$AT$2:$AT$501,AT453,$AU$2:$AU$501,"&lt;"&amp;AV453,$AV$2:$AV$501,"&gt;"&amp;AU453,$BA$2:$BA$501,1)-1,"")</f>
        <v/>
      </c>
      <c r="BC453" s="21">
        <f>IF(N(BB453)&gt;0,"Clashes with "&amp;INDEX($AW$2:$AW$501,SUMPRODUCT(MAX(($AS$2:$AS$501=AS453)*($AT$2:$AT$501=AT453)*($AU$2:$AU$501&lt;AV453)*($AV$2:$AV$501&gt;AU453)*($BA$2:$BA$501=1)*(ROW($AS$2:$AS$501)&lt;&gt;ROW())*ROW($AS$2:$AS$501)))-1)&amp;" ("&amp;INDEX($AY$2:$AY$501,SUMPRODUCT(MAX(($AS$2:$AS$501=AS453)*($AT$2:$AT$501=AT453)*($AU$2:$AU$501&lt;AV453)*($AV$2:$AV$501&gt;AU453)*($BA$2:$BA$501=1)*(ROW($AS$2:$AS$501)&lt;&gt;ROW())*ROW($AS$2:$AS$501)))-1)&amp;")"&amp;IF(BB453&gt;1," and "&amp;(BB453-1)&amp;" more",""),"")</f>
        <v/>
      </c>
      <c r="BD453" s="21">
        <f>IF(AND(BA453=1,AY453="Confirmed"),AT453*10000000+AU453*1000+ROW(),"")</f>
        <v/>
      </c>
      <c r="BE453" s="21">
        <f>IF(IFERROR(TRIM(INDEX($A453:$AL453,MATCH(Lists!$F$2,$A$1:$AL$1,0))&amp;""),"")="","",IFERROR(TRIM(INDEX($A453:$AL453,MATCH(Lists!$F$11,$A$1:$AL$1,0))&amp;""),""))</f>
        <v/>
      </c>
      <c r="BF453" s="21">
        <f>IF(IFERROR(TRIM(INDEX($A453:$AL453,MATCH(Lists!$F$2,$A$1:$AL$1,0))&amp;""),"")="","",IFERROR(TRIM(INDEX($A453:$AL453,MATCH(Lists!$F$12,$A$1:$AL$1,0))&amp;""),""))</f>
        <v/>
      </c>
    </row>
    <row r="454">
      <c r="AM454" s="19" t="n"/>
      <c r="AN454" s="23" t="n"/>
      <c r="AO454" s="23" t="n"/>
      <c r="AP454" s="23" t="n"/>
      <c r="AQ454" s="23" t="n"/>
      <c r="AR454" s="19" t="n"/>
      <c r="AS454" s="21">
        <f>IF(IFERROR(TRIM(INDEX($A454:$AL454,MATCH(Lists!$F$2,$A$1:$AL$1,0))&amp;""),"")="","",IF(AND(IFERROR(TRIM(INDEX($A454:$AL454,MATCH(Lists!$F$3,$A$1:$AL$1,0))&amp;""),"")="Other",IFERROR(TRIM(INDEX($A454:$AL454,MATCH(Lists!$F$4,$A$1:$AL$1,0))&amp;""),"")&lt;&gt;""),IFERROR(TRIM(INDEX($A454:$AL454,MATCH(Lists!$F$4,$A$1:$AL$1,0))&amp;""),""),IF(IFERROR(TRIM(INDEX($A454:$AL454,MATCH(Lists!$F$3,$A$1:$AL$1,0))&amp;""),"")="","(no space)",IFERROR(TRIM(INDEX($A454:$AL454,MATCH(Lists!$F$3,$A$1:$AL$1,0))&amp;""),""))))</f>
        <v/>
      </c>
      <c r="AT454" s="22">
        <f>IF(IFERROR(TRIM(INDEX($A454:$AL454,MATCH(Lists!$F$2,$A$1:$AL$1,0))&amp;""),"")="",0,N(IFERROR(IF(TRIM(INDEX($A454:$AL454,MATCH(Lists!$F$5,$A$1:$AL$1,0))&amp;"")="","",IF(ISNUMBER(INDEX($A454:$AL454,MATCH(Lists!$F$5,$A$1:$AL$1,0))),INT(INDEX($A454:$AL454,MATCH(Lists!$F$5,$A$1:$AL$1,0))),DATE(VALUE(LEFT(INDEX($A454:$AL454,MATCH(Lists!$F$5,$A$1:$AL$1,0)),4)),VALUE(MID(INDEX($A454:$AL454,MATCH(Lists!$F$5,$A$1:$AL$1,0)),6,2)),VALUE(MID(INDEX($A454:$AL454,MATCH(Lists!$F$5,$A$1:$AL$1,0)),9,2))))),"")))</f>
        <v/>
      </c>
      <c r="AU454" s="21">
        <f>IF(IFERROR(TRIM(INDEX($A454:$AL454,MATCH(Lists!$F$2,$A$1:$AL$1,0))&amp;""),"")="",-1,IF(ISNUMBER(IFERROR(IF(TRIM(INDEX($A454:$AL454,MATCH(Lists!$F$6,$A$1:$AL$1,0))&amp;"")="","",IF(ISNUMBER(INDEX($A454:$AL454,MATCH(Lists!$F$6,$A$1:$AL$1,0))),ROUND(MOD(INDEX($A454:$AL454,MATCH(Lists!$F$6,$A$1:$AL$1,0)),1)*1440,0),VALUE(LEFT(INDEX($A454:$AL454,MATCH(Lists!$F$6,$A$1:$AL$1,0)),2))*60+VALUE(MID(INDEX($A454:$AL454,MATCH(Lists!$F$6,$A$1:$AL$1,0)),4,2)))),"")),IFERROR(IF(TRIM(INDEX($A454:$AL454,MATCH(Lists!$F$6,$A$1:$AL$1,0))&amp;"")="","",IF(ISNUMBER(INDEX($A454:$AL454,MATCH(Lists!$F$6,$A$1:$AL$1,0))),ROUND(MOD(INDEX($A454:$AL454,MATCH(Lists!$F$6,$A$1:$AL$1,0)),1)*1440,0),VALUE(LEFT(INDEX($A454:$AL454,MATCH(Lists!$F$6,$A$1:$AL$1,0)),2))*60+VALUE(MID(INDEX($A454:$AL454,MATCH(Lists!$F$6,$A$1:$AL$1,0)),4,2)))),""),-1))</f>
        <v/>
      </c>
      <c r="AV454" s="21">
        <f>IF(IFERROR(TRIM(INDEX($A454:$AL454,MATCH(Lists!$F$2,$A$1:$AL$1,0))&amp;""),"")="",-1,IF(ISNUMBER(IFERROR(IF(TRIM(INDEX($A454:$AL454,MATCH(Lists!$F$7,$A$1:$AL$1,0))&amp;"")="","",IF(ISNUMBER(INDEX($A454:$AL454,MATCH(Lists!$F$7,$A$1:$AL$1,0))),ROUND(MOD(INDEX($A454:$AL454,MATCH(Lists!$F$7,$A$1:$AL$1,0)),1)*1440,0),VALUE(LEFT(INDEX($A454:$AL454,MATCH(Lists!$F$7,$A$1:$AL$1,0)),2))*60+VALUE(MID(INDEX($A454:$AL454,MATCH(Lists!$F$7,$A$1:$AL$1,0)),4,2)))),"")),IFERROR(IF(TRIM(INDEX($A454:$AL454,MATCH(Lists!$F$7,$A$1:$AL$1,0))&amp;"")="","",IF(ISNUMBER(INDEX($A454:$AL454,MATCH(Lists!$F$7,$A$1:$AL$1,0))),ROUND(MOD(INDEX($A454:$AL454,MATCH(Lists!$F$7,$A$1:$AL$1,0)),1)*1440,0),VALUE(LEFT(INDEX($A454:$AL454,MATCH(Lists!$F$7,$A$1:$AL$1,0)),2))*60+VALUE(MID(INDEX($A454:$AL454,MATCH(Lists!$F$7,$A$1:$AL$1,0)),4,2)))),""),-1))</f>
        <v/>
      </c>
      <c r="AW454" s="21">
        <f>IF(IFERROR(TRIM(INDEX($A454:$AL454,MATCH(Lists!$F$2,$A$1:$AL$1,0))&amp;""),"")="","",IF(IFERROR(TRIM(INDEX($A454:$AL454,MATCH(Lists!$F$8,$A$1:$AL$1,0))&amp;""),"")&lt;&gt;"",IFERROR(TRIM(INDEX($A454:$AL454,MATCH(Lists!$F$8,$A$1:$AL$1,0))&amp;""),""),IFERROR(TRIM(INDEX($A454:$AL454,MATCH(Lists!$F$9,$A$1:$AL$1,0))&amp;""),"")))</f>
        <v/>
      </c>
      <c r="AX454" s="21">
        <f>IFERROR(IF(TRIM(INDEX($A454:$AL454,MATCH(Lists!$F$10,$A$1:$AL$1,0))&amp;"")="","",VALUE(TRIM(INDEX($A454:$AL454,MATCH(Lists!$F$10,$A$1:$AL$1,0))&amp;""))),"")</f>
        <v/>
      </c>
      <c r="AY454" s="21">
        <f>IF(IFERROR(TRIM(INDEX($A454:$AL454,MATCH(Lists!$F$2,$A$1:$AL$1,0))&amp;""),"")="","",IF(AN454="","New",AN454))</f>
        <v/>
      </c>
      <c r="AZ454" s="21">
        <f>IF(IFERROR(TRIM(INDEX($A454:$AL454,MATCH(Lists!$F$2,$A$1:$AL$1,0))&amp;""),"")="","",IF(OR(IFERROR(TRIM(INDEX($A454:$AL454,MATCH(Lists!$F$13,$A$1:$AL$1,0))&amp;""),"")="Paid",IFERROR(TRIM(INDEX($A454:$AL454,MATCH(Lists!$F$13,$A$1:$AL$1,0))&amp;""),"")="Partially refunded"),"Paid",IF(AP454="Yes","Paid (by hand)",IFERROR(TRIM(INDEX($A454:$AL454,MATCH(Lists!$F$13,$A$1:$AL$1,0))&amp;""),""))))</f>
        <v/>
      </c>
      <c r="BA454" s="21">
        <f>IF(AND(IFERROR(TRIM(INDEX($A454:$AL454,MATCH(Lists!$F$2,$A$1:$AL$1,0))&amp;""),"")&lt;&gt;"",AT454&gt;0,AU454&gt;=0,AV454&gt;AU454,AY454&lt;&gt;"Declined"),1,0)</f>
        <v/>
      </c>
      <c r="BB454" s="21">
        <f>IF(BA454=1,COUNTIFS($AS$2:$AS$501,AS454,$AT$2:$AT$501,AT454,$AU$2:$AU$501,"&lt;"&amp;AV454,$AV$2:$AV$501,"&gt;"&amp;AU454,$BA$2:$BA$501,1)-1,"")</f>
        <v/>
      </c>
      <c r="BC454" s="21">
        <f>IF(N(BB454)&gt;0,"Clashes with "&amp;INDEX($AW$2:$AW$501,SUMPRODUCT(MAX(($AS$2:$AS$501=AS454)*($AT$2:$AT$501=AT454)*($AU$2:$AU$501&lt;AV454)*($AV$2:$AV$501&gt;AU454)*($BA$2:$BA$501=1)*(ROW($AS$2:$AS$501)&lt;&gt;ROW())*ROW($AS$2:$AS$501)))-1)&amp;" ("&amp;INDEX($AY$2:$AY$501,SUMPRODUCT(MAX(($AS$2:$AS$501=AS454)*($AT$2:$AT$501=AT454)*($AU$2:$AU$501&lt;AV454)*($AV$2:$AV$501&gt;AU454)*($BA$2:$BA$501=1)*(ROW($AS$2:$AS$501)&lt;&gt;ROW())*ROW($AS$2:$AS$501)))-1)&amp;")"&amp;IF(BB454&gt;1," and "&amp;(BB454-1)&amp;" more",""),"")</f>
        <v/>
      </c>
      <c r="BD454" s="21">
        <f>IF(AND(BA454=1,AY454="Confirmed"),AT454*10000000+AU454*1000+ROW(),"")</f>
        <v/>
      </c>
      <c r="BE454" s="21">
        <f>IF(IFERROR(TRIM(INDEX($A454:$AL454,MATCH(Lists!$F$2,$A$1:$AL$1,0))&amp;""),"")="","",IFERROR(TRIM(INDEX($A454:$AL454,MATCH(Lists!$F$11,$A$1:$AL$1,0))&amp;""),""))</f>
        <v/>
      </c>
      <c r="BF454" s="21">
        <f>IF(IFERROR(TRIM(INDEX($A454:$AL454,MATCH(Lists!$F$2,$A$1:$AL$1,0))&amp;""),"")="","",IFERROR(TRIM(INDEX($A454:$AL454,MATCH(Lists!$F$12,$A$1:$AL$1,0))&amp;""),""))</f>
        <v/>
      </c>
    </row>
    <row r="455">
      <c r="AM455" s="19" t="n"/>
      <c r="AN455" s="23" t="n"/>
      <c r="AO455" s="23" t="n"/>
      <c r="AP455" s="23" t="n"/>
      <c r="AQ455" s="23" t="n"/>
      <c r="AR455" s="19" t="n"/>
      <c r="AS455" s="21">
        <f>IF(IFERROR(TRIM(INDEX($A455:$AL455,MATCH(Lists!$F$2,$A$1:$AL$1,0))&amp;""),"")="","",IF(AND(IFERROR(TRIM(INDEX($A455:$AL455,MATCH(Lists!$F$3,$A$1:$AL$1,0))&amp;""),"")="Other",IFERROR(TRIM(INDEX($A455:$AL455,MATCH(Lists!$F$4,$A$1:$AL$1,0))&amp;""),"")&lt;&gt;""),IFERROR(TRIM(INDEX($A455:$AL455,MATCH(Lists!$F$4,$A$1:$AL$1,0))&amp;""),""),IF(IFERROR(TRIM(INDEX($A455:$AL455,MATCH(Lists!$F$3,$A$1:$AL$1,0))&amp;""),"")="","(no space)",IFERROR(TRIM(INDEX($A455:$AL455,MATCH(Lists!$F$3,$A$1:$AL$1,0))&amp;""),""))))</f>
        <v/>
      </c>
      <c r="AT455" s="22">
        <f>IF(IFERROR(TRIM(INDEX($A455:$AL455,MATCH(Lists!$F$2,$A$1:$AL$1,0))&amp;""),"")="",0,N(IFERROR(IF(TRIM(INDEX($A455:$AL455,MATCH(Lists!$F$5,$A$1:$AL$1,0))&amp;"")="","",IF(ISNUMBER(INDEX($A455:$AL455,MATCH(Lists!$F$5,$A$1:$AL$1,0))),INT(INDEX($A455:$AL455,MATCH(Lists!$F$5,$A$1:$AL$1,0))),DATE(VALUE(LEFT(INDEX($A455:$AL455,MATCH(Lists!$F$5,$A$1:$AL$1,0)),4)),VALUE(MID(INDEX($A455:$AL455,MATCH(Lists!$F$5,$A$1:$AL$1,0)),6,2)),VALUE(MID(INDEX($A455:$AL455,MATCH(Lists!$F$5,$A$1:$AL$1,0)),9,2))))),"")))</f>
        <v/>
      </c>
      <c r="AU455" s="21">
        <f>IF(IFERROR(TRIM(INDEX($A455:$AL455,MATCH(Lists!$F$2,$A$1:$AL$1,0))&amp;""),"")="",-1,IF(ISNUMBER(IFERROR(IF(TRIM(INDEX($A455:$AL455,MATCH(Lists!$F$6,$A$1:$AL$1,0))&amp;"")="","",IF(ISNUMBER(INDEX($A455:$AL455,MATCH(Lists!$F$6,$A$1:$AL$1,0))),ROUND(MOD(INDEX($A455:$AL455,MATCH(Lists!$F$6,$A$1:$AL$1,0)),1)*1440,0),VALUE(LEFT(INDEX($A455:$AL455,MATCH(Lists!$F$6,$A$1:$AL$1,0)),2))*60+VALUE(MID(INDEX($A455:$AL455,MATCH(Lists!$F$6,$A$1:$AL$1,0)),4,2)))),"")),IFERROR(IF(TRIM(INDEX($A455:$AL455,MATCH(Lists!$F$6,$A$1:$AL$1,0))&amp;"")="","",IF(ISNUMBER(INDEX($A455:$AL455,MATCH(Lists!$F$6,$A$1:$AL$1,0))),ROUND(MOD(INDEX($A455:$AL455,MATCH(Lists!$F$6,$A$1:$AL$1,0)),1)*1440,0),VALUE(LEFT(INDEX($A455:$AL455,MATCH(Lists!$F$6,$A$1:$AL$1,0)),2))*60+VALUE(MID(INDEX($A455:$AL455,MATCH(Lists!$F$6,$A$1:$AL$1,0)),4,2)))),""),-1))</f>
        <v/>
      </c>
      <c r="AV455" s="21">
        <f>IF(IFERROR(TRIM(INDEX($A455:$AL455,MATCH(Lists!$F$2,$A$1:$AL$1,0))&amp;""),"")="",-1,IF(ISNUMBER(IFERROR(IF(TRIM(INDEX($A455:$AL455,MATCH(Lists!$F$7,$A$1:$AL$1,0))&amp;"")="","",IF(ISNUMBER(INDEX($A455:$AL455,MATCH(Lists!$F$7,$A$1:$AL$1,0))),ROUND(MOD(INDEX($A455:$AL455,MATCH(Lists!$F$7,$A$1:$AL$1,0)),1)*1440,0),VALUE(LEFT(INDEX($A455:$AL455,MATCH(Lists!$F$7,$A$1:$AL$1,0)),2))*60+VALUE(MID(INDEX($A455:$AL455,MATCH(Lists!$F$7,$A$1:$AL$1,0)),4,2)))),"")),IFERROR(IF(TRIM(INDEX($A455:$AL455,MATCH(Lists!$F$7,$A$1:$AL$1,0))&amp;"")="","",IF(ISNUMBER(INDEX($A455:$AL455,MATCH(Lists!$F$7,$A$1:$AL$1,0))),ROUND(MOD(INDEX($A455:$AL455,MATCH(Lists!$F$7,$A$1:$AL$1,0)),1)*1440,0),VALUE(LEFT(INDEX($A455:$AL455,MATCH(Lists!$F$7,$A$1:$AL$1,0)),2))*60+VALUE(MID(INDEX($A455:$AL455,MATCH(Lists!$F$7,$A$1:$AL$1,0)),4,2)))),""),-1))</f>
        <v/>
      </c>
      <c r="AW455" s="21">
        <f>IF(IFERROR(TRIM(INDEX($A455:$AL455,MATCH(Lists!$F$2,$A$1:$AL$1,0))&amp;""),"")="","",IF(IFERROR(TRIM(INDEX($A455:$AL455,MATCH(Lists!$F$8,$A$1:$AL$1,0))&amp;""),"")&lt;&gt;"",IFERROR(TRIM(INDEX($A455:$AL455,MATCH(Lists!$F$8,$A$1:$AL$1,0))&amp;""),""),IFERROR(TRIM(INDEX($A455:$AL455,MATCH(Lists!$F$9,$A$1:$AL$1,0))&amp;""),"")))</f>
        <v/>
      </c>
      <c r="AX455" s="21">
        <f>IFERROR(IF(TRIM(INDEX($A455:$AL455,MATCH(Lists!$F$10,$A$1:$AL$1,0))&amp;"")="","",VALUE(TRIM(INDEX($A455:$AL455,MATCH(Lists!$F$10,$A$1:$AL$1,0))&amp;""))),"")</f>
        <v/>
      </c>
      <c r="AY455" s="21">
        <f>IF(IFERROR(TRIM(INDEX($A455:$AL455,MATCH(Lists!$F$2,$A$1:$AL$1,0))&amp;""),"")="","",IF(AN455="","New",AN455))</f>
        <v/>
      </c>
      <c r="AZ455" s="21">
        <f>IF(IFERROR(TRIM(INDEX($A455:$AL455,MATCH(Lists!$F$2,$A$1:$AL$1,0))&amp;""),"")="","",IF(OR(IFERROR(TRIM(INDEX($A455:$AL455,MATCH(Lists!$F$13,$A$1:$AL$1,0))&amp;""),"")="Paid",IFERROR(TRIM(INDEX($A455:$AL455,MATCH(Lists!$F$13,$A$1:$AL$1,0))&amp;""),"")="Partially refunded"),"Paid",IF(AP455="Yes","Paid (by hand)",IFERROR(TRIM(INDEX($A455:$AL455,MATCH(Lists!$F$13,$A$1:$AL$1,0))&amp;""),""))))</f>
        <v/>
      </c>
      <c r="BA455" s="21">
        <f>IF(AND(IFERROR(TRIM(INDEX($A455:$AL455,MATCH(Lists!$F$2,$A$1:$AL$1,0))&amp;""),"")&lt;&gt;"",AT455&gt;0,AU455&gt;=0,AV455&gt;AU455,AY455&lt;&gt;"Declined"),1,0)</f>
        <v/>
      </c>
      <c r="BB455" s="21">
        <f>IF(BA455=1,COUNTIFS($AS$2:$AS$501,AS455,$AT$2:$AT$501,AT455,$AU$2:$AU$501,"&lt;"&amp;AV455,$AV$2:$AV$501,"&gt;"&amp;AU455,$BA$2:$BA$501,1)-1,"")</f>
        <v/>
      </c>
      <c r="BC455" s="21">
        <f>IF(N(BB455)&gt;0,"Clashes with "&amp;INDEX($AW$2:$AW$501,SUMPRODUCT(MAX(($AS$2:$AS$501=AS455)*($AT$2:$AT$501=AT455)*($AU$2:$AU$501&lt;AV455)*($AV$2:$AV$501&gt;AU455)*($BA$2:$BA$501=1)*(ROW($AS$2:$AS$501)&lt;&gt;ROW())*ROW($AS$2:$AS$501)))-1)&amp;" ("&amp;INDEX($AY$2:$AY$501,SUMPRODUCT(MAX(($AS$2:$AS$501=AS455)*($AT$2:$AT$501=AT455)*($AU$2:$AU$501&lt;AV455)*($AV$2:$AV$501&gt;AU455)*($BA$2:$BA$501=1)*(ROW($AS$2:$AS$501)&lt;&gt;ROW())*ROW($AS$2:$AS$501)))-1)&amp;")"&amp;IF(BB455&gt;1," and "&amp;(BB455-1)&amp;" more",""),"")</f>
        <v/>
      </c>
      <c r="BD455" s="21">
        <f>IF(AND(BA455=1,AY455="Confirmed"),AT455*10000000+AU455*1000+ROW(),"")</f>
        <v/>
      </c>
      <c r="BE455" s="21">
        <f>IF(IFERROR(TRIM(INDEX($A455:$AL455,MATCH(Lists!$F$2,$A$1:$AL$1,0))&amp;""),"")="","",IFERROR(TRIM(INDEX($A455:$AL455,MATCH(Lists!$F$11,$A$1:$AL$1,0))&amp;""),""))</f>
        <v/>
      </c>
      <c r="BF455" s="21">
        <f>IF(IFERROR(TRIM(INDEX($A455:$AL455,MATCH(Lists!$F$2,$A$1:$AL$1,0))&amp;""),"")="","",IFERROR(TRIM(INDEX($A455:$AL455,MATCH(Lists!$F$12,$A$1:$AL$1,0))&amp;""),""))</f>
        <v/>
      </c>
    </row>
    <row r="456">
      <c r="AM456" s="19" t="n"/>
      <c r="AN456" s="23" t="n"/>
      <c r="AO456" s="23" t="n"/>
      <c r="AP456" s="23" t="n"/>
      <c r="AQ456" s="23" t="n"/>
      <c r="AR456" s="19" t="n"/>
      <c r="AS456" s="21">
        <f>IF(IFERROR(TRIM(INDEX($A456:$AL456,MATCH(Lists!$F$2,$A$1:$AL$1,0))&amp;""),"")="","",IF(AND(IFERROR(TRIM(INDEX($A456:$AL456,MATCH(Lists!$F$3,$A$1:$AL$1,0))&amp;""),"")="Other",IFERROR(TRIM(INDEX($A456:$AL456,MATCH(Lists!$F$4,$A$1:$AL$1,0))&amp;""),"")&lt;&gt;""),IFERROR(TRIM(INDEX($A456:$AL456,MATCH(Lists!$F$4,$A$1:$AL$1,0))&amp;""),""),IF(IFERROR(TRIM(INDEX($A456:$AL456,MATCH(Lists!$F$3,$A$1:$AL$1,0))&amp;""),"")="","(no space)",IFERROR(TRIM(INDEX($A456:$AL456,MATCH(Lists!$F$3,$A$1:$AL$1,0))&amp;""),""))))</f>
        <v/>
      </c>
      <c r="AT456" s="22">
        <f>IF(IFERROR(TRIM(INDEX($A456:$AL456,MATCH(Lists!$F$2,$A$1:$AL$1,0))&amp;""),"")="",0,N(IFERROR(IF(TRIM(INDEX($A456:$AL456,MATCH(Lists!$F$5,$A$1:$AL$1,0))&amp;"")="","",IF(ISNUMBER(INDEX($A456:$AL456,MATCH(Lists!$F$5,$A$1:$AL$1,0))),INT(INDEX($A456:$AL456,MATCH(Lists!$F$5,$A$1:$AL$1,0))),DATE(VALUE(LEFT(INDEX($A456:$AL456,MATCH(Lists!$F$5,$A$1:$AL$1,0)),4)),VALUE(MID(INDEX($A456:$AL456,MATCH(Lists!$F$5,$A$1:$AL$1,0)),6,2)),VALUE(MID(INDEX($A456:$AL456,MATCH(Lists!$F$5,$A$1:$AL$1,0)),9,2))))),"")))</f>
        <v/>
      </c>
      <c r="AU456" s="21">
        <f>IF(IFERROR(TRIM(INDEX($A456:$AL456,MATCH(Lists!$F$2,$A$1:$AL$1,0))&amp;""),"")="",-1,IF(ISNUMBER(IFERROR(IF(TRIM(INDEX($A456:$AL456,MATCH(Lists!$F$6,$A$1:$AL$1,0))&amp;"")="","",IF(ISNUMBER(INDEX($A456:$AL456,MATCH(Lists!$F$6,$A$1:$AL$1,0))),ROUND(MOD(INDEX($A456:$AL456,MATCH(Lists!$F$6,$A$1:$AL$1,0)),1)*1440,0),VALUE(LEFT(INDEX($A456:$AL456,MATCH(Lists!$F$6,$A$1:$AL$1,0)),2))*60+VALUE(MID(INDEX($A456:$AL456,MATCH(Lists!$F$6,$A$1:$AL$1,0)),4,2)))),"")),IFERROR(IF(TRIM(INDEX($A456:$AL456,MATCH(Lists!$F$6,$A$1:$AL$1,0))&amp;"")="","",IF(ISNUMBER(INDEX($A456:$AL456,MATCH(Lists!$F$6,$A$1:$AL$1,0))),ROUND(MOD(INDEX($A456:$AL456,MATCH(Lists!$F$6,$A$1:$AL$1,0)),1)*1440,0),VALUE(LEFT(INDEX($A456:$AL456,MATCH(Lists!$F$6,$A$1:$AL$1,0)),2))*60+VALUE(MID(INDEX($A456:$AL456,MATCH(Lists!$F$6,$A$1:$AL$1,0)),4,2)))),""),-1))</f>
        <v/>
      </c>
      <c r="AV456" s="21">
        <f>IF(IFERROR(TRIM(INDEX($A456:$AL456,MATCH(Lists!$F$2,$A$1:$AL$1,0))&amp;""),"")="",-1,IF(ISNUMBER(IFERROR(IF(TRIM(INDEX($A456:$AL456,MATCH(Lists!$F$7,$A$1:$AL$1,0))&amp;"")="","",IF(ISNUMBER(INDEX($A456:$AL456,MATCH(Lists!$F$7,$A$1:$AL$1,0))),ROUND(MOD(INDEX($A456:$AL456,MATCH(Lists!$F$7,$A$1:$AL$1,0)),1)*1440,0),VALUE(LEFT(INDEX($A456:$AL456,MATCH(Lists!$F$7,$A$1:$AL$1,0)),2))*60+VALUE(MID(INDEX($A456:$AL456,MATCH(Lists!$F$7,$A$1:$AL$1,0)),4,2)))),"")),IFERROR(IF(TRIM(INDEX($A456:$AL456,MATCH(Lists!$F$7,$A$1:$AL$1,0))&amp;"")="","",IF(ISNUMBER(INDEX($A456:$AL456,MATCH(Lists!$F$7,$A$1:$AL$1,0))),ROUND(MOD(INDEX($A456:$AL456,MATCH(Lists!$F$7,$A$1:$AL$1,0)),1)*1440,0),VALUE(LEFT(INDEX($A456:$AL456,MATCH(Lists!$F$7,$A$1:$AL$1,0)),2))*60+VALUE(MID(INDEX($A456:$AL456,MATCH(Lists!$F$7,$A$1:$AL$1,0)),4,2)))),""),-1))</f>
        <v/>
      </c>
      <c r="AW456" s="21">
        <f>IF(IFERROR(TRIM(INDEX($A456:$AL456,MATCH(Lists!$F$2,$A$1:$AL$1,0))&amp;""),"")="","",IF(IFERROR(TRIM(INDEX($A456:$AL456,MATCH(Lists!$F$8,$A$1:$AL$1,0))&amp;""),"")&lt;&gt;"",IFERROR(TRIM(INDEX($A456:$AL456,MATCH(Lists!$F$8,$A$1:$AL$1,0))&amp;""),""),IFERROR(TRIM(INDEX($A456:$AL456,MATCH(Lists!$F$9,$A$1:$AL$1,0))&amp;""),"")))</f>
        <v/>
      </c>
      <c r="AX456" s="21">
        <f>IFERROR(IF(TRIM(INDEX($A456:$AL456,MATCH(Lists!$F$10,$A$1:$AL$1,0))&amp;"")="","",VALUE(TRIM(INDEX($A456:$AL456,MATCH(Lists!$F$10,$A$1:$AL$1,0))&amp;""))),"")</f>
        <v/>
      </c>
      <c r="AY456" s="21">
        <f>IF(IFERROR(TRIM(INDEX($A456:$AL456,MATCH(Lists!$F$2,$A$1:$AL$1,0))&amp;""),"")="","",IF(AN456="","New",AN456))</f>
        <v/>
      </c>
      <c r="AZ456" s="21">
        <f>IF(IFERROR(TRIM(INDEX($A456:$AL456,MATCH(Lists!$F$2,$A$1:$AL$1,0))&amp;""),"")="","",IF(OR(IFERROR(TRIM(INDEX($A456:$AL456,MATCH(Lists!$F$13,$A$1:$AL$1,0))&amp;""),"")="Paid",IFERROR(TRIM(INDEX($A456:$AL456,MATCH(Lists!$F$13,$A$1:$AL$1,0))&amp;""),"")="Partially refunded"),"Paid",IF(AP456="Yes","Paid (by hand)",IFERROR(TRIM(INDEX($A456:$AL456,MATCH(Lists!$F$13,$A$1:$AL$1,0))&amp;""),""))))</f>
        <v/>
      </c>
      <c r="BA456" s="21">
        <f>IF(AND(IFERROR(TRIM(INDEX($A456:$AL456,MATCH(Lists!$F$2,$A$1:$AL$1,0))&amp;""),"")&lt;&gt;"",AT456&gt;0,AU456&gt;=0,AV456&gt;AU456,AY456&lt;&gt;"Declined"),1,0)</f>
        <v/>
      </c>
      <c r="BB456" s="21">
        <f>IF(BA456=1,COUNTIFS($AS$2:$AS$501,AS456,$AT$2:$AT$501,AT456,$AU$2:$AU$501,"&lt;"&amp;AV456,$AV$2:$AV$501,"&gt;"&amp;AU456,$BA$2:$BA$501,1)-1,"")</f>
        <v/>
      </c>
      <c r="BC456" s="21">
        <f>IF(N(BB456)&gt;0,"Clashes with "&amp;INDEX($AW$2:$AW$501,SUMPRODUCT(MAX(($AS$2:$AS$501=AS456)*($AT$2:$AT$501=AT456)*($AU$2:$AU$501&lt;AV456)*($AV$2:$AV$501&gt;AU456)*($BA$2:$BA$501=1)*(ROW($AS$2:$AS$501)&lt;&gt;ROW())*ROW($AS$2:$AS$501)))-1)&amp;" ("&amp;INDEX($AY$2:$AY$501,SUMPRODUCT(MAX(($AS$2:$AS$501=AS456)*($AT$2:$AT$501=AT456)*($AU$2:$AU$501&lt;AV456)*($AV$2:$AV$501&gt;AU456)*($BA$2:$BA$501=1)*(ROW($AS$2:$AS$501)&lt;&gt;ROW())*ROW($AS$2:$AS$501)))-1)&amp;")"&amp;IF(BB456&gt;1," and "&amp;(BB456-1)&amp;" more",""),"")</f>
        <v/>
      </c>
      <c r="BD456" s="21">
        <f>IF(AND(BA456=1,AY456="Confirmed"),AT456*10000000+AU456*1000+ROW(),"")</f>
        <v/>
      </c>
      <c r="BE456" s="21">
        <f>IF(IFERROR(TRIM(INDEX($A456:$AL456,MATCH(Lists!$F$2,$A$1:$AL$1,0))&amp;""),"")="","",IFERROR(TRIM(INDEX($A456:$AL456,MATCH(Lists!$F$11,$A$1:$AL$1,0))&amp;""),""))</f>
        <v/>
      </c>
      <c r="BF456" s="21">
        <f>IF(IFERROR(TRIM(INDEX($A456:$AL456,MATCH(Lists!$F$2,$A$1:$AL$1,0))&amp;""),"")="","",IFERROR(TRIM(INDEX($A456:$AL456,MATCH(Lists!$F$12,$A$1:$AL$1,0))&amp;""),""))</f>
        <v/>
      </c>
    </row>
    <row r="457">
      <c r="AM457" s="19" t="n"/>
      <c r="AN457" s="23" t="n"/>
      <c r="AO457" s="23" t="n"/>
      <c r="AP457" s="23" t="n"/>
      <c r="AQ457" s="23" t="n"/>
      <c r="AR457" s="19" t="n"/>
      <c r="AS457" s="21">
        <f>IF(IFERROR(TRIM(INDEX($A457:$AL457,MATCH(Lists!$F$2,$A$1:$AL$1,0))&amp;""),"")="","",IF(AND(IFERROR(TRIM(INDEX($A457:$AL457,MATCH(Lists!$F$3,$A$1:$AL$1,0))&amp;""),"")="Other",IFERROR(TRIM(INDEX($A457:$AL457,MATCH(Lists!$F$4,$A$1:$AL$1,0))&amp;""),"")&lt;&gt;""),IFERROR(TRIM(INDEX($A457:$AL457,MATCH(Lists!$F$4,$A$1:$AL$1,0))&amp;""),""),IF(IFERROR(TRIM(INDEX($A457:$AL457,MATCH(Lists!$F$3,$A$1:$AL$1,0))&amp;""),"")="","(no space)",IFERROR(TRIM(INDEX($A457:$AL457,MATCH(Lists!$F$3,$A$1:$AL$1,0))&amp;""),""))))</f>
        <v/>
      </c>
      <c r="AT457" s="22">
        <f>IF(IFERROR(TRIM(INDEX($A457:$AL457,MATCH(Lists!$F$2,$A$1:$AL$1,0))&amp;""),"")="",0,N(IFERROR(IF(TRIM(INDEX($A457:$AL457,MATCH(Lists!$F$5,$A$1:$AL$1,0))&amp;"")="","",IF(ISNUMBER(INDEX($A457:$AL457,MATCH(Lists!$F$5,$A$1:$AL$1,0))),INT(INDEX($A457:$AL457,MATCH(Lists!$F$5,$A$1:$AL$1,0))),DATE(VALUE(LEFT(INDEX($A457:$AL457,MATCH(Lists!$F$5,$A$1:$AL$1,0)),4)),VALUE(MID(INDEX($A457:$AL457,MATCH(Lists!$F$5,$A$1:$AL$1,0)),6,2)),VALUE(MID(INDEX($A457:$AL457,MATCH(Lists!$F$5,$A$1:$AL$1,0)),9,2))))),"")))</f>
        <v/>
      </c>
      <c r="AU457" s="21">
        <f>IF(IFERROR(TRIM(INDEX($A457:$AL457,MATCH(Lists!$F$2,$A$1:$AL$1,0))&amp;""),"")="",-1,IF(ISNUMBER(IFERROR(IF(TRIM(INDEX($A457:$AL457,MATCH(Lists!$F$6,$A$1:$AL$1,0))&amp;"")="","",IF(ISNUMBER(INDEX($A457:$AL457,MATCH(Lists!$F$6,$A$1:$AL$1,0))),ROUND(MOD(INDEX($A457:$AL457,MATCH(Lists!$F$6,$A$1:$AL$1,0)),1)*1440,0),VALUE(LEFT(INDEX($A457:$AL457,MATCH(Lists!$F$6,$A$1:$AL$1,0)),2))*60+VALUE(MID(INDEX($A457:$AL457,MATCH(Lists!$F$6,$A$1:$AL$1,0)),4,2)))),"")),IFERROR(IF(TRIM(INDEX($A457:$AL457,MATCH(Lists!$F$6,$A$1:$AL$1,0))&amp;"")="","",IF(ISNUMBER(INDEX($A457:$AL457,MATCH(Lists!$F$6,$A$1:$AL$1,0))),ROUND(MOD(INDEX($A457:$AL457,MATCH(Lists!$F$6,$A$1:$AL$1,0)),1)*1440,0),VALUE(LEFT(INDEX($A457:$AL457,MATCH(Lists!$F$6,$A$1:$AL$1,0)),2))*60+VALUE(MID(INDEX($A457:$AL457,MATCH(Lists!$F$6,$A$1:$AL$1,0)),4,2)))),""),-1))</f>
        <v/>
      </c>
      <c r="AV457" s="21">
        <f>IF(IFERROR(TRIM(INDEX($A457:$AL457,MATCH(Lists!$F$2,$A$1:$AL$1,0))&amp;""),"")="",-1,IF(ISNUMBER(IFERROR(IF(TRIM(INDEX($A457:$AL457,MATCH(Lists!$F$7,$A$1:$AL$1,0))&amp;"")="","",IF(ISNUMBER(INDEX($A457:$AL457,MATCH(Lists!$F$7,$A$1:$AL$1,0))),ROUND(MOD(INDEX($A457:$AL457,MATCH(Lists!$F$7,$A$1:$AL$1,0)),1)*1440,0),VALUE(LEFT(INDEX($A457:$AL457,MATCH(Lists!$F$7,$A$1:$AL$1,0)),2))*60+VALUE(MID(INDEX($A457:$AL457,MATCH(Lists!$F$7,$A$1:$AL$1,0)),4,2)))),"")),IFERROR(IF(TRIM(INDEX($A457:$AL457,MATCH(Lists!$F$7,$A$1:$AL$1,0))&amp;"")="","",IF(ISNUMBER(INDEX($A457:$AL457,MATCH(Lists!$F$7,$A$1:$AL$1,0))),ROUND(MOD(INDEX($A457:$AL457,MATCH(Lists!$F$7,$A$1:$AL$1,0)),1)*1440,0),VALUE(LEFT(INDEX($A457:$AL457,MATCH(Lists!$F$7,$A$1:$AL$1,0)),2))*60+VALUE(MID(INDEX($A457:$AL457,MATCH(Lists!$F$7,$A$1:$AL$1,0)),4,2)))),""),-1))</f>
        <v/>
      </c>
      <c r="AW457" s="21">
        <f>IF(IFERROR(TRIM(INDEX($A457:$AL457,MATCH(Lists!$F$2,$A$1:$AL$1,0))&amp;""),"")="","",IF(IFERROR(TRIM(INDEX($A457:$AL457,MATCH(Lists!$F$8,$A$1:$AL$1,0))&amp;""),"")&lt;&gt;"",IFERROR(TRIM(INDEX($A457:$AL457,MATCH(Lists!$F$8,$A$1:$AL$1,0))&amp;""),""),IFERROR(TRIM(INDEX($A457:$AL457,MATCH(Lists!$F$9,$A$1:$AL$1,0))&amp;""),"")))</f>
        <v/>
      </c>
      <c r="AX457" s="21">
        <f>IFERROR(IF(TRIM(INDEX($A457:$AL457,MATCH(Lists!$F$10,$A$1:$AL$1,0))&amp;"")="","",VALUE(TRIM(INDEX($A457:$AL457,MATCH(Lists!$F$10,$A$1:$AL$1,0))&amp;""))),"")</f>
        <v/>
      </c>
      <c r="AY457" s="21">
        <f>IF(IFERROR(TRIM(INDEX($A457:$AL457,MATCH(Lists!$F$2,$A$1:$AL$1,0))&amp;""),"")="","",IF(AN457="","New",AN457))</f>
        <v/>
      </c>
      <c r="AZ457" s="21">
        <f>IF(IFERROR(TRIM(INDEX($A457:$AL457,MATCH(Lists!$F$2,$A$1:$AL$1,0))&amp;""),"")="","",IF(OR(IFERROR(TRIM(INDEX($A457:$AL457,MATCH(Lists!$F$13,$A$1:$AL$1,0))&amp;""),"")="Paid",IFERROR(TRIM(INDEX($A457:$AL457,MATCH(Lists!$F$13,$A$1:$AL$1,0))&amp;""),"")="Partially refunded"),"Paid",IF(AP457="Yes","Paid (by hand)",IFERROR(TRIM(INDEX($A457:$AL457,MATCH(Lists!$F$13,$A$1:$AL$1,0))&amp;""),""))))</f>
        <v/>
      </c>
      <c r="BA457" s="21">
        <f>IF(AND(IFERROR(TRIM(INDEX($A457:$AL457,MATCH(Lists!$F$2,$A$1:$AL$1,0))&amp;""),"")&lt;&gt;"",AT457&gt;0,AU457&gt;=0,AV457&gt;AU457,AY457&lt;&gt;"Declined"),1,0)</f>
        <v/>
      </c>
      <c r="BB457" s="21">
        <f>IF(BA457=1,COUNTIFS($AS$2:$AS$501,AS457,$AT$2:$AT$501,AT457,$AU$2:$AU$501,"&lt;"&amp;AV457,$AV$2:$AV$501,"&gt;"&amp;AU457,$BA$2:$BA$501,1)-1,"")</f>
        <v/>
      </c>
      <c r="BC457" s="21">
        <f>IF(N(BB457)&gt;0,"Clashes with "&amp;INDEX($AW$2:$AW$501,SUMPRODUCT(MAX(($AS$2:$AS$501=AS457)*($AT$2:$AT$501=AT457)*($AU$2:$AU$501&lt;AV457)*($AV$2:$AV$501&gt;AU457)*($BA$2:$BA$501=1)*(ROW($AS$2:$AS$501)&lt;&gt;ROW())*ROW($AS$2:$AS$501)))-1)&amp;" ("&amp;INDEX($AY$2:$AY$501,SUMPRODUCT(MAX(($AS$2:$AS$501=AS457)*($AT$2:$AT$501=AT457)*($AU$2:$AU$501&lt;AV457)*($AV$2:$AV$501&gt;AU457)*($BA$2:$BA$501=1)*(ROW($AS$2:$AS$501)&lt;&gt;ROW())*ROW($AS$2:$AS$501)))-1)&amp;")"&amp;IF(BB457&gt;1," and "&amp;(BB457-1)&amp;" more",""),"")</f>
        <v/>
      </c>
      <c r="BD457" s="21">
        <f>IF(AND(BA457=1,AY457="Confirmed"),AT457*10000000+AU457*1000+ROW(),"")</f>
        <v/>
      </c>
      <c r="BE457" s="21">
        <f>IF(IFERROR(TRIM(INDEX($A457:$AL457,MATCH(Lists!$F$2,$A$1:$AL$1,0))&amp;""),"")="","",IFERROR(TRIM(INDEX($A457:$AL457,MATCH(Lists!$F$11,$A$1:$AL$1,0))&amp;""),""))</f>
        <v/>
      </c>
      <c r="BF457" s="21">
        <f>IF(IFERROR(TRIM(INDEX($A457:$AL457,MATCH(Lists!$F$2,$A$1:$AL$1,0))&amp;""),"")="","",IFERROR(TRIM(INDEX($A457:$AL457,MATCH(Lists!$F$12,$A$1:$AL$1,0))&amp;""),""))</f>
        <v/>
      </c>
    </row>
    <row r="458">
      <c r="AM458" s="19" t="n"/>
      <c r="AN458" s="23" t="n"/>
      <c r="AO458" s="23" t="n"/>
      <c r="AP458" s="23" t="n"/>
      <c r="AQ458" s="23" t="n"/>
      <c r="AR458" s="19" t="n"/>
      <c r="AS458" s="21">
        <f>IF(IFERROR(TRIM(INDEX($A458:$AL458,MATCH(Lists!$F$2,$A$1:$AL$1,0))&amp;""),"")="","",IF(AND(IFERROR(TRIM(INDEX($A458:$AL458,MATCH(Lists!$F$3,$A$1:$AL$1,0))&amp;""),"")="Other",IFERROR(TRIM(INDEX($A458:$AL458,MATCH(Lists!$F$4,$A$1:$AL$1,0))&amp;""),"")&lt;&gt;""),IFERROR(TRIM(INDEX($A458:$AL458,MATCH(Lists!$F$4,$A$1:$AL$1,0))&amp;""),""),IF(IFERROR(TRIM(INDEX($A458:$AL458,MATCH(Lists!$F$3,$A$1:$AL$1,0))&amp;""),"")="","(no space)",IFERROR(TRIM(INDEX($A458:$AL458,MATCH(Lists!$F$3,$A$1:$AL$1,0))&amp;""),""))))</f>
        <v/>
      </c>
      <c r="AT458" s="22">
        <f>IF(IFERROR(TRIM(INDEX($A458:$AL458,MATCH(Lists!$F$2,$A$1:$AL$1,0))&amp;""),"")="",0,N(IFERROR(IF(TRIM(INDEX($A458:$AL458,MATCH(Lists!$F$5,$A$1:$AL$1,0))&amp;"")="","",IF(ISNUMBER(INDEX($A458:$AL458,MATCH(Lists!$F$5,$A$1:$AL$1,0))),INT(INDEX($A458:$AL458,MATCH(Lists!$F$5,$A$1:$AL$1,0))),DATE(VALUE(LEFT(INDEX($A458:$AL458,MATCH(Lists!$F$5,$A$1:$AL$1,0)),4)),VALUE(MID(INDEX($A458:$AL458,MATCH(Lists!$F$5,$A$1:$AL$1,0)),6,2)),VALUE(MID(INDEX($A458:$AL458,MATCH(Lists!$F$5,$A$1:$AL$1,0)),9,2))))),"")))</f>
        <v/>
      </c>
      <c r="AU458" s="21">
        <f>IF(IFERROR(TRIM(INDEX($A458:$AL458,MATCH(Lists!$F$2,$A$1:$AL$1,0))&amp;""),"")="",-1,IF(ISNUMBER(IFERROR(IF(TRIM(INDEX($A458:$AL458,MATCH(Lists!$F$6,$A$1:$AL$1,0))&amp;"")="","",IF(ISNUMBER(INDEX($A458:$AL458,MATCH(Lists!$F$6,$A$1:$AL$1,0))),ROUND(MOD(INDEX($A458:$AL458,MATCH(Lists!$F$6,$A$1:$AL$1,0)),1)*1440,0),VALUE(LEFT(INDEX($A458:$AL458,MATCH(Lists!$F$6,$A$1:$AL$1,0)),2))*60+VALUE(MID(INDEX($A458:$AL458,MATCH(Lists!$F$6,$A$1:$AL$1,0)),4,2)))),"")),IFERROR(IF(TRIM(INDEX($A458:$AL458,MATCH(Lists!$F$6,$A$1:$AL$1,0))&amp;"")="","",IF(ISNUMBER(INDEX($A458:$AL458,MATCH(Lists!$F$6,$A$1:$AL$1,0))),ROUND(MOD(INDEX($A458:$AL458,MATCH(Lists!$F$6,$A$1:$AL$1,0)),1)*1440,0),VALUE(LEFT(INDEX($A458:$AL458,MATCH(Lists!$F$6,$A$1:$AL$1,0)),2))*60+VALUE(MID(INDEX($A458:$AL458,MATCH(Lists!$F$6,$A$1:$AL$1,0)),4,2)))),""),-1))</f>
        <v/>
      </c>
      <c r="AV458" s="21">
        <f>IF(IFERROR(TRIM(INDEX($A458:$AL458,MATCH(Lists!$F$2,$A$1:$AL$1,0))&amp;""),"")="",-1,IF(ISNUMBER(IFERROR(IF(TRIM(INDEX($A458:$AL458,MATCH(Lists!$F$7,$A$1:$AL$1,0))&amp;"")="","",IF(ISNUMBER(INDEX($A458:$AL458,MATCH(Lists!$F$7,$A$1:$AL$1,0))),ROUND(MOD(INDEX($A458:$AL458,MATCH(Lists!$F$7,$A$1:$AL$1,0)),1)*1440,0),VALUE(LEFT(INDEX($A458:$AL458,MATCH(Lists!$F$7,$A$1:$AL$1,0)),2))*60+VALUE(MID(INDEX($A458:$AL458,MATCH(Lists!$F$7,$A$1:$AL$1,0)),4,2)))),"")),IFERROR(IF(TRIM(INDEX($A458:$AL458,MATCH(Lists!$F$7,$A$1:$AL$1,0))&amp;"")="","",IF(ISNUMBER(INDEX($A458:$AL458,MATCH(Lists!$F$7,$A$1:$AL$1,0))),ROUND(MOD(INDEX($A458:$AL458,MATCH(Lists!$F$7,$A$1:$AL$1,0)),1)*1440,0),VALUE(LEFT(INDEX($A458:$AL458,MATCH(Lists!$F$7,$A$1:$AL$1,0)),2))*60+VALUE(MID(INDEX($A458:$AL458,MATCH(Lists!$F$7,$A$1:$AL$1,0)),4,2)))),""),-1))</f>
        <v/>
      </c>
      <c r="AW458" s="21">
        <f>IF(IFERROR(TRIM(INDEX($A458:$AL458,MATCH(Lists!$F$2,$A$1:$AL$1,0))&amp;""),"")="","",IF(IFERROR(TRIM(INDEX($A458:$AL458,MATCH(Lists!$F$8,$A$1:$AL$1,0))&amp;""),"")&lt;&gt;"",IFERROR(TRIM(INDEX($A458:$AL458,MATCH(Lists!$F$8,$A$1:$AL$1,0))&amp;""),""),IFERROR(TRIM(INDEX($A458:$AL458,MATCH(Lists!$F$9,$A$1:$AL$1,0))&amp;""),"")))</f>
        <v/>
      </c>
      <c r="AX458" s="21">
        <f>IFERROR(IF(TRIM(INDEX($A458:$AL458,MATCH(Lists!$F$10,$A$1:$AL$1,0))&amp;"")="","",VALUE(TRIM(INDEX($A458:$AL458,MATCH(Lists!$F$10,$A$1:$AL$1,0))&amp;""))),"")</f>
        <v/>
      </c>
      <c r="AY458" s="21">
        <f>IF(IFERROR(TRIM(INDEX($A458:$AL458,MATCH(Lists!$F$2,$A$1:$AL$1,0))&amp;""),"")="","",IF(AN458="","New",AN458))</f>
        <v/>
      </c>
      <c r="AZ458" s="21">
        <f>IF(IFERROR(TRIM(INDEX($A458:$AL458,MATCH(Lists!$F$2,$A$1:$AL$1,0))&amp;""),"")="","",IF(OR(IFERROR(TRIM(INDEX($A458:$AL458,MATCH(Lists!$F$13,$A$1:$AL$1,0))&amp;""),"")="Paid",IFERROR(TRIM(INDEX($A458:$AL458,MATCH(Lists!$F$13,$A$1:$AL$1,0))&amp;""),"")="Partially refunded"),"Paid",IF(AP458="Yes","Paid (by hand)",IFERROR(TRIM(INDEX($A458:$AL458,MATCH(Lists!$F$13,$A$1:$AL$1,0))&amp;""),""))))</f>
        <v/>
      </c>
      <c r="BA458" s="21">
        <f>IF(AND(IFERROR(TRIM(INDEX($A458:$AL458,MATCH(Lists!$F$2,$A$1:$AL$1,0))&amp;""),"")&lt;&gt;"",AT458&gt;0,AU458&gt;=0,AV458&gt;AU458,AY458&lt;&gt;"Declined"),1,0)</f>
        <v/>
      </c>
      <c r="BB458" s="21">
        <f>IF(BA458=1,COUNTIFS($AS$2:$AS$501,AS458,$AT$2:$AT$501,AT458,$AU$2:$AU$501,"&lt;"&amp;AV458,$AV$2:$AV$501,"&gt;"&amp;AU458,$BA$2:$BA$501,1)-1,"")</f>
        <v/>
      </c>
      <c r="BC458" s="21">
        <f>IF(N(BB458)&gt;0,"Clashes with "&amp;INDEX($AW$2:$AW$501,SUMPRODUCT(MAX(($AS$2:$AS$501=AS458)*($AT$2:$AT$501=AT458)*($AU$2:$AU$501&lt;AV458)*($AV$2:$AV$501&gt;AU458)*($BA$2:$BA$501=1)*(ROW($AS$2:$AS$501)&lt;&gt;ROW())*ROW($AS$2:$AS$501)))-1)&amp;" ("&amp;INDEX($AY$2:$AY$501,SUMPRODUCT(MAX(($AS$2:$AS$501=AS458)*($AT$2:$AT$501=AT458)*($AU$2:$AU$501&lt;AV458)*($AV$2:$AV$501&gt;AU458)*($BA$2:$BA$501=1)*(ROW($AS$2:$AS$501)&lt;&gt;ROW())*ROW($AS$2:$AS$501)))-1)&amp;")"&amp;IF(BB458&gt;1," and "&amp;(BB458-1)&amp;" more",""),"")</f>
        <v/>
      </c>
      <c r="BD458" s="21">
        <f>IF(AND(BA458=1,AY458="Confirmed"),AT458*10000000+AU458*1000+ROW(),"")</f>
        <v/>
      </c>
      <c r="BE458" s="21">
        <f>IF(IFERROR(TRIM(INDEX($A458:$AL458,MATCH(Lists!$F$2,$A$1:$AL$1,0))&amp;""),"")="","",IFERROR(TRIM(INDEX($A458:$AL458,MATCH(Lists!$F$11,$A$1:$AL$1,0))&amp;""),""))</f>
        <v/>
      </c>
      <c r="BF458" s="21">
        <f>IF(IFERROR(TRIM(INDEX($A458:$AL458,MATCH(Lists!$F$2,$A$1:$AL$1,0))&amp;""),"")="","",IFERROR(TRIM(INDEX($A458:$AL458,MATCH(Lists!$F$12,$A$1:$AL$1,0))&amp;""),""))</f>
        <v/>
      </c>
    </row>
    <row r="459">
      <c r="AM459" s="19" t="n"/>
      <c r="AN459" s="23" t="n"/>
      <c r="AO459" s="23" t="n"/>
      <c r="AP459" s="23" t="n"/>
      <c r="AQ459" s="23" t="n"/>
      <c r="AR459" s="19" t="n"/>
      <c r="AS459" s="21">
        <f>IF(IFERROR(TRIM(INDEX($A459:$AL459,MATCH(Lists!$F$2,$A$1:$AL$1,0))&amp;""),"")="","",IF(AND(IFERROR(TRIM(INDEX($A459:$AL459,MATCH(Lists!$F$3,$A$1:$AL$1,0))&amp;""),"")="Other",IFERROR(TRIM(INDEX($A459:$AL459,MATCH(Lists!$F$4,$A$1:$AL$1,0))&amp;""),"")&lt;&gt;""),IFERROR(TRIM(INDEX($A459:$AL459,MATCH(Lists!$F$4,$A$1:$AL$1,0))&amp;""),""),IF(IFERROR(TRIM(INDEX($A459:$AL459,MATCH(Lists!$F$3,$A$1:$AL$1,0))&amp;""),"")="","(no space)",IFERROR(TRIM(INDEX($A459:$AL459,MATCH(Lists!$F$3,$A$1:$AL$1,0))&amp;""),""))))</f>
        <v/>
      </c>
      <c r="AT459" s="22">
        <f>IF(IFERROR(TRIM(INDEX($A459:$AL459,MATCH(Lists!$F$2,$A$1:$AL$1,0))&amp;""),"")="",0,N(IFERROR(IF(TRIM(INDEX($A459:$AL459,MATCH(Lists!$F$5,$A$1:$AL$1,0))&amp;"")="","",IF(ISNUMBER(INDEX($A459:$AL459,MATCH(Lists!$F$5,$A$1:$AL$1,0))),INT(INDEX($A459:$AL459,MATCH(Lists!$F$5,$A$1:$AL$1,0))),DATE(VALUE(LEFT(INDEX($A459:$AL459,MATCH(Lists!$F$5,$A$1:$AL$1,0)),4)),VALUE(MID(INDEX($A459:$AL459,MATCH(Lists!$F$5,$A$1:$AL$1,0)),6,2)),VALUE(MID(INDEX($A459:$AL459,MATCH(Lists!$F$5,$A$1:$AL$1,0)),9,2))))),"")))</f>
        <v/>
      </c>
      <c r="AU459" s="21">
        <f>IF(IFERROR(TRIM(INDEX($A459:$AL459,MATCH(Lists!$F$2,$A$1:$AL$1,0))&amp;""),"")="",-1,IF(ISNUMBER(IFERROR(IF(TRIM(INDEX($A459:$AL459,MATCH(Lists!$F$6,$A$1:$AL$1,0))&amp;"")="","",IF(ISNUMBER(INDEX($A459:$AL459,MATCH(Lists!$F$6,$A$1:$AL$1,0))),ROUND(MOD(INDEX($A459:$AL459,MATCH(Lists!$F$6,$A$1:$AL$1,0)),1)*1440,0),VALUE(LEFT(INDEX($A459:$AL459,MATCH(Lists!$F$6,$A$1:$AL$1,0)),2))*60+VALUE(MID(INDEX($A459:$AL459,MATCH(Lists!$F$6,$A$1:$AL$1,0)),4,2)))),"")),IFERROR(IF(TRIM(INDEX($A459:$AL459,MATCH(Lists!$F$6,$A$1:$AL$1,0))&amp;"")="","",IF(ISNUMBER(INDEX($A459:$AL459,MATCH(Lists!$F$6,$A$1:$AL$1,0))),ROUND(MOD(INDEX($A459:$AL459,MATCH(Lists!$F$6,$A$1:$AL$1,0)),1)*1440,0),VALUE(LEFT(INDEX($A459:$AL459,MATCH(Lists!$F$6,$A$1:$AL$1,0)),2))*60+VALUE(MID(INDEX($A459:$AL459,MATCH(Lists!$F$6,$A$1:$AL$1,0)),4,2)))),""),-1))</f>
        <v/>
      </c>
      <c r="AV459" s="21">
        <f>IF(IFERROR(TRIM(INDEX($A459:$AL459,MATCH(Lists!$F$2,$A$1:$AL$1,0))&amp;""),"")="",-1,IF(ISNUMBER(IFERROR(IF(TRIM(INDEX($A459:$AL459,MATCH(Lists!$F$7,$A$1:$AL$1,0))&amp;"")="","",IF(ISNUMBER(INDEX($A459:$AL459,MATCH(Lists!$F$7,$A$1:$AL$1,0))),ROUND(MOD(INDEX($A459:$AL459,MATCH(Lists!$F$7,$A$1:$AL$1,0)),1)*1440,0),VALUE(LEFT(INDEX($A459:$AL459,MATCH(Lists!$F$7,$A$1:$AL$1,0)),2))*60+VALUE(MID(INDEX($A459:$AL459,MATCH(Lists!$F$7,$A$1:$AL$1,0)),4,2)))),"")),IFERROR(IF(TRIM(INDEX($A459:$AL459,MATCH(Lists!$F$7,$A$1:$AL$1,0))&amp;"")="","",IF(ISNUMBER(INDEX($A459:$AL459,MATCH(Lists!$F$7,$A$1:$AL$1,0))),ROUND(MOD(INDEX($A459:$AL459,MATCH(Lists!$F$7,$A$1:$AL$1,0)),1)*1440,0),VALUE(LEFT(INDEX($A459:$AL459,MATCH(Lists!$F$7,$A$1:$AL$1,0)),2))*60+VALUE(MID(INDEX($A459:$AL459,MATCH(Lists!$F$7,$A$1:$AL$1,0)),4,2)))),""),-1))</f>
        <v/>
      </c>
      <c r="AW459" s="21">
        <f>IF(IFERROR(TRIM(INDEX($A459:$AL459,MATCH(Lists!$F$2,$A$1:$AL$1,0))&amp;""),"")="","",IF(IFERROR(TRIM(INDEX($A459:$AL459,MATCH(Lists!$F$8,$A$1:$AL$1,0))&amp;""),"")&lt;&gt;"",IFERROR(TRIM(INDEX($A459:$AL459,MATCH(Lists!$F$8,$A$1:$AL$1,0))&amp;""),""),IFERROR(TRIM(INDEX($A459:$AL459,MATCH(Lists!$F$9,$A$1:$AL$1,0))&amp;""),"")))</f>
        <v/>
      </c>
      <c r="AX459" s="21">
        <f>IFERROR(IF(TRIM(INDEX($A459:$AL459,MATCH(Lists!$F$10,$A$1:$AL$1,0))&amp;"")="","",VALUE(TRIM(INDEX($A459:$AL459,MATCH(Lists!$F$10,$A$1:$AL$1,0))&amp;""))),"")</f>
        <v/>
      </c>
      <c r="AY459" s="21">
        <f>IF(IFERROR(TRIM(INDEX($A459:$AL459,MATCH(Lists!$F$2,$A$1:$AL$1,0))&amp;""),"")="","",IF(AN459="","New",AN459))</f>
        <v/>
      </c>
      <c r="AZ459" s="21">
        <f>IF(IFERROR(TRIM(INDEX($A459:$AL459,MATCH(Lists!$F$2,$A$1:$AL$1,0))&amp;""),"")="","",IF(OR(IFERROR(TRIM(INDEX($A459:$AL459,MATCH(Lists!$F$13,$A$1:$AL$1,0))&amp;""),"")="Paid",IFERROR(TRIM(INDEX($A459:$AL459,MATCH(Lists!$F$13,$A$1:$AL$1,0))&amp;""),"")="Partially refunded"),"Paid",IF(AP459="Yes","Paid (by hand)",IFERROR(TRIM(INDEX($A459:$AL459,MATCH(Lists!$F$13,$A$1:$AL$1,0))&amp;""),""))))</f>
        <v/>
      </c>
      <c r="BA459" s="21">
        <f>IF(AND(IFERROR(TRIM(INDEX($A459:$AL459,MATCH(Lists!$F$2,$A$1:$AL$1,0))&amp;""),"")&lt;&gt;"",AT459&gt;0,AU459&gt;=0,AV459&gt;AU459,AY459&lt;&gt;"Declined"),1,0)</f>
        <v/>
      </c>
      <c r="BB459" s="21">
        <f>IF(BA459=1,COUNTIFS($AS$2:$AS$501,AS459,$AT$2:$AT$501,AT459,$AU$2:$AU$501,"&lt;"&amp;AV459,$AV$2:$AV$501,"&gt;"&amp;AU459,$BA$2:$BA$501,1)-1,"")</f>
        <v/>
      </c>
      <c r="BC459" s="21">
        <f>IF(N(BB459)&gt;0,"Clashes with "&amp;INDEX($AW$2:$AW$501,SUMPRODUCT(MAX(($AS$2:$AS$501=AS459)*($AT$2:$AT$501=AT459)*($AU$2:$AU$501&lt;AV459)*($AV$2:$AV$501&gt;AU459)*($BA$2:$BA$501=1)*(ROW($AS$2:$AS$501)&lt;&gt;ROW())*ROW($AS$2:$AS$501)))-1)&amp;" ("&amp;INDEX($AY$2:$AY$501,SUMPRODUCT(MAX(($AS$2:$AS$501=AS459)*($AT$2:$AT$501=AT459)*($AU$2:$AU$501&lt;AV459)*($AV$2:$AV$501&gt;AU459)*($BA$2:$BA$501=1)*(ROW($AS$2:$AS$501)&lt;&gt;ROW())*ROW($AS$2:$AS$501)))-1)&amp;")"&amp;IF(BB459&gt;1," and "&amp;(BB459-1)&amp;" more",""),"")</f>
        <v/>
      </c>
      <c r="BD459" s="21">
        <f>IF(AND(BA459=1,AY459="Confirmed"),AT459*10000000+AU459*1000+ROW(),"")</f>
        <v/>
      </c>
      <c r="BE459" s="21">
        <f>IF(IFERROR(TRIM(INDEX($A459:$AL459,MATCH(Lists!$F$2,$A$1:$AL$1,0))&amp;""),"")="","",IFERROR(TRIM(INDEX($A459:$AL459,MATCH(Lists!$F$11,$A$1:$AL$1,0))&amp;""),""))</f>
        <v/>
      </c>
      <c r="BF459" s="21">
        <f>IF(IFERROR(TRIM(INDEX($A459:$AL459,MATCH(Lists!$F$2,$A$1:$AL$1,0))&amp;""),"")="","",IFERROR(TRIM(INDEX($A459:$AL459,MATCH(Lists!$F$12,$A$1:$AL$1,0))&amp;""),""))</f>
        <v/>
      </c>
    </row>
    <row r="460">
      <c r="AM460" s="19" t="n"/>
      <c r="AN460" s="23" t="n"/>
      <c r="AO460" s="23" t="n"/>
      <c r="AP460" s="23" t="n"/>
      <c r="AQ460" s="23" t="n"/>
      <c r="AR460" s="19" t="n"/>
      <c r="AS460" s="21">
        <f>IF(IFERROR(TRIM(INDEX($A460:$AL460,MATCH(Lists!$F$2,$A$1:$AL$1,0))&amp;""),"")="","",IF(AND(IFERROR(TRIM(INDEX($A460:$AL460,MATCH(Lists!$F$3,$A$1:$AL$1,0))&amp;""),"")="Other",IFERROR(TRIM(INDEX($A460:$AL460,MATCH(Lists!$F$4,$A$1:$AL$1,0))&amp;""),"")&lt;&gt;""),IFERROR(TRIM(INDEX($A460:$AL460,MATCH(Lists!$F$4,$A$1:$AL$1,0))&amp;""),""),IF(IFERROR(TRIM(INDEX($A460:$AL460,MATCH(Lists!$F$3,$A$1:$AL$1,0))&amp;""),"")="","(no space)",IFERROR(TRIM(INDEX($A460:$AL460,MATCH(Lists!$F$3,$A$1:$AL$1,0))&amp;""),""))))</f>
        <v/>
      </c>
      <c r="AT460" s="22">
        <f>IF(IFERROR(TRIM(INDEX($A460:$AL460,MATCH(Lists!$F$2,$A$1:$AL$1,0))&amp;""),"")="",0,N(IFERROR(IF(TRIM(INDEX($A460:$AL460,MATCH(Lists!$F$5,$A$1:$AL$1,0))&amp;"")="","",IF(ISNUMBER(INDEX($A460:$AL460,MATCH(Lists!$F$5,$A$1:$AL$1,0))),INT(INDEX($A460:$AL460,MATCH(Lists!$F$5,$A$1:$AL$1,0))),DATE(VALUE(LEFT(INDEX($A460:$AL460,MATCH(Lists!$F$5,$A$1:$AL$1,0)),4)),VALUE(MID(INDEX($A460:$AL460,MATCH(Lists!$F$5,$A$1:$AL$1,0)),6,2)),VALUE(MID(INDEX($A460:$AL460,MATCH(Lists!$F$5,$A$1:$AL$1,0)),9,2))))),"")))</f>
        <v/>
      </c>
      <c r="AU460" s="21">
        <f>IF(IFERROR(TRIM(INDEX($A460:$AL460,MATCH(Lists!$F$2,$A$1:$AL$1,0))&amp;""),"")="",-1,IF(ISNUMBER(IFERROR(IF(TRIM(INDEX($A460:$AL460,MATCH(Lists!$F$6,$A$1:$AL$1,0))&amp;"")="","",IF(ISNUMBER(INDEX($A460:$AL460,MATCH(Lists!$F$6,$A$1:$AL$1,0))),ROUND(MOD(INDEX($A460:$AL460,MATCH(Lists!$F$6,$A$1:$AL$1,0)),1)*1440,0),VALUE(LEFT(INDEX($A460:$AL460,MATCH(Lists!$F$6,$A$1:$AL$1,0)),2))*60+VALUE(MID(INDEX($A460:$AL460,MATCH(Lists!$F$6,$A$1:$AL$1,0)),4,2)))),"")),IFERROR(IF(TRIM(INDEX($A460:$AL460,MATCH(Lists!$F$6,$A$1:$AL$1,0))&amp;"")="","",IF(ISNUMBER(INDEX($A460:$AL460,MATCH(Lists!$F$6,$A$1:$AL$1,0))),ROUND(MOD(INDEX($A460:$AL460,MATCH(Lists!$F$6,$A$1:$AL$1,0)),1)*1440,0),VALUE(LEFT(INDEX($A460:$AL460,MATCH(Lists!$F$6,$A$1:$AL$1,0)),2))*60+VALUE(MID(INDEX($A460:$AL460,MATCH(Lists!$F$6,$A$1:$AL$1,0)),4,2)))),""),-1))</f>
        <v/>
      </c>
      <c r="AV460" s="21">
        <f>IF(IFERROR(TRIM(INDEX($A460:$AL460,MATCH(Lists!$F$2,$A$1:$AL$1,0))&amp;""),"")="",-1,IF(ISNUMBER(IFERROR(IF(TRIM(INDEX($A460:$AL460,MATCH(Lists!$F$7,$A$1:$AL$1,0))&amp;"")="","",IF(ISNUMBER(INDEX($A460:$AL460,MATCH(Lists!$F$7,$A$1:$AL$1,0))),ROUND(MOD(INDEX($A460:$AL460,MATCH(Lists!$F$7,$A$1:$AL$1,0)),1)*1440,0),VALUE(LEFT(INDEX($A460:$AL460,MATCH(Lists!$F$7,$A$1:$AL$1,0)),2))*60+VALUE(MID(INDEX($A460:$AL460,MATCH(Lists!$F$7,$A$1:$AL$1,0)),4,2)))),"")),IFERROR(IF(TRIM(INDEX($A460:$AL460,MATCH(Lists!$F$7,$A$1:$AL$1,0))&amp;"")="","",IF(ISNUMBER(INDEX($A460:$AL460,MATCH(Lists!$F$7,$A$1:$AL$1,0))),ROUND(MOD(INDEX($A460:$AL460,MATCH(Lists!$F$7,$A$1:$AL$1,0)),1)*1440,0),VALUE(LEFT(INDEX($A460:$AL460,MATCH(Lists!$F$7,$A$1:$AL$1,0)),2))*60+VALUE(MID(INDEX($A460:$AL460,MATCH(Lists!$F$7,$A$1:$AL$1,0)),4,2)))),""),-1))</f>
        <v/>
      </c>
      <c r="AW460" s="21">
        <f>IF(IFERROR(TRIM(INDEX($A460:$AL460,MATCH(Lists!$F$2,$A$1:$AL$1,0))&amp;""),"")="","",IF(IFERROR(TRIM(INDEX($A460:$AL460,MATCH(Lists!$F$8,$A$1:$AL$1,0))&amp;""),"")&lt;&gt;"",IFERROR(TRIM(INDEX($A460:$AL460,MATCH(Lists!$F$8,$A$1:$AL$1,0))&amp;""),""),IFERROR(TRIM(INDEX($A460:$AL460,MATCH(Lists!$F$9,$A$1:$AL$1,0))&amp;""),"")))</f>
        <v/>
      </c>
      <c r="AX460" s="21">
        <f>IFERROR(IF(TRIM(INDEX($A460:$AL460,MATCH(Lists!$F$10,$A$1:$AL$1,0))&amp;"")="","",VALUE(TRIM(INDEX($A460:$AL460,MATCH(Lists!$F$10,$A$1:$AL$1,0))&amp;""))),"")</f>
        <v/>
      </c>
      <c r="AY460" s="21">
        <f>IF(IFERROR(TRIM(INDEX($A460:$AL460,MATCH(Lists!$F$2,$A$1:$AL$1,0))&amp;""),"")="","",IF(AN460="","New",AN460))</f>
        <v/>
      </c>
      <c r="AZ460" s="21">
        <f>IF(IFERROR(TRIM(INDEX($A460:$AL460,MATCH(Lists!$F$2,$A$1:$AL$1,0))&amp;""),"")="","",IF(OR(IFERROR(TRIM(INDEX($A460:$AL460,MATCH(Lists!$F$13,$A$1:$AL$1,0))&amp;""),"")="Paid",IFERROR(TRIM(INDEX($A460:$AL460,MATCH(Lists!$F$13,$A$1:$AL$1,0))&amp;""),"")="Partially refunded"),"Paid",IF(AP460="Yes","Paid (by hand)",IFERROR(TRIM(INDEX($A460:$AL460,MATCH(Lists!$F$13,$A$1:$AL$1,0))&amp;""),""))))</f>
        <v/>
      </c>
      <c r="BA460" s="21">
        <f>IF(AND(IFERROR(TRIM(INDEX($A460:$AL460,MATCH(Lists!$F$2,$A$1:$AL$1,0))&amp;""),"")&lt;&gt;"",AT460&gt;0,AU460&gt;=0,AV460&gt;AU460,AY460&lt;&gt;"Declined"),1,0)</f>
        <v/>
      </c>
      <c r="BB460" s="21">
        <f>IF(BA460=1,COUNTIFS($AS$2:$AS$501,AS460,$AT$2:$AT$501,AT460,$AU$2:$AU$501,"&lt;"&amp;AV460,$AV$2:$AV$501,"&gt;"&amp;AU460,$BA$2:$BA$501,1)-1,"")</f>
        <v/>
      </c>
      <c r="BC460" s="21">
        <f>IF(N(BB460)&gt;0,"Clashes with "&amp;INDEX($AW$2:$AW$501,SUMPRODUCT(MAX(($AS$2:$AS$501=AS460)*($AT$2:$AT$501=AT460)*($AU$2:$AU$501&lt;AV460)*($AV$2:$AV$501&gt;AU460)*($BA$2:$BA$501=1)*(ROW($AS$2:$AS$501)&lt;&gt;ROW())*ROW($AS$2:$AS$501)))-1)&amp;" ("&amp;INDEX($AY$2:$AY$501,SUMPRODUCT(MAX(($AS$2:$AS$501=AS460)*($AT$2:$AT$501=AT460)*($AU$2:$AU$501&lt;AV460)*($AV$2:$AV$501&gt;AU460)*($BA$2:$BA$501=1)*(ROW($AS$2:$AS$501)&lt;&gt;ROW())*ROW($AS$2:$AS$501)))-1)&amp;")"&amp;IF(BB460&gt;1," and "&amp;(BB460-1)&amp;" more",""),"")</f>
        <v/>
      </c>
      <c r="BD460" s="21">
        <f>IF(AND(BA460=1,AY460="Confirmed"),AT460*10000000+AU460*1000+ROW(),"")</f>
        <v/>
      </c>
      <c r="BE460" s="21">
        <f>IF(IFERROR(TRIM(INDEX($A460:$AL460,MATCH(Lists!$F$2,$A$1:$AL$1,0))&amp;""),"")="","",IFERROR(TRIM(INDEX($A460:$AL460,MATCH(Lists!$F$11,$A$1:$AL$1,0))&amp;""),""))</f>
        <v/>
      </c>
      <c r="BF460" s="21">
        <f>IF(IFERROR(TRIM(INDEX($A460:$AL460,MATCH(Lists!$F$2,$A$1:$AL$1,0))&amp;""),"")="","",IFERROR(TRIM(INDEX($A460:$AL460,MATCH(Lists!$F$12,$A$1:$AL$1,0))&amp;""),""))</f>
        <v/>
      </c>
    </row>
    <row r="461">
      <c r="AM461" s="19" t="n"/>
      <c r="AN461" s="23" t="n"/>
      <c r="AO461" s="23" t="n"/>
      <c r="AP461" s="23" t="n"/>
      <c r="AQ461" s="23" t="n"/>
      <c r="AR461" s="19" t="n"/>
      <c r="AS461" s="21">
        <f>IF(IFERROR(TRIM(INDEX($A461:$AL461,MATCH(Lists!$F$2,$A$1:$AL$1,0))&amp;""),"")="","",IF(AND(IFERROR(TRIM(INDEX($A461:$AL461,MATCH(Lists!$F$3,$A$1:$AL$1,0))&amp;""),"")="Other",IFERROR(TRIM(INDEX($A461:$AL461,MATCH(Lists!$F$4,$A$1:$AL$1,0))&amp;""),"")&lt;&gt;""),IFERROR(TRIM(INDEX($A461:$AL461,MATCH(Lists!$F$4,$A$1:$AL$1,0))&amp;""),""),IF(IFERROR(TRIM(INDEX($A461:$AL461,MATCH(Lists!$F$3,$A$1:$AL$1,0))&amp;""),"")="","(no space)",IFERROR(TRIM(INDEX($A461:$AL461,MATCH(Lists!$F$3,$A$1:$AL$1,0))&amp;""),""))))</f>
        <v/>
      </c>
      <c r="AT461" s="22">
        <f>IF(IFERROR(TRIM(INDEX($A461:$AL461,MATCH(Lists!$F$2,$A$1:$AL$1,0))&amp;""),"")="",0,N(IFERROR(IF(TRIM(INDEX($A461:$AL461,MATCH(Lists!$F$5,$A$1:$AL$1,0))&amp;"")="","",IF(ISNUMBER(INDEX($A461:$AL461,MATCH(Lists!$F$5,$A$1:$AL$1,0))),INT(INDEX($A461:$AL461,MATCH(Lists!$F$5,$A$1:$AL$1,0))),DATE(VALUE(LEFT(INDEX($A461:$AL461,MATCH(Lists!$F$5,$A$1:$AL$1,0)),4)),VALUE(MID(INDEX($A461:$AL461,MATCH(Lists!$F$5,$A$1:$AL$1,0)),6,2)),VALUE(MID(INDEX($A461:$AL461,MATCH(Lists!$F$5,$A$1:$AL$1,0)),9,2))))),"")))</f>
        <v/>
      </c>
      <c r="AU461" s="21">
        <f>IF(IFERROR(TRIM(INDEX($A461:$AL461,MATCH(Lists!$F$2,$A$1:$AL$1,0))&amp;""),"")="",-1,IF(ISNUMBER(IFERROR(IF(TRIM(INDEX($A461:$AL461,MATCH(Lists!$F$6,$A$1:$AL$1,0))&amp;"")="","",IF(ISNUMBER(INDEX($A461:$AL461,MATCH(Lists!$F$6,$A$1:$AL$1,0))),ROUND(MOD(INDEX($A461:$AL461,MATCH(Lists!$F$6,$A$1:$AL$1,0)),1)*1440,0),VALUE(LEFT(INDEX($A461:$AL461,MATCH(Lists!$F$6,$A$1:$AL$1,0)),2))*60+VALUE(MID(INDEX($A461:$AL461,MATCH(Lists!$F$6,$A$1:$AL$1,0)),4,2)))),"")),IFERROR(IF(TRIM(INDEX($A461:$AL461,MATCH(Lists!$F$6,$A$1:$AL$1,0))&amp;"")="","",IF(ISNUMBER(INDEX($A461:$AL461,MATCH(Lists!$F$6,$A$1:$AL$1,0))),ROUND(MOD(INDEX($A461:$AL461,MATCH(Lists!$F$6,$A$1:$AL$1,0)),1)*1440,0),VALUE(LEFT(INDEX($A461:$AL461,MATCH(Lists!$F$6,$A$1:$AL$1,0)),2))*60+VALUE(MID(INDEX($A461:$AL461,MATCH(Lists!$F$6,$A$1:$AL$1,0)),4,2)))),""),-1))</f>
        <v/>
      </c>
      <c r="AV461" s="21">
        <f>IF(IFERROR(TRIM(INDEX($A461:$AL461,MATCH(Lists!$F$2,$A$1:$AL$1,0))&amp;""),"")="",-1,IF(ISNUMBER(IFERROR(IF(TRIM(INDEX($A461:$AL461,MATCH(Lists!$F$7,$A$1:$AL$1,0))&amp;"")="","",IF(ISNUMBER(INDEX($A461:$AL461,MATCH(Lists!$F$7,$A$1:$AL$1,0))),ROUND(MOD(INDEX($A461:$AL461,MATCH(Lists!$F$7,$A$1:$AL$1,0)),1)*1440,0),VALUE(LEFT(INDEX($A461:$AL461,MATCH(Lists!$F$7,$A$1:$AL$1,0)),2))*60+VALUE(MID(INDEX($A461:$AL461,MATCH(Lists!$F$7,$A$1:$AL$1,0)),4,2)))),"")),IFERROR(IF(TRIM(INDEX($A461:$AL461,MATCH(Lists!$F$7,$A$1:$AL$1,0))&amp;"")="","",IF(ISNUMBER(INDEX($A461:$AL461,MATCH(Lists!$F$7,$A$1:$AL$1,0))),ROUND(MOD(INDEX($A461:$AL461,MATCH(Lists!$F$7,$A$1:$AL$1,0)),1)*1440,0),VALUE(LEFT(INDEX($A461:$AL461,MATCH(Lists!$F$7,$A$1:$AL$1,0)),2))*60+VALUE(MID(INDEX($A461:$AL461,MATCH(Lists!$F$7,$A$1:$AL$1,0)),4,2)))),""),-1))</f>
        <v/>
      </c>
      <c r="AW461" s="21">
        <f>IF(IFERROR(TRIM(INDEX($A461:$AL461,MATCH(Lists!$F$2,$A$1:$AL$1,0))&amp;""),"")="","",IF(IFERROR(TRIM(INDEX($A461:$AL461,MATCH(Lists!$F$8,$A$1:$AL$1,0))&amp;""),"")&lt;&gt;"",IFERROR(TRIM(INDEX($A461:$AL461,MATCH(Lists!$F$8,$A$1:$AL$1,0))&amp;""),""),IFERROR(TRIM(INDEX($A461:$AL461,MATCH(Lists!$F$9,$A$1:$AL$1,0))&amp;""),"")))</f>
        <v/>
      </c>
      <c r="AX461" s="21">
        <f>IFERROR(IF(TRIM(INDEX($A461:$AL461,MATCH(Lists!$F$10,$A$1:$AL$1,0))&amp;"")="","",VALUE(TRIM(INDEX($A461:$AL461,MATCH(Lists!$F$10,$A$1:$AL$1,0))&amp;""))),"")</f>
        <v/>
      </c>
      <c r="AY461" s="21">
        <f>IF(IFERROR(TRIM(INDEX($A461:$AL461,MATCH(Lists!$F$2,$A$1:$AL$1,0))&amp;""),"")="","",IF(AN461="","New",AN461))</f>
        <v/>
      </c>
      <c r="AZ461" s="21">
        <f>IF(IFERROR(TRIM(INDEX($A461:$AL461,MATCH(Lists!$F$2,$A$1:$AL$1,0))&amp;""),"")="","",IF(OR(IFERROR(TRIM(INDEX($A461:$AL461,MATCH(Lists!$F$13,$A$1:$AL$1,0))&amp;""),"")="Paid",IFERROR(TRIM(INDEX($A461:$AL461,MATCH(Lists!$F$13,$A$1:$AL$1,0))&amp;""),"")="Partially refunded"),"Paid",IF(AP461="Yes","Paid (by hand)",IFERROR(TRIM(INDEX($A461:$AL461,MATCH(Lists!$F$13,$A$1:$AL$1,0))&amp;""),""))))</f>
        <v/>
      </c>
      <c r="BA461" s="21">
        <f>IF(AND(IFERROR(TRIM(INDEX($A461:$AL461,MATCH(Lists!$F$2,$A$1:$AL$1,0))&amp;""),"")&lt;&gt;"",AT461&gt;0,AU461&gt;=0,AV461&gt;AU461,AY461&lt;&gt;"Declined"),1,0)</f>
        <v/>
      </c>
      <c r="BB461" s="21">
        <f>IF(BA461=1,COUNTIFS($AS$2:$AS$501,AS461,$AT$2:$AT$501,AT461,$AU$2:$AU$501,"&lt;"&amp;AV461,$AV$2:$AV$501,"&gt;"&amp;AU461,$BA$2:$BA$501,1)-1,"")</f>
        <v/>
      </c>
      <c r="BC461" s="21">
        <f>IF(N(BB461)&gt;0,"Clashes with "&amp;INDEX($AW$2:$AW$501,SUMPRODUCT(MAX(($AS$2:$AS$501=AS461)*($AT$2:$AT$501=AT461)*($AU$2:$AU$501&lt;AV461)*($AV$2:$AV$501&gt;AU461)*($BA$2:$BA$501=1)*(ROW($AS$2:$AS$501)&lt;&gt;ROW())*ROW($AS$2:$AS$501)))-1)&amp;" ("&amp;INDEX($AY$2:$AY$501,SUMPRODUCT(MAX(($AS$2:$AS$501=AS461)*($AT$2:$AT$501=AT461)*($AU$2:$AU$501&lt;AV461)*($AV$2:$AV$501&gt;AU461)*($BA$2:$BA$501=1)*(ROW($AS$2:$AS$501)&lt;&gt;ROW())*ROW($AS$2:$AS$501)))-1)&amp;")"&amp;IF(BB461&gt;1," and "&amp;(BB461-1)&amp;" more",""),"")</f>
        <v/>
      </c>
      <c r="BD461" s="21">
        <f>IF(AND(BA461=1,AY461="Confirmed"),AT461*10000000+AU461*1000+ROW(),"")</f>
        <v/>
      </c>
      <c r="BE461" s="21">
        <f>IF(IFERROR(TRIM(INDEX($A461:$AL461,MATCH(Lists!$F$2,$A$1:$AL$1,0))&amp;""),"")="","",IFERROR(TRIM(INDEX($A461:$AL461,MATCH(Lists!$F$11,$A$1:$AL$1,0))&amp;""),""))</f>
        <v/>
      </c>
      <c r="BF461" s="21">
        <f>IF(IFERROR(TRIM(INDEX($A461:$AL461,MATCH(Lists!$F$2,$A$1:$AL$1,0))&amp;""),"")="","",IFERROR(TRIM(INDEX($A461:$AL461,MATCH(Lists!$F$12,$A$1:$AL$1,0))&amp;""),""))</f>
        <v/>
      </c>
    </row>
    <row r="462">
      <c r="AM462" s="19" t="n"/>
      <c r="AN462" s="23" t="n"/>
      <c r="AO462" s="23" t="n"/>
      <c r="AP462" s="23" t="n"/>
      <c r="AQ462" s="23" t="n"/>
      <c r="AR462" s="19" t="n"/>
      <c r="AS462" s="21">
        <f>IF(IFERROR(TRIM(INDEX($A462:$AL462,MATCH(Lists!$F$2,$A$1:$AL$1,0))&amp;""),"")="","",IF(AND(IFERROR(TRIM(INDEX($A462:$AL462,MATCH(Lists!$F$3,$A$1:$AL$1,0))&amp;""),"")="Other",IFERROR(TRIM(INDEX($A462:$AL462,MATCH(Lists!$F$4,$A$1:$AL$1,0))&amp;""),"")&lt;&gt;""),IFERROR(TRIM(INDEX($A462:$AL462,MATCH(Lists!$F$4,$A$1:$AL$1,0))&amp;""),""),IF(IFERROR(TRIM(INDEX($A462:$AL462,MATCH(Lists!$F$3,$A$1:$AL$1,0))&amp;""),"")="","(no space)",IFERROR(TRIM(INDEX($A462:$AL462,MATCH(Lists!$F$3,$A$1:$AL$1,0))&amp;""),""))))</f>
        <v/>
      </c>
      <c r="AT462" s="22">
        <f>IF(IFERROR(TRIM(INDEX($A462:$AL462,MATCH(Lists!$F$2,$A$1:$AL$1,0))&amp;""),"")="",0,N(IFERROR(IF(TRIM(INDEX($A462:$AL462,MATCH(Lists!$F$5,$A$1:$AL$1,0))&amp;"")="","",IF(ISNUMBER(INDEX($A462:$AL462,MATCH(Lists!$F$5,$A$1:$AL$1,0))),INT(INDEX($A462:$AL462,MATCH(Lists!$F$5,$A$1:$AL$1,0))),DATE(VALUE(LEFT(INDEX($A462:$AL462,MATCH(Lists!$F$5,$A$1:$AL$1,0)),4)),VALUE(MID(INDEX($A462:$AL462,MATCH(Lists!$F$5,$A$1:$AL$1,0)),6,2)),VALUE(MID(INDEX($A462:$AL462,MATCH(Lists!$F$5,$A$1:$AL$1,0)),9,2))))),"")))</f>
        <v/>
      </c>
      <c r="AU462" s="21">
        <f>IF(IFERROR(TRIM(INDEX($A462:$AL462,MATCH(Lists!$F$2,$A$1:$AL$1,0))&amp;""),"")="",-1,IF(ISNUMBER(IFERROR(IF(TRIM(INDEX($A462:$AL462,MATCH(Lists!$F$6,$A$1:$AL$1,0))&amp;"")="","",IF(ISNUMBER(INDEX($A462:$AL462,MATCH(Lists!$F$6,$A$1:$AL$1,0))),ROUND(MOD(INDEX($A462:$AL462,MATCH(Lists!$F$6,$A$1:$AL$1,0)),1)*1440,0),VALUE(LEFT(INDEX($A462:$AL462,MATCH(Lists!$F$6,$A$1:$AL$1,0)),2))*60+VALUE(MID(INDEX($A462:$AL462,MATCH(Lists!$F$6,$A$1:$AL$1,0)),4,2)))),"")),IFERROR(IF(TRIM(INDEX($A462:$AL462,MATCH(Lists!$F$6,$A$1:$AL$1,0))&amp;"")="","",IF(ISNUMBER(INDEX($A462:$AL462,MATCH(Lists!$F$6,$A$1:$AL$1,0))),ROUND(MOD(INDEX($A462:$AL462,MATCH(Lists!$F$6,$A$1:$AL$1,0)),1)*1440,0),VALUE(LEFT(INDEX($A462:$AL462,MATCH(Lists!$F$6,$A$1:$AL$1,0)),2))*60+VALUE(MID(INDEX($A462:$AL462,MATCH(Lists!$F$6,$A$1:$AL$1,0)),4,2)))),""),-1))</f>
        <v/>
      </c>
      <c r="AV462" s="21">
        <f>IF(IFERROR(TRIM(INDEX($A462:$AL462,MATCH(Lists!$F$2,$A$1:$AL$1,0))&amp;""),"")="",-1,IF(ISNUMBER(IFERROR(IF(TRIM(INDEX($A462:$AL462,MATCH(Lists!$F$7,$A$1:$AL$1,0))&amp;"")="","",IF(ISNUMBER(INDEX($A462:$AL462,MATCH(Lists!$F$7,$A$1:$AL$1,0))),ROUND(MOD(INDEX($A462:$AL462,MATCH(Lists!$F$7,$A$1:$AL$1,0)),1)*1440,0),VALUE(LEFT(INDEX($A462:$AL462,MATCH(Lists!$F$7,$A$1:$AL$1,0)),2))*60+VALUE(MID(INDEX($A462:$AL462,MATCH(Lists!$F$7,$A$1:$AL$1,0)),4,2)))),"")),IFERROR(IF(TRIM(INDEX($A462:$AL462,MATCH(Lists!$F$7,$A$1:$AL$1,0))&amp;"")="","",IF(ISNUMBER(INDEX($A462:$AL462,MATCH(Lists!$F$7,$A$1:$AL$1,0))),ROUND(MOD(INDEX($A462:$AL462,MATCH(Lists!$F$7,$A$1:$AL$1,0)),1)*1440,0),VALUE(LEFT(INDEX($A462:$AL462,MATCH(Lists!$F$7,$A$1:$AL$1,0)),2))*60+VALUE(MID(INDEX($A462:$AL462,MATCH(Lists!$F$7,$A$1:$AL$1,0)),4,2)))),""),-1))</f>
        <v/>
      </c>
      <c r="AW462" s="21">
        <f>IF(IFERROR(TRIM(INDEX($A462:$AL462,MATCH(Lists!$F$2,$A$1:$AL$1,0))&amp;""),"")="","",IF(IFERROR(TRIM(INDEX($A462:$AL462,MATCH(Lists!$F$8,$A$1:$AL$1,0))&amp;""),"")&lt;&gt;"",IFERROR(TRIM(INDEX($A462:$AL462,MATCH(Lists!$F$8,$A$1:$AL$1,0))&amp;""),""),IFERROR(TRIM(INDEX($A462:$AL462,MATCH(Lists!$F$9,$A$1:$AL$1,0))&amp;""),"")))</f>
        <v/>
      </c>
      <c r="AX462" s="21">
        <f>IFERROR(IF(TRIM(INDEX($A462:$AL462,MATCH(Lists!$F$10,$A$1:$AL$1,0))&amp;"")="","",VALUE(TRIM(INDEX($A462:$AL462,MATCH(Lists!$F$10,$A$1:$AL$1,0))&amp;""))),"")</f>
        <v/>
      </c>
      <c r="AY462" s="21">
        <f>IF(IFERROR(TRIM(INDEX($A462:$AL462,MATCH(Lists!$F$2,$A$1:$AL$1,0))&amp;""),"")="","",IF(AN462="","New",AN462))</f>
        <v/>
      </c>
      <c r="AZ462" s="21">
        <f>IF(IFERROR(TRIM(INDEX($A462:$AL462,MATCH(Lists!$F$2,$A$1:$AL$1,0))&amp;""),"")="","",IF(OR(IFERROR(TRIM(INDEX($A462:$AL462,MATCH(Lists!$F$13,$A$1:$AL$1,0))&amp;""),"")="Paid",IFERROR(TRIM(INDEX($A462:$AL462,MATCH(Lists!$F$13,$A$1:$AL$1,0))&amp;""),"")="Partially refunded"),"Paid",IF(AP462="Yes","Paid (by hand)",IFERROR(TRIM(INDEX($A462:$AL462,MATCH(Lists!$F$13,$A$1:$AL$1,0))&amp;""),""))))</f>
        <v/>
      </c>
      <c r="BA462" s="21">
        <f>IF(AND(IFERROR(TRIM(INDEX($A462:$AL462,MATCH(Lists!$F$2,$A$1:$AL$1,0))&amp;""),"")&lt;&gt;"",AT462&gt;0,AU462&gt;=0,AV462&gt;AU462,AY462&lt;&gt;"Declined"),1,0)</f>
        <v/>
      </c>
      <c r="BB462" s="21">
        <f>IF(BA462=1,COUNTIFS($AS$2:$AS$501,AS462,$AT$2:$AT$501,AT462,$AU$2:$AU$501,"&lt;"&amp;AV462,$AV$2:$AV$501,"&gt;"&amp;AU462,$BA$2:$BA$501,1)-1,"")</f>
        <v/>
      </c>
      <c r="BC462" s="21">
        <f>IF(N(BB462)&gt;0,"Clashes with "&amp;INDEX($AW$2:$AW$501,SUMPRODUCT(MAX(($AS$2:$AS$501=AS462)*($AT$2:$AT$501=AT462)*($AU$2:$AU$501&lt;AV462)*($AV$2:$AV$501&gt;AU462)*($BA$2:$BA$501=1)*(ROW($AS$2:$AS$501)&lt;&gt;ROW())*ROW($AS$2:$AS$501)))-1)&amp;" ("&amp;INDEX($AY$2:$AY$501,SUMPRODUCT(MAX(($AS$2:$AS$501=AS462)*($AT$2:$AT$501=AT462)*($AU$2:$AU$501&lt;AV462)*($AV$2:$AV$501&gt;AU462)*($BA$2:$BA$501=1)*(ROW($AS$2:$AS$501)&lt;&gt;ROW())*ROW($AS$2:$AS$501)))-1)&amp;")"&amp;IF(BB462&gt;1," and "&amp;(BB462-1)&amp;" more",""),"")</f>
        <v/>
      </c>
      <c r="BD462" s="21">
        <f>IF(AND(BA462=1,AY462="Confirmed"),AT462*10000000+AU462*1000+ROW(),"")</f>
        <v/>
      </c>
      <c r="BE462" s="21">
        <f>IF(IFERROR(TRIM(INDEX($A462:$AL462,MATCH(Lists!$F$2,$A$1:$AL$1,0))&amp;""),"")="","",IFERROR(TRIM(INDEX($A462:$AL462,MATCH(Lists!$F$11,$A$1:$AL$1,0))&amp;""),""))</f>
        <v/>
      </c>
      <c r="BF462" s="21">
        <f>IF(IFERROR(TRIM(INDEX($A462:$AL462,MATCH(Lists!$F$2,$A$1:$AL$1,0))&amp;""),"")="","",IFERROR(TRIM(INDEX($A462:$AL462,MATCH(Lists!$F$12,$A$1:$AL$1,0))&amp;""),""))</f>
        <v/>
      </c>
    </row>
    <row r="463">
      <c r="AM463" s="19" t="n"/>
      <c r="AN463" s="23" t="n"/>
      <c r="AO463" s="23" t="n"/>
      <c r="AP463" s="23" t="n"/>
      <c r="AQ463" s="23" t="n"/>
      <c r="AR463" s="19" t="n"/>
      <c r="AS463" s="21">
        <f>IF(IFERROR(TRIM(INDEX($A463:$AL463,MATCH(Lists!$F$2,$A$1:$AL$1,0))&amp;""),"")="","",IF(AND(IFERROR(TRIM(INDEX($A463:$AL463,MATCH(Lists!$F$3,$A$1:$AL$1,0))&amp;""),"")="Other",IFERROR(TRIM(INDEX($A463:$AL463,MATCH(Lists!$F$4,$A$1:$AL$1,0))&amp;""),"")&lt;&gt;""),IFERROR(TRIM(INDEX($A463:$AL463,MATCH(Lists!$F$4,$A$1:$AL$1,0))&amp;""),""),IF(IFERROR(TRIM(INDEX($A463:$AL463,MATCH(Lists!$F$3,$A$1:$AL$1,0))&amp;""),"")="","(no space)",IFERROR(TRIM(INDEX($A463:$AL463,MATCH(Lists!$F$3,$A$1:$AL$1,0))&amp;""),""))))</f>
        <v/>
      </c>
      <c r="AT463" s="22">
        <f>IF(IFERROR(TRIM(INDEX($A463:$AL463,MATCH(Lists!$F$2,$A$1:$AL$1,0))&amp;""),"")="",0,N(IFERROR(IF(TRIM(INDEX($A463:$AL463,MATCH(Lists!$F$5,$A$1:$AL$1,0))&amp;"")="","",IF(ISNUMBER(INDEX($A463:$AL463,MATCH(Lists!$F$5,$A$1:$AL$1,0))),INT(INDEX($A463:$AL463,MATCH(Lists!$F$5,$A$1:$AL$1,0))),DATE(VALUE(LEFT(INDEX($A463:$AL463,MATCH(Lists!$F$5,$A$1:$AL$1,0)),4)),VALUE(MID(INDEX($A463:$AL463,MATCH(Lists!$F$5,$A$1:$AL$1,0)),6,2)),VALUE(MID(INDEX($A463:$AL463,MATCH(Lists!$F$5,$A$1:$AL$1,0)),9,2))))),"")))</f>
        <v/>
      </c>
      <c r="AU463" s="21">
        <f>IF(IFERROR(TRIM(INDEX($A463:$AL463,MATCH(Lists!$F$2,$A$1:$AL$1,0))&amp;""),"")="",-1,IF(ISNUMBER(IFERROR(IF(TRIM(INDEX($A463:$AL463,MATCH(Lists!$F$6,$A$1:$AL$1,0))&amp;"")="","",IF(ISNUMBER(INDEX($A463:$AL463,MATCH(Lists!$F$6,$A$1:$AL$1,0))),ROUND(MOD(INDEX($A463:$AL463,MATCH(Lists!$F$6,$A$1:$AL$1,0)),1)*1440,0),VALUE(LEFT(INDEX($A463:$AL463,MATCH(Lists!$F$6,$A$1:$AL$1,0)),2))*60+VALUE(MID(INDEX($A463:$AL463,MATCH(Lists!$F$6,$A$1:$AL$1,0)),4,2)))),"")),IFERROR(IF(TRIM(INDEX($A463:$AL463,MATCH(Lists!$F$6,$A$1:$AL$1,0))&amp;"")="","",IF(ISNUMBER(INDEX($A463:$AL463,MATCH(Lists!$F$6,$A$1:$AL$1,0))),ROUND(MOD(INDEX($A463:$AL463,MATCH(Lists!$F$6,$A$1:$AL$1,0)),1)*1440,0),VALUE(LEFT(INDEX($A463:$AL463,MATCH(Lists!$F$6,$A$1:$AL$1,0)),2))*60+VALUE(MID(INDEX($A463:$AL463,MATCH(Lists!$F$6,$A$1:$AL$1,0)),4,2)))),""),-1))</f>
        <v/>
      </c>
      <c r="AV463" s="21">
        <f>IF(IFERROR(TRIM(INDEX($A463:$AL463,MATCH(Lists!$F$2,$A$1:$AL$1,0))&amp;""),"")="",-1,IF(ISNUMBER(IFERROR(IF(TRIM(INDEX($A463:$AL463,MATCH(Lists!$F$7,$A$1:$AL$1,0))&amp;"")="","",IF(ISNUMBER(INDEX($A463:$AL463,MATCH(Lists!$F$7,$A$1:$AL$1,0))),ROUND(MOD(INDEX($A463:$AL463,MATCH(Lists!$F$7,$A$1:$AL$1,0)),1)*1440,0),VALUE(LEFT(INDEX($A463:$AL463,MATCH(Lists!$F$7,$A$1:$AL$1,0)),2))*60+VALUE(MID(INDEX($A463:$AL463,MATCH(Lists!$F$7,$A$1:$AL$1,0)),4,2)))),"")),IFERROR(IF(TRIM(INDEX($A463:$AL463,MATCH(Lists!$F$7,$A$1:$AL$1,0))&amp;"")="","",IF(ISNUMBER(INDEX($A463:$AL463,MATCH(Lists!$F$7,$A$1:$AL$1,0))),ROUND(MOD(INDEX($A463:$AL463,MATCH(Lists!$F$7,$A$1:$AL$1,0)),1)*1440,0),VALUE(LEFT(INDEX($A463:$AL463,MATCH(Lists!$F$7,$A$1:$AL$1,0)),2))*60+VALUE(MID(INDEX($A463:$AL463,MATCH(Lists!$F$7,$A$1:$AL$1,0)),4,2)))),""),-1))</f>
        <v/>
      </c>
      <c r="AW463" s="21">
        <f>IF(IFERROR(TRIM(INDEX($A463:$AL463,MATCH(Lists!$F$2,$A$1:$AL$1,0))&amp;""),"")="","",IF(IFERROR(TRIM(INDEX($A463:$AL463,MATCH(Lists!$F$8,$A$1:$AL$1,0))&amp;""),"")&lt;&gt;"",IFERROR(TRIM(INDEX($A463:$AL463,MATCH(Lists!$F$8,$A$1:$AL$1,0))&amp;""),""),IFERROR(TRIM(INDEX($A463:$AL463,MATCH(Lists!$F$9,$A$1:$AL$1,0))&amp;""),"")))</f>
        <v/>
      </c>
      <c r="AX463" s="21">
        <f>IFERROR(IF(TRIM(INDEX($A463:$AL463,MATCH(Lists!$F$10,$A$1:$AL$1,0))&amp;"")="","",VALUE(TRIM(INDEX($A463:$AL463,MATCH(Lists!$F$10,$A$1:$AL$1,0))&amp;""))),"")</f>
        <v/>
      </c>
      <c r="AY463" s="21">
        <f>IF(IFERROR(TRIM(INDEX($A463:$AL463,MATCH(Lists!$F$2,$A$1:$AL$1,0))&amp;""),"")="","",IF(AN463="","New",AN463))</f>
        <v/>
      </c>
      <c r="AZ463" s="21">
        <f>IF(IFERROR(TRIM(INDEX($A463:$AL463,MATCH(Lists!$F$2,$A$1:$AL$1,0))&amp;""),"")="","",IF(OR(IFERROR(TRIM(INDEX($A463:$AL463,MATCH(Lists!$F$13,$A$1:$AL$1,0))&amp;""),"")="Paid",IFERROR(TRIM(INDEX($A463:$AL463,MATCH(Lists!$F$13,$A$1:$AL$1,0))&amp;""),"")="Partially refunded"),"Paid",IF(AP463="Yes","Paid (by hand)",IFERROR(TRIM(INDEX($A463:$AL463,MATCH(Lists!$F$13,$A$1:$AL$1,0))&amp;""),""))))</f>
        <v/>
      </c>
      <c r="BA463" s="21">
        <f>IF(AND(IFERROR(TRIM(INDEX($A463:$AL463,MATCH(Lists!$F$2,$A$1:$AL$1,0))&amp;""),"")&lt;&gt;"",AT463&gt;0,AU463&gt;=0,AV463&gt;AU463,AY463&lt;&gt;"Declined"),1,0)</f>
        <v/>
      </c>
      <c r="BB463" s="21">
        <f>IF(BA463=1,COUNTIFS($AS$2:$AS$501,AS463,$AT$2:$AT$501,AT463,$AU$2:$AU$501,"&lt;"&amp;AV463,$AV$2:$AV$501,"&gt;"&amp;AU463,$BA$2:$BA$501,1)-1,"")</f>
        <v/>
      </c>
      <c r="BC463" s="21">
        <f>IF(N(BB463)&gt;0,"Clashes with "&amp;INDEX($AW$2:$AW$501,SUMPRODUCT(MAX(($AS$2:$AS$501=AS463)*($AT$2:$AT$501=AT463)*($AU$2:$AU$501&lt;AV463)*($AV$2:$AV$501&gt;AU463)*($BA$2:$BA$501=1)*(ROW($AS$2:$AS$501)&lt;&gt;ROW())*ROW($AS$2:$AS$501)))-1)&amp;" ("&amp;INDEX($AY$2:$AY$501,SUMPRODUCT(MAX(($AS$2:$AS$501=AS463)*($AT$2:$AT$501=AT463)*($AU$2:$AU$501&lt;AV463)*($AV$2:$AV$501&gt;AU463)*($BA$2:$BA$501=1)*(ROW($AS$2:$AS$501)&lt;&gt;ROW())*ROW($AS$2:$AS$501)))-1)&amp;")"&amp;IF(BB463&gt;1," and "&amp;(BB463-1)&amp;" more",""),"")</f>
        <v/>
      </c>
      <c r="BD463" s="21">
        <f>IF(AND(BA463=1,AY463="Confirmed"),AT463*10000000+AU463*1000+ROW(),"")</f>
        <v/>
      </c>
      <c r="BE463" s="21">
        <f>IF(IFERROR(TRIM(INDEX($A463:$AL463,MATCH(Lists!$F$2,$A$1:$AL$1,0))&amp;""),"")="","",IFERROR(TRIM(INDEX($A463:$AL463,MATCH(Lists!$F$11,$A$1:$AL$1,0))&amp;""),""))</f>
        <v/>
      </c>
      <c r="BF463" s="21">
        <f>IF(IFERROR(TRIM(INDEX($A463:$AL463,MATCH(Lists!$F$2,$A$1:$AL$1,0))&amp;""),"")="","",IFERROR(TRIM(INDEX($A463:$AL463,MATCH(Lists!$F$12,$A$1:$AL$1,0))&amp;""),""))</f>
        <v/>
      </c>
    </row>
    <row r="464">
      <c r="AM464" s="19" t="n"/>
      <c r="AN464" s="23" t="n"/>
      <c r="AO464" s="23" t="n"/>
      <c r="AP464" s="23" t="n"/>
      <c r="AQ464" s="23" t="n"/>
      <c r="AR464" s="19" t="n"/>
      <c r="AS464" s="21">
        <f>IF(IFERROR(TRIM(INDEX($A464:$AL464,MATCH(Lists!$F$2,$A$1:$AL$1,0))&amp;""),"")="","",IF(AND(IFERROR(TRIM(INDEX($A464:$AL464,MATCH(Lists!$F$3,$A$1:$AL$1,0))&amp;""),"")="Other",IFERROR(TRIM(INDEX($A464:$AL464,MATCH(Lists!$F$4,$A$1:$AL$1,0))&amp;""),"")&lt;&gt;""),IFERROR(TRIM(INDEX($A464:$AL464,MATCH(Lists!$F$4,$A$1:$AL$1,0))&amp;""),""),IF(IFERROR(TRIM(INDEX($A464:$AL464,MATCH(Lists!$F$3,$A$1:$AL$1,0))&amp;""),"")="","(no space)",IFERROR(TRIM(INDEX($A464:$AL464,MATCH(Lists!$F$3,$A$1:$AL$1,0))&amp;""),""))))</f>
        <v/>
      </c>
      <c r="AT464" s="22">
        <f>IF(IFERROR(TRIM(INDEX($A464:$AL464,MATCH(Lists!$F$2,$A$1:$AL$1,0))&amp;""),"")="",0,N(IFERROR(IF(TRIM(INDEX($A464:$AL464,MATCH(Lists!$F$5,$A$1:$AL$1,0))&amp;"")="","",IF(ISNUMBER(INDEX($A464:$AL464,MATCH(Lists!$F$5,$A$1:$AL$1,0))),INT(INDEX($A464:$AL464,MATCH(Lists!$F$5,$A$1:$AL$1,0))),DATE(VALUE(LEFT(INDEX($A464:$AL464,MATCH(Lists!$F$5,$A$1:$AL$1,0)),4)),VALUE(MID(INDEX($A464:$AL464,MATCH(Lists!$F$5,$A$1:$AL$1,0)),6,2)),VALUE(MID(INDEX($A464:$AL464,MATCH(Lists!$F$5,$A$1:$AL$1,0)),9,2))))),"")))</f>
        <v/>
      </c>
      <c r="AU464" s="21">
        <f>IF(IFERROR(TRIM(INDEX($A464:$AL464,MATCH(Lists!$F$2,$A$1:$AL$1,0))&amp;""),"")="",-1,IF(ISNUMBER(IFERROR(IF(TRIM(INDEX($A464:$AL464,MATCH(Lists!$F$6,$A$1:$AL$1,0))&amp;"")="","",IF(ISNUMBER(INDEX($A464:$AL464,MATCH(Lists!$F$6,$A$1:$AL$1,0))),ROUND(MOD(INDEX($A464:$AL464,MATCH(Lists!$F$6,$A$1:$AL$1,0)),1)*1440,0),VALUE(LEFT(INDEX($A464:$AL464,MATCH(Lists!$F$6,$A$1:$AL$1,0)),2))*60+VALUE(MID(INDEX($A464:$AL464,MATCH(Lists!$F$6,$A$1:$AL$1,0)),4,2)))),"")),IFERROR(IF(TRIM(INDEX($A464:$AL464,MATCH(Lists!$F$6,$A$1:$AL$1,0))&amp;"")="","",IF(ISNUMBER(INDEX($A464:$AL464,MATCH(Lists!$F$6,$A$1:$AL$1,0))),ROUND(MOD(INDEX($A464:$AL464,MATCH(Lists!$F$6,$A$1:$AL$1,0)),1)*1440,0),VALUE(LEFT(INDEX($A464:$AL464,MATCH(Lists!$F$6,$A$1:$AL$1,0)),2))*60+VALUE(MID(INDEX($A464:$AL464,MATCH(Lists!$F$6,$A$1:$AL$1,0)),4,2)))),""),-1))</f>
        <v/>
      </c>
      <c r="AV464" s="21">
        <f>IF(IFERROR(TRIM(INDEX($A464:$AL464,MATCH(Lists!$F$2,$A$1:$AL$1,0))&amp;""),"")="",-1,IF(ISNUMBER(IFERROR(IF(TRIM(INDEX($A464:$AL464,MATCH(Lists!$F$7,$A$1:$AL$1,0))&amp;"")="","",IF(ISNUMBER(INDEX($A464:$AL464,MATCH(Lists!$F$7,$A$1:$AL$1,0))),ROUND(MOD(INDEX($A464:$AL464,MATCH(Lists!$F$7,$A$1:$AL$1,0)),1)*1440,0),VALUE(LEFT(INDEX($A464:$AL464,MATCH(Lists!$F$7,$A$1:$AL$1,0)),2))*60+VALUE(MID(INDEX($A464:$AL464,MATCH(Lists!$F$7,$A$1:$AL$1,0)),4,2)))),"")),IFERROR(IF(TRIM(INDEX($A464:$AL464,MATCH(Lists!$F$7,$A$1:$AL$1,0))&amp;"")="","",IF(ISNUMBER(INDEX($A464:$AL464,MATCH(Lists!$F$7,$A$1:$AL$1,0))),ROUND(MOD(INDEX($A464:$AL464,MATCH(Lists!$F$7,$A$1:$AL$1,0)),1)*1440,0),VALUE(LEFT(INDEX($A464:$AL464,MATCH(Lists!$F$7,$A$1:$AL$1,0)),2))*60+VALUE(MID(INDEX($A464:$AL464,MATCH(Lists!$F$7,$A$1:$AL$1,0)),4,2)))),""),-1))</f>
        <v/>
      </c>
      <c r="AW464" s="21">
        <f>IF(IFERROR(TRIM(INDEX($A464:$AL464,MATCH(Lists!$F$2,$A$1:$AL$1,0))&amp;""),"")="","",IF(IFERROR(TRIM(INDEX($A464:$AL464,MATCH(Lists!$F$8,$A$1:$AL$1,0))&amp;""),"")&lt;&gt;"",IFERROR(TRIM(INDEX($A464:$AL464,MATCH(Lists!$F$8,$A$1:$AL$1,0))&amp;""),""),IFERROR(TRIM(INDEX($A464:$AL464,MATCH(Lists!$F$9,$A$1:$AL$1,0))&amp;""),"")))</f>
        <v/>
      </c>
      <c r="AX464" s="21">
        <f>IFERROR(IF(TRIM(INDEX($A464:$AL464,MATCH(Lists!$F$10,$A$1:$AL$1,0))&amp;"")="","",VALUE(TRIM(INDEX($A464:$AL464,MATCH(Lists!$F$10,$A$1:$AL$1,0))&amp;""))),"")</f>
        <v/>
      </c>
      <c r="AY464" s="21">
        <f>IF(IFERROR(TRIM(INDEX($A464:$AL464,MATCH(Lists!$F$2,$A$1:$AL$1,0))&amp;""),"")="","",IF(AN464="","New",AN464))</f>
        <v/>
      </c>
      <c r="AZ464" s="21">
        <f>IF(IFERROR(TRIM(INDEX($A464:$AL464,MATCH(Lists!$F$2,$A$1:$AL$1,0))&amp;""),"")="","",IF(OR(IFERROR(TRIM(INDEX($A464:$AL464,MATCH(Lists!$F$13,$A$1:$AL$1,0))&amp;""),"")="Paid",IFERROR(TRIM(INDEX($A464:$AL464,MATCH(Lists!$F$13,$A$1:$AL$1,0))&amp;""),"")="Partially refunded"),"Paid",IF(AP464="Yes","Paid (by hand)",IFERROR(TRIM(INDEX($A464:$AL464,MATCH(Lists!$F$13,$A$1:$AL$1,0))&amp;""),""))))</f>
        <v/>
      </c>
      <c r="BA464" s="21">
        <f>IF(AND(IFERROR(TRIM(INDEX($A464:$AL464,MATCH(Lists!$F$2,$A$1:$AL$1,0))&amp;""),"")&lt;&gt;"",AT464&gt;0,AU464&gt;=0,AV464&gt;AU464,AY464&lt;&gt;"Declined"),1,0)</f>
        <v/>
      </c>
      <c r="BB464" s="21">
        <f>IF(BA464=1,COUNTIFS($AS$2:$AS$501,AS464,$AT$2:$AT$501,AT464,$AU$2:$AU$501,"&lt;"&amp;AV464,$AV$2:$AV$501,"&gt;"&amp;AU464,$BA$2:$BA$501,1)-1,"")</f>
        <v/>
      </c>
      <c r="BC464" s="21">
        <f>IF(N(BB464)&gt;0,"Clashes with "&amp;INDEX($AW$2:$AW$501,SUMPRODUCT(MAX(($AS$2:$AS$501=AS464)*($AT$2:$AT$501=AT464)*($AU$2:$AU$501&lt;AV464)*($AV$2:$AV$501&gt;AU464)*($BA$2:$BA$501=1)*(ROW($AS$2:$AS$501)&lt;&gt;ROW())*ROW($AS$2:$AS$501)))-1)&amp;" ("&amp;INDEX($AY$2:$AY$501,SUMPRODUCT(MAX(($AS$2:$AS$501=AS464)*($AT$2:$AT$501=AT464)*($AU$2:$AU$501&lt;AV464)*($AV$2:$AV$501&gt;AU464)*($BA$2:$BA$501=1)*(ROW($AS$2:$AS$501)&lt;&gt;ROW())*ROW($AS$2:$AS$501)))-1)&amp;")"&amp;IF(BB464&gt;1," and "&amp;(BB464-1)&amp;" more",""),"")</f>
        <v/>
      </c>
      <c r="BD464" s="21">
        <f>IF(AND(BA464=1,AY464="Confirmed"),AT464*10000000+AU464*1000+ROW(),"")</f>
        <v/>
      </c>
      <c r="BE464" s="21">
        <f>IF(IFERROR(TRIM(INDEX($A464:$AL464,MATCH(Lists!$F$2,$A$1:$AL$1,0))&amp;""),"")="","",IFERROR(TRIM(INDEX($A464:$AL464,MATCH(Lists!$F$11,$A$1:$AL$1,0))&amp;""),""))</f>
        <v/>
      </c>
      <c r="BF464" s="21">
        <f>IF(IFERROR(TRIM(INDEX($A464:$AL464,MATCH(Lists!$F$2,$A$1:$AL$1,0))&amp;""),"")="","",IFERROR(TRIM(INDEX($A464:$AL464,MATCH(Lists!$F$12,$A$1:$AL$1,0))&amp;""),""))</f>
        <v/>
      </c>
    </row>
    <row r="465">
      <c r="AM465" s="19" t="n"/>
      <c r="AN465" s="23" t="n"/>
      <c r="AO465" s="23" t="n"/>
      <c r="AP465" s="23" t="n"/>
      <c r="AQ465" s="23" t="n"/>
      <c r="AR465" s="19" t="n"/>
      <c r="AS465" s="21">
        <f>IF(IFERROR(TRIM(INDEX($A465:$AL465,MATCH(Lists!$F$2,$A$1:$AL$1,0))&amp;""),"")="","",IF(AND(IFERROR(TRIM(INDEX($A465:$AL465,MATCH(Lists!$F$3,$A$1:$AL$1,0))&amp;""),"")="Other",IFERROR(TRIM(INDEX($A465:$AL465,MATCH(Lists!$F$4,$A$1:$AL$1,0))&amp;""),"")&lt;&gt;""),IFERROR(TRIM(INDEX($A465:$AL465,MATCH(Lists!$F$4,$A$1:$AL$1,0))&amp;""),""),IF(IFERROR(TRIM(INDEX($A465:$AL465,MATCH(Lists!$F$3,$A$1:$AL$1,0))&amp;""),"")="","(no space)",IFERROR(TRIM(INDEX($A465:$AL465,MATCH(Lists!$F$3,$A$1:$AL$1,0))&amp;""),""))))</f>
        <v/>
      </c>
      <c r="AT465" s="22">
        <f>IF(IFERROR(TRIM(INDEX($A465:$AL465,MATCH(Lists!$F$2,$A$1:$AL$1,0))&amp;""),"")="",0,N(IFERROR(IF(TRIM(INDEX($A465:$AL465,MATCH(Lists!$F$5,$A$1:$AL$1,0))&amp;"")="","",IF(ISNUMBER(INDEX($A465:$AL465,MATCH(Lists!$F$5,$A$1:$AL$1,0))),INT(INDEX($A465:$AL465,MATCH(Lists!$F$5,$A$1:$AL$1,0))),DATE(VALUE(LEFT(INDEX($A465:$AL465,MATCH(Lists!$F$5,$A$1:$AL$1,0)),4)),VALUE(MID(INDEX($A465:$AL465,MATCH(Lists!$F$5,$A$1:$AL$1,0)),6,2)),VALUE(MID(INDEX($A465:$AL465,MATCH(Lists!$F$5,$A$1:$AL$1,0)),9,2))))),"")))</f>
        <v/>
      </c>
      <c r="AU465" s="21">
        <f>IF(IFERROR(TRIM(INDEX($A465:$AL465,MATCH(Lists!$F$2,$A$1:$AL$1,0))&amp;""),"")="",-1,IF(ISNUMBER(IFERROR(IF(TRIM(INDEX($A465:$AL465,MATCH(Lists!$F$6,$A$1:$AL$1,0))&amp;"")="","",IF(ISNUMBER(INDEX($A465:$AL465,MATCH(Lists!$F$6,$A$1:$AL$1,0))),ROUND(MOD(INDEX($A465:$AL465,MATCH(Lists!$F$6,$A$1:$AL$1,0)),1)*1440,0),VALUE(LEFT(INDEX($A465:$AL465,MATCH(Lists!$F$6,$A$1:$AL$1,0)),2))*60+VALUE(MID(INDEX($A465:$AL465,MATCH(Lists!$F$6,$A$1:$AL$1,0)),4,2)))),"")),IFERROR(IF(TRIM(INDEX($A465:$AL465,MATCH(Lists!$F$6,$A$1:$AL$1,0))&amp;"")="","",IF(ISNUMBER(INDEX($A465:$AL465,MATCH(Lists!$F$6,$A$1:$AL$1,0))),ROUND(MOD(INDEX($A465:$AL465,MATCH(Lists!$F$6,$A$1:$AL$1,0)),1)*1440,0),VALUE(LEFT(INDEX($A465:$AL465,MATCH(Lists!$F$6,$A$1:$AL$1,0)),2))*60+VALUE(MID(INDEX($A465:$AL465,MATCH(Lists!$F$6,$A$1:$AL$1,0)),4,2)))),""),-1))</f>
        <v/>
      </c>
      <c r="AV465" s="21">
        <f>IF(IFERROR(TRIM(INDEX($A465:$AL465,MATCH(Lists!$F$2,$A$1:$AL$1,0))&amp;""),"")="",-1,IF(ISNUMBER(IFERROR(IF(TRIM(INDEX($A465:$AL465,MATCH(Lists!$F$7,$A$1:$AL$1,0))&amp;"")="","",IF(ISNUMBER(INDEX($A465:$AL465,MATCH(Lists!$F$7,$A$1:$AL$1,0))),ROUND(MOD(INDEX($A465:$AL465,MATCH(Lists!$F$7,$A$1:$AL$1,0)),1)*1440,0),VALUE(LEFT(INDEX($A465:$AL465,MATCH(Lists!$F$7,$A$1:$AL$1,0)),2))*60+VALUE(MID(INDEX($A465:$AL465,MATCH(Lists!$F$7,$A$1:$AL$1,0)),4,2)))),"")),IFERROR(IF(TRIM(INDEX($A465:$AL465,MATCH(Lists!$F$7,$A$1:$AL$1,0))&amp;"")="","",IF(ISNUMBER(INDEX($A465:$AL465,MATCH(Lists!$F$7,$A$1:$AL$1,0))),ROUND(MOD(INDEX($A465:$AL465,MATCH(Lists!$F$7,$A$1:$AL$1,0)),1)*1440,0),VALUE(LEFT(INDEX($A465:$AL465,MATCH(Lists!$F$7,$A$1:$AL$1,0)),2))*60+VALUE(MID(INDEX($A465:$AL465,MATCH(Lists!$F$7,$A$1:$AL$1,0)),4,2)))),""),-1))</f>
        <v/>
      </c>
      <c r="AW465" s="21">
        <f>IF(IFERROR(TRIM(INDEX($A465:$AL465,MATCH(Lists!$F$2,$A$1:$AL$1,0))&amp;""),"")="","",IF(IFERROR(TRIM(INDEX($A465:$AL465,MATCH(Lists!$F$8,$A$1:$AL$1,0))&amp;""),"")&lt;&gt;"",IFERROR(TRIM(INDEX($A465:$AL465,MATCH(Lists!$F$8,$A$1:$AL$1,0))&amp;""),""),IFERROR(TRIM(INDEX($A465:$AL465,MATCH(Lists!$F$9,$A$1:$AL$1,0))&amp;""),"")))</f>
        <v/>
      </c>
      <c r="AX465" s="21">
        <f>IFERROR(IF(TRIM(INDEX($A465:$AL465,MATCH(Lists!$F$10,$A$1:$AL$1,0))&amp;"")="","",VALUE(TRIM(INDEX($A465:$AL465,MATCH(Lists!$F$10,$A$1:$AL$1,0))&amp;""))),"")</f>
        <v/>
      </c>
      <c r="AY465" s="21">
        <f>IF(IFERROR(TRIM(INDEX($A465:$AL465,MATCH(Lists!$F$2,$A$1:$AL$1,0))&amp;""),"")="","",IF(AN465="","New",AN465))</f>
        <v/>
      </c>
      <c r="AZ465" s="21">
        <f>IF(IFERROR(TRIM(INDEX($A465:$AL465,MATCH(Lists!$F$2,$A$1:$AL$1,0))&amp;""),"")="","",IF(OR(IFERROR(TRIM(INDEX($A465:$AL465,MATCH(Lists!$F$13,$A$1:$AL$1,0))&amp;""),"")="Paid",IFERROR(TRIM(INDEX($A465:$AL465,MATCH(Lists!$F$13,$A$1:$AL$1,0))&amp;""),"")="Partially refunded"),"Paid",IF(AP465="Yes","Paid (by hand)",IFERROR(TRIM(INDEX($A465:$AL465,MATCH(Lists!$F$13,$A$1:$AL$1,0))&amp;""),""))))</f>
        <v/>
      </c>
      <c r="BA465" s="21">
        <f>IF(AND(IFERROR(TRIM(INDEX($A465:$AL465,MATCH(Lists!$F$2,$A$1:$AL$1,0))&amp;""),"")&lt;&gt;"",AT465&gt;0,AU465&gt;=0,AV465&gt;AU465,AY465&lt;&gt;"Declined"),1,0)</f>
        <v/>
      </c>
      <c r="BB465" s="21">
        <f>IF(BA465=1,COUNTIFS($AS$2:$AS$501,AS465,$AT$2:$AT$501,AT465,$AU$2:$AU$501,"&lt;"&amp;AV465,$AV$2:$AV$501,"&gt;"&amp;AU465,$BA$2:$BA$501,1)-1,"")</f>
        <v/>
      </c>
      <c r="BC465" s="21">
        <f>IF(N(BB465)&gt;0,"Clashes with "&amp;INDEX($AW$2:$AW$501,SUMPRODUCT(MAX(($AS$2:$AS$501=AS465)*($AT$2:$AT$501=AT465)*($AU$2:$AU$501&lt;AV465)*($AV$2:$AV$501&gt;AU465)*($BA$2:$BA$501=1)*(ROW($AS$2:$AS$501)&lt;&gt;ROW())*ROW($AS$2:$AS$501)))-1)&amp;" ("&amp;INDEX($AY$2:$AY$501,SUMPRODUCT(MAX(($AS$2:$AS$501=AS465)*($AT$2:$AT$501=AT465)*($AU$2:$AU$501&lt;AV465)*($AV$2:$AV$501&gt;AU465)*($BA$2:$BA$501=1)*(ROW($AS$2:$AS$501)&lt;&gt;ROW())*ROW($AS$2:$AS$501)))-1)&amp;")"&amp;IF(BB465&gt;1," and "&amp;(BB465-1)&amp;" more",""),"")</f>
        <v/>
      </c>
      <c r="BD465" s="21">
        <f>IF(AND(BA465=1,AY465="Confirmed"),AT465*10000000+AU465*1000+ROW(),"")</f>
        <v/>
      </c>
      <c r="BE465" s="21">
        <f>IF(IFERROR(TRIM(INDEX($A465:$AL465,MATCH(Lists!$F$2,$A$1:$AL$1,0))&amp;""),"")="","",IFERROR(TRIM(INDEX($A465:$AL465,MATCH(Lists!$F$11,$A$1:$AL$1,0))&amp;""),""))</f>
        <v/>
      </c>
      <c r="BF465" s="21">
        <f>IF(IFERROR(TRIM(INDEX($A465:$AL465,MATCH(Lists!$F$2,$A$1:$AL$1,0))&amp;""),"")="","",IFERROR(TRIM(INDEX($A465:$AL465,MATCH(Lists!$F$12,$A$1:$AL$1,0))&amp;""),""))</f>
        <v/>
      </c>
    </row>
    <row r="466">
      <c r="AM466" s="19" t="n"/>
      <c r="AN466" s="23" t="n"/>
      <c r="AO466" s="23" t="n"/>
      <c r="AP466" s="23" t="n"/>
      <c r="AQ466" s="23" t="n"/>
      <c r="AR466" s="19" t="n"/>
      <c r="AS466" s="21">
        <f>IF(IFERROR(TRIM(INDEX($A466:$AL466,MATCH(Lists!$F$2,$A$1:$AL$1,0))&amp;""),"")="","",IF(AND(IFERROR(TRIM(INDEX($A466:$AL466,MATCH(Lists!$F$3,$A$1:$AL$1,0))&amp;""),"")="Other",IFERROR(TRIM(INDEX($A466:$AL466,MATCH(Lists!$F$4,$A$1:$AL$1,0))&amp;""),"")&lt;&gt;""),IFERROR(TRIM(INDEX($A466:$AL466,MATCH(Lists!$F$4,$A$1:$AL$1,0))&amp;""),""),IF(IFERROR(TRIM(INDEX($A466:$AL466,MATCH(Lists!$F$3,$A$1:$AL$1,0))&amp;""),"")="","(no space)",IFERROR(TRIM(INDEX($A466:$AL466,MATCH(Lists!$F$3,$A$1:$AL$1,0))&amp;""),""))))</f>
        <v/>
      </c>
      <c r="AT466" s="22">
        <f>IF(IFERROR(TRIM(INDEX($A466:$AL466,MATCH(Lists!$F$2,$A$1:$AL$1,0))&amp;""),"")="",0,N(IFERROR(IF(TRIM(INDEX($A466:$AL466,MATCH(Lists!$F$5,$A$1:$AL$1,0))&amp;"")="","",IF(ISNUMBER(INDEX($A466:$AL466,MATCH(Lists!$F$5,$A$1:$AL$1,0))),INT(INDEX($A466:$AL466,MATCH(Lists!$F$5,$A$1:$AL$1,0))),DATE(VALUE(LEFT(INDEX($A466:$AL466,MATCH(Lists!$F$5,$A$1:$AL$1,0)),4)),VALUE(MID(INDEX($A466:$AL466,MATCH(Lists!$F$5,$A$1:$AL$1,0)),6,2)),VALUE(MID(INDEX($A466:$AL466,MATCH(Lists!$F$5,$A$1:$AL$1,0)),9,2))))),"")))</f>
        <v/>
      </c>
      <c r="AU466" s="21">
        <f>IF(IFERROR(TRIM(INDEX($A466:$AL466,MATCH(Lists!$F$2,$A$1:$AL$1,0))&amp;""),"")="",-1,IF(ISNUMBER(IFERROR(IF(TRIM(INDEX($A466:$AL466,MATCH(Lists!$F$6,$A$1:$AL$1,0))&amp;"")="","",IF(ISNUMBER(INDEX($A466:$AL466,MATCH(Lists!$F$6,$A$1:$AL$1,0))),ROUND(MOD(INDEX($A466:$AL466,MATCH(Lists!$F$6,$A$1:$AL$1,0)),1)*1440,0),VALUE(LEFT(INDEX($A466:$AL466,MATCH(Lists!$F$6,$A$1:$AL$1,0)),2))*60+VALUE(MID(INDEX($A466:$AL466,MATCH(Lists!$F$6,$A$1:$AL$1,0)),4,2)))),"")),IFERROR(IF(TRIM(INDEX($A466:$AL466,MATCH(Lists!$F$6,$A$1:$AL$1,0))&amp;"")="","",IF(ISNUMBER(INDEX($A466:$AL466,MATCH(Lists!$F$6,$A$1:$AL$1,0))),ROUND(MOD(INDEX($A466:$AL466,MATCH(Lists!$F$6,$A$1:$AL$1,0)),1)*1440,0),VALUE(LEFT(INDEX($A466:$AL466,MATCH(Lists!$F$6,$A$1:$AL$1,0)),2))*60+VALUE(MID(INDEX($A466:$AL466,MATCH(Lists!$F$6,$A$1:$AL$1,0)),4,2)))),""),-1))</f>
        <v/>
      </c>
      <c r="AV466" s="21">
        <f>IF(IFERROR(TRIM(INDEX($A466:$AL466,MATCH(Lists!$F$2,$A$1:$AL$1,0))&amp;""),"")="",-1,IF(ISNUMBER(IFERROR(IF(TRIM(INDEX($A466:$AL466,MATCH(Lists!$F$7,$A$1:$AL$1,0))&amp;"")="","",IF(ISNUMBER(INDEX($A466:$AL466,MATCH(Lists!$F$7,$A$1:$AL$1,0))),ROUND(MOD(INDEX($A466:$AL466,MATCH(Lists!$F$7,$A$1:$AL$1,0)),1)*1440,0),VALUE(LEFT(INDEX($A466:$AL466,MATCH(Lists!$F$7,$A$1:$AL$1,0)),2))*60+VALUE(MID(INDEX($A466:$AL466,MATCH(Lists!$F$7,$A$1:$AL$1,0)),4,2)))),"")),IFERROR(IF(TRIM(INDEX($A466:$AL466,MATCH(Lists!$F$7,$A$1:$AL$1,0))&amp;"")="","",IF(ISNUMBER(INDEX($A466:$AL466,MATCH(Lists!$F$7,$A$1:$AL$1,0))),ROUND(MOD(INDEX($A466:$AL466,MATCH(Lists!$F$7,$A$1:$AL$1,0)),1)*1440,0),VALUE(LEFT(INDEX($A466:$AL466,MATCH(Lists!$F$7,$A$1:$AL$1,0)),2))*60+VALUE(MID(INDEX($A466:$AL466,MATCH(Lists!$F$7,$A$1:$AL$1,0)),4,2)))),""),-1))</f>
        <v/>
      </c>
      <c r="AW466" s="21">
        <f>IF(IFERROR(TRIM(INDEX($A466:$AL466,MATCH(Lists!$F$2,$A$1:$AL$1,0))&amp;""),"")="","",IF(IFERROR(TRIM(INDEX($A466:$AL466,MATCH(Lists!$F$8,$A$1:$AL$1,0))&amp;""),"")&lt;&gt;"",IFERROR(TRIM(INDEX($A466:$AL466,MATCH(Lists!$F$8,$A$1:$AL$1,0))&amp;""),""),IFERROR(TRIM(INDEX($A466:$AL466,MATCH(Lists!$F$9,$A$1:$AL$1,0))&amp;""),"")))</f>
        <v/>
      </c>
      <c r="AX466" s="21">
        <f>IFERROR(IF(TRIM(INDEX($A466:$AL466,MATCH(Lists!$F$10,$A$1:$AL$1,0))&amp;"")="","",VALUE(TRIM(INDEX($A466:$AL466,MATCH(Lists!$F$10,$A$1:$AL$1,0))&amp;""))),"")</f>
        <v/>
      </c>
      <c r="AY466" s="21">
        <f>IF(IFERROR(TRIM(INDEX($A466:$AL466,MATCH(Lists!$F$2,$A$1:$AL$1,0))&amp;""),"")="","",IF(AN466="","New",AN466))</f>
        <v/>
      </c>
      <c r="AZ466" s="21">
        <f>IF(IFERROR(TRIM(INDEX($A466:$AL466,MATCH(Lists!$F$2,$A$1:$AL$1,0))&amp;""),"")="","",IF(OR(IFERROR(TRIM(INDEX($A466:$AL466,MATCH(Lists!$F$13,$A$1:$AL$1,0))&amp;""),"")="Paid",IFERROR(TRIM(INDEX($A466:$AL466,MATCH(Lists!$F$13,$A$1:$AL$1,0))&amp;""),"")="Partially refunded"),"Paid",IF(AP466="Yes","Paid (by hand)",IFERROR(TRIM(INDEX($A466:$AL466,MATCH(Lists!$F$13,$A$1:$AL$1,0))&amp;""),""))))</f>
        <v/>
      </c>
      <c r="BA466" s="21">
        <f>IF(AND(IFERROR(TRIM(INDEX($A466:$AL466,MATCH(Lists!$F$2,$A$1:$AL$1,0))&amp;""),"")&lt;&gt;"",AT466&gt;0,AU466&gt;=0,AV466&gt;AU466,AY466&lt;&gt;"Declined"),1,0)</f>
        <v/>
      </c>
      <c r="BB466" s="21">
        <f>IF(BA466=1,COUNTIFS($AS$2:$AS$501,AS466,$AT$2:$AT$501,AT466,$AU$2:$AU$501,"&lt;"&amp;AV466,$AV$2:$AV$501,"&gt;"&amp;AU466,$BA$2:$BA$501,1)-1,"")</f>
        <v/>
      </c>
      <c r="BC466" s="21">
        <f>IF(N(BB466)&gt;0,"Clashes with "&amp;INDEX($AW$2:$AW$501,SUMPRODUCT(MAX(($AS$2:$AS$501=AS466)*($AT$2:$AT$501=AT466)*($AU$2:$AU$501&lt;AV466)*($AV$2:$AV$501&gt;AU466)*($BA$2:$BA$501=1)*(ROW($AS$2:$AS$501)&lt;&gt;ROW())*ROW($AS$2:$AS$501)))-1)&amp;" ("&amp;INDEX($AY$2:$AY$501,SUMPRODUCT(MAX(($AS$2:$AS$501=AS466)*($AT$2:$AT$501=AT466)*($AU$2:$AU$501&lt;AV466)*($AV$2:$AV$501&gt;AU466)*($BA$2:$BA$501=1)*(ROW($AS$2:$AS$501)&lt;&gt;ROW())*ROW($AS$2:$AS$501)))-1)&amp;")"&amp;IF(BB466&gt;1," and "&amp;(BB466-1)&amp;" more",""),"")</f>
        <v/>
      </c>
      <c r="BD466" s="21">
        <f>IF(AND(BA466=1,AY466="Confirmed"),AT466*10000000+AU466*1000+ROW(),"")</f>
        <v/>
      </c>
      <c r="BE466" s="21">
        <f>IF(IFERROR(TRIM(INDEX($A466:$AL466,MATCH(Lists!$F$2,$A$1:$AL$1,0))&amp;""),"")="","",IFERROR(TRIM(INDEX($A466:$AL466,MATCH(Lists!$F$11,$A$1:$AL$1,0))&amp;""),""))</f>
        <v/>
      </c>
      <c r="BF466" s="21">
        <f>IF(IFERROR(TRIM(INDEX($A466:$AL466,MATCH(Lists!$F$2,$A$1:$AL$1,0))&amp;""),"")="","",IFERROR(TRIM(INDEX($A466:$AL466,MATCH(Lists!$F$12,$A$1:$AL$1,0))&amp;""),""))</f>
        <v/>
      </c>
    </row>
    <row r="467">
      <c r="AM467" s="19" t="n"/>
      <c r="AN467" s="23" t="n"/>
      <c r="AO467" s="23" t="n"/>
      <c r="AP467" s="23" t="n"/>
      <c r="AQ467" s="23" t="n"/>
      <c r="AR467" s="19" t="n"/>
      <c r="AS467" s="21">
        <f>IF(IFERROR(TRIM(INDEX($A467:$AL467,MATCH(Lists!$F$2,$A$1:$AL$1,0))&amp;""),"")="","",IF(AND(IFERROR(TRIM(INDEX($A467:$AL467,MATCH(Lists!$F$3,$A$1:$AL$1,0))&amp;""),"")="Other",IFERROR(TRIM(INDEX($A467:$AL467,MATCH(Lists!$F$4,$A$1:$AL$1,0))&amp;""),"")&lt;&gt;""),IFERROR(TRIM(INDEX($A467:$AL467,MATCH(Lists!$F$4,$A$1:$AL$1,0))&amp;""),""),IF(IFERROR(TRIM(INDEX($A467:$AL467,MATCH(Lists!$F$3,$A$1:$AL$1,0))&amp;""),"")="","(no space)",IFERROR(TRIM(INDEX($A467:$AL467,MATCH(Lists!$F$3,$A$1:$AL$1,0))&amp;""),""))))</f>
        <v/>
      </c>
      <c r="AT467" s="22">
        <f>IF(IFERROR(TRIM(INDEX($A467:$AL467,MATCH(Lists!$F$2,$A$1:$AL$1,0))&amp;""),"")="",0,N(IFERROR(IF(TRIM(INDEX($A467:$AL467,MATCH(Lists!$F$5,$A$1:$AL$1,0))&amp;"")="","",IF(ISNUMBER(INDEX($A467:$AL467,MATCH(Lists!$F$5,$A$1:$AL$1,0))),INT(INDEX($A467:$AL467,MATCH(Lists!$F$5,$A$1:$AL$1,0))),DATE(VALUE(LEFT(INDEX($A467:$AL467,MATCH(Lists!$F$5,$A$1:$AL$1,0)),4)),VALUE(MID(INDEX($A467:$AL467,MATCH(Lists!$F$5,$A$1:$AL$1,0)),6,2)),VALUE(MID(INDEX($A467:$AL467,MATCH(Lists!$F$5,$A$1:$AL$1,0)),9,2))))),"")))</f>
        <v/>
      </c>
      <c r="AU467" s="21">
        <f>IF(IFERROR(TRIM(INDEX($A467:$AL467,MATCH(Lists!$F$2,$A$1:$AL$1,0))&amp;""),"")="",-1,IF(ISNUMBER(IFERROR(IF(TRIM(INDEX($A467:$AL467,MATCH(Lists!$F$6,$A$1:$AL$1,0))&amp;"")="","",IF(ISNUMBER(INDEX($A467:$AL467,MATCH(Lists!$F$6,$A$1:$AL$1,0))),ROUND(MOD(INDEX($A467:$AL467,MATCH(Lists!$F$6,$A$1:$AL$1,0)),1)*1440,0),VALUE(LEFT(INDEX($A467:$AL467,MATCH(Lists!$F$6,$A$1:$AL$1,0)),2))*60+VALUE(MID(INDEX($A467:$AL467,MATCH(Lists!$F$6,$A$1:$AL$1,0)),4,2)))),"")),IFERROR(IF(TRIM(INDEX($A467:$AL467,MATCH(Lists!$F$6,$A$1:$AL$1,0))&amp;"")="","",IF(ISNUMBER(INDEX($A467:$AL467,MATCH(Lists!$F$6,$A$1:$AL$1,0))),ROUND(MOD(INDEX($A467:$AL467,MATCH(Lists!$F$6,$A$1:$AL$1,0)),1)*1440,0),VALUE(LEFT(INDEX($A467:$AL467,MATCH(Lists!$F$6,$A$1:$AL$1,0)),2))*60+VALUE(MID(INDEX($A467:$AL467,MATCH(Lists!$F$6,$A$1:$AL$1,0)),4,2)))),""),-1))</f>
        <v/>
      </c>
      <c r="AV467" s="21">
        <f>IF(IFERROR(TRIM(INDEX($A467:$AL467,MATCH(Lists!$F$2,$A$1:$AL$1,0))&amp;""),"")="",-1,IF(ISNUMBER(IFERROR(IF(TRIM(INDEX($A467:$AL467,MATCH(Lists!$F$7,$A$1:$AL$1,0))&amp;"")="","",IF(ISNUMBER(INDEX($A467:$AL467,MATCH(Lists!$F$7,$A$1:$AL$1,0))),ROUND(MOD(INDEX($A467:$AL467,MATCH(Lists!$F$7,$A$1:$AL$1,0)),1)*1440,0),VALUE(LEFT(INDEX($A467:$AL467,MATCH(Lists!$F$7,$A$1:$AL$1,0)),2))*60+VALUE(MID(INDEX($A467:$AL467,MATCH(Lists!$F$7,$A$1:$AL$1,0)),4,2)))),"")),IFERROR(IF(TRIM(INDEX($A467:$AL467,MATCH(Lists!$F$7,$A$1:$AL$1,0))&amp;"")="","",IF(ISNUMBER(INDEX($A467:$AL467,MATCH(Lists!$F$7,$A$1:$AL$1,0))),ROUND(MOD(INDEX($A467:$AL467,MATCH(Lists!$F$7,$A$1:$AL$1,0)),1)*1440,0),VALUE(LEFT(INDEX($A467:$AL467,MATCH(Lists!$F$7,$A$1:$AL$1,0)),2))*60+VALUE(MID(INDEX($A467:$AL467,MATCH(Lists!$F$7,$A$1:$AL$1,0)),4,2)))),""),-1))</f>
        <v/>
      </c>
      <c r="AW467" s="21">
        <f>IF(IFERROR(TRIM(INDEX($A467:$AL467,MATCH(Lists!$F$2,$A$1:$AL$1,0))&amp;""),"")="","",IF(IFERROR(TRIM(INDEX($A467:$AL467,MATCH(Lists!$F$8,$A$1:$AL$1,0))&amp;""),"")&lt;&gt;"",IFERROR(TRIM(INDEX($A467:$AL467,MATCH(Lists!$F$8,$A$1:$AL$1,0))&amp;""),""),IFERROR(TRIM(INDEX($A467:$AL467,MATCH(Lists!$F$9,$A$1:$AL$1,0))&amp;""),"")))</f>
        <v/>
      </c>
      <c r="AX467" s="21">
        <f>IFERROR(IF(TRIM(INDEX($A467:$AL467,MATCH(Lists!$F$10,$A$1:$AL$1,0))&amp;"")="","",VALUE(TRIM(INDEX($A467:$AL467,MATCH(Lists!$F$10,$A$1:$AL$1,0))&amp;""))),"")</f>
        <v/>
      </c>
      <c r="AY467" s="21">
        <f>IF(IFERROR(TRIM(INDEX($A467:$AL467,MATCH(Lists!$F$2,$A$1:$AL$1,0))&amp;""),"")="","",IF(AN467="","New",AN467))</f>
        <v/>
      </c>
      <c r="AZ467" s="21">
        <f>IF(IFERROR(TRIM(INDEX($A467:$AL467,MATCH(Lists!$F$2,$A$1:$AL$1,0))&amp;""),"")="","",IF(OR(IFERROR(TRIM(INDEX($A467:$AL467,MATCH(Lists!$F$13,$A$1:$AL$1,0))&amp;""),"")="Paid",IFERROR(TRIM(INDEX($A467:$AL467,MATCH(Lists!$F$13,$A$1:$AL$1,0))&amp;""),"")="Partially refunded"),"Paid",IF(AP467="Yes","Paid (by hand)",IFERROR(TRIM(INDEX($A467:$AL467,MATCH(Lists!$F$13,$A$1:$AL$1,0))&amp;""),""))))</f>
        <v/>
      </c>
      <c r="BA467" s="21">
        <f>IF(AND(IFERROR(TRIM(INDEX($A467:$AL467,MATCH(Lists!$F$2,$A$1:$AL$1,0))&amp;""),"")&lt;&gt;"",AT467&gt;0,AU467&gt;=0,AV467&gt;AU467,AY467&lt;&gt;"Declined"),1,0)</f>
        <v/>
      </c>
      <c r="BB467" s="21">
        <f>IF(BA467=1,COUNTIFS($AS$2:$AS$501,AS467,$AT$2:$AT$501,AT467,$AU$2:$AU$501,"&lt;"&amp;AV467,$AV$2:$AV$501,"&gt;"&amp;AU467,$BA$2:$BA$501,1)-1,"")</f>
        <v/>
      </c>
      <c r="BC467" s="21">
        <f>IF(N(BB467)&gt;0,"Clashes with "&amp;INDEX($AW$2:$AW$501,SUMPRODUCT(MAX(($AS$2:$AS$501=AS467)*($AT$2:$AT$501=AT467)*($AU$2:$AU$501&lt;AV467)*($AV$2:$AV$501&gt;AU467)*($BA$2:$BA$501=1)*(ROW($AS$2:$AS$501)&lt;&gt;ROW())*ROW($AS$2:$AS$501)))-1)&amp;" ("&amp;INDEX($AY$2:$AY$501,SUMPRODUCT(MAX(($AS$2:$AS$501=AS467)*($AT$2:$AT$501=AT467)*($AU$2:$AU$501&lt;AV467)*($AV$2:$AV$501&gt;AU467)*($BA$2:$BA$501=1)*(ROW($AS$2:$AS$501)&lt;&gt;ROW())*ROW($AS$2:$AS$501)))-1)&amp;")"&amp;IF(BB467&gt;1," and "&amp;(BB467-1)&amp;" more",""),"")</f>
        <v/>
      </c>
      <c r="BD467" s="21">
        <f>IF(AND(BA467=1,AY467="Confirmed"),AT467*10000000+AU467*1000+ROW(),"")</f>
        <v/>
      </c>
      <c r="BE467" s="21">
        <f>IF(IFERROR(TRIM(INDEX($A467:$AL467,MATCH(Lists!$F$2,$A$1:$AL$1,0))&amp;""),"")="","",IFERROR(TRIM(INDEX($A467:$AL467,MATCH(Lists!$F$11,$A$1:$AL$1,0))&amp;""),""))</f>
        <v/>
      </c>
      <c r="BF467" s="21">
        <f>IF(IFERROR(TRIM(INDEX($A467:$AL467,MATCH(Lists!$F$2,$A$1:$AL$1,0))&amp;""),"")="","",IFERROR(TRIM(INDEX($A467:$AL467,MATCH(Lists!$F$12,$A$1:$AL$1,0))&amp;""),""))</f>
        <v/>
      </c>
    </row>
    <row r="468">
      <c r="AM468" s="19" t="n"/>
      <c r="AN468" s="23" t="n"/>
      <c r="AO468" s="23" t="n"/>
      <c r="AP468" s="23" t="n"/>
      <c r="AQ468" s="23" t="n"/>
      <c r="AR468" s="19" t="n"/>
      <c r="AS468" s="21">
        <f>IF(IFERROR(TRIM(INDEX($A468:$AL468,MATCH(Lists!$F$2,$A$1:$AL$1,0))&amp;""),"")="","",IF(AND(IFERROR(TRIM(INDEX($A468:$AL468,MATCH(Lists!$F$3,$A$1:$AL$1,0))&amp;""),"")="Other",IFERROR(TRIM(INDEX($A468:$AL468,MATCH(Lists!$F$4,$A$1:$AL$1,0))&amp;""),"")&lt;&gt;""),IFERROR(TRIM(INDEX($A468:$AL468,MATCH(Lists!$F$4,$A$1:$AL$1,0))&amp;""),""),IF(IFERROR(TRIM(INDEX($A468:$AL468,MATCH(Lists!$F$3,$A$1:$AL$1,0))&amp;""),"")="","(no space)",IFERROR(TRIM(INDEX($A468:$AL468,MATCH(Lists!$F$3,$A$1:$AL$1,0))&amp;""),""))))</f>
        <v/>
      </c>
      <c r="AT468" s="22">
        <f>IF(IFERROR(TRIM(INDEX($A468:$AL468,MATCH(Lists!$F$2,$A$1:$AL$1,0))&amp;""),"")="",0,N(IFERROR(IF(TRIM(INDEX($A468:$AL468,MATCH(Lists!$F$5,$A$1:$AL$1,0))&amp;"")="","",IF(ISNUMBER(INDEX($A468:$AL468,MATCH(Lists!$F$5,$A$1:$AL$1,0))),INT(INDEX($A468:$AL468,MATCH(Lists!$F$5,$A$1:$AL$1,0))),DATE(VALUE(LEFT(INDEX($A468:$AL468,MATCH(Lists!$F$5,$A$1:$AL$1,0)),4)),VALUE(MID(INDEX($A468:$AL468,MATCH(Lists!$F$5,$A$1:$AL$1,0)),6,2)),VALUE(MID(INDEX($A468:$AL468,MATCH(Lists!$F$5,$A$1:$AL$1,0)),9,2))))),"")))</f>
        <v/>
      </c>
      <c r="AU468" s="21">
        <f>IF(IFERROR(TRIM(INDEX($A468:$AL468,MATCH(Lists!$F$2,$A$1:$AL$1,0))&amp;""),"")="",-1,IF(ISNUMBER(IFERROR(IF(TRIM(INDEX($A468:$AL468,MATCH(Lists!$F$6,$A$1:$AL$1,0))&amp;"")="","",IF(ISNUMBER(INDEX($A468:$AL468,MATCH(Lists!$F$6,$A$1:$AL$1,0))),ROUND(MOD(INDEX($A468:$AL468,MATCH(Lists!$F$6,$A$1:$AL$1,0)),1)*1440,0),VALUE(LEFT(INDEX($A468:$AL468,MATCH(Lists!$F$6,$A$1:$AL$1,0)),2))*60+VALUE(MID(INDEX($A468:$AL468,MATCH(Lists!$F$6,$A$1:$AL$1,0)),4,2)))),"")),IFERROR(IF(TRIM(INDEX($A468:$AL468,MATCH(Lists!$F$6,$A$1:$AL$1,0))&amp;"")="","",IF(ISNUMBER(INDEX($A468:$AL468,MATCH(Lists!$F$6,$A$1:$AL$1,0))),ROUND(MOD(INDEX($A468:$AL468,MATCH(Lists!$F$6,$A$1:$AL$1,0)),1)*1440,0),VALUE(LEFT(INDEX($A468:$AL468,MATCH(Lists!$F$6,$A$1:$AL$1,0)),2))*60+VALUE(MID(INDEX($A468:$AL468,MATCH(Lists!$F$6,$A$1:$AL$1,0)),4,2)))),""),-1))</f>
        <v/>
      </c>
      <c r="AV468" s="21">
        <f>IF(IFERROR(TRIM(INDEX($A468:$AL468,MATCH(Lists!$F$2,$A$1:$AL$1,0))&amp;""),"")="",-1,IF(ISNUMBER(IFERROR(IF(TRIM(INDEX($A468:$AL468,MATCH(Lists!$F$7,$A$1:$AL$1,0))&amp;"")="","",IF(ISNUMBER(INDEX($A468:$AL468,MATCH(Lists!$F$7,$A$1:$AL$1,0))),ROUND(MOD(INDEX($A468:$AL468,MATCH(Lists!$F$7,$A$1:$AL$1,0)),1)*1440,0),VALUE(LEFT(INDEX($A468:$AL468,MATCH(Lists!$F$7,$A$1:$AL$1,0)),2))*60+VALUE(MID(INDEX($A468:$AL468,MATCH(Lists!$F$7,$A$1:$AL$1,0)),4,2)))),"")),IFERROR(IF(TRIM(INDEX($A468:$AL468,MATCH(Lists!$F$7,$A$1:$AL$1,0))&amp;"")="","",IF(ISNUMBER(INDEX($A468:$AL468,MATCH(Lists!$F$7,$A$1:$AL$1,0))),ROUND(MOD(INDEX($A468:$AL468,MATCH(Lists!$F$7,$A$1:$AL$1,0)),1)*1440,0),VALUE(LEFT(INDEX($A468:$AL468,MATCH(Lists!$F$7,$A$1:$AL$1,0)),2))*60+VALUE(MID(INDEX($A468:$AL468,MATCH(Lists!$F$7,$A$1:$AL$1,0)),4,2)))),""),-1))</f>
        <v/>
      </c>
      <c r="AW468" s="21">
        <f>IF(IFERROR(TRIM(INDEX($A468:$AL468,MATCH(Lists!$F$2,$A$1:$AL$1,0))&amp;""),"")="","",IF(IFERROR(TRIM(INDEX($A468:$AL468,MATCH(Lists!$F$8,$A$1:$AL$1,0))&amp;""),"")&lt;&gt;"",IFERROR(TRIM(INDEX($A468:$AL468,MATCH(Lists!$F$8,$A$1:$AL$1,0))&amp;""),""),IFERROR(TRIM(INDEX($A468:$AL468,MATCH(Lists!$F$9,$A$1:$AL$1,0))&amp;""),"")))</f>
        <v/>
      </c>
      <c r="AX468" s="21">
        <f>IFERROR(IF(TRIM(INDEX($A468:$AL468,MATCH(Lists!$F$10,$A$1:$AL$1,0))&amp;"")="","",VALUE(TRIM(INDEX($A468:$AL468,MATCH(Lists!$F$10,$A$1:$AL$1,0))&amp;""))),"")</f>
        <v/>
      </c>
      <c r="AY468" s="21">
        <f>IF(IFERROR(TRIM(INDEX($A468:$AL468,MATCH(Lists!$F$2,$A$1:$AL$1,0))&amp;""),"")="","",IF(AN468="","New",AN468))</f>
        <v/>
      </c>
      <c r="AZ468" s="21">
        <f>IF(IFERROR(TRIM(INDEX($A468:$AL468,MATCH(Lists!$F$2,$A$1:$AL$1,0))&amp;""),"")="","",IF(OR(IFERROR(TRIM(INDEX($A468:$AL468,MATCH(Lists!$F$13,$A$1:$AL$1,0))&amp;""),"")="Paid",IFERROR(TRIM(INDEX($A468:$AL468,MATCH(Lists!$F$13,$A$1:$AL$1,0))&amp;""),"")="Partially refunded"),"Paid",IF(AP468="Yes","Paid (by hand)",IFERROR(TRIM(INDEX($A468:$AL468,MATCH(Lists!$F$13,$A$1:$AL$1,0))&amp;""),""))))</f>
        <v/>
      </c>
      <c r="BA468" s="21">
        <f>IF(AND(IFERROR(TRIM(INDEX($A468:$AL468,MATCH(Lists!$F$2,$A$1:$AL$1,0))&amp;""),"")&lt;&gt;"",AT468&gt;0,AU468&gt;=0,AV468&gt;AU468,AY468&lt;&gt;"Declined"),1,0)</f>
        <v/>
      </c>
      <c r="BB468" s="21">
        <f>IF(BA468=1,COUNTIFS($AS$2:$AS$501,AS468,$AT$2:$AT$501,AT468,$AU$2:$AU$501,"&lt;"&amp;AV468,$AV$2:$AV$501,"&gt;"&amp;AU468,$BA$2:$BA$501,1)-1,"")</f>
        <v/>
      </c>
      <c r="BC468" s="21">
        <f>IF(N(BB468)&gt;0,"Clashes with "&amp;INDEX($AW$2:$AW$501,SUMPRODUCT(MAX(($AS$2:$AS$501=AS468)*($AT$2:$AT$501=AT468)*($AU$2:$AU$501&lt;AV468)*($AV$2:$AV$501&gt;AU468)*($BA$2:$BA$501=1)*(ROW($AS$2:$AS$501)&lt;&gt;ROW())*ROW($AS$2:$AS$501)))-1)&amp;" ("&amp;INDEX($AY$2:$AY$501,SUMPRODUCT(MAX(($AS$2:$AS$501=AS468)*($AT$2:$AT$501=AT468)*($AU$2:$AU$501&lt;AV468)*($AV$2:$AV$501&gt;AU468)*($BA$2:$BA$501=1)*(ROW($AS$2:$AS$501)&lt;&gt;ROW())*ROW($AS$2:$AS$501)))-1)&amp;")"&amp;IF(BB468&gt;1," and "&amp;(BB468-1)&amp;" more",""),"")</f>
        <v/>
      </c>
      <c r="BD468" s="21">
        <f>IF(AND(BA468=1,AY468="Confirmed"),AT468*10000000+AU468*1000+ROW(),"")</f>
        <v/>
      </c>
      <c r="BE468" s="21">
        <f>IF(IFERROR(TRIM(INDEX($A468:$AL468,MATCH(Lists!$F$2,$A$1:$AL$1,0))&amp;""),"")="","",IFERROR(TRIM(INDEX($A468:$AL468,MATCH(Lists!$F$11,$A$1:$AL$1,0))&amp;""),""))</f>
        <v/>
      </c>
      <c r="BF468" s="21">
        <f>IF(IFERROR(TRIM(INDEX($A468:$AL468,MATCH(Lists!$F$2,$A$1:$AL$1,0))&amp;""),"")="","",IFERROR(TRIM(INDEX($A468:$AL468,MATCH(Lists!$F$12,$A$1:$AL$1,0))&amp;""),""))</f>
        <v/>
      </c>
    </row>
    <row r="469">
      <c r="AM469" s="19" t="n"/>
      <c r="AN469" s="23" t="n"/>
      <c r="AO469" s="23" t="n"/>
      <c r="AP469" s="23" t="n"/>
      <c r="AQ469" s="23" t="n"/>
      <c r="AR469" s="19" t="n"/>
      <c r="AS469" s="21">
        <f>IF(IFERROR(TRIM(INDEX($A469:$AL469,MATCH(Lists!$F$2,$A$1:$AL$1,0))&amp;""),"")="","",IF(AND(IFERROR(TRIM(INDEX($A469:$AL469,MATCH(Lists!$F$3,$A$1:$AL$1,0))&amp;""),"")="Other",IFERROR(TRIM(INDEX($A469:$AL469,MATCH(Lists!$F$4,$A$1:$AL$1,0))&amp;""),"")&lt;&gt;""),IFERROR(TRIM(INDEX($A469:$AL469,MATCH(Lists!$F$4,$A$1:$AL$1,0))&amp;""),""),IF(IFERROR(TRIM(INDEX($A469:$AL469,MATCH(Lists!$F$3,$A$1:$AL$1,0))&amp;""),"")="","(no space)",IFERROR(TRIM(INDEX($A469:$AL469,MATCH(Lists!$F$3,$A$1:$AL$1,0))&amp;""),""))))</f>
        <v/>
      </c>
      <c r="AT469" s="22">
        <f>IF(IFERROR(TRIM(INDEX($A469:$AL469,MATCH(Lists!$F$2,$A$1:$AL$1,0))&amp;""),"")="",0,N(IFERROR(IF(TRIM(INDEX($A469:$AL469,MATCH(Lists!$F$5,$A$1:$AL$1,0))&amp;"")="","",IF(ISNUMBER(INDEX($A469:$AL469,MATCH(Lists!$F$5,$A$1:$AL$1,0))),INT(INDEX($A469:$AL469,MATCH(Lists!$F$5,$A$1:$AL$1,0))),DATE(VALUE(LEFT(INDEX($A469:$AL469,MATCH(Lists!$F$5,$A$1:$AL$1,0)),4)),VALUE(MID(INDEX($A469:$AL469,MATCH(Lists!$F$5,$A$1:$AL$1,0)),6,2)),VALUE(MID(INDEX($A469:$AL469,MATCH(Lists!$F$5,$A$1:$AL$1,0)),9,2))))),"")))</f>
        <v/>
      </c>
      <c r="AU469" s="21">
        <f>IF(IFERROR(TRIM(INDEX($A469:$AL469,MATCH(Lists!$F$2,$A$1:$AL$1,0))&amp;""),"")="",-1,IF(ISNUMBER(IFERROR(IF(TRIM(INDEX($A469:$AL469,MATCH(Lists!$F$6,$A$1:$AL$1,0))&amp;"")="","",IF(ISNUMBER(INDEX($A469:$AL469,MATCH(Lists!$F$6,$A$1:$AL$1,0))),ROUND(MOD(INDEX($A469:$AL469,MATCH(Lists!$F$6,$A$1:$AL$1,0)),1)*1440,0),VALUE(LEFT(INDEX($A469:$AL469,MATCH(Lists!$F$6,$A$1:$AL$1,0)),2))*60+VALUE(MID(INDEX($A469:$AL469,MATCH(Lists!$F$6,$A$1:$AL$1,0)),4,2)))),"")),IFERROR(IF(TRIM(INDEX($A469:$AL469,MATCH(Lists!$F$6,$A$1:$AL$1,0))&amp;"")="","",IF(ISNUMBER(INDEX($A469:$AL469,MATCH(Lists!$F$6,$A$1:$AL$1,0))),ROUND(MOD(INDEX($A469:$AL469,MATCH(Lists!$F$6,$A$1:$AL$1,0)),1)*1440,0),VALUE(LEFT(INDEX($A469:$AL469,MATCH(Lists!$F$6,$A$1:$AL$1,0)),2))*60+VALUE(MID(INDEX($A469:$AL469,MATCH(Lists!$F$6,$A$1:$AL$1,0)),4,2)))),""),-1))</f>
        <v/>
      </c>
      <c r="AV469" s="21">
        <f>IF(IFERROR(TRIM(INDEX($A469:$AL469,MATCH(Lists!$F$2,$A$1:$AL$1,0))&amp;""),"")="",-1,IF(ISNUMBER(IFERROR(IF(TRIM(INDEX($A469:$AL469,MATCH(Lists!$F$7,$A$1:$AL$1,0))&amp;"")="","",IF(ISNUMBER(INDEX($A469:$AL469,MATCH(Lists!$F$7,$A$1:$AL$1,0))),ROUND(MOD(INDEX($A469:$AL469,MATCH(Lists!$F$7,$A$1:$AL$1,0)),1)*1440,0),VALUE(LEFT(INDEX($A469:$AL469,MATCH(Lists!$F$7,$A$1:$AL$1,0)),2))*60+VALUE(MID(INDEX($A469:$AL469,MATCH(Lists!$F$7,$A$1:$AL$1,0)),4,2)))),"")),IFERROR(IF(TRIM(INDEX($A469:$AL469,MATCH(Lists!$F$7,$A$1:$AL$1,0))&amp;"")="","",IF(ISNUMBER(INDEX($A469:$AL469,MATCH(Lists!$F$7,$A$1:$AL$1,0))),ROUND(MOD(INDEX($A469:$AL469,MATCH(Lists!$F$7,$A$1:$AL$1,0)),1)*1440,0),VALUE(LEFT(INDEX($A469:$AL469,MATCH(Lists!$F$7,$A$1:$AL$1,0)),2))*60+VALUE(MID(INDEX($A469:$AL469,MATCH(Lists!$F$7,$A$1:$AL$1,0)),4,2)))),""),-1))</f>
        <v/>
      </c>
      <c r="AW469" s="21">
        <f>IF(IFERROR(TRIM(INDEX($A469:$AL469,MATCH(Lists!$F$2,$A$1:$AL$1,0))&amp;""),"")="","",IF(IFERROR(TRIM(INDEX($A469:$AL469,MATCH(Lists!$F$8,$A$1:$AL$1,0))&amp;""),"")&lt;&gt;"",IFERROR(TRIM(INDEX($A469:$AL469,MATCH(Lists!$F$8,$A$1:$AL$1,0))&amp;""),""),IFERROR(TRIM(INDEX($A469:$AL469,MATCH(Lists!$F$9,$A$1:$AL$1,0))&amp;""),"")))</f>
        <v/>
      </c>
      <c r="AX469" s="21">
        <f>IFERROR(IF(TRIM(INDEX($A469:$AL469,MATCH(Lists!$F$10,$A$1:$AL$1,0))&amp;"")="","",VALUE(TRIM(INDEX($A469:$AL469,MATCH(Lists!$F$10,$A$1:$AL$1,0))&amp;""))),"")</f>
        <v/>
      </c>
      <c r="AY469" s="21">
        <f>IF(IFERROR(TRIM(INDEX($A469:$AL469,MATCH(Lists!$F$2,$A$1:$AL$1,0))&amp;""),"")="","",IF(AN469="","New",AN469))</f>
        <v/>
      </c>
      <c r="AZ469" s="21">
        <f>IF(IFERROR(TRIM(INDEX($A469:$AL469,MATCH(Lists!$F$2,$A$1:$AL$1,0))&amp;""),"")="","",IF(OR(IFERROR(TRIM(INDEX($A469:$AL469,MATCH(Lists!$F$13,$A$1:$AL$1,0))&amp;""),"")="Paid",IFERROR(TRIM(INDEX($A469:$AL469,MATCH(Lists!$F$13,$A$1:$AL$1,0))&amp;""),"")="Partially refunded"),"Paid",IF(AP469="Yes","Paid (by hand)",IFERROR(TRIM(INDEX($A469:$AL469,MATCH(Lists!$F$13,$A$1:$AL$1,0))&amp;""),""))))</f>
        <v/>
      </c>
      <c r="BA469" s="21">
        <f>IF(AND(IFERROR(TRIM(INDEX($A469:$AL469,MATCH(Lists!$F$2,$A$1:$AL$1,0))&amp;""),"")&lt;&gt;"",AT469&gt;0,AU469&gt;=0,AV469&gt;AU469,AY469&lt;&gt;"Declined"),1,0)</f>
        <v/>
      </c>
      <c r="BB469" s="21">
        <f>IF(BA469=1,COUNTIFS($AS$2:$AS$501,AS469,$AT$2:$AT$501,AT469,$AU$2:$AU$501,"&lt;"&amp;AV469,$AV$2:$AV$501,"&gt;"&amp;AU469,$BA$2:$BA$501,1)-1,"")</f>
        <v/>
      </c>
      <c r="BC469" s="21">
        <f>IF(N(BB469)&gt;0,"Clashes with "&amp;INDEX($AW$2:$AW$501,SUMPRODUCT(MAX(($AS$2:$AS$501=AS469)*($AT$2:$AT$501=AT469)*($AU$2:$AU$501&lt;AV469)*($AV$2:$AV$501&gt;AU469)*($BA$2:$BA$501=1)*(ROW($AS$2:$AS$501)&lt;&gt;ROW())*ROW($AS$2:$AS$501)))-1)&amp;" ("&amp;INDEX($AY$2:$AY$501,SUMPRODUCT(MAX(($AS$2:$AS$501=AS469)*($AT$2:$AT$501=AT469)*($AU$2:$AU$501&lt;AV469)*($AV$2:$AV$501&gt;AU469)*($BA$2:$BA$501=1)*(ROW($AS$2:$AS$501)&lt;&gt;ROW())*ROW($AS$2:$AS$501)))-1)&amp;")"&amp;IF(BB469&gt;1," and "&amp;(BB469-1)&amp;" more",""),"")</f>
        <v/>
      </c>
      <c r="BD469" s="21">
        <f>IF(AND(BA469=1,AY469="Confirmed"),AT469*10000000+AU469*1000+ROW(),"")</f>
        <v/>
      </c>
      <c r="BE469" s="21">
        <f>IF(IFERROR(TRIM(INDEX($A469:$AL469,MATCH(Lists!$F$2,$A$1:$AL$1,0))&amp;""),"")="","",IFERROR(TRIM(INDEX($A469:$AL469,MATCH(Lists!$F$11,$A$1:$AL$1,0))&amp;""),""))</f>
        <v/>
      </c>
      <c r="BF469" s="21">
        <f>IF(IFERROR(TRIM(INDEX($A469:$AL469,MATCH(Lists!$F$2,$A$1:$AL$1,0))&amp;""),"")="","",IFERROR(TRIM(INDEX($A469:$AL469,MATCH(Lists!$F$12,$A$1:$AL$1,0))&amp;""),""))</f>
        <v/>
      </c>
    </row>
    <row r="470">
      <c r="AM470" s="19" t="n"/>
      <c r="AN470" s="23" t="n"/>
      <c r="AO470" s="23" t="n"/>
      <c r="AP470" s="23" t="n"/>
      <c r="AQ470" s="23" t="n"/>
      <c r="AR470" s="19" t="n"/>
      <c r="AS470" s="21">
        <f>IF(IFERROR(TRIM(INDEX($A470:$AL470,MATCH(Lists!$F$2,$A$1:$AL$1,0))&amp;""),"")="","",IF(AND(IFERROR(TRIM(INDEX($A470:$AL470,MATCH(Lists!$F$3,$A$1:$AL$1,0))&amp;""),"")="Other",IFERROR(TRIM(INDEX($A470:$AL470,MATCH(Lists!$F$4,$A$1:$AL$1,0))&amp;""),"")&lt;&gt;""),IFERROR(TRIM(INDEX($A470:$AL470,MATCH(Lists!$F$4,$A$1:$AL$1,0))&amp;""),""),IF(IFERROR(TRIM(INDEX($A470:$AL470,MATCH(Lists!$F$3,$A$1:$AL$1,0))&amp;""),"")="","(no space)",IFERROR(TRIM(INDEX($A470:$AL470,MATCH(Lists!$F$3,$A$1:$AL$1,0))&amp;""),""))))</f>
        <v/>
      </c>
      <c r="AT470" s="22">
        <f>IF(IFERROR(TRIM(INDEX($A470:$AL470,MATCH(Lists!$F$2,$A$1:$AL$1,0))&amp;""),"")="",0,N(IFERROR(IF(TRIM(INDEX($A470:$AL470,MATCH(Lists!$F$5,$A$1:$AL$1,0))&amp;"")="","",IF(ISNUMBER(INDEX($A470:$AL470,MATCH(Lists!$F$5,$A$1:$AL$1,0))),INT(INDEX($A470:$AL470,MATCH(Lists!$F$5,$A$1:$AL$1,0))),DATE(VALUE(LEFT(INDEX($A470:$AL470,MATCH(Lists!$F$5,$A$1:$AL$1,0)),4)),VALUE(MID(INDEX($A470:$AL470,MATCH(Lists!$F$5,$A$1:$AL$1,0)),6,2)),VALUE(MID(INDEX($A470:$AL470,MATCH(Lists!$F$5,$A$1:$AL$1,0)),9,2))))),"")))</f>
        <v/>
      </c>
      <c r="AU470" s="21">
        <f>IF(IFERROR(TRIM(INDEX($A470:$AL470,MATCH(Lists!$F$2,$A$1:$AL$1,0))&amp;""),"")="",-1,IF(ISNUMBER(IFERROR(IF(TRIM(INDEX($A470:$AL470,MATCH(Lists!$F$6,$A$1:$AL$1,0))&amp;"")="","",IF(ISNUMBER(INDEX($A470:$AL470,MATCH(Lists!$F$6,$A$1:$AL$1,0))),ROUND(MOD(INDEX($A470:$AL470,MATCH(Lists!$F$6,$A$1:$AL$1,0)),1)*1440,0),VALUE(LEFT(INDEX($A470:$AL470,MATCH(Lists!$F$6,$A$1:$AL$1,0)),2))*60+VALUE(MID(INDEX($A470:$AL470,MATCH(Lists!$F$6,$A$1:$AL$1,0)),4,2)))),"")),IFERROR(IF(TRIM(INDEX($A470:$AL470,MATCH(Lists!$F$6,$A$1:$AL$1,0))&amp;"")="","",IF(ISNUMBER(INDEX($A470:$AL470,MATCH(Lists!$F$6,$A$1:$AL$1,0))),ROUND(MOD(INDEX($A470:$AL470,MATCH(Lists!$F$6,$A$1:$AL$1,0)),1)*1440,0),VALUE(LEFT(INDEX($A470:$AL470,MATCH(Lists!$F$6,$A$1:$AL$1,0)),2))*60+VALUE(MID(INDEX($A470:$AL470,MATCH(Lists!$F$6,$A$1:$AL$1,0)),4,2)))),""),-1))</f>
        <v/>
      </c>
      <c r="AV470" s="21">
        <f>IF(IFERROR(TRIM(INDEX($A470:$AL470,MATCH(Lists!$F$2,$A$1:$AL$1,0))&amp;""),"")="",-1,IF(ISNUMBER(IFERROR(IF(TRIM(INDEX($A470:$AL470,MATCH(Lists!$F$7,$A$1:$AL$1,0))&amp;"")="","",IF(ISNUMBER(INDEX($A470:$AL470,MATCH(Lists!$F$7,$A$1:$AL$1,0))),ROUND(MOD(INDEX($A470:$AL470,MATCH(Lists!$F$7,$A$1:$AL$1,0)),1)*1440,0),VALUE(LEFT(INDEX($A470:$AL470,MATCH(Lists!$F$7,$A$1:$AL$1,0)),2))*60+VALUE(MID(INDEX($A470:$AL470,MATCH(Lists!$F$7,$A$1:$AL$1,0)),4,2)))),"")),IFERROR(IF(TRIM(INDEX($A470:$AL470,MATCH(Lists!$F$7,$A$1:$AL$1,0))&amp;"")="","",IF(ISNUMBER(INDEX($A470:$AL470,MATCH(Lists!$F$7,$A$1:$AL$1,0))),ROUND(MOD(INDEX($A470:$AL470,MATCH(Lists!$F$7,$A$1:$AL$1,0)),1)*1440,0),VALUE(LEFT(INDEX($A470:$AL470,MATCH(Lists!$F$7,$A$1:$AL$1,0)),2))*60+VALUE(MID(INDEX($A470:$AL470,MATCH(Lists!$F$7,$A$1:$AL$1,0)),4,2)))),""),-1))</f>
        <v/>
      </c>
      <c r="AW470" s="21">
        <f>IF(IFERROR(TRIM(INDEX($A470:$AL470,MATCH(Lists!$F$2,$A$1:$AL$1,0))&amp;""),"")="","",IF(IFERROR(TRIM(INDEX($A470:$AL470,MATCH(Lists!$F$8,$A$1:$AL$1,0))&amp;""),"")&lt;&gt;"",IFERROR(TRIM(INDEX($A470:$AL470,MATCH(Lists!$F$8,$A$1:$AL$1,0))&amp;""),""),IFERROR(TRIM(INDEX($A470:$AL470,MATCH(Lists!$F$9,$A$1:$AL$1,0))&amp;""),"")))</f>
        <v/>
      </c>
      <c r="AX470" s="21">
        <f>IFERROR(IF(TRIM(INDEX($A470:$AL470,MATCH(Lists!$F$10,$A$1:$AL$1,0))&amp;"")="","",VALUE(TRIM(INDEX($A470:$AL470,MATCH(Lists!$F$10,$A$1:$AL$1,0))&amp;""))),"")</f>
        <v/>
      </c>
      <c r="AY470" s="21">
        <f>IF(IFERROR(TRIM(INDEX($A470:$AL470,MATCH(Lists!$F$2,$A$1:$AL$1,0))&amp;""),"")="","",IF(AN470="","New",AN470))</f>
        <v/>
      </c>
      <c r="AZ470" s="21">
        <f>IF(IFERROR(TRIM(INDEX($A470:$AL470,MATCH(Lists!$F$2,$A$1:$AL$1,0))&amp;""),"")="","",IF(OR(IFERROR(TRIM(INDEX($A470:$AL470,MATCH(Lists!$F$13,$A$1:$AL$1,0))&amp;""),"")="Paid",IFERROR(TRIM(INDEX($A470:$AL470,MATCH(Lists!$F$13,$A$1:$AL$1,0))&amp;""),"")="Partially refunded"),"Paid",IF(AP470="Yes","Paid (by hand)",IFERROR(TRIM(INDEX($A470:$AL470,MATCH(Lists!$F$13,$A$1:$AL$1,0))&amp;""),""))))</f>
        <v/>
      </c>
      <c r="BA470" s="21">
        <f>IF(AND(IFERROR(TRIM(INDEX($A470:$AL470,MATCH(Lists!$F$2,$A$1:$AL$1,0))&amp;""),"")&lt;&gt;"",AT470&gt;0,AU470&gt;=0,AV470&gt;AU470,AY470&lt;&gt;"Declined"),1,0)</f>
        <v/>
      </c>
      <c r="BB470" s="21">
        <f>IF(BA470=1,COUNTIFS($AS$2:$AS$501,AS470,$AT$2:$AT$501,AT470,$AU$2:$AU$501,"&lt;"&amp;AV470,$AV$2:$AV$501,"&gt;"&amp;AU470,$BA$2:$BA$501,1)-1,"")</f>
        <v/>
      </c>
      <c r="BC470" s="21">
        <f>IF(N(BB470)&gt;0,"Clashes with "&amp;INDEX($AW$2:$AW$501,SUMPRODUCT(MAX(($AS$2:$AS$501=AS470)*($AT$2:$AT$501=AT470)*($AU$2:$AU$501&lt;AV470)*($AV$2:$AV$501&gt;AU470)*($BA$2:$BA$501=1)*(ROW($AS$2:$AS$501)&lt;&gt;ROW())*ROW($AS$2:$AS$501)))-1)&amp;" ("&amp;INDEX($AY$2:$AY$501,SUMPRODUCT(MAX(($AS$2:$AS$501=AS470)*($AT$2:$AT$501=AT470)*($AU$2:$AU$501&lt;AV470)*($AV$2:$AV$501&gt;AU470)*($BA$2:$BA$501=1)*(ROW($AS$2:$AS$501)&lt;&gt;ROW())*ROW($AS$2:$AS$501)))-1)&amp;")"&amp;IF(BB470&gt;1," and "&amp;(BB470-1)&amp;" more",""),"")</f>
        <v/>
      </c>
      <c r="BD470" s="21">
        <f>IF(AND(BA470=1,AY470="Confirmed"),AT470*10000000+AU470*1000+ROW(),"")</f>
        <v/>
      </c>
      <c r="BE470" s="21">
        <f>IF(IFERROR(TRIM(INDEX($A470:$AL470,MATCH(Lists!$F$2,$A$1:$AL$1,0))&amp;""),"")="","",IFERROR(TRIM(INDEX($A470:$AL470,MATCH(Lists!$F$11,$A$1:$AL$1,0))&amp;""),""))</f>
        <v/>
      </c>
      <c r="BF470" s="21">
        <f>IF(IFERROR(TRIM(INDEX($A470:$AL470,MATCH(Lists!$F$2,$A$1:$AL$1,0))&amp;""),"")="","",IFERROR(TRIM(INDEX($A470:$AL470,MATCH(Lists!$F$12,$A$1:$AL$1,0))&amp;""),""))</f>
        <v/>
      </c>
    </row>
    <row r="471">
      <c r="AM471" s="19" t="n"/>
      <c r="AN471" s="23" t="n"/>
      <c r="AO471" s="23" t="n"/>
      <c r="AP471" s="23" t="n"/>
      <c r="AQ471" s="23" t="n"/>
      <c r="AR471" s="19" t="n"/>
      <c r="AS471" s="21">
        <f>IF(IFERROR(TRIM(INDEX($A471:$AL471,MATCH(Lists!$F$2,$A$1:$AL$1,0))&amp;""),"")="","",IF(AND(IFERROR(TRIM(INDEX($A471:$AL471,MATCH(Lists!$F$3,$A$1:$AL$1,0))&amp;""),"")="Other",IFERROR(TRIM(INDEX($A471:$AL471,MATCH(Lists!$F$4,$A$1:$AL$1,0))&amp;""),"")&lt;&gt;""),IFERROR(TRIM(INDEX($A471:$AL471,MATCH(Lists!$F$4,$A$1:$AL$1,0))&amp;""),""),IF(IFERROR(TRIM(INDEX($A471:$AL471,MATCH(Lists!$F$3,$A$1:$AL$1,0))&amp;""),"")="","(no space)",IFERROR(TRIM(INDEX($A471:$AL471,MATCH(Lists!$F$3,$A$1:$AL$1,0))&amp;""),""))))</f>
        <v/>
      </c>
      <c r="AT471" s="22">
        <f>IF(IFERROR(TRIM(INDEX($A471:$AL471,MATCH(Lists!$F$2,$A$1:$AL$1,0))&amp;""),"")="",0,N(IFERROR(IF(TRIM(INDEX($A471:$AL471,MATCH(Lists!$F$5,$A$1:$AL$1,0))&amp;"")="","",IF(ISNUMBER(INDEX($A471:$AL471,MATCH(Lists!$F$5,$A$1:$AL$1,0))),INT(INDEX($A471:$AL471,MATCH(Lists!$F$5,$A$1:$AL$1,0))),DATE(VALUE(LEFT(INDEX($A471:$AL471,MATCH(Lists!$F$5,$A$1:$AL$1,0)),4)),VALUE(MID(INDEX($A471:$AL471,MATCH(Lists!$F$5,$A$1:$AL$1,0)),6,2)),VALUE(MID(INDEX($A471:$AL471,MATCH(Lists!$F$5,$A$1:$AL$1,0)),9,2))))),"")))</f>
        <v/>
      </c>
      <c r="AU471" s="21">
        <f>IF(IFERROR(TRIM(INDEX($A471:$AL471,MATCH(Lists!$F$2,$A$1:$AL$1,0))&amp;""),"")="",-1,IF(ISNUMBER(IFERROR(IF(TRIM(INDEX($A471:$AL471,MATCH(Lists!$F$6,$A$1:$AL$1,0))&amp;"")="","",IF(ISNUMBER(INDEX($A471:$AL471,MATCH(Lists!$F$6,$A$1:$AL$1,0))),ROUND(MOD(INDEX($A471:$AL471,MATCH(Lists!$F$6,$A$1:$AL$1,0)),1)*1440,0),VALUE(LEFT(INDEX($A471:$AL471,MATCH(Lists!$F$6,$A$1:$AL$1,0)),2))*60+VALUE(MID(INDEX($A471:$AL471,MATCH(Lists!$F$6,$A$1:$AL$1,0)),4,2)))),"")),IFERROR(IF(TRIM(INDEX($A471:$AL471,MATCH(Lists!$F$6,$A$1:$AL$1,0))&amp;"")="","",IF(ISNUMBER(INDEX($A471:$AL471,MATCH(Lists!$F$6,$A$1:$AL$1,0))),ROUND(MOD(INDEX($A471:$AL471,MATCH(Lists!$F$6,$A$1:$AL$1,0)),1)*1440,0),VALUE(LEFT(INDEX($A471:$AL471,MATCH(Lists!$F$6,$A$1:$AL$1,0)),2))*60+VALUE(MID(INDEX($A471:$AL471,MATCH(Lists!$F$6,$A$1:$AL$1,0)),4,2)))),""),-1))</f>
        <v/>
      </c>
      <c r="AV471" s="21">
        <f>IF(IFERROR(TRIM(INDEX($A471:$AL471,MATCH(Lists!$F$2,$A$1:$AL$1,0))&amp;""),"")="",-1,IF(ISNUMBER(IFERROR(IF(TRIM(INDEX($A471:$AL471,MATCH(Lists!$F$7,$A$1:$AL$1,0))&amp;"")="","",IF(ISNUMBER(INDEX($A471:$AL471,MATCH(Lists!$F$7,$A$1:$AL$1,0))),ROUND(MOD(INDEX($A471:$AL471,MATCH(Lists!$F$7,$A$1:$AL$1,0)),1)*1440,0),VALUE(LEFT(INDEX($A471:$AL471,MATCH(Lists!$F$7,$A$1:$AL$1,0)),2))*60+VALUE(MID(INDEX($A471:$AL471,MATCH(Lists!$F$7,$A$1:$AL$1,0)),4,2)))),"")),IFERROR(IF(TRIM(INDEX($A471:$AL471,MATCH(Lists!$F$7,$A$1:$AL$1,0))&amp;"")="","",IF(ISNUMBER(INDEX($A471:$AL471,MATCH(Lists!$F$7,$A$1:$AL$1,0))),ROUND(MOD(INDEX($A471:$AL471,MATCH(Lists!$F$7,$A$1:$AL$1,0)),1)*1440,0),VALUE(LEFT(INDEX($A471:$AL471,MATCH(Lists!$F$7,$A$1:$AL$1,0)),2))*60+VALUE(MID(INDEX($A471:$AL471,MATCH(Lists!$F$7,$A$1:$AL$1,0)),4,2)))),""),-1))</f>
        <v/>
      </c>
      <c r="AW471" s="21">
        <f>IF(IFERROR(TRIM(INDEX($A471:$AL471,MATCH(Lists!$F$2,$A$1:$AL$1,0))&amp;""),"")="","",IF(IFERROR(TRIM(INDEX($A471:$AL471,MATCH(Lists!$F$8,$A$1:$AL$1,0))&amp;""),"")&lt;&gt;"",IFERROR(TRIM(INDEX($A471:$AL471,MATCH(Lists!$F$8,$A$1:$AL$1,0))&amp;""),""),IFERROR(TRIM(INDEX($A471:$AL471,MATCH(Lists!$F$9,$A$1:$AL$1,0))&amp;""),"")))</f>
        <v/>
      </c>
      <c r="AX471" s="21">
        <f>IFERROR(IF(TRIM(INDEX($A471:$AL471,MATCH(Lists!$F$10,$A$1:$AL$1,0))&amp;"")="","",VALUE(TRIM(INDEX($A471:$AL471,MATCH(Lists!$F$10,$A$1:$AL$1,0))&amp;""))),"")</f>
        <v/>
      </c>
      <c r="AY471" s="21">
        <f>IF(IFERROR(TRIM(INDEX($A471:$AL471,MATCH(Lists!$F$2,$A$1:$AL$1,0))&amp;""),"")="","",IF(AN471="","New",AN471))</f>
        <v/>
      </c>
      <c r="AZ471" s="21">
        <f>IF(IFERROR(TRIM(INDEX($A471:$AL471,MATCH(Lists!$F$2,$A$1:$AL$1,0))&amp;""),"")="","",IF(OR(IFERROR(TRIM(INDEX($A471:$AL471,MATCH(Lists!$F$13,$A$1:$AL$1,0))&amp;""),"")="Paid",IFERROR(TRIM(INDEX($A471:$AL471,MATCH(Lists!$F$13,$A$1:$AL$1,0))&amp;""),"")="Partially refunded"),"Paid",IF(AP471="Yes","Paid (by hand)",IFERROR(TRIM(INDEX($A471:$AL471,MATCH(Lists!$F$13,$A$1:$AL$1,0))&amp;""),""))))</f>
        <v/>
      </c>
      <c r="BA471" s="21">
        <f>IF(AND(IFERROR(TRIM(INDEX($A471:$AL471,MATCH(Lists!$F$2,$A$1:$AL$1,0))&amp;""),"")&lt;&gt;"",AT471&gt;0,AU471&gt;=0,AV471&gt;AU471,AY471&lt;&gt;"Declined"),1,0)</f>
        <v/>
      </c>
      <c r="BB471" s="21">
        <f>IF(BA471=1,COUNTIFS($AS$2:$AS$501,AS471,$AT$2:$AT$501,AT471,$AU$2:$AU$501,"&lt;"&amp;AV471,$AV$2:$AV$501,"&gt;"&amp;AU471,$BA$2:$BA$501,1)-1,"")</f>
        <v/>
      </c>
      <c r="BC471" s="21">
        <f>IF(N(BB471)&gt;0,"Clashes with "&amp;INDEX($AW$2:$AW$501,SUMPRODUCT(MAX(($AS$2:$AS$501=AS471)*($AT$2:$AT$501=AT471)*($AU$2:$AU$501&lt;AV471)*($AV$2:$AV$501&gt;AU471)*($BA$2:$BA$501=1)*(ROW($AS$2:$AS$501)&lt;&gt;ROW())*ROW($AS$2:$AS$501)))-1)&amp;" ("&amp;INDEX($AY$2:$AY$501,SUMPRODUCT(MAX(($AS$2:$AS$501=AS471)*($AT$2:$AT$501=AT471)*($AU$2:$AU$501&lt;AV471)*($AV$2:$AV$501&gt;AU471)*($BA$2:$BA$501=1)*(ROW($AS$2:$AS$501)&lt;&gt;ROW())*ROW($AS$2:$AS$501)))-1)&amp;")"&amp;IF(BB471&gt;1," and "&amp;(BB471-1)&amp;" more",""),"")</f>
        <v/>
      </c>
      <c r="BD471" s="21">
        <f>IF(AND(BA471=1,AY471="Confirmed"),AT471*10000000+AU471*1000+ROW(),"")</f>
        <v/>
      </c>
      <c r="BE471" s="21">
        <f>IF(IFERROR(TRIM(INDEX($A471:$AL471,MATCH(Lists!$F$2,$A$1:$AL$1,0))&amp;""),"")="","",IFERROR(TRIM(INDEX($A471:$AL471,MATCH(Lists!$F$11,$A$1:$AL$1,0))&amp;""),""))</f>
        <v/>
      </c>
      <c r="BF471" s="21">
        <f>IF(IFERROR(TRIM(INDEX($A471:$AL471,MATCH(Lists!$F$2,$A$1:$AL$1,0))&amp;""),"")="","",IFERROR(TRIM(INDEX($A471:$AL471,MATCH(Lists!$F$12,$A$1:$AL$1,0))&amp;""),""))</f>
        <v/>
      </c>
    </row>
    <row r="472">
      <c r="AM472" s="19" t="n"/>
      <c r="AN472" s="23" t="n"/>
      <c r="AO472" s="23" t="n"/>
      <c r="AP472" s="23" t="n"/>
      <c r="AQ472" s="23" t="n"/>
      <c r="AR472" s="19" t="n"/>
      <c r="AS472" s="21">
        <f>IF(IFERROR(TRIM(INDEX($A472:$AL472,MATCH(Lists!$F$2,$A$1:$AL$1,0))&amp;""),"")="","",IF(AND(IFERROR(TRIM(INDEX($A472:$AL472,MATCH(Lists!$F$3,$A$1:$AL$1,0))&amp;""),"")="Other",IFERROR(TRIM(INDEX($A472:$AL472,MATCH(Lists!$F$4,$A$1:$AL$1,0))&amp;""),"")&lt;&gt;""),IFERROR(TRIM(INDEX($A472:$AL472,MATCH(Lists!$F$4,$A$1:$AL$1,0))&amp;""),""),IF(IFERROR(TRIM(INDEX($A472:$AL472,MATCH(Lists!$F$3,$A$1:$AL$1,0))&amp;""),"")="","(no space)",IFERROR(TRIM(INDEX($A472:$AL472,MATCH(Lists!$F$3,$A$1:$AL$1,0))&amp;""),""))))</f>
        <v/>
      </c>
      <c r="AT472" s="22">
        <f>IF(IFERROR(TRIM(INDEX($A472:$AL472,MATCH(Lists!$F$2,$A$1:$AL$1,0))&amp;""),"")="",0,N(IFERROR(IF(TRIM(INDEX($A472:$AL472,MATCH(Lists!$F$5,$A$1:$AL$1,0))&amp;"")="","",IF(ISNUMBER(INDEX($A472:$AL472,MATCH(Lists!$F$5,$A$1:$AL$1,0))),INT(INDEX($A472:$AL472,MATCH(Lists!$F$5,$A$1:$AL$1,0))),DATE(VALUE(LEFT(INDEX($A472:$AL472,MATCH(Lists!$F$5,$A$1:$AL$1,0)),4)),VALUE(MID(INDEX($A472:$AL472,MATCH(Lists!$F$5,$A$1:$AL$1,0)),6,2)),VALUE(MID(INDEX($A472:$AL472,MATCH(Lists!$F$5,$A$1:$AL$1,0)),9,2))))),"")))</f>
        <v/>
      </c>
      <c r="AU472" s="21">
        <f>IF(IFERROR(TRIM(INDEX($A472:$AL472,MATCH(Lists!$F$2,$A$1:$AL$1,0))&amp;""),"")="",-1,IF(ISNUMBER(IFERROR(IF(TRIM(INDEX($A472:$AL472,MATCH(Lists!$F$6,$A$1:$AL$1,0))&amp;"")="","",IF(ISNUMBER(INDEX($A472:$AL472,MATCH(Lists!$F$6,$A$1:$AL$1,0))),ROUND(MOD(INDEX($A472:$AL472,MATCH(Lists!$F$6,$A$1:$AL$1,0)),1)*1440,0),VALUE(LEFT(INDEX($A472:$AL472,MATCH(Lists!$F$6,$A$1:$AL$1,0)),2))*60+VALUE(MID(INDEX($A472:$AL472,MATCH(Lists!$F$6,$A$1:$AL$1,0)),4,2)))),"")),IFERROR(IF(TRIM(INDEX($A472:$AL472,MATCH(Lists!$F$6,$A$1:$AL$1,0))&amp;"")="","",IF(ISNUMBER(INDEX($A472:$AL472,MATCH(Lists!$F$6,$A$1:$AL$1,0))),ROUND(MOD(INDEX($A472:$AL472,MATCH(Lists!$F$6,$A$1:$AL$1,0)),1)*1440,0),VALUE(LEFT(INDEX($A472:$AL472,MATCH(Lists!$F$6,$A$1:$AL$1,0)),2))*60+VALUE(MID(INDEX($A472:$AL472,MATCH(Lists!$F$6,$A$1:$AL$1,0)),4,2)))),""),-1))</f>
        <v/>
      </c>
      <c r="AV472" s="21">
        <f>IF(IFERROR(TRIM(INDEX($A472:$AL472,MATCH(Lists!$F$2,$A$1:$AL$1,0))&amp;""),"")="",-1,IF(ISNUMBER(IFERROR(IF(TRIM(INDEX($A472:$AL472,MATCH(Lists!$F$7,$A$1:$AL$1,0))&amp;"")="","",IF(ISNUMBER(INDEX($A472:$AL472,MATCH(Lists!$F$7,$A$1:$AL$1,0))),ROUND(MOD(INDEX($A472:$AL472,MATCH(Lists!$F$7,$A$1:$AL$1,0)),1)*1440,0),VALUE(LEFT(INDEX($A472:$AL472,MATCH(Lists!$F$7,$A$1:$AL$1,0)),2))*60+VALUE(MID(INDEX($A472:$AL472,MATCH(Lists!$F$7,$A$1:$AL$1,0)),4,2)))),"")),IFERROR(IF(TRIM(INDEX($A472:$AL472,MATCH(Lists!$F$7,$A$1:$AL$1,0))&amp;"")="","",IF(ISNUMBER(INDEX($A472:$AL472,MATCH(Lists!$F$7,$A$1:$AL$1,0))),ROUND(MOD(INDEX($A472:$AL472,MATCH(Lists!$F$7,$A$1:$AL$1,0)),1)*1440,0),VALUE(LEFT(INDEX($A472:$AL472,MATCH(Lists!$F$7,$A$1:$AL$1,0)),2))*60+VALUE(MID(INDEX($A472:$AL472,MATCH(Lists!$F$7,$A$1:$AL$1,0)),4,2)))),""),-1))</f>
        <v/>
      </c>
      <c r="AW472" s="21">
        <f>IF(IFERROR(TRIM(INDEX($A472:$AL472,MATCH(Lists!$F$2,$A$1:$AL$1,0))&amp;""),"")="","",IF(IFERROR(TRIM(INDEX($A472:$AL472,MATCH(Lists!$F$8,$A$1:$AL$1,0))&amp;""),"")&lt;&gt;"",IFERROR(TRIM(INDEX($A472:$AL472,MATCH(Lists!$F$8,$A$1:$AL$1,0))&amp;""),""),IFERROR(TRIM(INDEX($A472:$AL472,MATCH(Lists!$F$9,$A$1:$AL$1,0))&amp;""),"")))</f>
        <v/>
      </c>
      <c r="AX472" s="21">
        <f>IFERROR(IF(TRIM(INDEX($A472:$AL472,MATCH(Lists!$F$10,$A$1:$AL$1,0))&amp;"")="","",VALUE(TRIM(INDEX($A472:$AL472,MATCH(Lists!$F$10,$A$1:$AL$1,0))&amp;""))),"")</f>
        <v/>
      </c>
      <c r="AY472" s="21">
        <f>IF(IFERROR(TRIM(INDEX($A472:$AL472,MATCH(Lists!$F$2,$A$1:$AL$1,0))&amp;""),"")="","",IF(AN472="","New",AN472))</f>
        <v/>
      </c>
      <c r="AZ472" s="21">
        <f>IF(IFERROR(TRIM(INDEX($A472:$AL472,MATCH(Lists!$F$2,$A$1:$AL$1,0))&amp;""),"")="","",IF(OR(IFERROR(TRIM(INDEX($A472:$AL472,MATCH(Lists!$F$13,$A$1:$AL$1,0))&amp;""),"")="Paid",IFERROR(TRIM(INDEX($A472:$AL472,MATCH(Lists!$F$13,$A$1:$AL$1,0))&amp;""),"")="Partially refunded"),"Paid",IF(AP472="Yes","Paid (by hand)",IFERROR(TRIM(INDEX($A472:$AL472,MATCH(Lists!$F$13,$A$1:$AL$1,0))&amp;""),""))))</f>
        <v/>
      </c>
      <c r="BA472" s="21">
        <f>IF(AND(IFERROR(TRIM(INDEX($A472:$AL472,MATCH(Lists!$F$2,$A$1:$AL$1,0))&amp;""),"")&lt;&gt;"",AT472&gt;0,AU472&gt;=0,AV472&gt;AU472,AY472&lt;&gt;"Declined"),1,0)</f>
        <v/>
      </c>
      <c r="BB472" s="21">
        <f>IF(BA472=1,COUNTIFS($AS$2:$AS$501,AS472,$AT$2:$AT$501,AT472,$AU$2:$AU$501,"&lt;"&amp;AV472,$AV$2:$AV$501,"&gt;"&amp;AU472,$BA$2:$BA$501,1)-1,"")</f>
        <v/>
      </c>
      <c r="BC472" s="21">
        <f>IF(N(BB472)&gt;0,"Clashes with "&amp;INDEX($AW$2:$AW$501,SUMPRODUCT(MAX(($AS$2:$AS$501=AS472)*($AT$2:$AT$501=AT472)*($AU$2:$AU$501&lt;AV472)*($AV$2:$AV$501&gt;AU472)*($BA$2:$BA$501=1)*(ROW($AS$2:$AS$501)&lt;&gt;ROW())*ROW($AS$2:$AS$501)))-1)&amp;" ("&amp;INDEX($AY$2:$AY$501,SUMPRODUCT(MAX(($AS$2:$AS$501=AS472)*($AT$2:$AT$501=AT472)*($AU$2:$AU$501&lt;AV472)*($AV$2:$AV$501&gt;AU472)*($BA$2:$BA$501=1)*(ROW($AS$2:$AS$501)&lt;&gt;ROW())*ROW($AS$2:$AS$501)))-1)&amp;")"&amp;IF(BB472&gt;1," and "&amp;(BB472-1)&amp;" more",""),"")</f>
        <v/>
      </c>
      <c r="BD472" s="21">
        <f>IF(AND(BA472=1,AY472="Confirmed"),AT472*10000000+AU472*1000+ROW(),"")</f>
        <v/>
      </c>
      <c r="BE472" s="21">
        <f>IF(IFERROR(TRIM(INDEX($A472:$AL472,MATCH(Lists!$F$2,$A$1:$AL$1,0))&amp;""),"")="","",IFERROR(TRIM(INDEX($A472:$AL472,MATCH(Lists!$F$11,$A$1:$AL$1,0))&amp;""),""))</f>
        <v/>
      </c>
      <c r="BF472" s="21">
        <f>IF(IFERROR(TRIM(INDEX($A472:$AL472,MATCH(Lists!$F$2,$A$1:$AL$1,0))&amp;""),"")="","",IFERROR(TRIM(INDEX($A472:$AL472,MATCH(Lists!$F$12,$A$1:$AL$1,0))&amp;""),""))</f>
        <v/>
      </c>
    </row>
    <row r="473">
      <c r="AM473" s="19" t="n"/>
      <c r="AN473" s="23" t="n"/>
      <c r="AO473" s="23" t="n"/>
      <c r="AP473" s="23" t="n"/>
      <c r="AQ473" s="23" t="n"/>
      <c r="AR473" s="19" t="n"/>
      <c r="AS473" s="21">
        <f>IF(IFERROR(TRIM(INDEX($A473:$AL473,MATCH(Lists!$F$2,$A$1:$AL$1,0))&amp;""),"")="","",IF(AND(IFERROR(TRIM(INDEX($A473:$AL473,MATCH(Lists!$F$3,$A$1:$AL$1,0))&amp;""),"")="Other",IFERROR(TRIM(INDEX($A473:$AL473,MATCH(Lists!$F$4,$A$1:$AL$1,0))&amp;""),"")&lt;&gt;""),IFERROR(TRIM(INDEX($A473:$AL473,MATCH(Lists!$F$4,$A$1:$AL$1,0))&amp;""),""),IF(IFERROR(TRIM(INDEX($A473:$AL473,MATCH(Lists!$F$3,$A$1:$AL$1,0))&amp;""),"")="","(no space)",IFERROR(TRIM(INDEX($A473:$AL473,MATCH(Lists!$F$3,$A$1:$AL$1,0))&amp;""),""))))</f>
        <v/>
      </c>
      <c r="AT473" s="22">
        <f>IF(IFERROR(TRIM(INDEX($A473:$AL473,MATCH(Lists!$F$2,$A$1:$AL$1,0))&amp;""),"")="",0,N(IFERROR(IF(TRIM(INDEX($A473:$AL473,MATCH(Lists!$F$5,$A$1:$AL$1,0))&amp;"")="","",IF(ISNUMBER(INDEX($A473:$AL473,MATCH(Lists!$F$5,$A$1:$AL$1,0))),INT(INDEX($A473:$AL473,MATCH(Lists!$F$5,$A$1:$AL$1,0))),DATE(VALUE(LEFT(INDEX($A473:$AL473,MATCH(Lists!$F$5,$A$1:$AL$1,0)),4)),VALUE(MID(INDEX($A473:$AL473,MATCH(Lists!$F$5,$A$1:$AL$1,0)),6,2)),VALUE(MID(INDEX($A473:$AL473,MATCH(Lists!$F$5,$A$1:$AL$1,0)),9,2))))),"")))</f>
        <v/>
      </c>
      <c r="AU473" s="21">
        <f>IF(IFERROR(TRIM(INDEX($A473:$AL473,MATCH(Lists!$F$2,$A$1:$AL$1,0))&amp;""),"")="",-1,IF(ISNUMBER(IFERROR(IF(TRIM(INDEX($A473:$AL473,MATCH(Lists!$F$6,$A$1:$AL$1,0))&amp;"")="","",IF(ISNUMBER(INDEX($A473:$AL473,MATCH(Lists!$F$6,$A$1:$AL$1,0))),ROUND(MOD(INDEX($A473:$AL473,MATCH(Lists!$F$6,$A$1:$AL$1,0)),1)*1440,0),VALUE(LEFT(INDEX($A473:$AL473,MATCH(Lists!$F$6,$A$1:$AL$1,0)),2))*60+VALUE(MID(INDEX($A473:$AL473,MATCH(Lists!$F$6,$A$1:$AL$1,0)),4,2)))),"")),IFERROR(IF(TRIM(INDEX($A473:$AL473,MATCH(Lists!$F$6,$A$1:$AL$1,0))&amp;"")="","",IF(ISNUMBER(INDEX($A473:$AL473,MATCH(Lists!$F$6,$A$1:$AL$1,0))),ROUND(MOD(INDEX($A473:$AL473,MATCH(Lists!$F$6,$A$1:$AL$1,0)),1)*1440,0),VALUE(LEFT(INDEX($A473:$AL473,MATCH(Lists!$F$6,$A$1:$AL$1,0)),2))*60+VALUE(MID(INDEX($A473:$AL473,MATCH(Lists!$F$6,$A$1:$AL$1,0)),4,2)))),""),-1))</f>
        <v/>
      </c>
      <c r="AV473" s="21">
        <f>IF(IFERROR(TRIM(INDEX($A473:$AL473,MATCH(Lists!$F$2,$A$1:$AL$1,0))&amp;""),"")="",-1,IF(ISNUMBER(IFERROR(IF(TRIM(INDEX($A473:$AL473,MATCH(Lists!$F$7,$A$1:$AL$1,0))&amp;"")="","",IF(ISNUMBER(INDEX($A473:$AL473,MATCH(Lists!$F$7,$A$1:$AL$1,0))),ROUND(MOD(INDEX($A473:$AL473,MATCH(Lists!$F$7,$A$1:$AL$1,0)),1)*1440,0),VALUE(LEFT(INDEX($A473:$AL473,MATCH(Lists!$F$7,$A$1:$AL$1,0)),2))*60+VALUE(MID(INDEX($A473:$AL473,MATCH(Lists!$F$7,$A$1:$AL$1,0)),4,2)))),"")),IFERROR(IF(TRIM(INDEX($A473:$AL473,MATCH(Lists!$F$7,$A$1:$AL$1,0))&amp;"")="","",IF(ISNUMBER(INDEX($A473:$AL473,MATCH(Lists!$F$7,$A$1:$AL$1,0))),ROUND(MOD(INDEX($A473:$AL473,MATCH(Lists!$F$7,$A$1:$AL$1,0)),1)*1440,0),VALUE(LEFT(INDEX($A473:$AL473,MATCH(Lists!$F$7,$A$1:$AL$1,0)),2))*60+VALUE(MID(INDEX($A473:$AL473,MATCH(Lists!$F$7,$A$1:$AL$1,0)),4,2)))),""),-1))</f>
        <v/>
      </c>
      <c r="AW473" s="21">
        <f>IF(IFERROR(TRIM(INDEX($A473:$AL473,MATCH(Lists!$F$2,$A$1:$AL$1,0))&amp;""),"")="","",IF(IFERROR(TRIM(INDEX($A473:$AL473,MATCH(Lists!$F$8,$A$1:$AL$1,0))&amp;""),"")&lt;&gt;"",IFERROR(TRIM(INDEX($A473:$AL473,MATCH(Lists!$F$8,$A$1:$AL$1,0))&amp;""),""),IFERROR(TRIM(INDEX($A473:$AL473,MATCH(Lists!$F$9,$A$1:$AL$1,0))&amp;""),"")))</f>
        <v/>
      </c>
      <c r="AX473" s="21">
        <f>IFERROR(IF(TRIM(INDEX($A473:$AL473,MATCH(Lists!$F$10,$A$1:$AL$1,0))&amp;"")="","",VALUE(TRIM(INDEX($A473:$AL473,MATCH(Lists!$F$10,$A$1:$AL$1,0))&amp;""))),"")</f>
        <v/>
      </c>
      <c r="AY473" s="21">
        <f>IF(IFERROR(TRIM(INDEX($A473:$AL473,MATCH(Lists!$F$2,$A$1:$AL$1,0))&amp;""),"")="","",IF(AN473="","New",AN473))</f>
        <v/>
      </c>
      <c r="AZ473" s="21">
        <f>IF(IFERROR(TRIM(INDEX($A473:$AL473,MATCH(Lists!$F$2,$A$1:$AL$1,0))&amp;""),"")="","",IF(OR(IFERROR(TRIM(INDEX($A473:$AL473,MATCH(Lists!$F$13,$A$1:$AL$1,0))&amp;""),"")="Paid",IFERROR(TRIM(INDEX($A473:$AL473,MATCH(Lists!$F$13,$A$1:$AL$1,0))&amp;""),"")="Partially refunded"),"Paid",IF(AP473="Yes","Paid (by hand)",IFERROR(TRIM(INDEX($A473:$AL473,MATCH(Lists!$F$13,$A$1:$AL$1,0))&amp;""),""))))</f>
        <v/>
      </c>
      <c r="BA473" s="21">
        <f>IF(AND(IFERROR(TRIM(INDEX($A473:$AL473,MATCH(Lists!$F$2,$A$1:$AL$1,0))&amp;""),"")&lt;&gt;"",AT473&gt;0,AU473&gt;=0,AV473&gt;AU473,AY473&lt;&gt;"Declined"),1,0)</f>
        <v/>
      </c>
      <c r="BB473" s="21">
        <f>IF(BA473=1,COUNTIFS($AS$2:$AS$501,AS473,$AT$2:$AT$501,AT473,$AU$2:$AU$501,"&lt;"&amp;AV473,$AV$2:$AV$501,"&gt;"&amp;AU473,$BA$2:$BA$501,1)-1,"")</f>
        <v/>
      </c>
      <c r="BC473" s="21">
        <f>IF(N(BB473)&gt;0,"Clashes with "&amp;INDEX($AW$2:$AW$501,SUMPRODUCT(MAX(($AS$2:$AS$501=AS473)*($AT$2:$AT$501=AT473)*($AU$2:$AU$501&lt;AV473)*($AV$2:$AV$501&gt;AU473)*($BA$2:$BA$501=1)*(ROW($AS$2:$AS$501)&lt;&gt;ROW())*ROW($AS$2:$AS$501)))-1)&amp;" ("&amp;INDEX($AY$2:$AY$501,SUMPRODUCT(MAX(($AS$2:$AS$501=AS473)*($AT$2:$AT$501=AT473)*($AU$2:$AU$501&lt;AV473)*($AV$2:$AV$501&gt;AU473)*($BA$2:$BA$501=1)*(ROW($AS$2:$AS$501)&lt;&gt;ROW())*ROW($AS$2:$AS$501)))-1)&amp;")"&amp;IF(BB473&gt;1," and "&amp;(BB473-1)&amp;" more",""),"")</f>
        <v/>
      </c>
      <c r="BD473" s="21">
        <f>IF(AND(BA473=1,AY473="Confirmed"),AT473*10000000+AU473*1000+ROW(),"")</f>
        <v/>
      </c>
      <c r="BE473" s="21">
        <f>IF(IFERROR(TRIM(INDEX($A473:$AL473,MATCH(Lists!$F$2,$A$1:$AL$1,0))&amp;""),"")="","",IFERROR(TRIM(INDEX($A473:$AL473,MATCH(Lists!$F$11,$A$1:$AL$1,0))&amp;""),""))</f>
        <v/>
      </c>
      <c r="BF473" s="21">
        <f>IF(IFERROR(TRIM(INDEX($A473:$AL473,MATCH(Lists!$F$2,$A$1:$AL$1,0))&amp;""),"")="","",IFERROR(TRIM(INDEX($A473:$AL473,MATCH(Lists!$F$12,$A$1:$AL$1,0))&amp;""),""))</f>
        <v/>
      </c>
    </row>
    <row r="474">
      <c r="AM474" s="19" t="n"/>
      <c r="AN474" s="23" t="n"/>
      <c r="AO474" s="23" t="n"/>
      <c r="AP474" s="23" t="n"/>
      <c r="AQ474" s="23" t="n"/>
      <c r="AR474" s="19" t="n"/>
      <c r="AS474" s="21">
        <f>IF(IFERROR(TRIM(INDEX($A474:$AL474,MATCH(Lists!$F$2,$A$1:$AL$1,0))&amp;""),"")="","",IF(AND(IFERROR(TRIM(INDEX($A474:$AL474,MATCH(Lists!$F$3,$A$1:$AL$1,0))&amp;""),"")="Other",IFERROR(TRIM(INDEX($A474:$AL474,MATCH(Lists!$F$4,$A$1:$AL$1,0))&amp;""),"")&lt;&gt;""),IFERROR(TRIM(INDEX($A474:$AL474,MATCH(Lists!$F$4,$A$1:$AL$1,0))&amp;""),""),IF(IFERROR(TRIM(INDEX($A474:$AL474,MATCH(Lists!$F$3,$A$1:$AL$1,0))&amp;""),"")="","(no space)",IFERROR(TRIM(INDEX($A474:$AL474,MATCH(Lists!$F$3,$A$1:$AL$1,0))&amp;""),""))))</f>
        <v/>
      </c>
      <c r="AT474" s="22">
        <f>IF(IFERROR(TRIM(INDEX($A474:$AL474,MATCH(Lists!$F$2,$A$1:$AL$1,0))&amp;""),"")="",0,N(IFERROR(IF(TRIM(INDEX($A474:$AL474,MATCH(Lists!$F$5,$A$1:$AL$1,0))&amp;"")="","",IF(ISNUMBER(INDEX($A474:$AL474,MATCH(Lists!$F$5,$A$1:$AL$1,0))),INT(INDEX($A474:$AL474,MATCH(Lists!$F$5,$A$1:$AL$1,0))),DATE(VALUE(LEFT(INDEX($A474:$AL474,MATCH(Lists!$F$5,$A$1:$AL$1,0)),4)),VALUE(MID(INDEX($A474:$AL474,MATCH(Lists!$F$5,$A$1:$AL$1,0)),6,2)),VALUE(MID(INDEX($A474:$AL474,MATCH(Lists!$F$5,$A$1:$AL$1,0)),9,2))))),"")))</f>
        <v/>
      </c>
      <c r="AU474" s="21">
        <f>IF(IFERROR(TRIM(INDEX($A474:$AL474,MATCH(Lists!$F$2,$A$1:$AL$1,0))&amp;""),"")="",-1,IF(ISNUMBER(IFERROR(IF(TRIM(INDEX($A474:$AL474,MATCH(Lists!$F$6,$A$1:$AL$1,0))&amp;"")="","",IF(ISNUMBER(INDEX($A474:$AL474,MATCH(Lists!$F$6,$A$1:$AL$1,0))),ROUND(MOD(INDEX($A474:$AL474,MATCH(Lists!$F$6,$A$1:$AL$1,0)),1)*1440,0),VALUE(LEFT(INDEX($A474:$AL474,MATCH(Lists!$F$6,$A$1:$AL$1,0)),2))*60+VALUE(MID(INDEX($A474:$AL474,MATCH(Lists!$F$6,$A$1:$AL$1,0)),4,2)))),"")),IFERROR(IF(TRIM(INDEX($A474:$AL474,MATCH(Lists!$F$6,$A$1:$AL$1,0))&amp;"")="","",IF(ISNUMBER(INDEX($A474:$AL474,MATCH(Lists!$F$6,$A$1:$AL$1,0))),ROUND(MOD(INDEX($A474:$AL474,MATCH(Lists!$F$6,$A$1:$AL$1,0)),1)*1440,0),VALUE(LEFT(INDEX($A474:$AL474,MATCH(Lists!$F$6,$A$1:$AL$1,0)),2))*60+VALUE(MID(INDEX($A474:$AL474,MATCH(Lists!$F$6,$A$1:$AL$1,0)),4,2)))),""),-1))</f>
        <v/>
      </c>
      <c r="AV474" s="21">
        <f>IF(IFERROR(TRIM(INDEX($A474:$AL474,MATCH(Lists!$F$2,$A$1:$AL$1,0))&amp;""),"")="",-1,IF(ISNUMBER(IFERROR(IF(TRIM(INDEX($A474:$AL474,MATCH(Lists!$F$7,$A$1:$AL$1,0))&amp;"")="","",IF(ISNUMBER(INDEX($A474:$AL474,MATCH(Lists!$F$7,$A$1:$AL$1,0))),ROUND(MOD(INDEX($A474:$AL474,MATCH(Lists!$F$7,$A$1:$AL$1,0)),1)*1440,0),VALUE(LEFT(INDEX($A474:$AL474,MATCH(Lists!$F$7,$A$1:$AL$1,0)),2))*60+VALUE(MID(INDEX($A474:$AL474,MATCH(Lists!$F$7,$A$1:$AL$1,0)),4,2)))),"")),IFERROR(IF(TRIM(INDEX($A474:$AL474,MATCH(Lists!$F$7,$A$1:$AL$1,0))&amp;"")="","",IF(ISNUMBER(INDEX($A474:$AL474,MATCH(Lists!$F$7,$A$1:$AL$1,0))),ROUND(MOD(INDEX($A474:$AL474,MATCH(Lists!$F$7,$A$1:$AL$1,0)),1)*1440,0),VALUE(LEFT(INDEX($A474:$AL474,MATCH(Lists!$F$7,$A$1:$AL$1,0)),2))*60+VALUE(MID(INDEX($A474:$AL474,MATCH(Lists!$F$7,$A$1:$AL$1,0)),4,2)))),""),-1))</f>
        <v/>
      </c>
      <c r="AW474" s="21">
        <f>IF(IFERROR(TRIM(INDEX($A474:$AL474,MATCH(Lists!$F$2,$A$1:$AL$1,0))&amp;""),"")="","",IF(IFERROR(TRIM(INDEX($A474:$AL474,MATCH(Lists!$F$8,$A$1:$AL$1,0))&amp;""),"")&lt;&gt;"",IFERROR(TRIM(INDEX($A474:$AL474,MATCH(Lists!$F$8,$A$1:$AL$1,0))&amp;""),""),IFERROR(TRIM(INDEX($A474:$AL474,MATCH(Lists!$F$9,$A$1:$AL$1,0))&amp;""),"")))</f>
        <v/>
      </c>
      <c r="AX474" s="21">
        <f>IFERROR(IF(TRIM(INDEX($A474:$AL474,MATCH(Lists!$F$10,$A$1:$AL$1,0))&amp;"")="","",VALUE(TRIM(INDEX($A474:$AL474,MATCH(Lists!$F$10,$A$1:$AL$1,0))&amp;""))),"")</f>
        <v/>
      </c>
      <c r="AY474" s="21">
        <f>IF(IFERROR(TRIM(INDEX($A474:$AL474,MATCH(Lists!$F$2,$A$1:$AL$1,0))&amp;""),"")="","",IF(AN474="","New",AN474))</f>
        <v/>
      </c>
      <c r="AZ474" s="21">
        <f>IF(IFERROR(TRIM(INDEX($A474:$AL474,MATCH(Lists!$F$2,$A$1:$AL$1,0))&amp;""),"")="","",IF(OR(IFERROR(TRIM(INDEX($A474:$AL474,MATCH(Lists!$F$13,$A$1:$AL$1,0))&amp;""),"")="Paid",IFERROR(TRIM(INDEX($A474:$AL474,MATCH(Lists!$F$13,$A$1:$AL$1,0))&amp;""),"")="Partially refunded"),"Paid",IF(AP474="Yes","Paid (by hand)",IFERROR(TRIM(INDEX($A474:$AL474,MATCH(Lists!$F$13,$A$1:$AL$1,0))&amp;""),""))))</f>
        <v/>
      </c>
      <c r="BA474" s="21">
        <f>IF(AND(IFERROR(TRIM(INDEX($A474:$AL474,MATCH(Lists!$F$2,$A$1:$AL$1,0))&amp;""),"")&lt;&gt;"",AT474&gt;0,AU474&gt;=0,AV474&gt;AU474,AY474&lt;&gt;"Declined"),1,0)</f>
        <v/>
      </c>
      <c r="BB474" s="21">
        <f>IF(BA474=1,COUNTIFS($AS$2:$AS$501,AS474,$AT$2:$AT$501,AT474,$AU$2:$AU$501,"&lt;"&amp;AV474,$AV$2:$AV$501,"&gt;"&amp;AU474,$BA$2:$BA$501,1)-1,"")</f>
        <v/>
      </c>
      <c r="BC474" s="21">
        <f>IF(N(BB474)&gt;0,"Clashes with "&amp;INDEX($AW$2:$AW$501,SUMPRODUCT(MAX(($AS$2:$AS$501=AS474)*($AT$2:$AT$501=AT474)*($AU$2:$AU$501&lt;AV474)*($AV$2:$AV$501&gt;AU474)*($BA$2:$BA$501=1)*(ROW($AS$2:$AS$501)&lt;&gt;ROW())*ROW($AS$2:$AS$501)))-1)&amp;" ("&amp;INDEX($AY$2:$AY$501,SUMPRODUCT(MAX(($AS$2:$AS$501=AS474)*($AT$2:$AT$501=AT474)*($AU$2:$AU$501&lt;AV474)*($AV$2:$AV$501&gt;AU474)*($BA$2:$BA$501=1)*(ROW($AS$2:$AS$501)&lt;&gt;ROW())*ROW($AS$2:$AS$501)))-1)&amp;")"&amp;IF(BB474&gt;1," and "&amp;(BB474-1)&amp;" more",""),"")</f>
        <v/>
      </c>
      <c r="BD474" s="21">
        <f>IF(AND(BA474=1,AY474="Confirmed"),AT474*10000000+AU474*1000+ROW(),"")</f>
        <v/>
      </c>
      <c r="BE474" s="21">
        <f>IF(IFERROR(TRIM(INDEX($A474:$AL474,MATCH(Lists!$F$2,$A$1:$AL$1,0))&amp;""),"")="","",IFERROR(TRIM(INDEX($A474:$AL474,MATCH(Lists!$F$11,$A$1:$AL$1,0))&amp;""),""))</f>
        <v/>
      </c>
      <c r="BF474" s="21">
        <f>IF(IFERROR(TRIM(INDEX($A474:$AL474,MATCH(Lists!$F$2,$A$1:$AL$1,0))&amp;""),"")="","",IFERROR(TRIM(INDEX($A474:$AL474,MATCH(Lists!$F$12,$A$1:$AL$1,0))&amp;""),""))</f>
        <v/>
      </c>
    </row>
    <row r="475">
      <c r="AM475" s="19" t="n"/>
      <c r="AN475" s="23" t="n"/>
      <c r="AO475" s="23" t="n"/>
      <c r="AP475" s="23" t="n"/>
      <c r="AQ475" s="23" t="n"/>
      <c r="AR475" s="19" t="n"/>
      <c r="AS475" s="21">
        <f>IF(IFERROR(TRIM(INDEX($A475:$AL475,MATCH(Lists!$F$2,$A$1:$AL$1,0))&amp;""),"")="","",IF(AND(IFERROR(TRIM(INDEX($A475:$AL475,MATCH(Lists!$F$3,$A$1:$AL$1,0))&amp;""),"")="Other",IFERROR(TRIM(INDEX($A475:$AL475,MATCH(Lists!$F$4,$A$1:$AL$1,0))&amp;""),"")&lt;&gt;""),IFERROR(TRIM(INDEX($A475:$AL475,MATCH(Lists!$F$4,$A$1:$AL$1,0))&amp;""),""),IF(IFERROR(TRIM(INDEX($A475:$AL475,MATCH(Lists!$F$3,$A$1:$AL$1,0))&amp;""),"")="","(no space)",IFERROR(TRIM(INDEX($A475:$AL475,MATCH(Lists!$F$3,$A$1:$AL$1,0))&amp;""),""))))</f>
        <v/>
      </c>
      <c r="AT475" s="22">
        <f>IF(IFERROR(TRIM(INDEX($A475:$AL475,MATCH(Lists!$F$2,$A$1:$AL$1,0))&amp;""),"")="",0,N(IFERROR(IF(TRIM(INDEX($A475:$AL475,MATCH(Lists!$F$5,$A$1:$AL$1,0))&amp;"")="","",IF(ISNUMBER(INDEX($A475:$AL475,MATCH(Lists!$F$5,$A$1:$AL$1,0))),INT(INDEX($A475:$AL475,MATCH(Lists!$F$5,$A$1:$AL$1,0))),DATE(VALUE(LEFT(INDEX($A475:$AL475,MATCH(Lists!$F$5,$A$1:$AL$1,0)),4)),VALUE(MID(INDEX($A475:$AL475,MATCH(Lists!$F$5,$A$1:$AL$1,0)),6,2)),VALUE(MID(INDEX($A475:$AL475,MATCH(Lists!$F$5,$A$1:$AL$1,0)),9,2))))),"")))</f>
        <v/>
      </c>
      <c r="AU475" s="21">
        <f>IF(IFERROR(TRIM(INDEX($A475:$AL475,MATCH(Lists!$F$2,$A$1:$AL$1,0))&amp;""),"")="",-1,IF(ISNUMBER(IFERROR(IF(TRIM(INDEX($A475:$AL475,MATCH(Lists!$F$6,$A$1:$AL$1,0))&amp;"")="","",IF(ISNUMBER(INDEX($A475:$AL475,MATCH(Lists!$F$6,$A$1:$AL$1,0))),ROUND(MOD(INDEX($A475:$AL475,MATCH(Lists!$F$6,$A$1:$AL$1,0)),1)*1440,0),VALUE(LEFT(INDEX($A475:$AL475,MATCH(Lists!$F$6,$A$1:$AL$1,0)),2))*60+VALUE(MID(INDEX($A475:$AL475,MATCH(Lists!$F$6,$A$1:$AL$1,0)),4,2)))),"")),IFERROR(IF(TRIM(INDEX($A475:$AL475,MATCH(Lists!$F$6,$A$1:$AL$1,0))&amp;"")="","",IF(ISNUMBER(INDEX($A475:$AL475,MATCH(Lists!$F$6,$A$1:$AL$1,0))),ROUND(MOD(INDEX($A475:$AL475,MATCH(Lists!$F$6,$A$1:$AL$1,0)),1)*1440,0),VALUE(LEFT(INDEX($A475:$AL475,MATCH(Lists!$F$6,$A$1:$AL$1,0)),2))*60+VALUE(MID(INDEX($A475:$AL475,MATCH(Lists!$F$6,$A$1:$AL$1,0)),4,2)))),""),-1))</f>
        <v/>
      </c>
      <c r="AV475" s="21">
        <f>IF(IFERROR(TRIM(INDEX($A475:$AL475,MATCH(Lists!$F$2,$A$1:$AL$1,0))&amp;""),"")="",-1,IF(ISNUMBER(IFERROR(IF(TRIM(INDEX($A475:$AL475,MATCH(Lists!$F$7,$A$1:$AL$1,0))&amp;"")="","",IF(ISNUMBER(INDEX($A475:$AL475,MATCH(Lists!$F$7,$A$1:$AL$1,0))),ROUND(MOD(INDEX($A475:$AL475,MATCH(Lists!$F$7,$A$1:$AL$1,0)),1)*1440,0),VALUE(LEFT(INDEX($A475:$AL475,MATCH(Lists!$F$7,$A$1:$AL$1,0)),2))*60+VALUE(MID(INDEX($A475:$AL475,MATCH(Lists!$F$7,$A$1:$AL$1,0)),4,2)))),"")),IFERROR(IF(TRIM(INDEX($A475:$AL475,MATCH(Lists!$F$7,$A$1:$AL$1,0))&amp;"")="","",IF(ISNUMBER(INDEX($A475:$AL475,MATCH(Lists!$F$7,$A$1:$AL$1,0))),ROUND(MOD(INDEX($A475:$AL475,MATCH(Lists!$F$7,$A$1:$AL$1,0)),1)*1440,0),VALUE(LEFT(INDEX($A475:$AL475,MATCH(Lists!$F$7,$A$1:$AL$1,0)),2))*60+VALUE(MID(INDEX($A475:$AL475,MATCH(Lists!$F$7,$A$1:$AL$1,0)),4,2)))),""),-1))</f>
        <v/>
      </c>
      <c r="AW475" s="21">
        <f>IF(IFERROR(TRIM(INDEX($A475:$AL475,MATCH(Lists!$F$2,$A$1:$AL$1,0))&amp;""),"")="","",IF(IFERROR(TRIM(INDEX($A475:$AL475,MATCH(Lists!$F$8,$A$1:$AL$1,0))&amp;""),"")&lt;&gt;"",IFERROR(TRIM(INDEX($A475:$AL475,MATCH(Lists!$F$8,$A$1:$AL$1,0))&amp;""),""),IFERROR(TRIM(INDEX($A475:$AL475,MATCH(Lists!$F$9,$A$1:$AL$1,0))&amp;""),"")))</f>
        <v/>
      </c>
      <c r="AX475" s="21">
        <f>IFERROR(IF(TRIM(INDEX($A475:$AL475,MATCH(Lists!$F$10,$A$1:$AL$1,0))&amp;"")="","",VALUE(TRIM(INDEX($A475:$AL475,MATCH(Lists!$F$10,$A$1:$AL$1,0))&amp;""))),"")</f>
        <v/>
      </c>
      <c r="AY475" s="21">
        <f>IF(IFERROR(TRIM(INDEX($A475:$AL475,MATCH(Lists!$F$2,$A$1:$AL$1,0))&amp;""),"")="","",IF(AN475="","New",AN475))</f>
        <v/>
      </c>
      <c r="AZ475" s="21">
        <f>IF(IFERROR(TRIM(INDEX($A475:$AL475,MATCH(Lists!$F$2,$A$1:$AL$1,0))&amp;""),"")="","",IF(OR(IFERROR(TRIM(INDEX($A475:$AL475,MATCH(Lists!$F$13,$A$1:$AL$1,0))&amp;""),"")="Paid",IFERROR(TRIM(INDEX($A475:$AL475,MATCH(Lists!$F$13,$A$1:$AL$1,0))&amp;""),"")="Partially refunded"),"Paid",IF(AP475="Yes","Paid (by hand)",IFERROR(TRIM(INDEX($A475:$AL475,MATCH(Lists!$F$13,$A$1:$AL$1,0))&amp;""),""))))</f>
        <v/>
      </c>
      <c r="BA475" s="21">
        <f>IF(AND(IFERROR(TRIM(INDEX($A475:$AL475,MATCH(Lists!$F$2,$A$1:$AL$1,0))&amp;""),"")&lt;&gt;"",AT475&gt;0,AU475&gt;=0,AV475&gt;AU475,AY475&lt;&gt;"Declined"),1,0)</f>
        <v/>
      </c>
      <c r="BB475" s="21">
        <f>IF(BA475=1,COUNTIFS($AS$2:$AS$501,AS475,$AT$2:$AT$501,AT475,$AU$2:$AU$501,"&lt;"&amp;AV475,$AV$2:$AV$501,"&gt;"&amp;AU475,$BA$2:$BA$501,1)-1,"")</f>
        <v/>
      </c>
      <c r="BC475" s="21">
        <f>IF(N(BB475)&gt;0,"Clashes with "&amp;INDEX($AW$2:$AW$501,SUMPRODUCT(MAX(($AS$2:$AS$501=AS475)*($AT$2:$AT$501=AT475)*($AU$2:$AU$501&lt;AV475)*($AV$2:$AV$501&gt;AU475)*($BA$2:$BA$501=1)*(ROW($AS$2:$AS$501)&lt;&gt;ROW())*ROW($AS$2:$AS$501)))-1)&amp;" ("&amp;INDEX($AY$2:$AY$501,SUMPRODUCT(MAX(($AS$2:$AS$501=AS475)*($AT$2:$AT$501=AT475)*($AU$2:$AU$501&lt;AV475)*($AV$2:$AV$501&gt;AU475)*($BA$2:$BA$501=1)*(ROW($AS$2:$AS$501)&lt;&gt;ROW())*ROW($AS$2:$AS$501)))-1)&amp;")"&amp;IF(BB475&gt;1," and "&amp;(BB475-1)&amp;" more",""),"")</f>
        <v/>
      </c>
      <c r="BD475" s="21">
        <f>IF(AND(BA475=1,AY475="Confirmed"),AT475*10000000+AU475*1000+ROW(),"")</f>
        <v/>
      </c>
      <c r="BE475" s="21">
        <f>IF(IFERROR(TRIM(INDEX($A475:$AL475,MATCH(Lists!$F$2,$A$1:$AL$1,0))&amp;""),"")="","",IFERROR(TRIM(INDEX($A475:$AL475,MATCH(Lists!$F$11,$A$1:$AL$1,0))&amp;""),""))</f>
        <v/>
      </c>
      <c r="BF475" s="21">
        <f>IF(IFERROR(TRIM(INDEX($A475:$AL475,MATCH(Lists!$F$2,$A$1:$AL$1,0))&amp;""),"")="","",IFERROR(TRIM(INDEX($A475:$AL475,MATCH(Lists!$F$12,$A$1:$AL$1,0))&amp;""),""))</f>
        <v/>
      </c>
    </row>
    <row r="476">
      <c r="AM476" s="19" t="n"/>
      <c r="AN476" s="23" t="n"/>
      <c r="AO476" s="23" t="n"/>
      <c r="AP476" s="23" t="n"/>
      <c r="AQ476" s="23" t="n"/>
      <c r="AR476" s="19" t="n"/>
      <c r="AS476" s="21">
        <f>IF(IFERROR(TRIM(INDEX($A476:$AL476,MATCH(Lists!$F$2,$A$1:$AL$1,0))&amp;""),"")="","",IF(AND(IFERROR(TRIM(INDEX($A476:$AL476,MATCH(Lists!$F$3,$A$1:$AL$1,0))&amp;""),"")="Other",IFERROR(TRIM(INDEX($A476:$AL476,MATCH(Lists!$F$4,$A$1:$AL$1,0))&amp;""),"")&lt;&gt;""),IFERROR(TRIM(INDEX($A476:$AL476,MATCH(Lists!$F$4,$A$1:$AL$1,0))&amp;""),""),IF(IFERROR(TRIM(INDEX($A476:$AL476,MATCH(Lists!$F$3,$A$1:$AL$1,0))&amp;""),"")="","(no space)",IFERROR(TRIM(INDEX($A476:$AL476,MATCH(Lists!$F$3,$A$1:$AL$1,0))&amp;""),""))))</f>
        <v/>
      </c>
      <c r="AT476" s="22">
        <f>IF(IFERROR(TRIM(INDEX($A476:$AL476,MATCH(Lists!$F$2,$A$1:$AL$1,0))&amp;""),"")="",0,N(IFERROR(IF(TRIM(INDEX($A476:$AL476,MATCH(Lists!$F$5,$A$1:$AL$1,0))&amp;"")="","",IF(ISNUMBER(INDEX($A476:$AL476,MATCH(Lists!$F$5,$A$1:$AL$1,0))),INT(INDEX($A476:$AL476,MATCH(Lists!$F$5,$A$1:$AL$1,0))),DATE(VALUE(LEFT(INDEX($A476:$AL476,MATCH(Lists!$F$5,$A$1:$AL$1,0)),4)),VALUE(MID(INDEX($A476:$AL476,MATCH(Lists!$F$5,$A$1:$AL$1,0)),6,2)),VALUE(MID(INDEX($A476:$AL476,MATCH(Lists!$F$5,$A$1:$AL$1,0)),9,2))))),"")))</f>
        <v/>
      </c>
      <c r="AU476" s="21">
        <f>IF(IFERROR(TRIM(INDEX($A476:$AL476,MATCH(Lists!$F$2,$A$1:$AL$1,0))&amp;""),"")="",-1,IF(ISNUMBER(IFERROR(IF(TRIM(INDEX($A476:$AL476,MATCH(Lists!$F$6,$A$1:$AL$1,0))&amp;"")="","",IF(ISNUMBER(INDEX($A476:$AL476,MATCH(Lists!$F$6,$A$1:$AL$1,0))),ROUND(MOD(INDEX($A476:$AL476,MATCH(Lists!$F$6,$A$1:$AL$1,0)),1)*1440,0),VALUE(LEFT(INDEX($A476:$AL476,MATCH(Lists!$F$6,$A$1:$AL$1,0)),2))*60+VALUE(MID(INDEX($A476:$AL476,MATCH(Lists!$F$6,$A$1:$AL$1,0)),4,2)))),"")),IFERROR(IF(TRIM(INDEX($A476:$AL476,MATCH(Lists!$F$6,$A$1:$AL$1,0))&amp;"")="","",IF(ISNUMBER(INDEX($A476:$AL476,MATCH(Lists!$F$6,$A$1:$AL$1,0))),ROUND(MOD(INDEX($A476:$AL476,MATCH(Lists!$F$6,$A$1:$AL$1,0)),1)*1440,0),VALUE(LEFT(INDEX($A476:$AL476,MATCH(Lists!$F$6,$A$1:$AL$1,0)),2))*60+VALUE(MID(INDEX($A476:$AL476,MATCH(Lists!$F$6,$A$1:$AL$1,0)),4,2)))),""),-1))</f>
        <v/>
      </c>
      <c r="AV476" s="21">
        <f>IF(IFERROR(TRIM(INDEX($A476:$AL476,MATCH(Lists!$F$2,$A$1:$AL$1,0))&amp;""),"")="",-1,IF(ISNUMBER(IFERROR(IF(TRIM(INDEX($A476:$AL476,MATCH(Lists!$F$7,$A$1:$AL$1,0))&amp;"")="","",IF(ISNUMBER(INDEX($A476:$AL476,MATCH(Lists!$F$7,$A$1:$AL$1,0))),ROUND(MOD(INDEX($A476:$AL476,MATCH(Lists!$F$7,$A$1:$AL$1,0)),1)*1440,0),VALUE(LEFT(INDEX($A476:$AL476,MATCH(Lists!$F$7,$A$1:$AL$1,0)),2))*60+VALUE(MID(INDEX($A476:$AL476,MATCH(Lists!$F$7,$A$1:$AL$1,0)),4,2)))),"")),IFERROR(IF(TRIM(INDEX($A476:$AL476,MATCH(Lists!$F$7,$A$1:$AL$1,0))&amp;"")="","",IF(ISNUMBER(INDEX($A476:$AL476,MATCH(Lists!$F$7,$A$1:$AL$1,0))),ROUND(MOD(INDEX($A476:$AL476,MATCH(Lists!$F$7,$A$1:$AL$1,0)),1)*1440,0),VALUE(LEFT(INDEX($A476:$AL476,MATCH(Lists!$F$7,$A$1:$AL$1,0)),2))*60+VALUE(MID(INDEX($A476:$AL476,MATCH(Lists!$F$7,$A$1:$AL$1,0)),4,2)))),""),-1))</f>
        <v/>
      </c>
      <c r="AW476" s="21">
        <f>IF(IFERROR(TRIM(INDEX($A476:$AL476,MATCH(Lists!$F$2,$A$1:$AL$1,0))&amp;""),"")="","",IF(IFERROR(TRIM(INDEX($A476:$AL476,MATCH(Lists!$F$8,$A$1:$AL$1,0))&amp;""),"")&lt;&gt;"",IFERROR(TRIM(INDEX($A476:$AL476,MATCH(Lists!$F$8,$A$1:$AL$1,0))&amp;""),""),IFERROR(TRIM(INDEX($A476:$AL476,MATCH(Lists!$F$9,$A$1:$AL$1,0))&amp;""),"")))</f>
        <v/>
      </c>
      <c r="AX476" s="21">
        <f>IFERROR(IF(TRIM(INDEX($A476:$AL476,MATCH(Lists!$F$10,$A$1:$AL$1,0))&amp;"")="","",VALUE(TRIM(INDEX($A476:$AL476,MATCH(Lists!$F$10,$A$1:$AL$1,0))&amp;""))),"")</f>
        <v/>
      </c>
      <c r="AY476" s="21">
        <f>IF(IFERROR(TRIM(INDEX($A476:$AL476,MATCH(Lists!$F$2,$A$1:$AL$1,0))&amp;""),"")="","",IF(AN476="","New",AN476))</f>
        <v/>
      </c>
      <c r="AZ476" s="21">
        <f>IF(IFERROR(TRIM(INDEX($A476:$AL476,MATCH(Lists!$F$2,$A$1:$AL$1,0))&amp;""),"")="","",IF(OR(IFERROR(TRIM(INDEX($A476:$AL476,MATCH(Lists!$F$13,$A$1:$AL$1,0))&amp;""),"")="Paid",IFERROR(TRIM(INDEX($A476:$AL476,MATCH(Lists!$F$13,$A$1:$AL$1,0))&amp;""),"")="Partially refunded"),"Paid",IF(AP476="Yes","Paid (by hand)",IFERROR(TRIM(INDEX($A476:$AL476,MATCH(Lists!$F$13,$A$1:$AL$1,0))&amp;""),""))))</f>
        <v/>
      </c>
      <c r="BA476" s="21">
        <f>IF(AND(IFERROR(TRIM(INDEX($A476:$AL476,MATCH(Lists!$F$2,$A$1:$AL$1,0))&amp;""),"")&lt;&gt;"",AT476&gt;0,AU476&gt;=0,AV476&gt;AU476,AY476&lt;&gt;"Declined"),1,0)</f>
        <v/>
      </c>
      <c r="BB476" s="21">
        <f>IF(BA476=1,COUNTIFS($AS$2:$AS$501,AS476,$AT$2:$AT$501,AT476,$AU$2:$AU$501,"&lt;"&amp;AV476,$AV$2:$AV$501,"&gt;"&amp;AU476,$BA$2:$BA$501,1)-1,"")</f>
        <v/>
      </c>
      <c r="BC476" s="21">
        <f>IF(N(BB476)&gt;0,"Clashes with "&amp;INDEX($AW$2:$AW$501,SUMPRODUCT(MAX(($AS$2:$AS$501=AS476)*($AT$2:$AT$501=AT476)*($AU$2:$AU$501&lt;AV476)*($AV$2:$AV$501&gt;AU476)*($BA$2:$BA$501=1)*(ROW($AS$2:$AS$501)&lt;&gt;ROW())*ROW($AS$2:$AS$501)))-1)&amp;" ("&amp;INDEX($AY$2:$AY$501,SUMPRODUCT(MAX(($AS$2:$AS$501=AS476)*($AT$2:$AT$501=AT476)*($AU$2:$AU$501&lt;AV476)*($AV$2:$AV$501&gt;AU476)*($BA$2:$BA$501=1)*(ROW($AS$2:$AS$501)&lt;&gt;ROW())*ROW($AS$2:$AS$501)))-1)&amp;")"&amp;IF(BB476&gt;1," and "&amp;(BB476-1)&amp;" more",""),"")</f>
        <v/>
      </c>
      <c r="BD476" s="21">
        <f>IF(AND(BA476=1,AY476="Confirmed"),AT476*10000000+AU476*1000+ROW(),"")</f>
        <v/>
      </c>
      <c r="BE476" s="21">
        <f>IF(IFERROR(TRIM(INDEX($A476:$AL476,MATCH(Lists!$F$2,$A$1:$AL$1,0))&amp;""),"")="","",IFERROR(TRIM(INDEX($A476:$AL476,MATCH(Lists!$F$11,$A$1:$AL$1,0))&amp;""),""))</f>
        <v/>
      </c>
      <c r="BF476" s="21">
        <f>IF(IFERROR(TRIM(INDEX($A476:$AL476,MATCH(Lists!$F$2,$A$1:$AL$1,0))&amp;""),"")="","",IFERROR(TRIM(INDEX($A476:$AL476,MATCH(Lists!$F$12,$A$1:$AL$1,0))&amp;""),""))</f>
        <v/>
      </c>
    </row>
    <row r="477">
      <c r="AM477" s="19" t="n"/>
      <c r="AN477" s="23" t="n"/>
      <c r="AO477" s="23" t="n"/>
      <c r="AP477" s="23" t="n"/>
      <c r="AQ477" s="23" t="n"/>
      <c r="AR477" s="19" t="n"/>
      <c r="AS477" s="21">
        <f>IF(IFERROR(TRIM(INDEX($A477:$AL477,MATCH(Lists!$F$2,$A$1:$AL$1,0))&amp;""),"")="","",IF(AND(IFERROR(TRIM(INDEX($A477:$AL477,MATCH(Lists!$F$3,$A$1:$AL$1,0))&amp;""),"")="Other",IFERROR(TRIM(INDEX($A477:$AL477,MATCH(Lists!$F$4,$A$1:$AL$1,0))&amp;""),"")&lt;&gt;""),IFERROR(TRIM(INDEX($A477:$AL477,MATCH(Lists!$F$4,$A$1:$AL$1,0))&amp;""),""),IF(IFERROR(TRIM(INDEX($A477:$AL477,MATCH(Lists!$F$3,$A$1:$AL$1,0))&amp;""),"")="","(no space)",IFERROR(TRIM(INDEX($A477:$AL477,MATCH(Lists!$F$3,$A$1:$AL$1,0))&amp;""),""))))</f>
        <v/>
      </c>
      <c r="AT477" s="22">
        <f>IF(IFERROR(TRIM(INDEX($A477:$AL477,MATCH(Lists!$F$2,$A$1:$AL$1,0))&amp;""),"")="",0,N(IFERROR(IF(TRIM(INDEX($A477:$AL477,MATCH(Lists!$F$5,$A$1:$AL$1,0))&amp;"")="","",IF(ISNUMBER(INDEX($A477:$AL477,MATCH(Lists!$F$5,$A$1:$AL$1,0))),INT(INDEX($A477:$AL477,MATCH(Lists!$F$5,$A$1:$AL$1,0))),DATE(VALUE(LEFT(INDEX($A477:$AL477,MATCH(Lists!$F$5,$A$1:$AL$1,0)),4)),VALUE(MID(INDEX($A477:$AL477,MATCH(Lists!$F$5,$A$1:$AL$1,0)),6,2)),VALUE(MID(INDEX($A477:$AL477,MATCH(Lists!$F$5,$A$1:$AL$1,0)),9,2))))),"")))</f>
        <v/>
      </c>
      <c r="AU477" s="21">
        <f>IF(IFERROR(TRIM(INDEX($A477:$AL477,MATCH(Lists!$F$2,$A$1:$AL$1,0))&amp;""),"")="",-1,IF(ISNUMBER(IFERROR(IF(TRIM(INDEX($A477:$AL477,MATCH(Lists!$F$6,$A$1:$AL$1,0))&amp;"")="","",IF(ISNUMBER(INDEX($A477:$AL477,MATCH(Lists!$F$6,$A$1:$AL$1,0))),ROUND(MOD(INDEX($A477:$AL477,MATCH(Lists!$F$6,$A$1:$AL$1,0)),1)*1440,0),VALUE(LEFT(INDEX($A477:$AL477,MATCH(Lists!$F$6,$A$1:$AL$1,0)),2))*60+VALUE(MID(INDEX($A477:$AL477,MATCH(Lists!$F$6,$A$1:$AL$1,0)),4,2)))),"")),IFERROR(IF(TRIM(INDEX($A477:$AL477,MATCH(Lists!$F$6,$A$1:$AL$1,0))&amp;"")="","",IF(ISNUMBER(INDEX($A477:$AL477,MATCH(Lists!$F$6,$A$1:$AL$1,0))),ROUND(MOD(INDEX($A477:$AL477,MATCH(Lists!$F$6,$A$1:$AL$1,0)),1)*1440,0),VALUE(LEFT(INDEX($A477:$AL477,MATCH(Lists!$F$6,$A$1:$AL$1,0)),2))*60+VALUE(MID(INDEX($A477:$AL477,MATCH(Lists!$F$6,$A$1:$AL$1,0)),4,2)))),""),-1))</f>
        <v/>
      </c>
      <c r="AV477" s="21">
        <f>IF(IFERROR(TRIM(INDEX($A477:$AL477,MATCH(Lists!$F$2,$A$1:$AL$1,0))&amp;""),"")="",-1,IF(ISNUMBER(IFERROR(IF(TRIM(INDEX($A477:$AL477,MATCH(Lists!$F$7,$A$1:$AL$1,0))&amp;"")="","",IF(ISNUMBER(INDEX($A477:$AL477,MATCH(Lists!$F$7,$A$1:$AL$1,0))),ROUND(MOD(INDEX($A477:$AL477,MATCH(Lists!$F$7,$A$1:$AL$1,0)),1)*1440,0),VALUE(LEFT(INDEX($A477:$AL477,MATCH(Lists!$F$7,$A$1:$AL$1,0)),2))*60+VALUE(MID(INDEX($A477:$AL477,MATCH(Lists!$F$7,$A$1:$AL$1,0)),4,2)))),"")),IFERROR(IF(TRIM(INDEX($A477:$AL477,MATCH(Lists!$F$7,$A$1:$AL$1,0))&amp;"")="","",IF(ISNUMBER(INDEX($A477:$AL477,MATCH(Lists!$F$7,$A$1:$AL$1,0))),ROUND(MOD(INDEX($A477:$AL477,MATCH(Lists!$F$7,$A$1:$AL$1,0)),1)*1440,0),VALUE(LEFT(INDEX($A477:$AL477,MATCH(Lists!$F$7,$A$1:$AL$1,0)),2))*60+VALUE(MID(INDEX($A477:$AL477,MATCH(Lists!$F$7,$A$1:$AL$1,0)),4,2)))),""),-1))</f>
        <v/>
      </c>
      <c r="AW477" s="21">
        <f>IF(IFERROR(TRIM(INDEX($A477:$AL477,MATCH(Lists!$F$2,$A$1:$AL$1,0))&amp;""),"")="","",IF(IFERROR(TRIM(INDEX($A477:$AL477,MATCH(Lists!$F$8,$A$1:$AL$1,0))&amp;""),"")&lt;&gt;"",IFERROR(TRIM(INDEX($A477:$AL477,MATCH(Lists!$F$8,$A$1:$AL$1,0))&amp;""),""),IFERROR(TRIM(INDEX($A477:$AL477,MATCH(Lists!$F$9,$A$1:$AL$1,0))&amp;""),"")))</f>
        <v/>
      </c>
      <c r="AX477" s="21">
        <f>IFERROR(IF(TRIM(INDEX($A477:$AL477,MATCH(Lists!$F$10,$A$1:$AL$1,0))&amp;"")="","",VALUE(TRIM(INDEX($A477:$AL477,MATCH(Lists!$F$10,$A$1:$AL$1,0))&amp;""))),"")</f>
        <v/>
      </c>
      <c r="AY477" s="21">
        <f>IF(IFERROR(TRIM(INDEX($A477:$AL477,MATCH(Lists!$F$2,$A$1:$AL$1,0))&amp;""),"")="","",IF(AN477="","New",AN477))</f>
        <v/>
      </c>
      <c r="AZ477" s="21">
        <f>IF(IFERROR(TRIM(INDEX($A477:$AL477,MATCH(Lists!$F$2,$A$1:$AL$1,0))&amp;""),"")="","",IF(OR(IFERROR(TRIM(INDEX($A477:$AL477,MATCH(Lists!$F$13,$A$1:$AL$1,0))&amp;""),"")="Paid",IFERROR(TRIM(INDEX($A477:$AL477,MATCH(Lists!$F$13,$A$1:$AL$1,0))&amp;""),"")="Partially refunded"),"Paid",IF(AP477="Yes","Paid (by hand)",IFERROR(TRIM(INDEX($A477:$AL477,MATCH(Lists!$F$13,$A$1:$AL$1,0))&amp;""),""))))</f>
        <v/>
      </c>
      <c r="BA477" s="21">
        <f>IF(AND(IFERROR(TRIM(INDEX($A477:$AL477,MATCH(Lists!$F$2,$A$1:$AL$1,0))&amp;""),"")&lt;&gt;"",AT477&gt;0,AU477&gt;=0,AV477&gt;AU477,AY477&lt;&gt;"Declined"),1,0)</f>
        <v/>
      </c>
      <c r="BB477" s="21">
        <f>IF(BA477=1,COUNTIFS($AS$2:$AS$501,AS477,$AT$2:$AT$501,AT477,$AU$2:$AU$501,"&lt;"&amp;AV477,$AV$2:$AV$501,"&gt;"&amp;AU477,$BA$2:$BA$501,1)-1,"")</f>
        <v/>
      </c>
      <c r="BC477" s="21">
        <f>IF(N(BB477)&gt;0,"Clashes with "&amp;INDEX($AW$2:$AW$501,SUMPRODUCT(MAX(($AS$2:$AS$501=AS477)*($AT$2:$AT$501=AT477)*($AU$2:$AU$501&lt;AV477)*($AV$2:$AV$501&gt;AU477)*($BA$2:$BA$501=1)*(ROW($AS$2:$AS$501)&lt;&gt;ROW())*ROW($AS$2:$AS$501)))-1)&amp;" ("&amp;INDEX($AY$2:$AY$501,SUMPRODUCT(MAX(($AS$2:$AS$501=AS477)*($AT$2:$AT$501=AT477)*($AU$2:$AU$501&lt;AV477)*($AV$2:$AV$501&gt;AU477)*($BA$2:$BA$501=1)*(ROW($AS$2:$AS$501)&lt;&gt;ROW())*ROW($AS$2:$AS$501)))-1)&amp;")"&amp;IF(BB477&gt;1," and "&amp;(BB477-1)&amp;" more",""),"")</f>
        <v/>
      </c>
      <c r="BD477" s="21">
        <f>IF(AND(BA477=1,AY477="Confirmed"),AT477*10000000+AU477*1000+ROW(),"")</f>
        <v/>
      </c>
      <c r="BE477" s="21">
        <f>IF(IFERROR(TRIM(INDEX($A477:$AL477,MATCH(Lists!$F$2,$A$1:$AL$1,0))&amp;""),"")="","",IFERROR(TRIM(INDEX($A477:$AL477,MATCH(Lists!$F$11,$A$1:$AL$1,0))&amp;""),""))</f>
        <v/>
      </c>
      <c r="BF477" s="21">
        <f>IF(IFERROR(TRIM(INDEX($A477:$AL477,MATCH(Lists!$F$2,$A$1:$AL$1,0))&amp;""),"")="","",IFERROR(TRIM(INDEX($A477:$AL477,MATCH(Lists!$F$12,$A$1:$AL$1,0))&amp;""),""))</f>
        <v/>
      </c>
    </row>
    <row r="478">
      <c r="AM478" s="19" t="n"/>
      <c r="AN478" s="23" t="n"/>
      <c r="AO478" s="23" t="n"/>
      <c r="AP478" s="23" t="n"/>
      <c r="AQ478" s="23" t="n"/>
      <c r="AR478" s="19" t="n"/>
      <c r="AS478" s="21">
        <f>IF(IFERROR(TRIM(INDEX($A478:$AL478,MATCH(Lists!$F$2,$A$1:$AL$1,0))&amp;""),"")="","",IF(AND(IFERROR(TRIM(INDEX($A478:$AL478,MATCH(Lists!$F$3,$A$1:$AL$1,0))&amp;""),"")="Other",IFERROR(TRIM(INDEX($A478:$AL478,MATCH(Lists!$F$4,$A$1:$AL$1,0))&amp;""),"")&lt;&gt;""),IFERROR(TRIM(INDEX($A478:$AL478,MATCH(Lists!$F$4,$A$1:$AL$1,0))&amp;""),""),IF(IFERROR(TRIM(INDEX($A478:$AL478,MATCH(Lists!$F$3,$A$1:$AL$1,0))&amp;""),"")="","(no space)",IFERROR(TRIM(INDEX($A478:$AL478,MATCH(Lists!$F$3,$A$1:$AL$1,0))&amp;""),""))))</f>
        <v/>
      </c>
      <c r="AT478" s="22">
        <f>IF(IFERROR(TRIM(INDEX($A478:$AL478,MATCH(Lists!$F$2,$A$1:$AL$1,0))&amp;""),"")="",0,N(IFERROR(IF(TRIM(INDEX($A478:$AL478,MATCH(Lists!$F$5,$A$1:$AL$1,0))&amp;"")="","",IF(ISNUMBER(INDEX($A478:$AL478,MATCH(Lists!$F$5,$A$1:$AL$1,0))),INT(INDEX($A478:$AL478,MATCH(Lists!$F$5,$A$1:$AL$1,0))),DATE(VALUE(LEFT(INDEX($A478:$AL478,MATCH(Lists!$F$5,$A$1:$AL$1,0)),4)),VALUE(MID(INDEX($A478:$AL478,MATCH(Lists!$F$5,$A$1:$AL$1,0)),6,2)),VALUE(MID(INDEX($A478:$AL478,MATCH(Lists!$F$5,$A$1:$AL$1,0)),9,2))))),"")))</f>
        <v/>
      </c>
      <c r="AU478" s="21">
        <f>IF(IFERROR(TRIM(INDEX($A478:$AL478,MATCH(Lists!$F$2,$A$1:$AL$1,0))&amp;""),"")="",-1,IF(ISNUMBER(IFERROR(IF(TRIM(INDEX($A478:$AL478,MATCH(Lists!$F$6,$A$1:$AL$1,0))&amp;"")="","",IF(ISNUMBER(INDEX($A478:$AL478,MATCH(Lists!$F$6,$A$1:$AL$1,0))),ROUND(MOD(INDEX($A478:$AL478,MATCH(Lists!$F$6,$A$1:$AL$1,0)),1)*1440,0),VALUE(LEFT(INDEX($A478:$AL478,MATCH(Lists!$F$6,$A$1:$AL$1,0)),2))*60+VALUE(MID(INDEX($A478:$AL478,MATCH(Lists!$F$6,$A$1:$AL$1,0)),4,2)))),"")),IFERROR(IF(TRIM(INDEX($A478:$AL478,MATCH(Lists!$F$6,$A$1:$AL$1,0))&amp;"")="","",IF(ISNUMBER(INDEX($A478:$AL478,MATCH(Lists!$F$6,$A$1:$AL$1,0))),ROUND(MOD(INDEX($A478:$AL478,MATCH(Lists!$F$6,$A$1:$AL$1,0)),1)*1440,0),VALUE(LEFT(INDEX($A478:$AL478,MATCH(Lists!$F$6,$A$1:$AL$1,0)),2))*60+VALUE(MID(INDEX($A478:$AL478,MATCH(Lists!$F$6,$A$1:$AL$1,0)),4,2)))),""),-1))</f>
        <v/>
      </c>
      <c r="AV478" s="21">
        <f>IF(IFERROR(TRIM(INDEX($A478:$AL478,MATCH(Lists!$F$2,$A$1:$AL$1,0))&amp;""),"")="",-1,IF(ISNUMBER(IFERROR(IF(TRIM(INDEX($A478:$AL478,MATCH(Lists!$F$7,$A$1:$AL$1,0))&amp;"")="","",IF(ISNUMBER(INDEX($A478:$AL478,MATCH(Lists!$F$7,$A$1:$AL$1,0))),ROUND(MOD(INDEX($A478:$AL478,MATCH(Lists!$F$7,$A$1:$AL$1,0)),1)*1440,0),VALUE(LEFT(INDEX($A478:$AL478,MATCH(Lists!$F$7,$A$1:$AL$1,0)),2))*60+VALUE(MID(INDEX($A478:$AL478,MATCH(Lists!$F$7,$A$1:$AL$1,0)),4,2)))),"")),IFERROR(IF(TRIM(INDEX($A478:$AL478,MATCH(Lists!$F$7,$A$1:$AL$1,0))&amp;"")="","",IF(ISNUMBER(INDEX($A478:$AL478,MATCH(Lists!$F$7,$A$1:$AL$1,0))),ROUND(MOD(INDEX($A478:$AL478,MATCH(Lists!$F$7,$A$1:$AL$1,0)),1)*1440,0),VALUE(LEFT(INDEX($A478:$AL478,MATCH(Lists!$F$7,$A$1:$AL$1,0)),2))*60+VALUE(MID(INDEX($A478:$AL478,MATCH(Lists!$F$7,$A$1:$AL$1,0)),4,2)))),""),-1))</f>
        <v/>
      </c>
      <c r="AW478" s="21">
        <f>IF(IFERROR(TRIM(INDEX($A478:$AL478,MATCH(Lists!$F$2,$A$1:$AL$1,0))&amp;""),"")="","",IF(IFERROR(TRIM(INDEX($A478:$AL478,MATCH(Lists!$F$8,$A$1:$AL$1,0))&amp;""),"")&lt;&gt;"",IFERROR(TRIM(INDEX($A478:$AL478,MATCH(Lists!$F$8,$A$1:$AL$1,0))&amp;""),""),IFERROR(TRIM(INDEX($A478:$AL478,MATCH(Lists!$F$9,$A$1:$AL$1,0))&amp;""),"")))</f>
        <v/>
      </c>
      <c r="AX478" s="21">
        <f>IFERROR(IF(TRIM(INDEX($A478:$AL478,MATCH(Lists!$F$10,$A$1:$AL$1,0))&amp;"")="","",VALUE(TRIM(INDEX($A478:$AL478,MATCH(Lists!$F$10,$A$1:$AL$1,0))&amp;""))),"")</f>
        <v/>
      </c>
      <c r="AY478" s="21">
        <f>IF(IFERROR(TRIM(INDEX($A478:$AL478,MATCH(Lists!$F$2,$A$1:$AL$1,0))&amp;""),"")="","",IF(AN478="","New",AN478))</f>
        <v/>
      </c>
      <c r="AZ478" s="21">
        <f>IF(IFERROR(TRIM(INDEX($A478:$AL478,MATCH(Lists!$F$2,$A$1:$AL$1,0))&amp;""),"")="","",IF(OR(IFERROR(TRIM(INDEX($A478:$AL478,MATCH(Lists!$F$13,$A$1:$AL$1,0))&amp;""),"")="Paid",IFERROR(TRIM(INDEX($A478:$AL478,MATCH(Lists!$F$13,$A$1:$AL$1,0))&amp;""),"")="Partially refunded"),"Paid",IF(AP478="Yes","Paid (by hand)",IFERROR(TRIM(INDEX($A478:$AL478,MATCH(Lists!$F$13,$A$1:$AL$1,0))&amp;""),""))))</f>
        <v/>
      </c>
      <c r="BA478" s="21">
        <f>IF(AND(IFERROR(TRIM(INDEX($A478:$AL478,MATCH(Lists!$F$2,$A$1:$AL$1,0))&amp;""),"")&lt;&gt;"",AT478&gt;0,AU478&gt;=0,AV478&gt;AU478,AY478&lt;&gt;"Declined"),1,0)</f>
        <v/>
      </c>
      <c r="BB478" s="21">
        <f>IF(BA478=1,COUNTIFS($AS$2:$AS$501,AS478,$AT$2:$AT$501,AT478,$AU$2:$AU$501,"&lt;"&amp;AV478,$AV$2:$AV$501,"&gt;"&amp;AU478,$BA$2:$BA$501,1)-1,"")</f>
        <v/>
      </c>
      <c r="BC478" s="21">
        <f>IF(N(BB478)&gt;0,"Clashes with "&amp;INDEX($AW$2:$AW$501,SUMPRODUCT(MAX(($AS$2:$AS$501=AS478)*($AT$2:$AT$501=AT478)*($AU$2:$AU$501&lt;AV478)*($AV$2:$AV$501&gt;AU478)*($BA$2:$BA$501=1)*(ROW($AS$2:$AS$501)&lt;&gt;ROW())*ROW($AS$2:$AS$501)))-1)&amp;" ("&amp;INDEX($AY$2:$AY$501,SUMPRODUCT(MAX(($AS$2:$AS$501=AS478)*($AT$2:$AT$501=AT478)*($AU$2:$AU$501&lt;AV478)*($AV$2:$AV$501&gt;AU478)*($BA$2:$BA$501=1)*(ROW($AS$2:$AS$501)&lt;&gt;ROW())*ROW($AS$2:$AS$501)))-1)&amp;")"&amp;IF(BB478&gt;1," and "&amp;(BB478-1)&amp;" more",""),"")</f>
        <v/>
      </c>
      <c r="BD478" s="21">
        <f>IF(AND(BA478=1,AY478="Confirmed"),AT478*10000000+AU478*1000+ROW(),"")</f>
        <v/>
      </c>
      <c r="BE478" s="21">
        <f>IF(IFERROR(TRIM(INDEX($A478:$AL478,MATCH(Lists!$F$2,$A$1:$AL$1,0))&amp;""),"")="","",IFERROR(TRIM(INDEX($A478:$AL478,MATCH(Lists!$F$11,$A$1:$AL$1,0))&amp;""),""))</f>
        <v/>
      </c>
      <c r="BF478" s="21">
        <f>IF(IFERROR(TRIM(INDEX($A478:$AL478,MATCH(Lists!$F$2,$A$1:$AL$1,0))&amp;""),"")="","",IFERROR(TRIM(INDEX($A478:$AL478,MATCH(Lists!$F$12,$A$1:$AL$1,0))&amp;""),""))</f>
        <v/>
      </c>
    </row>
    <row r="479">
      <c r="AM479" s="19" t="n"/>
      <c r="AN479" s="23" t="n"/>
      <c r="AO479" s="23" t="n"/>
      <c r="AP479" s="23" t="n"/>
      <c r="AQ479" s="23" t="n"/>
      <c r="AR479" s="19" t="n"/>
      <c r="AS479" s="21">
        <f>IF(IFERROR(TRIM(INDEX($A479:$AL479,MATCH(Lists!$F$2,$A$1:$AL$1,0))&amp;""),"")="","",IF(AND(IFERROR(TRIM(INDEX($A479:$AL479,MATCH(Lists!$F$3,$A$1:$AL$1,0))&amp;""),"")="Other",IFERROR(TRIM(INDEX($A479:$AL479,MATCH(Lists!$F$4,$A$1:$AL$1,0))&amp;""),"")&lt;&gt;""),IFERROR(TRIM(INDEX($A479:$AL479,MATCH(Lists!$F$4,$A$1:$AL$1,0))&amp;""),""),IF(IFERROR(TRIM(INDEX($A479:$AL479,MATCH(Lists!$F$3,$A$1:$AL$1,0))&amp;""),"")="","(no space)",IFERROR(TRIM(INDEX($A479:$AL479,MATCH(Lists!$F$3,$A$1:$AL$1,0))&amp;""),""))))</f>
        <v/>
      </c>
      <c r="AT479" s="22">
        <f>IF(IFERROR(TRIM(INDEX($A479:$AL479,MATCH(Lists!$F$2,$A$1:$AL$1,0))&amp;""),"")="",0,N(IFERROR(IF(TRIM(INDEX($A479:$AL479,MATCH(Lists!$F$5,$A$1:$AL$1,0))&amp;"")="","",IF(ISNUMBER(INDEX($A479:$AL479,MATCH(Lists!$F$5,$A$1:$AL$1,0))),INT(INDEX($A479:$AL479,MATCH(Lists!$F$5,$A$1:$AL$1,0))),DATE(VALUE(LEFT(INDEX($A479:$AL479,MATCH(Lists!$F$5,$A$1:$AL$1,0)),4)),VALUE(MID(INDEX($A479:$AL479,MATCH(Lists!$F$5,$A$1:$AL$1,0)),6,2)),VALUE(MID(INDEX($A479:$AL479,MATCH(Lists!$F$5,$A$1:$AL$1,0)),9,2))))),"")))</f>
        <v/>
      </c>
      <c r="AU479" s="21">
        <f>IF(IFERROR(TRIM(INDEX($A479:$AL479,MATCH(Lists!$F$2,$A$1:$AL$1,0))&amp;""),"")="",-1,IF(ISNUMBER(IFERROR(IF(TRIM(INDEX($A479:$AL479,MATCH(Lists!$F$6,$A$1:$AL$1,0))&amp;"")="","",IF(ISNUMBER(INDEX($A479:$AL479,MATCH(Lists!$F$6,$A$1:$AL$1,0))),ROUND(MOD(INDEX($A479:$AL479,MATCH(Lists!$F$6,$A$1:$AL$1,0)),1)*1440,0),VALUE(LEFT(INDEX($A479:$AL479,MATCH(Lists!$F$6,$A$1:$AL$1,0)),2))*60+VALUE(MID(INDEX($A479:$AL479,MATCH(Lists!$F$6,$A$1:$AL$1,0)),4,2)))),"")),IFERROR(IF(TRIM(INDEX($A479:$AL479,MATCH(Lists!$F$6,$A$1:$AL$1,0))&amp;"")="","",IF(ISNUMBER(INDEX($A479:$AL479,MATCH(Lists!$F$6,$A$1:$AL$1,0))),ROUND(MOD(INDEX($A479:$AL479,MATCH(Lists!$F$6,$A$1:$AL$1,0)),1)*1440,0),VALUE(LEFT(INDEX($A479:$AL479,MATCH(Lists!$F$6,$A$1:$AL$1,0)),2))*60+VALUE(MID(INDEX($A479:$AL479,MATCH(Lists!$F$6,$A$1:$AL$1,0)),4,2)))),""),-1))</f>
        <v/>
      </c>
      <c r="AV479" s="21">
        <f>IF(IFERROR(TRIM(INDEX($A479:$AL479,MATCH(Lists!$F$2,$A$1:$AL$1,0))&amp;""),"")="",-1,IF(ISNUMBER(IFERROR(IF(TRIM(INDEX($A479:$AL479,MATCH(Lists!$F$7,$A$1:$AL$1,0))&amp;"")="","",IF(ISNUMBER(INDEX($A479:$AL479,MATCH(Lists!$F$7,$A$1:$AL$1,0))),ROUND(MOD(INDEX($A479:$AL479,MATCH(Lists!$F$7,$A$1:$AL$1,0)),1)*1440,0),VALUE(LEFT(INDEX($A479:$AL479,MATCH(Lists!$F$7,$A$1:$AL$1,0)),2))*60+VALUE(MID(INDEX($A479:$AL479,MATCH(Lists!$F$7,$A$1:$AL$1,0)),4,2)))),"")),IFERROR(IF(TRIM(INDEX($A479:$AL479,MATCH(Lists!$F$7,$A$1:$AL$1,0))&amp;"")="","",IF(ISNUMBER(INDEX($A479:$AL479,MATCH(Lists!$F$7,$A$1:$AL$1,0))),ROUND(MOD(INDEX($A479:$AL479,MATCH(Lists!$F$7,$A$1:$AL$1,0)),1)*1440,0),VALUE(LEFT(INDEX($A479:$AL479,MATCH(Lists!$F$7,$A$1:$AL$1,0)),2))*60+VALUE(MID(INDEX($A479:$AL479,MATCH(Lists!$F$7,$A$1:$AL$1,0)),4,2)))),""),-1))</f>
        <v/>
      </c>
      <c r="AW479" s="21">
        <f>IF(IFERROR(TRIM(INDEX($A479:$AL479,MATCH(Lists!$F$2,$A$1:$AL$1,0))&amp;""),"")="","",IF(IFERROR(TRIM(INDEX($A479:$AL479,MATCH(Lists!$F$8,$A$1:$AL$1,0))&amp;""),"")&lt;&gt;"",IFERROR(TRIM(INDEX($A479:$AL479,MATCH(Lists!$F$8,$A$1:$AL$1,0))&amp;""),""),IFERROR(TRIM(INDEX($A479:$AL479,MATCH(Lists!$F$9,$A$1:$AL$1,0))&amp;""),"")))</f>
        <v/>
      </c>
      <c r="AX479" s="21">
        <f>IFERROR(IF(TRIM(INDEX($A479:$AL479,MATCH(Lists!$F$10,$A$1:$AL$1,0))&amp;"")="","",VALUE(TRIM(INDEX($A479:$AL479,MATCH(Lists!$F$10,$A$1:$AL$1,0))&amp;""))),"")</f>
        <v/>
      </c>
      <c r="AY479" s="21">
        <f>IF(IFERROR(TRIM(INDEX($A479:$AL479,MATCH(Lists!$F$2,$A$1:$AL$1,0))&amp;""),"")="","",IF(AN479="","New",AN479))</f>
        <v/>
      </c>
      <c r="AZ479" s="21">
        <f>IF(IFERROR(TRIM(INDEX($A479:$AL479,MATCH(Lists!$F$2,$A$1:$AL$1,0))&amp;""),"")="","",IF(OR(IFERROR(TRIM(INDEX($A479:$AL479,MATCH(Lists!$F$13,$A$1:$AL$1,0))&amp;""),"")="Paid",IFERROR(TRIM(INDEX($A479:$AL479,MATCH(Lists!$F$13,$A$1:$AL$1,0))&amp;""),"")="Partially refunded"),"Paid",IF(AP479="Yes","Paid (by hand)",IFERROR(TRIM(INDEX($A479:$AL479,MATCH(Lists!$F$13,$A$1:$AL$1,0))&amp;""),""))))</f>
        <v/>
      </c>
      <c r="BA479" s="21">
        <f>IF(AND(IFERROR(TRIM(INDEX($A479:$AL479,MATCH(Lists!$F$2,$A$1:$AL$1,0))&amp;""),"")&lt;&gt;"",AT479&gt;0,AU479&gt;=0,AV479&gt;AU479,AY479&lt;&gt;"Declined"),1,0)</f>
        <v/>
      </c>
      <c r="BB479" s="21">
        <f>IF(BA479=1,COUNTIFS($AS$2:$AS$501,AS479,$AT$2:$AT$501,AT479,$AU$2:$AU$501,"&lt;"&amp;AV479,$AV$2:$AV$501,"&gt;"&amp;AU479,$BA$2:$BA$501,1)-1,"")</f>
        <v/>
      </c>
      <c r="BC479" s="21">
        <f>IF(N(BB479)&gt;0,"Clashes with "&amp;INDEX($AW$2:$AW$501,SUMPRODUCT(MAX(($AS$2:$AS$501=AS479)*($AT$2:$AT$501=AT479)*($AU$2:$AU$501&lt;AV479)*($AV$2:$AV$501&gt;AU479)*($BA$2:$BA$501=1)*(ROW($AS$2:$AS$501)&lt;&gt;ROW())*ROW($AS$2:$AS$501)))-1)&amp;" ("&amp;INDEX($AY$2:$AY$501,SUMPRODUCT(MAX(($AS$2:$AS$501=AS479)*($AT$2:$AT$501=AT479)*($AU$2:$AU$501&lt;AV479)*($AV$2:$AV$501&gt;AU479)*($BA$2:$BA$501=1)*(ROW($AS$2:$AS$501)&lt;&gt;ROW())*ROW($AS$2:$AS$501)))-1)&amp;")"&amp;IF(BB479&gt;1," and "&amp;(BB479-1)&amp;" more",""),"")</f>
        <v/>
      </c>
      <c r="BD479" s="21">
        <f>IF(AND(BA479=1,AY479="Confirmed"),AT479*10000000+AU479*1000+ROW(),"")</f>
        <v/>
      </c>
      <c r="BE479" s="21">
        <f>IF(IFERROR(TRIM(INDEX($A479:$AL479,MATCH(Lists!$F$2,$A$1:$AL$1,0))&amp;""),"")="","",IFERROR(TRIM(INDEX($A479:$AL479,MATCH(Lists!$F$11,$A$1:$AL$1,0))&amp;""),""))</f>
        <v/>
      </c>
      <c r="BF479" s="21">
        <f>IF(IFERROR(TRIM(INDEX($A479:$AL479,MATCH(Lists!$F$2,$A$1:$AL$1,0))&amp;""),"")="","",IFERROR(TRIM(INDEX($A479:$AL479,MATCH(Lists!$F$12,$A$1:$AL$1,0))&amp;""),""))</f>
        <v/>
      </c>
    </row>
    <row r="480">
      <c r="AM480" s="19" t="n"/>
      <c r="AN480" s="23" t="n"/>
      <c r="AO480" s="23" t="n"/>
      <c r="AP480" s="23" t="n"/>
      <c r="AQ480" s="23" t="n"/>
      <c r="AR480" s="19" t="n"/>
      <c r="AS480" s="21">
        <f>IF(IFERROR(TRIM(INDEX($A480:$AL480,MATCH(Lists!$F$2,$A$1:$AL$1,0))&amp;""),"")="","",IF(AND(IFERROR(TRIM(INDEX($A480:$AL480,MATCH(Lists!$F$3,$A$1:$AL$1,0))&amp;""),"")="Other",IFERROR(TRIM(INDEX($A480:$AL480,MATCH(Lists!$F$4,$A$1:$AL$1,0))&amp;""),"")&lt;&gt;""),IFERROR(TRIM(INDEX($A480:$AL480,MATCH(Lists!$F$4,$A$1:$AL$1,0))&amp;""),""),IF(IFERROR(TRIM(INDEX($A480:$AL480,MATCH(Lists!$F$3,$A$1:$AL$1,0))&amp;""),"")="","(no space)",IFERROR(TRIM(INDEX($A480:$AL480,MATCH(Lists!$F$3,$A$1:$AL$1,0))&amp;""),""))))</f>
        <v/>
      </c>
      <c r="AT480" s="22">
        <f>IF(IFERROR(TRIM(INDEX($A480:$AL480,MATCH(Lists!$F$2,$A$1:$AL$1,0))&amp;""),"")="",0,N(IFERROR(IF(TRIM(INDEX($A480:$AL480,MATCH(Lists!$F$5,$A$1:$AL$1,0))&amp;"")="","",IF(ISNUMBER(INDEX($A480:$AL480,MATCH(Lists!$F$5,$A$1:$AL$1,0))),INT(INDEX($A480:$AL480,MATCH(Lists!$F$5,$A$1:$AL$1,0))),DATE(VALUE(LEFT(INDEX($A480:$AL480,MATCH(Lists!$F$5,$A$1:$AL$1,0)),4)),VALUE(MID(INDEX($A480:$AL480,MATCH(Lists!$F$5,$A$1:$AL$1,0)),6,2)),VALUE(MID(INDEX($A480:$AL480,MATCH(Lists!$F$5,$A$1:$AL$1,0)),9,2))))),"")))</f>
        <v/>
      </c>
      <c r="AU480" s="21">
        <f>IF(IFERROR(TRIM(INDEX($A480:$AL480,MATCH(Lists!$F$2,$A$1:$AL$1,0))&amp;""),"")="",-1,IF(ISNUMBER(IFERROR(IF(TRIM(INDEX($A480:$AL480,MATCH(Lists!$F$6,$A$1:$AL$1,0))&amp;"")="","",IF(ISNUMBER(INDEX($A480:$AL480,MATCH(Lists!$F$6,$A$1:$AL$1,0))),ROUND(MOD(INDEX($A480:$AL480,MATCH(Lists!$F$6,$A$1:$AL$1,0)),1)*1440,0),VALUE(LEFT(INDEX($A480:$AL480,MATCH(Lists!$F$6,$A$1:$AL$1,0)),2))*60+VALUE(MID(INDEX($A480:$AL480,MATCH(Lists!$F$6,$A$1:$AL$1,0)),4,2)))),"")),IFERROR(IF(TRIM(INDEX($A480:$AL480,MATCH(Lists!$F$6,$A$1:$AL$1,0))&amp;"")="","",IF(ISNUMBER(INDEX($A480:$AL480,MATCH(Lists!$F$6,$A$1:$AL$1,0))),ROUND(MOD(INDEX($A480:$AL480,MATCH(Lists!$F$6,$A$1:$AL$1,0)),1)*1440,0),VALUE(LEFT(INDEX($A480:$AL480,MATCH(Lists!$F$6,$A$1:$AL$1,0)),2))*60+VALUE(MID(INDEX($A480:$AL480,MATCH(Lists!$F$6,$A$1:$AL$1,0)),4,2)))),""),-1))</f>
        <v/>
      </c>
      <c r="AV480" s="21">
        <f>IF(IFERROR(TRIM(INDEX($A480:$AL480,MATCH(Lists!$F$2,$A$1:$AL$1,0))&amp;""),"")="",-1,IF(ISNUMBER(IFERROR(IF(TRIM(INDEX($A480:$AL480,MATCH(Lists!$F$7,$A$1:$AL$1,0))&amp;"")="","",IF(ISNUMBER(INDEX($A480:$AL480,MATCH(Lists!$F$7,$A$1:$AL$1,0))),ROUND(MOD(INDEX($A480:$AL480,MATCH(Lists!$F$7,$A$1:$AL$1,0)),1)*1440,0),VALUE(LEFT(INDEX($A480:$AL480,MATCH(Lists!$F$7,$A$1:$AL$1,0)),2))*60+VALUE(MID(INDEX($A480:$AL480,MATCH(Lists!$F$7,$A$1:$AL$1,0)),4,2)))),"")),IFERROR(IF(TRIM(INDEX($A480:$AL480,MATCH(Lists!$F$7,$A$1:$AL$1,0))&amp;"")="","",IF(ISNUMBER(INDEX($A480:$AL480,MATCH(Lists!$F$7,$A$1:$AL$1,0))),ROUND(MOD(INDEX($A480:$AL480,MATCH(Lists!$F$7,$A$1:$AL$1,0)),1)*1440,0),VALUE(LEFT(INDEX($A480:$AL480,MATCH(Lists!$F$7,$A$1:$AL$1,0)),2))*60+VALUE(MID(INDEX($A480:$AL480,MATCH(Lists!$F$7,$A$1:$AL$1,0)),4,2)))),""),-1))</f>
        <v/>
      </c>
      <c r="AW480" s="21">
        <f>IF(IFERROR(TRIM(INDEX($A480:$AL480,MATCH(Lists!$F$2,$A$1:$AL$1,0))&amp;""),"")="","",IF(IFERROR(TRIM(INDEX($A480:$AL480,MATCH(Lists!$F$8,$A$1:$AL$1,0))&amp;""),"")&lt;&gt;"",IFERROR(TRIM(INDEX($A480:$AL480,MATCH(Lists!$F$8,$A$1:$AL$1,0))&amp;""),""),IFERROR(TRIM(INDEX($A480:$AL480,MATCH(Lists!$F$9,$A$1:$AL$1,0))&amp;""),"")))</f>
        <v/>
      </c>
      <c r="AX480" s="21">
        <f>IFERROR(IF(TRIM(INDEX($A480:$AL480,MATCH(Lists!$F$10,$A$1:$AL$1,0))&amp;"")="","",VALUE(TRIM(INDEX($A480:$AL480,MATCH(Lists!$F$10,$A$1:$AL$1,0))&amp;""))),"")</f>
        <v/>
      </c>
      <c r="AY480" s="21">
        <f>IF(IFERROR(TRIM(INDEX($A480:$AL480,MATCH(Lists!$F$2,$A$1:$AL$1,0))&amp;""),"")="","",IF(AN480="","New",AN480))</f>
        <v/>
      </c>
      <c r="AZ480" s="21">
        <f>IF(IFERROR(TRIM(INDEX($A480:$AL480,MATCH(Lists!$F$2,$A$1:$AL$1,0))&amp;""),"")="","",IF(OR(IFERROR(TRIM(INDEX($A480:$AL480,MATCH(Lists!$F$13,$A$1:$AL$1,0))&amp;""),"")="Paid",IFERROR(TRIM(INDEX($A480:$AL480,MATCH(Lists!$F$13,$A$1:$AL$1,0))&amp;""),"")="Partially refunded"),"Paid",IF(AP480="Yes","Paid (by hand)",IFERROR(TRIM(INDEX($A480:$AL480,MATCH(Lists!$F$13,$A$1:$AL$1,0))&amp;""),""))))</f>
        <v/>
      </c>
      <c r="BA480" s="21">
        <f>IF(AND(IFERROR(TRIM(INDEX($A480:$AL480,MATCH(Lists!$F$2,$A$1:$AL$1,0))&amp;""),"")&lt;&gt;"",AT480&gt;0,AU480&gt;=0,AV480&gt;AU480,AY480&lt;&gt;"Declined"),1,0)</f>
        <v/>
      </c>
      <c r="BB480" s="21">
        <f>IF(BA480=1,COUNTIFS($AS$2:$AS$501,AS480,$AT$2:$AT$501,AT480,$AU$2:$AU$501,"&lt;"&amp;AV480,$AV$2:$AV$501,"&gt;"&amp;AU480,$BA$2:$BA$501,1)-1,"")</f>
        <v/>
      </c>
      <c r="BC480" s="21">
        <f>IF(N(BB480)&gt;0,"Clashes with "&amp;INDEX($AW$2:$AW$501,SUMPRODUCT(MAX(($AS$2:$AS$501=AS480)*($AT$2:$AT$501=AT480)*($AU$2:$AU$501&lt;AV480)*($AV$2:$AV$501&gt;AU480)*($BA$2:$BA$501=1)*(ROW($AS$2:$AS$501)&lt;&gt;ROW())*ROW($AS$2:$AS$501)))-1)&amp;" ("&amp;INDEX($AY$2:$AY$501,SUMPRODUCT(MAX(($AS$2:$AS$501=AS480)*($AT$2:$AT$501=AT480)*($AU$2:$AU$501&lt;AV480)*($AV$2:$AV$501&gt;AU480)*($BA$2:$BA$501=1)*(ROW($AS$2:$AS$501)&lt;&gt;ROW())*ROW($AS$2:$AS$501)))-1)&amp;")"&amp;IF(BB480&gt;1," and "&amp;(BB480-1)&amp;" more",""),"")</f>
        <v/>
      </c>
      <c r="BD480" s="21">
        <f>IF(AND(BA480=1,AY480="Confirmed"),AT480*10000000+AU480*1000+ROW(),"")</f>
        <v/>
      </c>
      <c r="BE480" s="21">
        <f>IF(IFERROR(TRIM(INDEX($A480:$AL480,MATCH(Lists!$F$2,$A$1:$AL$1,0))&amp;""),"")="","",IFERROR(TRIM(INDEX($A480:$AL480,MATCH(Lists!$F$11,$A$1:$AL$1,0))&amp;""),""))</f>
        <v/>
      </c>
      <c r="BF480" s="21">
        <f>IF(IFERROR(TRIM(INDEX($A480:$AL480,MATCH(Lists!$F$2,$A$1:$AL$1,0))&amp;""),"")="","",IFERROR(TRIM(INDEX($A480:$AL480,MATCH(Lists!$F$12,$A$1:$AL$1,0))&amp;""),""))</f>
        <v/>
      </c>
    </row>
    <row r="481">
      <c r="AM481" s="19" t="n"/>
      <c r="AN481" s="23" t="n"/>
      <c r="AO481" s="23" t="n"/>
      <c r="AP481" s="23" t="n"/>
      <c r="AQ481" s="23" t="n"/>
      <c r="AR481" s="19" t="n"/>
      <c r="AS481" s="21">
        <f>IF(IFERROR(TRIM(INDEX($A481:$AL481,MATCH(Lists!$F$2,$A$1:$AL$1,0))&amp;""),"")="","",IF(AND(IFERROR(TRIM(INDEX($A481:$AL481,MATCH(Lists!$F$3,$A$1:$AL$1,0))&amp;""),"")="Other",IFERROR(TRIM(INDEX($A481:$AL481,MATCH(Lists!$F$4,$A$1:$AL$1,0))&amp;""),"")&lt;&gt;""),IFERROR(TRIM(INDEX($A481:$AL481,MATCH(Lists!$F$4,$A$1:$AL$1,0))&amp;""),""),IF(IFERROR(TRIM(INDEX($A481:$AL481,MATCH(Lists!$F$3,$A$1:$AL$1,0))&amp;""),"")="","(no space)",IFERROR(TRIM(INDEX($A481:$AL481,MATCH(Lists!$F$3,$A$1:$AL$1,0))&amp;""),""))))</f>
        <v/>
      </c>
      <c r="AT481" s="22">
        <f>IF(IFERROR(TRIM(INDEX($A481:$AL481,MATCH(Lists!$F$2,$A$1:$AL$1,0))&amp;""),"")="",0,N(IFERROR(IF(TRIM(INDEX($A481:$AL481,MATCH(Lists!$F$5,$A$1:$AL$1,0))&amp;"")="","",IF(ISNUMBER(INDEX($A481:$AL481,MATCH(Lists!$F$5,$A$1:$AL$1,0))),INT(INDEX($A481:$AL481,MATCH(Lists!$F$5,$A$1:$AL$1,0))),DATE(VALUE(LEFT(INDEX($A481:$AL481,MATCH(Lists!$F$5,$A$1:$AL$1,0)),4)),VALUE(MID(INDEX($A481:$AL481,MATCH(Lists!$F$5,$A$1:$AL$1,0)),6,2)),VALUE(MID(INDEX($A481:$AL481,MATCH(Lists!$F$5,$A$1:$AL$1,0)),9,2))))),"")))</f>
        <v/>
      </c>
      <c r="AU481" s="21">
        <f>IF(IFERROR(TRIM(INDEX($A481:$AL481,MATCH(Lists!$F$2,$A$1:$AL$1,0))&amp;""),"")="",-1,IF(ISNUMBER(IFERROR(IF(TRIM(INDEX($A481:$AL481,MATCH(Lists!$F$6,$A$1:$AL$1,0))&amp;"")="","",IF(ISNUMBER(INDEX($A481:$AL481,MATCH(Lists!$F$6,$A$1:$AL$1,0))),ROUND(MOD(INDEX($A481:$AL481,MATCH(Lists!$F$6,$A$1:$AL$1,0)),1)*1440,0),VALUE(LEFT(INDEX($A481:$AL481,MATCH(Lists!$F$6,$A$1:$AL$1,0)),2))*60+VALUE(MID(INDEX($A481:$AL481,MATCH(Lists!$F$6,$A$1:$AL$1,0)),4,2)))),"")),IFERROR(IF(TRIM(INDEX($A481:$AL481,MATCH(Lists!$F$6,$A$1:$AL$1,0))&amp;"")="","",IF(ISNUMBER(INDEX($A481:$AL481,MATCH(Lists!$F$6,$A$1:$AL$1,0))),ROUND(MOD(INDEX($A481:$AL481,MATCH(Lists!$F$6,$A$1:$AL$1,0)),1)*1440,0),VALUE(LEFT(INDEX($A481:$AL481,MATCH(Lists!$F$6,$A$1:$AL$1,0)),2))*60+VALUE(MID(INDEX($A481:$AL481,MATCH(Lists!$F$6,$A$1:$AL$1,0)),4,2)))),""),-1))</f>
        <v/>
      </c>
      <c r="AV481" s="21">
        <f>IF(IFERROR(TRIM(INDEX($A481:$AL481,MATCH(Lists!$F$2,$A$1:$AL$1,0))&amp;""),"")="",-1,IF(ISNUMBER(IFERROR(IF(TRIM(INDEX($A481:$AL481,MATCH(Lists!$F$7,$A$1:$AL$1,0))&amp;"")="","",IF(ISNUMBER(INDEX($A481:$AL481,MATCH(Lists!$F$7,$A$1:$AL$1,0))),ROUND(MOD(INDEX($A481:$AL481,MATCH(Lists!$F$7,$A$1:$AL$1,0)),1)*1440,0),VALUE(LEFT(INDEX($A481:$AL481,MATCH(Lists!$F$7,$A$1:$AL$1,0)),2))*60+VALUE(MID(INDEX($A481:$AL481,MATCH(Lists!$F$7,$A$1:$AL$1,0)),4,2)))),"")),IFERROR(IF(TRIM(INDEX($A481:$AL481,MATCH(Lists!$F$7,$A$1:$AL$1,0))&amp;"")="","",IF(ISNUMBER(INDEX($A481:$AL481,MATCH(Lists!$F$7,$A$1:$AL$1,0))),ROUND(MOD(INDEX($A481:$AL481,MATCH(Lists!$F$7,$A$1:$AL$1,0)),1)*1440,0),VALUE(LEFT(INDEX($A481:$AL481,MATCH(Lists!$F$7,$A$1:$AL$1,0)),2))*60+VALUE(MID(INDEX($A481:$AL481,MATCH(Lists!$F$7,$A$1:$AL$1,0)),4,2)))),""),-1))</f>
        <v/>
      </c>
      <c r="AW481" s="21">
        <f>IF(IFERROR(TRIM(INDEX($A481:$AL481,MATCH(Lists!$F$2,$A$1:$AL$1,0))&amp;""),"")="","",IF(IFERROR(TRIM(INDEX($A481:$AL481,MATCH(Lists!$F$8,$A$1:$AL$1,0))&amp;""),"")&lt;&gt;"",IFERROR(TRIM(INDEX($A481:$AL481,MATCH(Lists!$F$8,$A$1:$AL$1,0))&amp;""),""),IFERROR(TRIM(INDEX($A481:$AL481,MATCH(Lists!$F$9,$A$1:$AL$1,0))&amp;""),"")))</f>
        <v/>
      </c>
      <c r="AX481" s="21">
        <f>IFERROR(IF(TRIM(INDEX($A481:$AL481,MATCH(Lists!$F$10,$A$1:$AL$1,0))&amp;"")="","",VALUE(TRIM(INDEX($A481:$AL481,MATCH(Lists!$F$10,$A$1:$AL$1,0))&amp;""))),"")</f>
        <v/>
      </c>
      <c r="AY481" s="21">
        <f>IF(IFERROR(TRIM(INDEX($A481:$AL481,MATCH(Lists!$F$2,$A$1:$AL$1,0))&amp;""),"")="","",IF(AN481="","New",AN481))</f>
        <v/>
      </c>
      <c r="AZ481" s="21">
        <f>IF(IFERROR(TRIM(INDEX($A481:$AL481,MATCH(Lists!$F$2,$A$1:$AL$1,0))&amp;""),"")="","",IF(OR(IFERROR(TRIM(INDEX($A481:$AL481,MATCH(Lists!$F$13,$A$1:$AL$1,0))&amp;""),"")="Paid",IFERROR(TRIM(INDEX($A481:$AL481,MATCH(Lists!$F$13,$A$1:$AL$1,0))&amp;""),"")="Partially refunded"),"Paid",IF(AP481="Yes","Paid (by hand)",IFERROR(TRIM(INDEX($A481:$AL481,MATCH(Lists!$F$13,$A$1:$AL$1,0))&amp;""),""))))</f>
        <v/>
      </c>
      <c r="BA481" s="21">
        <f>IF(AND(IFERROR(TRIM(INDEX($A481:$AL481,MATCH(Lists!$F$2,$A$1:$AL$1,0))&amp;""),"")&lt;&gt;"",AT481&gt;0,AU481&gt;=0,AV481&gt;AU481,AY481&lt;&gt;"Declined"),1,0)</f>
        <v/>
      </c>
      <c r="BB481" s="21">
        <f>IF(BA481=1,COUNTIFS($AS$2:$AS$501,AS481,$AT$2:$AT$501,AT481,$AU$2:$AU$501,"&lt;"&amp;AV481,$AV$2:$AV$501,"&gt;"&amp;AU481,$BA$2:$BA$501,1)-1,"")</f>
        <v/>
      </c>
      <c r="BC481" s="21">
        <f>IF(N(BB481)&gt;0,"Clashes with "&amp;INDEX($AW$2:$AW$501,SUMPRODUCT(MAX(($AS$2:$AS$501=AS481)*($AT$2:$AT$501=AT481)*($AU$2:$AU$501&lt;AV481)*($AV$2:$AV$501&gt;AU481)*($BA$2:$BA$501=1)*(ROW($AS$2:$AS$501)&lt;&gt;ROW())*ROW($AS$2:$AS$501)))-1)&amp;" ("&amp;INDEX($AY$2:$AY$501,SUMPRODUCT(MAX(($AS$2:$AS$501=AS481)*($AT$2:$AT$501=AT481)*($AU$2:$AU$501&lt;AV481)*($AV$2:$AV$501&gt;AU481)*($BA$2:$BA$501=1)*(ROW($AS$2:$AS$501)&lt;&gt;ROW())*ROW($AS$2:$AS$501)))-1)&amp;")"&amp;IF(BB481&gt;1," and "&amp;(BB481-1)&amp;" more",""),"")</f>
        <v/>
      </c>
      <c r="BD481" s="21">
        <f>IF(AND(BA481=1,AY481="Confirmed"),AT481*10000000+AU481*1000+ROW(),"")</f>
        <v/>
      </c>
      <c r="BE481" s="21">
        <f>IF(IFERROR(TRIM(INDEX($A481:$AL481,MATCH(Lists!$F$2,$A$1:$AL$1,0))&amp;""),"")="","",IFERROR(TRIM(INDEX($A481:$AL481,MATCH(Lists!$F$11,$A$1:$AL$1,0))&amp;""),""))</f>
        <v/>
      </c>
      <c r="BF481" s="21">
        <f>IF(IFERROR(TRIM(INDEX($A481:$AL481,MATCH(Lists!$F$2,$A$1:$AL$1,0))&amp;""),"")="","",IFERROR(TRIM(INDEX($A481:$AL481,MATCH(Lists!$F$12,$A$1:$AL$1,0))&amp;""),""))</f>
        <v/>
      </c>
    </row>
    <row r="482">
      <c r="AM482" s="19" t="n"/>
      <c r="AN482" s="23" t="n"/>
      <c r="AO482" s="23" t="n"/>
      <c r="AP482" s="23" t="n"/>
      <c r="AQ482" s="23" t="n"/>
      <c r="AR482" s="19" t="n"/>
      <c r="AS482" s="21">
        <f>IF(IFERROR(TRIM(INDEX($A482:$AL482,MATCH(Lists!$F$2,$A$1:$AL$1,0))&amp;""),"")="","",IF(AND(IFERROR(TRIM(INDEX($A482:$AL482,MATCH(Lists!$F$3,$A$1:$AL$1,0))&amp;""),"")="Other",IFERROR(TRIM(INDEX($A482:$AL482,MATCH(Lists!$F$4,$A$1:$AL$1,0))&amp;""),"")&lt;&gt;""),IFERROR(TRIM(INDEX($A482:$AL482,MATCH(Lists!$F$4,$A$1:$AL$1,0))&amp;""),""),IF(IFERROR(TRIM(INDEX($A482:$AL482,MATCH(Lists!$F$3,$A$1:$AL$1,0))&amp;""),"")="","(no space)",IFERROR(TRIM(INDEX($A482:$AL482,MATCH(Lists!$F$3,$A$1:$AL$1,0))&amp;""),""))))</f>
        <v/>
      </c>
      <c r="AT482" s="22">
        <f>IF(IFERROR(TRIM(INDEX($A482:$AL482,MATCH(Lists!$F$2,$A$1:$AL$1,0))&amp;""),"")="",0,N(IFERROR(IF(TRIM(INDEX($A482:$AL482,MATCH(Lists!$F$5,$A$1:$AL$1,0))&amp;"")="","",IF(ISNUMBER(INDEX($A482:$AL482,MATCH(Lists!$F$5,$A$1:$AL$1,0))),INT(INDEX($A482:$AL482,MATCH(Lists!$F$5,$A$1:$AL$1,0))),DATE(VALUE(LEFT(INDEX($A482:$AL482,MATCH(Lists!$F$5,$A$1:$AL$1,0)),4)),VALUE(MID(INDEX($A482:$AL482,MATCH(Lists!$F$5,$A$1:$AL$1,0)),6,2)),VALUE(MID(INDEX($A482:$AL482,MATCH(Lists!$F$5,$A$1:$AL$1,0)),9,2))))),"")))</f>
        <v/>
      </c>
      <c r="AU482" s="21">
        <f>IF(IFERROR(TRIM(INDEX($A482:$AL482,MATCH(Lists!$F$2,$A$1:$AL$1,0))&amp;""),"")="",-1,IF(ISNUMBER(IFERROR(IF(TRIM(INDEX($A482:$AL482,MATCH(Lists!$F$6,$A$1:$AL$1,0))&amp;"")="","",IF(ISNUMBER(INDEX($A482:$AL482,MATCH(Lists!$F$6,$A$1:$AL$1,0))),ROUND(MOD(INDEX($A482:$AL482,MATCH(Lists!$F$6,$A$1:$AL$1,0)),1)*1440,0),VALUE(LEFT(INDEX($A482:$AL482,MATCH(Lists!$F$6,$A$1:$AL$1,0)),2))*60+VALUE(MID(INDEX($A482:$AL482,MATCH(Lists!$F$6,$A$1:$AL$1,0)),4,2)))),"")),IFERROR(IF(TRIM(INDEX($A482:$AL482,MATCH(Lists!$F$6,$A$1:$AL$1,0))&amp;"")="","",IF(ISNUMBER(INDEX($A482:$AL482,MATCH(Lists!$F$6,$A$1:$AL$1,0))),ROUND(MOD(INDEX($A482:$AL482,MATCH(Lists!$F$6,$A$1:$AL$1,0)),1)*1440,0),VALUE(LEFT(INDEX($A482:$AL482,MATCH(Lists!$F$6,$A$1:$AL$1,0)),2))*60+VALUE(MID(INDEX($A482:$AL482,MATCH(Lists!$F$6,$A$1:$AL$1,0)),4,2)))),""),-1))</f>
        <v/>
      </c>
      <c r="AV482" s="21">
        <f>IF(IFERROR(TRIM(INDEX($A482:$AL482,MATCH(Lists!$F$2,$A$1:$AL$1,0))&amp;""),"")="",-1,IF(ISNUMBER(IFERROR(IF(TRIM(INDEX($A482:$AL482,MATCH(Lists!$F$7,$A$1:$AL$1,0))&amp;"")="","",IF(ISNUMBER(INDEX($A482:$AL482,MATCH(Lists!$F$7,$A$1:$AL$1,0))),ROUND(MOD(INDEX($A482:$AL482,MATCH(Lists!$F$7,$A$1:$AL$1,0)),1)*1440,0),VALUE(LEFT(INDEX($A482:$AL482,MATCH(Lists!$F$7,$A$1:$AL$1,0)),2))*60+VALUE(MID(INDEX($A482:$AL482,MATCH(Lists!$F$7,$A$1:$AL$1,0)),4,2)))),"")),IFERROR(IF(TRIM(INDEX($A482:$AL482,MATCH(Lists!$F$7,$A$1:$AL$1,0))&amp;"")="","",IF(ISNUMBER(INDEX($A482:$AL482,MATCH(Lists!$F$7,$A$1:$AL$1,0))),ROUND(MOD(INDEX($A482:$AL482,MATCH(Lists!$F$7,$A$1:$AL$1,0)),1)*1440,0),VALUE(LEFT(INDEX($A482:$AL482,MATCH(Lists!$F$7,$A$1:$AL$1,0)),2))*60+VALUE(MID(INDEX($A482:$AL482,MATCH(Lists!$F$7,$A$1:$AL$1,0)),4,2)))),""),-1))</f>
        <v/>
      </c>
      <c r="AW482" s="21">
        <f>IF(IFERROR(TRIM(INDEX($A482:$AL482,MATCH(Lists!$F$2,$A$1:$AL$1,0))&amp;""),"")="","",IF(IFERROR(TRIM(INDEX($A482:$AL482,MATCH(Lists!$F$8,$A$1:$AL$1,0))&amp;""),"")&lt;&gt;"",IFERROR(TRIM(INDEX($A482:$AL482,MATCH(Lists!$F$8,$A$1:$AL$1,0))&amp;""),""),IFERROR(TRIM(INDEX($A482:$AL482,MATCH(Lists!$F$9,$A$1:$AL$1,0))&amp;""),"")))</f>
        <v/>
      </c>
      <c r="AX482" s="21">
        <f>IFERROR(IF(TRIM(INDEX($A482:$AL482,MATCH(Lists!$F$10,$A$1:$AL$1,0))&amp;"")="","",VALUE(TRIM(INDEX($A482:$AL482,MATCH(Lists!$F$10,$A$1:$AL$1,0))&amp;""))),"")</f>
        <v/>
      </c>
      <c r="AY482" s="21">
        <f>IF(IFERROR(TRIM(INDEX($A482:$AL482,MATCH(Lists!$F$2,$A$1:$AL$1,0))&amp;""),"")="","",IF(AN482="","New",AN482))</f>
        <v/>
      </c>
      <c r="AZ482" s="21">
        <f>IF(IFERROR(TRIM(INDEX($A482:$AL482,MATCH(Lists!$F$2,$A$1:$AL$1,0))&amp;""),"")="","",IF(OR(IFERROR(TRIM(INDEX($A482:$AL482,MATCH(Lists!$F$13,$A$1:$AL$1,0))&amp;""),"")="Paid",IFERROR(TRIM(INDEX($A482:$AL482,MATCH(Lists!$F$13,$A$1:$AL$1,0))&amp;""),"")="Partially refunded"),"Paid",IF(AP482="Yes","Paid (by hand)",IFERROR(TRIM(INDEX($A482:$AL482,MATCH(Lists!$F$13,$A$1:$AL$1,0))&amp;""),""))))</f>
        <v/>
      </c>
      <c r="BA482" s="21">
        <f>IF(AND(IFERROR(TRIM(INDEX($A482:$AL482,MATCH(Lists!$F$2,$A$1:$AL$1,0))&amp;""),"")&lt;&gt;"",AT482&gt;0,AU482&gt;=0,AV482&gt;AU482,AY482&lt;&gt;"Declined"),1,0)</f>
        <v/>
      </c>
      <c r="BB482" s="21">
        <f>IF(BA482=1,COUNTIFS($AS$2:$AS$501,AS482,$AT$2:$AT$501,AT482,$AU$2:$AU$501,"&lt;"&amp;AV482,$AV$2:$AV$501,"&gt;"&amp;AU482,$BA$2:$BA$501,1)-1,"")</f>
        <v/>
      </c>
      <c r="BC482" s="21">
        <f>IF(N(BB482)&gt;0,"Clashes with "&amp;INDEX($AW$2:$AW$501,SUMPRODUCT(MAX(($AS$2:$AS$501=AS482)*($AT$2:$AT$501=AT482)*($AU$2:$AU$501&lt;AV482)*($AV$2:$AV$501&gt;AU482)*($BA$2:$BA$501=1)*(ROW($AS$2:$AS$501)&lt;&gt;ROW())*ROW($AS$2:$AS$501)))-1)&amp;" ("&amp;INDEX($AY$2:$AY$501,SUMPRODUCT(MAX(($AS$2:$AS$501=AS482)*($AT$2:$AT$501=AT482)*($AU$2:$AU$501&lt;AV482)*($AV$2:$AV$501&gt;AU482)*($BA$2:$BA$501=1)*(ROW($AS$2:$AS$501)&lt;&gt;ROW())*ROW($AS$2:$AS$501)))-1)&amp;")"&amp;IF(BB482&gt;1," and "&amp;(BB482-1)&amp;" more",""),"")</f>
        <v/>
      </c>
      <c r="BD482" s="21">
        <f>IF(AND(BA482=1,AY482="Confirmed"),AT482*10000000+AU482*1000+ROW(),"")</f>
        <v/>
      </c>
      <c r="BE482" s="21">
        <f>IF(IFERROR(TRIM(INDEX($A482:$AL482,MATCH(Lists!$F$2,$A$1:$AL$1,0))&amp;""),"")="","",IFERROR(TRIM(INDEX($A482:$AL482,MATCH(Lists!$F$11,$A$1:$AL$1,0))&amp;""),""))</f>
        <v/>
      </c>
      <c r="BF482" s="21">
        <f>IF(IFERROR(TRIM(INDEX($A482:$AL482,MATCH(Lists!$F$2,$A$1:$AL$1,0))&amp;""),"")="","",IFERROR(TRIM(INDEX($A482:$AL482,MATCH(Lists!$F$12,$A$1:$AL$1,0))&amp;""),""))</f>
        <v/>
      </c>
    </row>
    <row r="483">
      <c r="AM483" s="19" t="n"/>
      <c r="AN483" s="23" t="n"/>
      <c r="AO483" s="23" t="n"/>
      <c r="AP483" s="23" t="n"/>
      <c r="AQ483" s="23" t="n"/>
      <c r="AR483" s="19" t="n"/>
      <c r="AS483" s="21">
        <f>IF(IFERROR(TRIM(INDEX($A483:$AL483,MATCH(Lists!$F$2,$A$1:$AL$1,0))&amp;""),"")="","",IF(AND(IFERROR(TRIM(INDEX($A483:$AL483,MATCH(Lists!$F$3,$A$1:$AL$1,0))&amp;""),"")="Other",IFERROR(TRIM(INDEX($A483:$AL483,MATCH(Lists!$F$4,$A$1:$AL$1,0))&amp;""),"")&lt;&gt;""),IFERROR(TRIM(INDEX($A483:$AL483,MATCH(Lists!$F$4,$A$1:$AL$1,0))&amp;""),""),IF(IFERROR(TRIM(INDEX($A483:$AL483,MATCH(Lists!$F$3,$A$1:$AL$1,0))&amp;""),"")="","(no space)",IFERROR(TRIM(INDEX($A483:$AL483,MATCH(Lists!$F$3,$A$1:$AL$1,0))&amp;""),""))))</f>
        <v/>
      </c>
      <c r="AT483" s="22">
        <f>IF(IFERROR(TRIM(INDEX($A483:$AL483,MATCH(Lists!$F$2,$A$1:$AL$1,0))&amp;""),"")="",0,N(IFERROR(IF(TRIM(INDEX($A483:$AL483,MATCH(Lists!$F$5,$A$1:$AL$1,0))&amp;"")="","",IF(ISNUMBER(INDEX($A483:$AL483,MATCH(Lists!$F$5,$A$1:$AL$1,0))),INT(INDEX($A483:$AL483,MATCH(Lists!$F$5,$A$1:$AL$1,0))),DATE(VALUE(LEFT(INDEX($A483:$AL483,MATCH(Lists!$F$5,$A$1:$AL$1,0)),4)),VALUE(MID(INDEX($A483:$AL483,MATCH(Lists!$F$5,$A$1:$AL$1,0)),6,2)),VALUE(MID(INDEX($A483:$AL483,MATCH(Lists!$F$5,$A$1:$AL$1,0)),9,2))))),"")))</f>
        <v/>
      </c>
      <c r="AU483" s="21">
        <f>IF(IFERROR(TRIM(INDEX($A483:$AL483,MATCH(Lists!$F$2,$A$1:$AL$1,0))&amp;""),"")="",-1,IF(ISNUMBER(IFERROR(IF(TRIM(INDEX($A483:$AL483,MATCH(Lists!$F$6,$A$1:$AL$1,0))&amp;"")="","",IF(ISNUMBER(INDEX($A483:$AL483,MATCH(Lists!$F$6,$A$1:$AL$1,0))),ROUND(MOD(INDEX($A483:$AL483,MATCH(Lists!$F$6,$A$1:$AL$1,0)),1)*1440,0),VALUE(LEFT(INDEX($A483:$AL483,MATCH(Lists!$F$6,$A$1:$AL$1,0)),2))*60+VALUE(MID(INDEX($A483:$AL483,MATCH(Lists!$F$6,$A$1:$AL$1,0)),4,2)))),"")),IFERROR(IF(TRIM(INDEX($A483:$AL483,MATCH(Lists!$F$6,$A$1:$AL$1,0))&amp;"")="","",IF(ISNUMBER(INDEX($A483:$AL483,MATCH(Lists!$F$6,$A$1:$AL$1,0))),ROUND(MOD(INDEX($A483:$AL483,MATCH(Lists!$F$6,$A$1:$AL$1,0)),1)*1440,0),VALUE(LEFT(INDEX($A483:$AL483,MATCH(Lists!$F$6,$A$1:$AL$1,0)),2))*60+VALUE(MID(INDEX($A483:$AL483,MATCH(Lists!$F$6,$A$1:$AL$1,0)),4,2)))),""),-1))</f>
        <v/>
      </c>
      <c r="AV483" s="21">
        <f>IF(IFERROR(TRIM(INDEX($A483:$AL483,MATCH(Lists!$F$2,$A$1:$AL$1,0))&amp;""),"")="",-1,IF(ISNUMBER(IFERROR(IF(TRIM(INDEX($A483:$AL483,MATCH(Lists!$F$7,$A$1:$AL$1,0))&amp;"")="","",IF(ISNUMBER(INDEX($A483:$AL483,MATCH(Lists!$F$7,$A$1:$AL$1,0))),ROUND(MOD(INDEX($A483:$AL483,MATCH(Lists!$F$7,$A$1:$AL$1,0)),1)*1440,0),VALUE(LEFT(INDEX($A483:$AL483,MATCH(Lists!$F$7,$A$1:$AL$1,0)),2))*60+VALUE(MID(INDEX($A483:$AL483,MATCH(Lists!$F$7,$A$1:$AL$1,0)),4,2)))),"")),IFERROR(IF(TRIM(INDEX($A483:$AL483,MATCH(Lists!$F$7,$A$1:$AL$1,0))&amp;"")="","",IF(ISNUMBER(INDEX($A483:$AL483,MATCH(Lists!$F$7,$A$1:$AL$1,0))),ROUND(MOD(INDEX($A483:$AL483,MATCH(Lists!$F$7,$A$1:$AL$1,0)),1)*1440,0),VALUE(LEFT(INDEX($A483:$AL483,MATCH(Lists!$F$7,$A$1:$AL$1,0)),2))*60+VALUE(MID(INDEX($A483:$AL483,MATCH(Lists!$F$7,$A$1:$AL$1,0)),4,2)))),""),-1))</f>
        <v/>
      </c>
      <c r="AW483" s="21">
        <f>IF(IFERROR(TRIM(INDEX($A483:$AL483,MATCH(Lists!$F$2,$A$1:$AL$1,0))&amp;""),"")="","",IF(IFERROR(TRIM(INDEX($A483:$AL483,MATCH(Lists!$F$8,$A$1:$AL$1,0))&amp;""),"")&lt;&gt;"",IFERROR(TRIM(INDEX($A483:$AL483,MATCH(Lists!$F$8,$A$1:$AL$1,0))&amp;""),""),IFERROR(TRIM(INDEX($A483:$AL483,MATCH(Lists!$F$9,$A$1:$AL$1,0))&amp;""),"")))</f>
        <v/>
      </c>
      <c r="AX483" s="21">
        <f>IFERROR(IF(TRIM(INDEX($A483:$AL483,MATCH(Lists!$F$10,$A$1:$AL$1,0))&amp;"")="","",VALUE(TRIM(INDEX($A483:$AL483,MATCH(Lists!$F$10,$A$1:$AL$1,0))&amp;""))),"")</f>
        <v/>
      </c>
      <c r="AY483" s="21">
        <f>IF(IFERROR(TRIM(INDEX($A483:$AL483,MATCH(Lists!$F$2,$A$1:$AL$1,0))&amp;""),"")="","",IF(AN483="","New",AN483))</f>
        <v/>
      </c>
      <c r="AZ483" s="21">
        <f>IF(IFERROR(TRIM(INDEX($A483:$AL483,MATCH(Lists!$F$2,$A$1:$AL$1,0))&amp;""),"")="","",IF(OR(IFERROR(TRIM(INDEX($A483:$AL483,MATCH(Lists!$F$13,$A$1:$AL$1,0))&amp;""),"")="Paid",IFERROR(TRIM(INDEX($A483:$AL483,MATCH(Lists!$F$13,$A$1:$AL$1,0))&amp;""),"")="Partially refunded"),"Paid",IF(AP483="Yes","Paid (by hand)",IFERROR(TRIM(INDEX($A483:$AL483,MATCH(Lists!$F$13,$A$1:$AL$1,0))&amp;""),""))))</f>
        <v/>
      </c>
      <c r="BA483" s="21">
        <f>IF(AND(IFERROR(TRIM(INDEX($A483:$AL483,MATCH(Lists!$F$2,$A$1:$AL$1,0))&amp;""),"")&lt;&gt;"",AT483&gt;0,AU483&gt;=0,AV483&gt;AU483,AY483&lt;&gt;"Declined"),1,0)</f>
        <v/>
      </c>
      <c r="BB483" s="21">
        <f>IF(BA483=1,COUNTIFS($AS$2:$AS$501,AS483,$AT$2:$AT$501,AT483,$AU$2:$AU$501,"&lt;"&amp;AV483,$AV$2:$AV$501,"&gt;"&amp;AU483,$BA$2:$BA$501,1)-1,"")</f>
        <v/>
      </c>
      <c r="BC483" s="21">
        <f>IF(N(BB483)&gt;0,"Clashes with "&amp;INDEX($AW$2:$AW$501,SUMPRODUCT(MAX(($AS$2:$AS$501=AS483)*($AT$2:$AT$501=AT483)*($AU$2:$AU$501&lt;AV483)*($AV$2:$AV$501&gt;AU483)*($BA$2:$BA$501=1)*(ROW($AS$2:$AS$501)&lt;&gt;ROW())*ROW($AS$2:$AS$501)))-1)&amp;" ("&amp;INDEX($AY$2:$AY$501,SUMPRODUCT(MAX(($AS$2:$AS$501=AS483)*($AT$2:$AT$501=AT483)*($AU$2:$AU$501&lt;AV483)*($AV$2:$AV$501&gt;AU483)*($BA$2:$BA$501=1)*(ROW($AS$2:$AS$501)&lt;&gt;ROW())*ROW($AS$2:$AS$501)))-1)&amp;")"&amp;IF(BB483&gt;1," and "&amp;(BB483-1)&amp;" more",""),"")</f>
        <v/>
      </c>
      <c r="BD483" s="21">
        <f>IF(AND(BA483=1,AY483="Confirmed"),AT483*10000000+AU483*1000+ROW(),"")</f>
        <v/>
      </c>
      <c r="BE483" s="21">
        <f>IF(IFERROR(TRIM(INDEX($A483:$AL483,MATCH(Lists!$F$2,$A$1:$AL$1,0))&amp;""),"")="","",IFERROR(TRIM(INDEX($A483:$AL483,MATCH(Lists!$F$11,$A$1:$AL$1,0))&amp;""),""))</f>
        <v/>
      </c>
      <c r="BF483" s="21">
        <f>IF(IFERROR(TRIM(INDEX($A483:$AL483,MATCH(Lists!$F$2,$A$1:$AL$1,0))&amp;""),"")="","",IFERROR(TRIM(INDEX($A483:$AL483,MATCH(Lists!$F$12,$A$1:$AL$1,0))&amp;""),""))</f>
        <v/>
      </c>
    </row>
    <row r="484">
      <c r="AM484" s="19" t="n"/>
      <c r="AN484" s="23" t="n"/>
      <c r="AO484" s="23" t="n"/>
      <c r="AP484" s="23" t="n"/>
      <c r="AQ484" s="23" t="n"/>
      <c r="AR484" s="19" t="n"/>
      <c r="AS484" s="21">
        <f>IF(IFERROR(TRIM(INDEX($A484:$AL484,MATCH(Lists!$F$2,$A$1:$AL$1,0))&amp;""),"")="","",IF(AND(IFERROR(TRIM(INDEX($A484:$AL484,MATCH(Lists!$F$3,$A$1:$AL$1,0))&amp;""),"")="Other",IFERROR(TRIM(INDEX($A484:$AL484,MATCH(Lists!$F$4,$A$1:$AL$1,0))&amp;""),"")&lt;&gt;""),IFERROR(TRIM(INDEX($A484:$AL484,MATCH(Lists!$F$4,$A$1:$AL$1,0))&amp;""),""),IF(IFERROR(TRIM(INDEX($A484:$AL484,MATCH(Lists!$F$3,$A$1:$AL$1,0))&amp;""),"")="","(no space)",IFERROR(TRIM(INDEX($A484:$AL484,MATCH(Lists!$F$3,$A$1:$AL$1,0))&amp;""),""))))</f>
        <v/>
      </c>
      <c r="AT484" s="22">
        <f>IF(IFERROR(TRIM(INDEX($A484:$AL484,MATCH(Lists!$F$2,$A$1:$AL$1,0))&amp;""),"")="",0,N(IFERROR(IF(TRIM(INDEX($A484:$AL484,MATCH(Lists!$F$5,$A$1:$AL$1,0))&amp;"")="","",IF(ISNUMBER(INDEX($A484:$AL484,MATCH(Lists!$F$5,$A$1:$AL$1,0))),INT(INDEX($A484:$AL484,MATCH(Lists!$F$5,$A$1:$AL$1,0))),DATE(VALUE(LEFT(INDEX($A484:$AL484,MATCH(Lists!$F$5,$A$1:$AL$1,0)),4)),VALUE(MID(INDEX($A484:$AL484,MATCH(Lists!$F$5,$A$1:$AL$1,0)),6,2)),VALUE(MID(INDEX($A484:$AL484,MATCH(Lists!$F$5,$A$1:$AL$1,0)),9,2))))),"")))</f>
        <v/>
      </c>
      <c r="AU484" s="21">
        <f>IF(IFERROR(TRIM(INDEX($A484:$AL484,MATCH(Lists!$F$2,$A$1:$AL$1,0))&amp;""),"")="",-1,IF(ISNUMBER(IFERROR(IF(TRIM(INDEX($A484:$AL484,MATCH(Lists!$F$6,$A$1:$AL$1,0))&amp;"")="","",IF(ISNUMBER(INDEX($A484:$AL484,MATCH(Lists!$F$6,$A$1:$AL$1,0))),ROUND(MOD(INDEX($A484:$AL484,MATCH(Lists!$F$6,$A$1:$AL$1,0)),1)*1440,0),VALUE(LEFT(INDEX($A484:$AL484,MATCH(Lists!$F$6,$A$1:$AL$1,0)),2))*60+VALUE(MID(INDEX($A484:$AL484,MATCH(Lists!$F$6,$A$1:$AL$1,0)),4,2)))),"")),IFERROR(IF(TRIM(INDEX($A484:$AL484,MATCH(Lists!$F$6,$A$1:$AL$1,0))&amp;"")="","",IF(ISNUMBER(INDEX($A484:$AL484,MATCH(Lists!$F$6,$A$1:$AL$1,0))),ROUND(MOD(INDEX($A484:$AL484,MATCH(Lists!$F$6,$A$1:$AL$1,0)),1)*1440,0),VALUE(LEFT(INDEX($A484:$AL484,MATCH(Lists!$F$6,$A$1:$AL$1,0)),2))*60+VALUE(MID(INDEX($A484:$AL484,MATCH(Lists!$F$6,$A$1:$AL$1,0)),4,2)))),""),-1))</f>
        <v/>
      </c>
      <c r="AV484" s="21">
        <f>IF(IFERROR(TRIM(INDEX($A484:$AL484,MATCH(Lists!$F$2,$A$1:$AL$1,0))&amp;""),"")="",-1,IF(ISNUMBER(IFERROR(IF(TRIM(INDEX($A484:$AL484,MATCH(Lists!$F$7,$A$1:$AL$1,0))&amp;"")="","",IF(ISNUMBER(INDEX($A484:$AL484,MATCH(Lists!$F$7,$A$1:$AL$1,0))),ROUND(MOD(INDEX($A484:$AL484,MATCH(Lists!$F$7,$A$1:$AL$1,0)),1)*1440,0),VALUE(LEFT(INDEX($A484:$AL484,MATCH(Lists!$F$7,$A$1:$AL$1,0)),2))*60+VALUE(MID(INDEX($A484:$AL484,MATCH(Lists!$F$7,$A$1:$AL$1,0)),4,2)))),"")),IFERROR(IF(TRIM(INDEX($A484:$AL484,MATCH(Lists!$F$7,$A$1:$AL$1,0))&amp;"")="","",IF(ISNUMBER(INDEX($A484:$AL484,MATCH(Lists!$F$7,$A$1:$AL$1,0))),ROUND(MOD(INDEX($A484:$AL484,MATCH(Lists!$F$7,$A$1:$AL$1,0)),1)*1440,0),VALUE(LEFT(INDEX($A484:$AL484,MATCH(Lists!$F$7,$A$1:$AL$1,0)),2))*60+VALUE(MID(INDEX($A484:$AL484,MATCH(Lists!$F$7,$A$1:$AL$1,0)),4,2)))),""),-1))</f>
        <v/>
      </c>
      <c r="AW484" s="21">
        <f>IF(IFERROR(TRIM(INDEX($A484:$AL484,MATCH(Lists!$F$2,$A$1:$AL$1,0))&amp;""),"")="","",IF(IFERROR(TRIM(INDEX($A484:$AL484,MATCH(Lists!$F$8,$A$1:$AL$1,0))&amp;""),"")&lt;&gt;"",IFERROR(TRIM(INDEX($A484:$AL484,MATCH(Lists!$F$8,$A$1:$AL$1,0))&amp;""),""),IFERROR(TRIM(INDEX($A484:$AL484,MATCH(Lists!$F$9,$A$1:$AL$1,0))&amp;""),"")))</f>
        <v/>
      </c>
      <c r="AX484" s="21">
        <f>IFERROR(IF(TRIM(INDEX($A484:$AL484,MATCH(Lists!$F$10,$A$1:$AL$1,0))&amp;"")="","",VALUE(TRIM(INDEX($A484:$AL484,MATCH(Lists!$F$10,$A$1:$AL$1,0))&amp;""))),"")</f>
        <v/>
      </c>
      <c r="AY484" s="21">
        <f>IF(IFERROR(TRIM(INDEX($A484:$AL484,MATCH(Lists!$F$2,$A$1:$AL$1,0))&amp;""),"")="","",IF(AN484="","New",AN484))</f>
        <v/>
      </c>
      <c r="AZ484" s="21">
        <f>IF(IFERROR(TRIM(INDEX($A484:$AL484,MATCH(Lists!$F$2,$A$1:$AL$1,0))&amp;""),"")="","",IF(OR(IFERROR(TRIM(INDEX($A484:$AL484,MATCH(Lists!$F$13,$A$1:$AL$1,0))&amp;""),"")="Paid",IFERROR(TRIM(INDEX($A484:$AL484,MATCH(Lists!$F$13,$A$1:$AL$1,0))&amp;""),"")="Partially refunded"),"Paid",IF(AP484="Yes","Paid (by hand)",IFERROR(TRIM(INDEX($A484:$AL484,MATCH(Lists!$F$13,$A$1:$AL$1,0))&amp;""),""))))</f>
        <v/>
      </c>
      <c r="BA484" s="21">
        <f>IF(AND(IFERROR(TRIM(INDEX($A484:$AL484,MATCH(Lists!$F$2,$A$1:$AL$1,0))&amp;""),"")&lt;&gt;"",AT484&gt;0,AU484&gt;=0,AV484&gt;AU484,AY484&lt;&gt;"Declined"),1,0)</f>
        <v/>
      </c>
      <c r="BB484" s="21">
        <f>IF(BA484=1,COUNTIFS($AS$2:$AS$501,AS484,$AT$2:$AT$501,AT484,$AU$2:$AU$501,"&lt;"&amp;AV484,$AV$2:$AV$501,"&gt;"&amp;AU484,$BA$2:$BA$501,1)-1,"")</f>
        <v/>
      </c>
      <c r="BC484" s="21">
        <f>IF(N(BB484)&gt;0,"Clashes with "&amp;INDEX($AW$2:$AW$501,SUMPRODUCT(MAX(($AS$2:$AS$501=AS484)*($AT$2:$AT$501=AT484)*($AU$2:$AU$501&lt;AV484)*($AV$2:$AV$501&gt;AU484)*($BA$2:$BA$501=1)*(ROW($AS$2:$AS$501)&lt;&gt;ROW())*ROW($AS$2:$AS$501)))-1)&amp;" ("&amp;INDEX($AY$2:$AY$501,SUMPRODUCT(MAX(($AS$2:$AS$501=AS484)*($AT$2:$AT$501=AT484)*($AU$2:$AU$501&lt;AV484)*($AV$2:$AV$501&gt;AU484)*($BA$2:$BA$501=1)*(ROW($AS$2:$AS$501)&lt;&gt;ROW())*ROW($AS$2:$AS$501)))-1)&amp;")"&amp;IF(BB484&gt;1," and "&amp;(BB484-1)&amp;" more",""),"")</f>
        <v/>
      </c>
      <c r="BD484" s="21">
        <f>IF(AND(BA484=1,AY484="Confirmed"),AT484*10000000+AU484*1000+ROW(),"")</f>
        <v/>
      </c>
      <c r="BE484" s="21">
        <f>IF(IFERROR(TRIM(INDEX($A484:$AL484,MATCH(Lists!$F$2,$A$1:$AL$1,0))&amp;""),"")="","",IFERROR(TRIM(INDEX($A484:$AL484,MATCH(Lists!$F$11,$A$1:$AL$1,0))&amp;""),""))</f>
        <v/>
      </c>
      <c r="BF484" s="21">
        <f>IF(IFERROR(TRIM(INDEX($A484:$AL484,MATCH(Lists!$F$2,$A$1:$AL$1,0))&amp;""),"")="","",IFERROR(TRIM(INDEX($A484:$AL484,MATCH(Lists!$F$12,$A$1:$AL$1,0))&amp;""),""))</f>
        <v/>
      </c>
    </row>
    <row r="485">
      <c r="AM485" s="19" t="n"/>
      <c r="AN485" s="23" t="n"/>
      <c r="AO485" s="23" t="n"/>
      <c r="AP485" s="23" t="n"/>
      <c r="AQ485" s="23" t="n"/>
      <c r="AR485" s="19" t="n"/>
      <c r="AS485" s="21">
        <f>IF(IFERROR(TRIM(INDEX($A485:$AL485,MATCH(Lists!$F$2,$A$1:$AL$1,0))&amp;""),"")="","",IF(AND(IFERROR(TRIM(INDEX($A485:$AL485,MATCH(Lists!$F$3,$A$1:$AL$1,0))&amp;""),"")="Other",IFERROR(TRIM(INDEX($A485:$AL485,MATCH(Lists!$F$4,$A$1:$AL$1,0))&amp;""),"")&lt;&gt;""),IFERROR(TRIM(INDEX($A485:$AL485,MATCH(Lists!$F$4,$A$1:$AL$1,0))&amp;""),""),IF(IFERROR(TRIM(INDEX($A485:$AL485,MATCH(Lists!$F$3,$A$1:$AL$1,0))&amp;""),"")="","(no space)",IFERROR(TRIM(INDEX($A485:$AL485,MATCH(Lists!$F$3,$A$1:$AL$1,0))&amp;""),""))))</f>
        <v/>
      </c>
      <c r="AT485" s="22">
        <f>IF(IFERROR(TRIM(INDEX($A485:$AL485,MATCH(Lists!$F$2,$A$1:$AL$1,0))&amp;""),"")="",0,N(IFERROR(IF(TRIM(INDEX($A485:$AL485,MATCH(Lists!$F$5,$A$1:$AL$1,0))&amp;"")="","",IF(ISNUMBER(INDEX($A485:$AL485,MATCH(Lists!$F$5,$A$1:$AL$1,0))),INT(INDEX($A485:$AL485,MATCH(Lists!$F$5,$A$1:$AL$1,0))),DATE(VALUE(LEFT(INDEX($A485:$AL485,MATCH(Lists!$F$5,$A$1:$AL$1,0)),4)),VALUE(MID(INDEX($A485:$AL485,MATCH(Lists!$F$5,$A$1:$AL$1,0)),6,2)),VALUE(MID(INDEX($A485:$AL485,MATCH(Lists!$F$5,$A$1:$AL$1,0)),9,2))))),"")))</f>
        <v/>
      </c>
      <c r="AU485" s="21">
        <f>IF(IFERROR(TRIM(INDEX($A485:$AL485,MATCH(Lists!$F$2,$A$1:$AL$1,0))&amp;""),"")="",-1,IF(ISNUMBER(IFERROR(IF(TRIM(INDEX($A485:$AL485,MATCH(Lists!$F$6,$A$1:$AL$1,0))&amp;"")="","",IF(ISNUMBER(INDEX($A485:$AL485,MATCH(Lists!$F$6,$A$1:$AL$1,0))),ROUND(MOD(INDEX($A485:$AL485,MATCH(Lists!$F$6,$A$1:$AL$1,0)),1)*1440,0),VALUE(LEFT(INDEX($A485:$AL485,MATCH(Lists!$F$6,$A$1:$AL$1,0)),2))*60+VALUE(MID(INDEX($A485:$AL485,MATCH(Lists!$F$6,$A$1:$AL$1,0)),4,2)))),"")),IFERROR(IF(TRIM(INDEX($A485:$AL485,MATCH(Lists!$F$6,$A$1:$AL$1,0))&amp;"")="","",IF(ISNUMBER(INDEX($A485:$AL485,MATCH(Lists!$F$6,$A$1:$AL$1,0))),ROUND(MOD(INDEX($A485:$AL485,MATCH(Lists!$F$6,$A$1:$AL$1,0)),1)*1440,0),VALUE(LEFT(INDEX($A485:$AL485,MATCH(Lists!$F$6,$A$1:$AL$1,0)),2))*60+VALUE(MID(INDEX($A485:$AL485,MATCH(Lists!$F$6,$A$1:$AL$1,0)),4,2)))),""),-1))</f>
        <v/>
      </c>
      <c r="AV485" s="21">
        <f>IF(IFERROR(TRIM(INDEX($A485:$AL485,MATCH(Lists!$F$2,$A$1:$AL$1,0))&amp;""),"")="",-1,IF(ISNUMBER(IFERROR(IF(TRIM(INDEX($A485:$AL485,MATCH(Lists!$F$7,$A$1:$AL$1,0))&amp;"")="","",IF(ISNUMBER(INDEX($A485:$AL485,MATCH(Lists!$F$7,$A$1:$AL$1,0))),ROUND(MOD(INDEX($A485:$AL485,MATCH(Lists!$F$7,$A$1:$AL$1,0)),1)*1440,0),VALUE(LEFT(INDEX($A485:$AL485,MATCH(Lists!$F$7,$A$1:$AL$1,0)),2))*60+VALUE(MID(INDEX($A485:$AL485,MATCH(Lists!$F$7,$A$1:$AL$1,0)),4,2)))),"")),IFERROR(IF(TRIM(INDEX($A485:$AL485,MATCH(Lists!$F$7,$A$1:$AL$1,0))&amp;"")="","",IF(ISNUMBER(INDEX($A485:$AL485,MATCH(Lists!$F$7,$A$1:$AL$1,0))),ROUND(MOD(INDEX($A485:$AL485,MATCH(Lists!$F$7,$A$1:$AL$1,0)),1)*1440,0),VALUE(LEFT(INDEX($A485:$AL485,MATCH(Lists!$F$7,$A$1:$AL$1,0)),2))*60+VALUE(MID(INDEX($A485:$AL485,MATCH(Lists!$F$7,$A$1:$AL$1,0)),4,2)))),""),-1))</f>
        <v/>
      </c>
      <c r="AW485" s="21">
        <f>IF(IFERROR(TRIM(INDEX($A485:$AL485,MATCH(Lists!$F$2,$A$1:$AL$1,0))&amp;""),"")="","",IF(IFERROR(TRIM(INDEX($A485:$AL485,MATCH(Lists!$F$8,$A$1:$AL$1,0))&amp;""),"")&lt;&gt;"",IFERROR(TRIM(INDEX($A485:$AL485,MATCH(Lists!$F$8,$A$1:$AL$1,0))&amp;""),""),IFERROR(TRIM(INDEX($A485:$AL485,MATCH(Lists!$F$9,$A$1:$AL$1,0))&amp;""),"")))</f>
        <v/>
      </c>
      <c r="AX485" s="21">
        <f>IFERROR(IF(TRIM(INDEX($A485:$AL485,MATCH(Lists!$F$10,$A$1:$AL$1,0))&amp;"")="","",VALUE(TRIM(INDEX($A485:$AL485,MATCH(Lists!$F$10,$A$1:$AL$1,0))&amp;""))),"")</f>
        <v/>
      </c>
      <c r="AY485" s="21">
        <f>IF(IFERROR(TRIM(INDEX($A485:$AL485,MATCH(Lists!$F$2,$A$1:$AL$1,0))&amp;""),"")="","",IF(AN485="","New",AN485))</f>
        <v/>
      </c>
      <c r="AZ485" s="21">
        <f>IF(IFERROR(TRIM(INDEX($A485:$AL485,MATCH(Lists!$F$2,$A$1:$AL$1,0))&amp;""),"")="","",IF(OR(IFERROR(TRIM(INDEX($A485:$AL485,MATCH(Lists!$F$13,$A$1:$AL$1,0))&amp;""),"")="Paid",IFERROR(TRIM(INDEX($A485:$AL485,MATCH(Lists!$F$13,$A$1:$AL$1,0))&amp;""),"")="Partially refunded"),"Paid",IF(AP485="Yes","Paid (by hand)",IFERROR(TRIM(INDEX($A485:$AL485,MATCH(Lists!$F$13,$A$1:$AL$1,0))&amp;""),""))))</f>
        <v/>
      </c>
      <c r="BA485" s="21">
        <f>IF(AND(IFERROR(TRIM(INDEX($A485:$AL485,MATCH(Lists!$F$2,$A$1:$AL$1,0))&amp;""),"")&lt;&gt;"",AT485&gt;0,AU485&gt;=0,AV485&gt;AU485,AY485&lt;&gt;"Declined"),1,0)</f>
        <v/>
      </c>
      <c r="BB485" s="21">
        <f>IF(BA485=1,COUNTIFS($AS$2:$AS$501,AS485,$AT$2:$AT$501,AT485,$AU$2:$AU$501,"&lt;"&amp;AV485,$AV$2:$AV$501,"&gt;"&amp;AU485,$BA$2:$BA$501,1)-1,"")</f>
        <v/>
      </c>
      <c r="BC485" s="21">
        <f>IF(N(BB485)&gt;0,"Clashes with "&amp;INDEX($AW$2:$AW$501,SUMPRODUCT(MAX(($AS$2:$AS$501=AS485)*($AT$2:$AT$501=AT485)*($AU$2:$AU$501&lt;AV485)*($AV$2:$AV$501&gt;AU485)*($BA$2:$BA$501=1)*(ROW($AS$2:$AS$501)&lt;&gt;ROW())*ROW($AS$2:$AS$501)))-1)&amp;" ("&amp;INDEX($AY$2:$AY$501,SUMPRODUCT(MAX(($AS$2:$AS$501=AS485)*($AT$2:$AT$501=AT485)*($AU$2:$AU$501&lt;AV485)*($AV$2:$AV$501&gt;AU485)*($BA$2:$BA$501=1)*(ROW($AS$2:$AS$501)&lt;&gt;ROW())*ROW($AS$2:$AS$501)))-1)&amp;")"&amp;IF(BB485&gt;1," and "&amp;(BB485-1)&amp;" more",""),"")</f>
        <v/>
      </c>
      <c r="BD485" s="21">
        <f>IF(AND(BA485=1,AY485="Confirmed"),AT485*10000000+AU485*1000+ROW(),"")</f>
        <v/>
      </c>
      <c r="BE485" s="21">
        <f>IF(IFERROR(TRIM(INDEX($A485:$AL485,MATCH(Lists!$F$2,$A$1:$AL$1,0))&amp;""),"")="","",IFERROR(TRIM(INDEX($A485:$AL485,MATCH(Lists!$F$11,$A$1:$AL$1,0))&amp;""),""))</f>
        <v/>
      </c>
      <c r="BF485" s="21">
        <f>IF(IFERROR(TRIM(INDEX($A485:$AL485,MATCH(Lists!$F$2,$A$1:$AL$1,0))&amp;""),"")="","",IFERROR(TRIM(INDEX($A485:$AL485,MATCH(Lists!$F$12,$A$1:$AL$1,0))&amp;""),""))</f>
        <v/>
      </c>
    </row>
    <row r="486">
      <c r="AM486" s="19" t="n"/>
      <c r="AN486" s="23" t="n"/>
      <c r="AO486" s="23" t="n"/>
      <c r="AP486" s="23" t="n"/>
      <c r="AQ486" s="23" t="n"/>
      <c r="AR486" s="19" t="n"/>
      <c r="AS486" s="21">
        <f>IF(IFERROR(TRIM(INDEX($A486:$AL486,MATCH(Lists!$F$2,$A$1:$AL$1,0))&amp;""),"")="","",IF(AND(IFERROR(TRIM(INDEX($A486:$AL486,MATCH(Lists!$F$3,$A$1:$AL$1,0))&amp;""),"")="Other",IFERROR(TRIM(INDEX($A486:$AL486,MATCH(Lists!$F$4,$A$1:$AL$1,0))&amp;""),"")&lt;&gt;""),IFERROR(TRIM(INDEX($A486:$AL486,MATCH(Lists!$F$4,$A$1:$AL$1,0))&amp;""),""),IF(IFERROR(TRIM(INDEX($A486:$AL486,MATCH(Lists!$F$3,$A$1:$AL$1,0))&amp;""),"")="","(no space)",IFERROR(TRIM(INDEX($A486:$AL486,MATCH(Lists!$F$3,$A$1:$AL$1,0))&amp;""),""))))</f>
        <v/>
      </c>
      <c r="AT486" s="22">
        <f>IF(IFERROR(TRIM(INDEX($A486:$AL486,MATCH(Lists!$F$2,$A$1:$AL$1,0))&amp;""),"")="",0,N(IFERROR(IF(TRIM(INDEX($A486:$AL486,MATCH(Lists!$F$5,$A$1:$AL$1,0))&amp;"")="","",IF(ISNUMBER(INDEX($A486:$AL486,MATCH(Lists!$F$5,$A$1:$AL$1,0))),INT(INDEX($A486:$AL486,MATCH(Lists!$F$5,$A$1:$AL$1,0))),DATE(VALUE(LEFT(INDEX($A486:$AL486,MATCH(Lists!$F$5,$A$1:$AL$1,0)),4)),VALUE(MID(INDEX($A486:$AL486,MATCH(Lists!$F$5,$A$1:$AL$1,0)),6,2)),VALUE(MID(INDEX($A486:$AL486,MATCH(Lists!$F$5,$A$1:$AL$1,0)),9,2))))),"")))</f>
        <v/>
      </c>
      <c r="AU486" s="21">
        <f>IF(IFERROR(TRIM(INDEX($A486:$AL486,MATCH(Lists!$F$2,$A$1:$AL$1,0))&amp;""),"")="",-1,IF(ISNUMBER(IFERROR(IF(TRIM(INDEX($A486:$AL486,MATCH(Lists!$F$6,$A$1:$AL$1,0))&amp;"")="","",IF(ISNUMBER(INDEX($A486:$AL486,MATCH(Lists!$F$6,$A$1:$AL$1,0))),ROUND(MOD(INDEX($A486:$AL486,MATCH(Lists!$F$6,$A$1:$AL$1,0)),1)*1440,0),VALUE(LEFT(INDEX($A486:$AL486,MATCH(Lists!$F$6,$A$1:$AL$1,0)),2))*60+VALUE(MID(INDEX($A486:$AL486,MATCH(Lists!$F$6,$A$1:$AL$1,0)),4,2)))),"")),IFERROR(IF(TRIM(INDEX($A486:$AL486,MATCH(Lists!$F$6,$A$1:$AL$1,0))&amp;"")="","",IF(ISNUMBER(INDEX($A486:$AL486,MATCH(Lists!$F$6,$A$1:$AL$1,0))),ROUND(MOD(INDEX($A486:$AL486,MATCH(Lists!$F$6,$A$1:$AL$1,0)),1)*1440,0),VALUE(LEFT(INDEX($A486:$AL486,MATCH(Lists!$F$6,$A$1:$AL$1,0)),2))*60+VALUE(MID(INDEX($A486:$AL486,MATCH(Lists!$F$6,$A$1:$AL$1,0)),4,2)))),""),-1))</f>
        <v/>
      </c>
      <c r="AV486" s="21">
        <f>IF(IFERROR(TRIM(INDEX($A486:$AL486,MATCH(Lists!$F$2,$A$1:$AL$1,0))&amp;""),"")="",-1,IF(ISNUMBER(IFERROR(IF(TRIM(INDEX($A486:$AL486,MATCH(Lists!$F$7,$A$1:$AL$1,0))&amp;"")="","",IF(ISNUMBER(INDEX($A486:$AL486,MATCH(Lists!$F$7,$A$1:$AL$1,0))),ROUND(MOD(INDEX($A486:$AL486,MATCH(Lists!$F$7,$A$1:$AL$1,0)),1)*1440,0),VALUE(LEFT(INDEX($A486:$AL486,MATCH(Lists!$F$7,$A$1:$AL$1,0)),2))*60+VALUE(MID(INDEX($A486:$AL486,MATCH(Lists!$F$7,$A$1:$AL$1,0)),4,2)))),"")),IFERROR(IF(TRIM(INDEX($A486:$AL486,MATCH(Lists!$F$7,$A$1:$AL$1,0))&amp;"")="","",IF(ISNUMBER(INDEX($A486:$AL486,MATCH(Lists!$F$7,$A$1:$AL$1,0))),ROUND(MOD(INDEX($A486:$AL486,MATCH(Lists!$F$7,$A$1:$AL$1,0)),1)*1440,0),VALUE(LEFT(INDEX($A486:$AL486,MATCH(Lists!$F$7,$A$1:$AL$1,0)),2))*60+VALUE(MID(INDEX($A486:$AL486,MATCH(Lists!$F$7,$A$1:$AL$1,0)),4,2)))),""),-1))</f>
        <v/>
      </c>
      <c r="AW486" s="21">
        <f>IF(IFERROR(TRIM(INDEX($A486:$AL486,MATCH(Lists!$F$2,$A$1:$AL$1,0))&amp;""),"")="","",IF(IFERROR(TRIM(INDEX($A486:$AL486,MATCH(Lists!$F$8,$A$1:$AL$1,0))&amp;""),"")&lt;&gt;"",IFERROR(TRIM(INDEX($A486:$AL486,MATCH(Lists!$F$8,$A$1:$AL$1,0))&amp;""),""),IFERROR(TRIM(INDEX($A486:$AL486,MATCH(Lists!$F$9,$A$1:$AL$1,0))&amp;""),"")))</f>
        <v/>
      </c>
      <c r="AX486" s="21">
        <f>IFERROR(IF(TRIM(INDEX($A486:$AL486,MATCH(Lists!$F$10,$A$1:$AL$1,0))&amp;"")="","",VALUE(TRIM(INDEX($A486:$AL486,MATCH(Lists!$F$10,$A$1:$AL$1,0))&amp;""))),"")</f>
        <v/>
      </c>
      <c r="AY486" s="21">
        <f>IF(IFERROR(TRIM(INDEX($A486:$AL486,MATCH(Lists!$F$2,$A$1:$AL$1,0))&amp;""),"")="","",IF(AN486="","New",AN486))</f>
        <v/>
      </c>
      <c r="AZ486" s="21">
        <f>IF(IFERROR(TRIM(INDEX($A486:$AL486,MATCH(Lists!$F$2,$A$1:$AL$1,0))&amp;""),"")="","",IF(OR(IFERROR(TRIM(INDEX($A486:$AL486,MATCH(Lists!$F$13,$A$1:$AL$1,0))&amp;""),"")="Paid",IFERROR(TRIM(INDEX($A486:$AL486,MATCH(Lists!$F$13,$A$1:$AL$1,0))&amp;""),"")="Partially refunded"),"Paid",IF(AP486="Yes","Paid (by hand)",IFERROR(TRIM(INDEX($A486:$AL486,MATCH(Lists!$F$13,$A$1:$AL$1,0))&amp;""),""))))</f>
        <v/>
      </c>
      <c r="BA486" s="21">
        <f>IF(AND(IFERROR(TRIM(INDEX($A486:$AL486,MATCH(Lists!$F$2,$A$1:$AL$1,0))&amp;""),"")&lt;&gt;"",AT486&gt;0,AU486&gt;=0,AV486&gt;AU486,AY486&lt;&gt;"Declined"),1,0)</f>
        <v/>
      </c>
      <c r="BB486" s="21">
        <f>IF(BA486=1,COUNTIFS($AS$2:$AS$501,AS486,$AT$2:$AT$501,AT486,$AU$2:$AU$501,"&lt;"&amp;AV486,$AV$2:$AV$501,"&gt;"&amp;AU486,$BA$2:$BA$501,1)-1,"")</f>
        <v/>
      </c>
      <c r="BC486" s="21">
        <f>IF(N(BB486)&gt;0,"Clashes with "&amp;INDEX($AW$2:$AW$501,SUMPRODUCT(MAX(($AS$2:$AS$501=AS486)*($AT$2:$AT$501=AT486)*($AU$2:$AU$501&lt;AV486)*($AV$2:$AV$501&gt;AU486)*($BA$2:$BA$501=1)*(ROW($AS$2:$AS$501)&lt;&gt;ROW())*ROW($AS$2:$AS$501)))-1)&amp;" ("&amp;INDEX($AY$2:$AY$501,SUMPRODUCT(MAX(($AS$2:$AS$501=AS486)*($AT$2:$AT$501=AT486)*($AU$2:$AU$501&lt;AV486)*($AV$2:$AV$501&gt;AU486)*($BA$2:$BA$501=1)*(ROW($AS$2:$AS$501)&lt;&gt;ROW())*ROW($AS$2:$AS$501)))-1)&amp;")"&amp;IF(BB486&gt;1," and "&amp;(BB486-1)&amp;" more",""),"")</f>
        <v/>
      </c>
      <c r="BD486" s="21">
        <f>IF(AND(BA486=1,AY486="Confirmed"),AT486*10000000+AU486*1000+ROW(),"")</f>
        <v/>
      </c>
      <c r="BE486" s="21">
        <f>IF(IFERROR(TRIM(INDEX($A486:$AL486,MATCH(Lists!$F$2,$A$1:$AL$1,0))&amp;""),"")="","",IFERROR(TRIM(INDEX($A486:$AL486,MATCH(Lists!$F$11,$A$1:$AL$1,0))&amp;""),""))</f>
        <v/>
      </c>
      <c r="BF486" s="21">
        <f>IF(IFERROR(TRIM(INDEX($A486:$AL486,MATCH(Lists!$F$2,$A$1:$AL$1,0))&amp;""),"")="","",IFERROR(TRIM(INDEX($A486:$AL486,MATCH(Lists!$F$12,$A$1:$AL$1,0))&amp;""),""))</f>
        <v/>
      </c>
    </row>
    <row r="487">
      <c r="AM487" s="19" t="n"/>
      <c r="AN487" s="23" t="n"/>
      <c r="AO487" s="23" t="n"/>
      <c r="AP487" s="23" t="n"/>
      <c r="AQ487" s="23" t="n"/>
      <c r="AR487" s="19" t="n"/>
      <c r="AS487" s="21">
        <f>IF(IFERROR(TRIM(INDEX($A487:$AL487,MATCH(Lists!$F$2,$A$1:$AL$1,0))&amp;""),"")="","",IF(AND(IFERROR(TRIM(INDEX($A487:$AL487,MATCH(Lists!$F$3,$A$1:$AL$1,0))&amp;""),"")="Other",IFERROR(TRIM(INDEX($A487:$AL487,MATCH(Lists!$F$4,$A$1:$AL$1,0))&amp;""),"")&lt;&gt;""),IFERROR(TRIM(INDEX($A487:$AL487,MATCH(Lists!$F$4,$A$1:$AL$1,0))&amp;""),""),IF(IFERROR(TRIM(INDEX($A487:$AL487,MATCH(Lists!$F$3,$A$1:$AL$1,0))&amp;""),"")="","(no space)",IFERROR(TRIM(INDEX($A487:$AL487,MATCH(Lists!$F$3,$A$1:$AL$1,0))&amp;""),""))))</f>
        <v/>
      </c>
      <c r="AT487" s="22">
        <f>IF(IFERROR(TRIM(INDEX($A487:$AL487,MATCH(Lists!$F$2,$A$1:$AL$1,0))&amp;""),"")="",0,N(IFERROR(IF(TRIM(INDEX($A487:$AL487,MATCH(Lists!$F$5,$A$1:$AL$1,0))&amp;"")="","",IF(ISNUMBER(INDEX($A487:$AL487,MATCH(Lists!$F$5,$A$1:$AL$1,0))),INT(INDEX($A487:$AL487,MATCH(Lists!$F$5,$A$1:$AL$1,0))),DATE(VALUE(LEFT(INDEX($A487:$AL487,MATCH(Lists!$F$5,$A$1:$AL$1,0)),4)),VALUE(MID(INDEX($A487:$AL487,MATCH(Lists!$F$5,$A$1:$AL$1,0)),6,2)),VALUE(MID(INDEX($A487:$AL487,MATCH(Lists!$F$5,$A$1:$AL$1,0)),9,2))))),"")))</f>
        <v/>
      </c>
      <c r="AU487" s="21">
        <f>IF(IFERROR(TRIM(INDEX($A487:$AL487,MATCH(Lists!$F$2,$A$1:$AL$1,0))&amp;""),"")="",-1,IF(ISNUMBER(IFERROR(IF(TRIM(INDEX($A487:$AL487,MATCH(Lists!$F$6,$A$1:$AL$1,0))&amp;"")="","",IF(ISNUMBER(INDEX($A487:$AL487,MATCH(Lists!$F$6,$A$1:$AL$1,0))),ROUND(MOD(INDEX($A487:$AL487,MATCH(Lists!$F$6,$A$1:$AL$1,0)),1)*1440,0),VALUE(LEFT(INDEX($A487:$AL487,MATCH(Lists!$F$6,$A$1:$AL$1,0)),2))*60+VALUE(MID(INDEX($A487:$AL487,MATCH(Lists!$F$6,$A$1:$AL$1,0)),4,2)))),"")),IFERROR(IF(TRIM(INDEX($A487:$AL487,MATCH(Lists!$F$6,$A$1:$AL$1,0))&amp;"")="","",IF(ISNUMBER(INDEX($A487:$AL487,MATCH(Lists!$F$6,$A$1:$AL$1,0))),ROUND(MOD(INDEX($A487:$AL487,MATCH(Lists!$F$6,$A$1:$AL$1,0)),1)*1440,0),VALUE(LEFT(INDEX($A487:$AL487,MATCH(Lists!$F$6,$A$1:$AL$1,0)),2))*60+VALUE(MID(INDEX($A487:$AL487,MATCH(Lists!$F$6,$A$1:$AL$1,0)),4,2)))),""),-1))</f>
        <v/>
      </c>
      <c r="AV487" s="21">
        <f>IF(IFERROR(TRIM(INDEX($A487:$AL487,MATCH(Lists!$F$2,$A$1:$AL$1,0))&amp;""),"")="",-1,IF(ISNUMBER(IFERROR(IF(TRIM(INDEX($A487:$AL487,MATCH(Lists!$F$7,$A$1:$AL$1,0))&amp;"")="","",IF(ISNUMBER(INDEX($A487:$AL487,MATCH(Lists!$F$7,$A$1:$AL$1,0))),ROUND(MOD(INDEX($A487:$AL487,MATCH(Lists!$F$7,$A$1:$AL$1,0)),1)*1440,0),VALUE(LEFT(INDEX($A487:$AL487,MATCH(Lists!$F$7,$A$1:$AL$1,0)),2))*60+VALUE(MID(INDEX($A487:$AL487,MATCH(Lists!$F$7,$A$1:$AL$1,0)),4,2)))),"")),IFERROR(IF(TRIM(INDEX($A487:$AL487,MATCH(Lists!$F$7,$A$1:$AL$1,0))&amp;"")="","",IF(ISNUMBER(INDEX($A487:$AL487,MATCH(Lists!$F$7,$A$1:$AL$1,0))),ROUND(MOD(INDEX($A487:$AL487,MATCH(Lists!$F$7,$A$1:$AL$1,0)),1)*1440,0),VALUE(LEFT(INDEX($A487:$AL487,MATCH(Lists!$F$7,$A$1:$AL$1,0)),2))*60+VALUE(MID(INDEX($A487:$AL487,MATCH(Lists!$F$7,$A$1:$AL$1,0)),4,2)))),""),-1))</f>
        <v/>
      </c>
      <c r="AW487" s="21">
        <f>IF(IFERROR(TRIM(INDEX($A487:$AL487,MATCH(Lists!$F$2,$A$1:$AL$1,0))&amp;""),"")="","",IF(IFERROR(TRIM(INDEX($A487:$AL487,MATCH(Lists!$F$8,$A$1:$AL$1,0))&amp;""),"")&lt;&gt;"",IFERROR(TRIM(INDEX($A487:$AL487,MATCH(Lists!$F$8,$A$1:$AL$1,0))&amp;""),""),IFERROR(TRIM(INDEX($A487:$AL487,MATCH(Lists!$F$9,$A$1:$AL$1,0))&amp;""),"")))</f>
        <v/>
      </c>
      <c r="AX487" s="21">
        <f>IFERROR(IF(TRIM(INDEX($A487:$AL487,MATCH(Lists!$F$10,$A$1:$AL$1,0))&amp;"")="","",VALUE(TRIM(INDEX($A487:$AL487,MATCH(Lists!$F$10,$A$1:$AL$1,0))&amp;""))),"")</f>
        <v/>
      </c>
      <c r="AY487" s="21">
        <f>IF(IFERROR(TRIM(INDEX($A487:$AL487,MATCH(Lists!$F$2,$A$1:$AL$1,0))&amp;""),"")="","",IF(AN487="","New",AN487))</f>
        <v/>
      </c>
      <c r="AZ487" s="21">
        <f>IF(IFERROR(TRIM(INDEX($A487:$AL487,MATCH(Lists!$F$2,$A$1:$AL$1,0))&amp;""),"")="","",IF(OR(IFERROR(TRIM(INDEX($A487:$AL487,MATCH(Lists!$F$13,$A$1:$AL$1,0))&amp;""),"")="Paid",IFERROR(TRIM(INDEX($A487:$AL487,MATCH(Lists!$F$13,$A$1:$AL$1,0))&amp;""),"")="Partially refunded"),"Paid",IF(AP487="Yes","Paid (by hand)",IFERROR(TRIM(INDEX($A487:$AL487,MATCH(Lists!$F$13,$A$1:$AL$1,0))&amp;""),""))))</f>
        <v/>
      </c>
      <c r="BA487" s="21">
        <f>IF(AND(IFERROR(TRIM(INDEX($A487:$AL487,MATCH(Lists!$F$2,$A$1:$AL$1,0))&amp;""),"")&lt;&gt;"",AT487&gt;0,AU487&gt;=0,AV487&gt;AU487,AY487&lt;&gt;"Declined"),1,0)</f>
        <v/>
      </c>
      <c r="BB487" s="21">
        <f>IF(BA487=1,COUNTIFS($AS$2:$AS$501,AS487,$AT$2:$AT$501,AT487,$AU$2:$AU$501,"&lt;"&amp;AV487,$AV$2:$AV$501,"&gt;"&amp;AU487,$BA$2:$BA$501,1)-1,"")</f>
        <v/>
      </c>
      <c r="BC487" s="21">
        <f>IF(N(BB487)&gt;0,"Clashes with "&amp;INDEX($AW$2:$AW$501,SUMPRODUCT(MAX(($AS$2:$AS$501=AS487)*($AT$2:$AT$501=AT487)*($AU$2:$AU$501&lt;AV487)*($AV$2:$AV$501&gt;AU487)*($BA$2:$BA$501=1)*(ROW($AS$2:$AS$501)&lt;&gt;ROW())*ROW($AS$2:$AS$501)))-1)&amp;" ("&amp;INDEX($AY$2:$AY$501,SUMPRODUCT(MAX(($AS$2:$AS$501=AS487)*($AT$2:$AT$501=AT487)*($AU$2:$AU$501&lt;AV487)*($AV$2:$AV$501&gt;AU487)*($BA$2:$BA$501=1)*(ROW($AS$2:$AS$501)&lt;&gt;ROW())*ROW($AS$2:$AS$501)))-1)&amp;")"&amp;IF(BB487&gt;1," and "&amp;(BB487-1)&amp;" more",""),"")</f>
        <v/>
      </c>
      <c r="BD487" s="21">
        <f>IF(AND(BA487=1,AY487="Confirmed"),AT487*10000000+AU487*1000+ROW(),"")</f>
        <v/>
      </c>
      <c r="BE487" s="21">
        <f>IF(IFERROR(TRIM(INDEX($A487:$AL487,MATCH(Lists!$F$2,$A$1:$AL$1,0))&amp;""),"")="","",IFERROR(TRIM(INDEX($A487:$AL487,MATCH(Lists!$F$11,$A$1:$AL$1,0))&amp;""),""))</f>
        <v/>
      </c>
      <c r="BF487" s="21">
        <f>IF(IFERROR(TRIM(INDEX($A487:$AL487,MATCH(Lists!$F$2,$A$1:$AL$1,0))&amp;""),"")="","",IFERROR(TRIM(INDEX($A487:$AL487,MATCH(Lists!$F$12,$A$1:$AL$1,0))&amp;""),""))</f>
        <v/>
      </c>
    </row>
    <row r="488">
      <c r="AM488" s="19" t="n"/>
      <c r="AN488" s="23" t="n"/>
      <c r="AO488" s="23" t="n"/>
      <c r="AP488" s="23" t="n"/>
      <c r="AQ488" s="23" t="n"/>
      <c r="AR488" s="19" t="n"/>
      <c r="AS488" s="21">
        <f>IF(IFERROR(TRIM(INDEX($A488:$AL488,MATCH(Lists!$F$2,$A$1:$AL$1,0))&amp;""),"")="","",IF(AND(IFERROR(TRIM(INDEX($A488:$AL488,MATCH(Lists!$F$3,$A$1:$AL$1,0))&amp;""),"")="Other",IFERROR(TRIM(INDEX($A488:$AL488,MATCH(Lists!$F$4,$A$1:$AL$1,0))&amp;""),"")&lt;&gt;""),IFERROR(TRIM(INDEX($A488:$AL488,MATCH(Lists!$F$4,$A$1:$AL$1,0))&amp;""),""),IF(IFERROR(TRIM(INDEX($A488:$AL488,MATCH(Lists!$F$3,$A$1:$AL$1,0))&amp;""),"")="","(no space)",IFERROR(TRIM(INDEX($A488:$AL488,MATCH(Lists!$F$3,$A$1:$AL$1,0))&amp;""),""))))</f>
        <v/>
      </c>
      <c r="AT488" s="22">
        <f>IF(IFERROR(TRIM(INDEX($A488:$AL488,MATCH(Lists!$F$2,$A$1:$AL$1,0))&amp;""),"")="",0,N(IFERROR(IF(TRIM(INDEX($A488:$AL488,MATCH(Lists!$F$5,$A$1:$AL$1,0))&amp;"")="","",IF(ISNUMBER(INDEX($A488:$AL488,MATCH(Lists!$F$5,$A$1:$AL$1,0))),INT(INDEX($A488:$AL488,MATCH(Lists!$F$5,$A$1:$AL$1,0))),DATE(VALUE(LEFT(INDEX($A488:$AL488,MATCH(Lists!$F$5,$A$1:$AL$1,0)),4)),VALUE(MID(INDEX($A488:$AL488,MATCH(Lists!$F$5,$A$1:$AL$1,0)),6,2)),VALUE(MID(INDEX($A488:$AL488,MATCH(Lists!$F$5,$A$1:$AL$1,0)),9,2))))),"")))</f>
        <v/>
      </c>
      <c r="AU488" s="21">
        <f>IF(IFERROR(TRIM(INDEX($A488:$AL488,MATCH(Lists!$F$2,$A$1:$AL$1,0))&amp;""),"")="",-1,IF(ISNUMBER(IFERROR(IF(TRIM(INDEX($A488:$AL488,MATCH(Lists!$F$6,$A$1:$AL$1,0))&amp;"")="","",IF(ISNUMBER(INDEX($A488:$AL488,MATCH(Lists!$F$6,$A$1:$AL$1,0))),ROUND(MOD(INDEX($A488:$AL488,MATCH(Lists!$F$6,$A$1:$AL$1,0)),1)*1440,0),VALUE(LEFT(INDEX($A488:$AL488,MATCH(Lists!$F$6,$A$1:$AL$1,0)),2))*60+VALUE(MID(INDEX($A488:$AL488,MATCH(Lists!$F$6,$A$1:$AL$1,0)),4,2)))),"")),IFERROR(IF(TRIM(INDEX($A488:$AL488,MATCH(Lists!$F$6,$A$1:$AL$1,0))&amp;"")="","",IF(ISNUMBER(INDEX($A488:$AL488,MATCH(Lists!$F$6,$A$1:$AL$1,0))),ROUND(MOD(INDEX($A488:$AL488,MATCH(Lists!$F$6,$A$1:$AL$1,0)),1)*1440,0),VALUE(LEFT(INDEX($A488:$AL488,MATCH(Lists!$F$6,$A$1:$AL$1,0)),2))*60+VALUE(MID(INDEX($A488:$AL488,MATCH(Lists!$F$6,$A$1:$AL$1,0)),4,2)))),""),-1))</f>
        <v/>
      </c>
      <c r="AV488" s="21">
        <f>IF(IFERROR(TRIM(INDEX($A488:$AL488,MATCH(Lists!$F$2,$A$1:$AL$1,0))&amp;""),"")="",-1,IF(ISNUMBER(IFERROR(IF(TRIM(INDEX($A488:$AL488,MATCH(Lists!$F$7,$A$1:$AL$1,0))&amp;"")="","",IF(ISNUMBER(INDEX($A488:$AL488,MATCH(Lists!$F$7,$A$1:$AL$1,0))),ROUND(MOD(INDEX($A488:$AL488,MATCH(Lists!$F$7,$A$1:$AL$1,0)),1)*1440,0),VALUE(LEFT(INDEX($A488:$AL488,MATCH(Lists!$F$7,$A$1:$AL$1,0)),2))*60+VALUE(MID(INDEX($A488:$AL488,MATCH(Lists!$F$7,$A$1:$AL$1,0)),4,2)))),"")),IFERROR(IF(TRIM(INDEX($A488:$AL488,MATCH(Lists!$F$7,$A$1:$AL$1,0))&amp;"")="","",IF(ISNUMBER(INDEX($A488:$AL488,MATCH(Lists!$F$7,$A$1:$AL$1,0))),ROUND(MOD(INDEX($A488:$AL488,MATCH(Lists!$F$7,$A$1:$AL$1,0)),1)*1440,0),VALUE(LEFT(INDEX($A488:$AL488,MATCH(Lists!$F$7,$A$1:$AL$1,0)),2))*60+VALUE(MID(INDEX($A488:$AL488,MATCH(Lists!$F$7,$A$1:$AL$1,0)),4,2)))),""),-1))</f>
        <v/>
      </c>
      <c r="AW488" s="21">
        <f>IF(IFERROR(TRIM(INDEX($A488:$AL488,MATCH(Lists!$F$2,$A$1:$AL$1,0))&amp;""),"")="","",IF(IFERROR(TRIM(INDEX($A488:$AL488,MATCH(Lists!$F$8,$A$1:$AL$1,0))&amp;""),"")&lt;&gt;"",IFERROR(TRIM(INDEX($A488:$AL488,MATCH(Lists!$F$8,$A$1:$AL$1,0))&amp;""),""),IFERROR(TRIM(INDEX($A488:$AL488,MATCH(Lists!$F$9,$A$1:$AL$1,0))&amp;""),"")))</f>
        <v/>
      </c>
      <c r="AX488" s="21">
        <f>IFERROR(IF(TRIM(INDEX($A488:$AL488,MATCH(Lists!$F$10,$A$1:$AL$1,0))&amp;"")="","",VALUE(TRIM(INDEX($A488:$AL488,MATCH(Lists!$F$10,$A$1:$AL$1,0))&amp;""))),"")</f>
        <v/>
      </c>
      <c r="AY488" s="21">
        <f>IF(IFERROR(TRIM(INDEX($A488:$AL488,MATCH(Lists!$F$2,$A$1:$AL$1,0))&amp;""),"")="","",IF(AN488="","New",AN488))</f>
        <v/>
      </c>
      <c r="AZ488" s="21">
        <f>IF(IFERROR(TRIM(INDEX($A488:$AL488,MATCH(Lists!$F$2,$A$1:$AL$1,0))&amp;""),"")="","",IF(OR(IFERROR(TRIM(INDEX($A488:$AL488,MATCH(Lists!$F$13,$A$1:$AL$1,0))&amp;""),"")="Paid",IFERROR(TRIM(INDEX($A488:$AL488,MATCH(Lists!$F$13,$A$1:$AL$1,0))&amp;""),"")="Partially refunded"),"Paid",IF(AP488="Yes","Paid (by hand)",IFERROR(TRIM(INDEX($A488:$AL488,MATCH(Lists!$F$13,$A$1:$AL$1,0))&amp;""),""))))</f>
        <v/>
      </c>
      <c r="BA488" s="21">
        <f>IF(AND(IFERROR(TRIM(INDEX($A488:$AL488,MATCH(Lists!$F$2,$A$1:$AL$1,0))&amp;""),"")&lt;&gt;"",AT488&gt;0,AU488&gt;=0,AV488&gt;AU488,AY488&lt;&gt;"Declined"),1,0)</f>
        <v/>
      </c>
      <c r="BB488" s="21">
        <f>IF(BA488=1,COUNTIFS($AS$2:$AS$501,AS488,$AT$2:$AT$501,AT488,$AU$2:$AU$501,"&lt;"&amp;AV488,$AV$2:$AV$501,"&gt;"&amp;AU488,$BA$2:$BA$501,1)-1,"")</f>
        <v/>
      </c>
      <c r="BC488" s="21">
        <f>IF(N(BB488)&gt;0,"Clashes with "&amp;INDEX($AW$2:$AW$501,SUMPRODUCT(MAX(($AS$2:$AS$501=AS488)*($AT$2:$AT$501=AT488)*($AU$2:$AU$501&lt;AV488)*($AV$2:$AV$501&gt;AU488)*($BA$2:$BA$501=1)*(ROW($AS$2:$AS$501)&lt;&gt;ROW())*ROW($AS$2:$AS$501)))-1)&amp;" ("&amp;INDEX($AY$2:$AY$501,SUMPRODUCT(MAX(($AS$2:$AS$501=AS488)*($AT$2:$AT$501=AT488)*($AU$2:$AU$501&lt;AV488)*($AV$2:$AV$501&gt;AU488)*($BA$2:$BA$501=1)*(ROW($AS$2:$AS$501)&lt;&gt;ROW())*ROW($AS$2:$AS$501)))-1)&amp;")"&amp;IF(BB488&gt;1," and "&amp;(BB488-1)&amp;" more",""),"")</f>
        <v/>
      </c>
      <c r="BD488" s="21">
        <f>IF(AND(BA488=1,AY488="Confirmed"),AT488*10000000+AU488*1000+ROW(),"")</f>
        <v/>
      </c>
      <c r="BE488" s="21">
        <f>IF(IFERROR(TRIM(INDEX($A488:$AL488,MATCH(Lists!$F$2,$A$1:$AL$1,0))&amp;""),"")="","",IFERROR(TRIM(INDEX($A488:$AL488,MATCH(Lists!$F$11,$A$1:$AL$1,0))&amp;""),""))</f>
        <v/>
      </c>
      <c r="BF488" s="21">
        <f>IF(IFERROR(TRIM(INDEX($A488:$AL488,MATCH(Lists!$F$2,$A$1:$AL$1,0))&amp;""),"")="","",IFERROR(TRIM(INDEX($A488:$AL488,MATCH(Lists!$F$12,$A$1:$AL$1,0))&amp;""),""))</f>
        <v/>
      </c>
    </row>
    <row r="489">
      <c r="AM489" s="19" t="n"/>
      <c r="AN489" s="23" t="n"/>
      <c r="AO489" s="23" t="n"/>
      <c r="AP489" s="23" t="n"/>
      <c r="AQ489" s="23" t="n"/>
      <c r="AR489" s="19" t="n"/>
      <c r="AS489" s="21">
        <f>IF(IFERROR(TRIM(INDEX($A489:$AL489,MATCH(Lists!$F$2,$A$1:$AL$1,0))&amp;""),"")="","",IF(AND(IFERROR(TRIM(INDEX($A489:$AL489,MATCH(Lists!$F$3,$A$1:$AL$1,0))&amp;""),"")="Other",IFERROR(TRIM(INDEX($A489:$AL489,MATCH(Lists!$F$4,$A$1:$AL$1,0))&amp;""),"")&lt;&gt;""),IFERROR(TRIM(INDEX($A489:$AL489,MATCH(Lists!$F$4,$A$1:$AL$1,0))&amp;""),""),IF(IFERROR(TRIM(INDEX($A489:$AL489,MATCH(Lists!$F$3,$A$1:$AL$1,0))&amp;""),"")="","(no space)",IFERROR(TRIM(INDEX($A489:$AL489,MATCH(Lists!$F$3,$A$1:$AL$1,0))&amp;""),""))))</f>
        <v/>
      </c>
      <c r="AT489" s="22">
        <f>IF(IFERROR(TRIM(INDEX($A489:$AL489,MATCH(Lists!$F$2,$A$1:$AL$1,0))&amp;""),"")="",0,N(IFERROR(IF(TRIM(INDEX($A489:$AL489,MATCH(Lists!$F$5,$A$1:$AL$1,0))&amp;"")="","",IF(ISNUMBER(INDEX($A489:$AL489,MATCH(Lists!$F$5,$A$1:$AL$1,0))),INT(INDEX($A489:$AL489,MATCH(Lists!$F$5,$A$1:$AL$1,0))),DATE(VALUE(LEFT(INDEX($A489:$AL489,MATCH(Lists!$F$5,$A$1:$AL$1,0)),4)),VALUE(MID(INDEX($A489:$AL489,MATCH(Lists!$F$5,$A$1:$AL$1,0)),6,2)),VALUE(MID(INDEX($A489:$AL489,MATCH(Lists!$F$5,$A$1:$AL$1,0)),9,2))))),"")))</f>
        <v/>
      </c>
      <c r="AU489" s="21">
        <f>IF(IFERROR(TRIM(INDEX($A489:$AL489,MATCH(Lists!$F$2,$A$1:$AL$1,0))&amp;""),"")="",-1,IF(ISNUMBER(IFERROR(IF(TRIM(INDEX($A489:$AL489,MATCH(Lists!$F$6,$A$1:$AL$1,0))&amp;"")="","",IF(ISNUMBER(INDEX($A489:$AL489,MATCH(Lists!$F$6,$A$1:$AL$1,0))),ROUND(MOD(INDEX($A489:$AL489,MATCH(Lists!$F$6,$A$1:$AL$1,0)),1)*1440,0),VALUE(LEFT(INDEX($A489:$AL489,MATCH(Lists!$F$6,$A$1:$AL$1,0)),2))*60+VALUE(MID(INDEX($A489:$AL489,MATCH(Lists!$F$6,$A$1:$AL$1,0)),4,2)))),"")),IFERROR(IF(TRIM(INDEX($A489:$AL489,MATCH(Lists!$F$6,$A$1:$AL$1,0))&amp;"")="","",IF(ISNUMBER(INDEX($A489:$AL489,MATCH(Lists!$F$6,$A$1:$AL$1,0))),ROUND(MOD(INDEX($A489:$AL489,MATCH(Lists!$F$6,$A$1:$AL$1,0)),1)*1440,0),VALUE(LEFT(INDEX($A489:$AL489,MATCH(Lists!$F$6,$A$1:$AL$1,0)),2))*60+VALUE(MID(INDEX($A489:$AL489,MATCH(Lists!$F$6,$A$1:$AL$1,0)),4,2)))),""),-1))</f>
        <v/>
      </c>
      <c r="AV489" s="21">
        <f>IF(IFERROR(TRIM(INDEX($A489:$AL489,MATCH(Lists!$F$2,$A$1:$AL$1,0))&amp;""),"")="",-1,IF(ISNUMBER(IFERROR(IF(TRIM(INDEX($A489:$AL489,MATCH(Lists!$F$7,$A$1:$AL$1,0))&amp;"")="","",IF(ISNUMBER(INDEX($A489:$AL489,MATCH(Lists!$F$7,$A$1:$AL$1,0))),ROUND(MOD(INDEX($A489:$AL489,MATCH(Lists!$F$7,$A$1:$AL$1,0)),1)*1440,0),VALUE(LEFT(INDEX($A489:$AL489,MATCH(Lists!$F$7,$A$1:$AL$1,0)),2))*60+VALUE(MID(INDEX($A489:$AL489,MATCH(Lists!$F$7,$A$1:$AL$1,0)),4,2)))),"")),IFERROR(IF(TRIM(INDEX($A489:$AL489,MATCH(Lists!$F$7,$A$1:$AL$1,0))&amp;"")="","",IF(ISNUMBER(INDEX($A489:$AL489,MATCH(Lists!$F$7,$A$1:$AL$1,0))),ROUND(MOD(INDEX($A489:$AL489,MATCH(Lists!$F$7,$A$1:$AL$1,0)),1)*1440,0),VALUE(LEFT(INDEX($A489:$AL489,MATCH(Lists!$F$7,$A$1:$AL$1,0)),2))*60+VALUE(MID(INDEX($A489:$AL489,MATCH(Lists!$F$7,$A$1:$AL$1,0)),4,2)))),""),-1))</f>
        <v/>
      </c>
      <c r="AW489" s="21">
        <f>IF(IFERROR(TRIM(INDEX($A489:$AL489,MATCH(Lists!$F$2,$A$1:$AL$1,0))&amp;""),"")="","",IF(IFERROR(TRIM(INDEX($A489:$AL489,MATCH(Lists!$F$8,$A$1:$AL$1,0))&amp;""),"")&lt;&gt;"",IFERROR(TRIM(INDEX($A489:$AL489,MATCH(Lists!$F$8,$A$1:$AL$1,0))&amp;""),""),IFERROR(TRIM(INDEX($A489:$AL489,MATCH(Lists!$F$9,$A$1:$AL$1,0))&amp;""),"")))</f>
        <v/>
      </c>
      <c r="AX489" s="21">
        <f>IFERROR(IF(TRIM(INDEX($A489:$AL489,MATCH(Lists!$F$10,$A$1:$AL$1,0))&amp;"")="","",VALUE(TRIM(INDEX($A489:$AL489,MATCH(Lists!$F$10,$A$1:$AL$1,0))&amp;""))),"")</f>
        <v/>
      </c>
      <c r="AY489" s="21">
        <f>IF(IFERROR(TRIM(INDEX($A489:$AL489,MATCH(Lists!$F$2,$A$1:$AL$1,0))&amp;""),"")="","",IF(AN489="","New",AN489))</f>
        <v/>
      </c>
      <c r="AZ489" s="21">
        <f>IF(IFERROR(TRIM(INDEX($A489:$AL489,MATCH(Lists!$F$2,$A$1:$AL$1,0))&amp;""),"")="","",IF(OR(IFERROR(TRIM(INDEX($A489:$AL489,MATCH(Lists!$F$13,$A$1:$AL$1,0))&amp;""),"")="Paid",IFERROR(TRIM(INDEX($A489:$AL489,MATCH(Lists!$F$13,$A$1:$AL$1,0))&amp;""),"")="Partially refunded"),"Paid",IF(AP489="Yes","Paid (by hand)",IFERROR(TRIM(INDEX($A489:$AL489,MATCH(Lists!$F$13,$A$1:$AL$1,0))&amp;""),""))))</f>
        <v/>
      </c>
      <c r="BA489" s="21">
        <f>IF(AND(IFERROR(TRIM(INDEX($A489:$AL489,MATCH(Lists!$F$2,$A$1:$AL$1,0))&amp;""),"")&lt;&gt;"",AT489&gt;0,AU489&gt;=0,AV489&gt;AU489,AY489&lt;&gt;"Declined"),1,0)</f>
        <v/>
      </c>
      <c r="BB489" s="21">
        <f>IF(BA489=1,COUNTIFS($AS$2:$AS$501,AS489,$AT$2:$AT$501,AT489,$AU$2:$AU$501,"&lt;"&amp;AV489,$AV$2:$AV$501,"&gt;"&amp;AU489,$BA$2:$BA$501,1)-1,"")</f>
        <v/>
      </c>
      <c r="BC489" s="21">
        <f>IF(N(BB489)&gt;0,"Clashes with "&amp;INDEX($AW$2:$AW$501,SUMPRODUCT(MAX(($AS$2:$AS$501=AS489)*($AT$2:$AT$501=AT489)*($AU$2:$AU$501&lt;AV489)*($AV$2:$AV$501&gt;AU489)*($BA$2:$BA$501=1)*(ROW($AS$2:$AS$501)&lt;&gt;ROW())*ROW($AS$2:$AS$501)))-1)&amp;" ("&amp;INDEX($AY$2:$AY$501,SUMPRODUCT(MAX(($AS$2:$AS$501=AS489)*($AT$2:$AT$501=AT489)*($AU$2:$AU$501&lt;AV489)*($AV$2:$AV$501&gt;AU489)*($BA$2:$BA$501=1)*(ROW($AS$2:$AS$501)&lt;&gt;ROW())*ROW($AS$2:$AS$501)))-1)&amp;")"&amp;IF(BB489&gt;1," and "&amp;(BB489-1)&amp;" more",""),"")</f>
        <v/>
      </c>
      <c r="BD489" s="21">
        <f>IF(AND(BA489=1,AY489="Confirmed"),AT489*10000000+AU489*1000+ROW(),"")</f>
        <v/>
      </c>
      <c r="BE489" s="21">
        <f>IF(IFERROR(TRIM(INDEX($A489:$AL489,MATCH(Lists!$F$2,$A$1:$AL$1,0))&amp;""),"")="","",IFERROR(TRIM(INDEX($A489:$AL489,MATCH(Lists!$F$11,$A$1:$AL$1,0))&amp;""),""))</f>
        <v/>
      </c>
      <c r="BF489" s="21">
        <f>IF(IFERROR(TRIM(INDEX($A489:$AL489,MATCH(Lists!$F$2,$A$1:$AL$1,0))&amp;""),"")="","",IFERROR(TRIM(INDEX($A489:$AL489,MATCH(Lists!$F$12,$A$1:$AL$1,0))&amp;""),""))</f>
        <v/>
      </c>
    </row>
    <row r="490">
      <c r="AM490" s="19" t="n"/>
      <c r="AN490" s="23" t="n"/>
      <c r="AO490" s="23" t="n"/>
      <c r="AP490" s="23" t="n"/>
      <c r="AQ490" s="23" t="n"/>
      <c r="AR490" s="19" t="n"/>
      <c r="AS490" s="21">
        <f>IF(IFERROR(TRIM(INDEX($A490:$AL490,MATCH(Lists!$F$2,$A$1:$AL$1,0))&amp;""),"")="","",IF(AND(IFERROR(TRIM(INDEX($A490:$AL490,MATCH(Lists!$F$3,$A$1:$AL$1,0))&amp;""),"")="Other",IFERROR(TRIM(INDEX($A490:$AL490,MATCH(Lists!$F$4,$A$1:$AL$1,0))&amp;""),"")&lt;&gt;""),IFERROR(TRIM(INDEX($A490:$AL490,MATCH(Lists!$F$4,$A$1:$AL$1,0))&amp;""),""),IF(IFERROR(TRIM(INDEX($A490:$AL490,MATCH(Lists!$F$3,$A$1:$AL$1,0))&amp;""),"")="","(no space)",IFERROR(TRIM(INDEX($A490:$AL490,MATCH(Lists!$F$3,$A$1:$AL$1,0))&amp;""),""))))</f>
        <v/>
      </c>
      <c r="AT490" s="22">
        <f>IF(IFERROR(TRIM(INDEX($A490:$AL490,MATCH(Lists!$F$2,$A$1:$AL$1,0))&amp;""),"")="",0,N(IFERROR(IF(TRIM(INDEX($A490:$AL490,MATCH(Lists!$F$5,$A$1:$AL$1,0))&amp;"")="","",IF(ISNUMBER(INDEX($A490:$AL490,MATCH(Lists!$F$5,$A$1:$AL$1,0))),INT(INDEX($A490:$AL490,MATCH(Lists!$F$5,$A$1:$AL$1,0))),DATE(VALUE(LEFT(INDEX($A490:$AL490,MATCH(Lists!$F$5,$A$1:$AL$1,0)),4)),VALUE(MID(INDEX($A490:$AL490,MATCH(Lists!$F$5,$A$1:$AL$1,0)),6,2)),VALUE(MID(INDEX($A490:$AL490,MATCH(Lists!$F$5,$A$1:$AL$1,0)),9,2))))),"")))</f>
        <v/>
      </c>
      <c r="AU490" s="21">
        <f>IF(IFERROR(TRIM(INDEX($A490:$AL490,MATCH(Lists!$F$2,$A$1:$AL$1,0))&amp;""),"")="",-1,IF(ISNUMBER(IFERROR(IF(TRIM(INDEX($A490:$AL490,MATCH(Lists!$F$6,$A$1:$AL$1,0))&amp;"")="","",IF(ISNUMBER(INDEX($A490:$AL490,MATCH(Lists!$F$6,$A$1:$AL$1,0))),ROUND(MOD(INDEX($A490:$AL490,MATCH(Lists!$F$6,$A$1:$AL$1,0)),1)*1440,0),VALUE(LEFT(INDEX($A490:$AL490,MATCH(Lists!$F$6,$A$1:$AL$1,0)),2))*60+VALUE(MID(INDEX($A490:$AL490,MATCH(Lists!$F$6,$A$1:$AL$1,0)),4,2)))),"")),IFERROR(IF(TRIM(INDEX($A490:$AL490,MATCH(Lists!$F$6,$A$1:$AL$1,0))&amp;"")="","",IF(ISNUMBER(INDEX($A490:$AL490,MATCH(Lists!$F$6,$A$1:$AL$1,0))),ROUND(MOD(INDEX($A490:$AL490,MATCH(Lists!$F$6,$A$1:$AL$1,0)),1)*1440,0),VALUE(LEFT(INDEX($A490:$AL490,MATCH(Lists!$F$6,$A$1:$AL$1,0)),2))*60+VALUE(MID(INDEX($A490:$AL490,MATCH(Lists!$F$6,$A$1:$AL$1,0)),4,2)))),""),-1))</f>
        <v/>
      </c>
      <c r="AV490" s="21">
        <f>IF(IFERROR(TRIM(INDEX($A490:$AL490,MATCH(Lists!$F$2,$A$1:$AL$1,0))&amp;""),"")="",-1,IF(ISNUMBER(IFERROR(IF(TRIM(INDEX($A490:$AL490,MATCH(Lists!$F$7,$A$1:$AL$1,0))&amp;"")="","",IF(ISNUMBER(INDEX($A490:$AL490,MATCH(Lists!$F$7,$A$1:$AL$1,0))),ROUND(MOD(INDEX($A490:$AL490,MATCH(Lists!$F$7,$A$1:$AL$1,0)),1)*1440,0),VALUE(LEFT(INDEX($A490:$AL490,MATCH(Lists!$F$7,$A$1:$AL$1,0)),2))*60+VALUE(MID(INDEX($A490:$AL490,MATCH(Lists!$F$7,$A$1:$AL$1,0)),4,2)))),"")),IFERROR(IF(TRIM(INDEX($A490:$AL490,MATCH(Lists!$F$7,$A$1:$AL$1,0))&amp;"")="","",IF(ISNUMBER(INDEX($A490:$AL490,MATCH(Lists!$F$7,$A$1:$AL$1,0))),ROUND(MOD(INDEX($A490:$AL490,MATCH(Lists!$F$7,$A$1:$AL$1,0)),1)*1440,0),VALUE(LEFT(INDEX($A490:$AL490,MATCH(Lists!$F$7,$A$1:$AL$1,0)),2))*60+VALUE(MID(INDEX($A490:$AL490,MATCH(Lists!$F$7,$A$1:$AL$1,0)),4,2)))),""),-1))</f>
        <v/>
      </c>
      <c r="AW490" s="21">
        <f>IF(IFERROR(TRIM(INDEX($A490:$AL490,MATCH(Lists!$F$2,$A$1:$AL$1,0))&amp;""),"")="","",IF(IFERROR(TRIM(INDEX($A490:$AL490,MATCH(Lists!$F$8,$A$1:$AL$1,0))&amp;""),"")&lt;&gt;"",IFERROR(TRIM(INDEX($A490:$AL490,MATCH(Lists!$F$8,$A$1:$AL$1,0))&amp;""),""),IFERROR(TRIM(INDEX($A490:$AL490,MATCH(Lists!$F$9,$A$1:$AL$1,0))&amp;""),"")))</f>
        <v/>
      </c>
      <c r="AX490" s="21">
        <f>IFERROR(IF(TRIM(INDEX($A490:$AL490,MATCH(Lists!$F$10,$A$1:$AL$1,0))&amp;"")="","",VALUE(TRIM(INDEX($A490:$AL490,MATCH(Lists!$F$10,$A$1:$AL$1,0))&amp;""))),"")</f>
        <v/>
      </c>
      <c r="AY490" s="21">
        <f>IF(IFERROR(TRIM(INDEX($A490:$AL490,MATCH(Lists!$F$2,$A$1:$AL$1,0))&amp;""),"")="","",IF(AN490="","New",AN490))</f>
        <v/>
      </c>
      <c r="AZ490" s="21">
        <f>IF(IFERROR(TRIM(INDEX($A490:$AL490,MATCH(Lists!$F$2,$A$1:$AL$1,0))&amp;""),"")="","",IF(OR(IFERROR(TRIM(INDEX($A490:$AL490,MATCH(Lists!$F$13,$A$1:$AL$1,0))&amp;""),"")="Paid",IFERROR(TRIM(INDEX($A490:$AL490,MATCH(Lists!$F$13,$A$1:$AL$1,0))&amp;""),"")="Partially refunded"),"Paid",IF(AP490="Yes","Paid (by hand)",IFERROR(TRIM(INDEX($A490:$AL490,MATCH(Lists!$F$13,$A$1:$AL$1,0))&amp;""),""))))</f>
        <v/>
      </c>
      <c r="BA490" s="21">
        <f>IF(AND(IFERROR(TRIM(INDEX($A490:$AL490,MATCH(Lists!$F$2,$A$1:$AL$1,0))&amp;""),"")&lt;&gt;"",AT490&gt;0,AU490&gt;=0,AV490&gt;AU490,AY490&lt;&gt;"Declined"),1,0)</f>
        <v/>
      </c>
      <c r="BB490" s="21">
        <f>IF(BA490=1,COUNTIFS($AS$2:$AS$501,AS490,$AT$2:$AT$501,AT490,$AU$2:$AU$501,"&lt;"&amp;AV490,$AV$2:$AV$501,"&gt;"&amp;AU490,$BA$2:$BA$501,1)-1,"")</f>
        <v/>
      </c>
      <c r="BC490" s="21">
        <f>IF(N(BB490)&gt;0,"Clashes with "&amp;INDEX($AW$2:$AW$501,SUMPRODUCT(MAX(($AS$2:$AS$501=AS490)*($AT$2:$AT$501=AT490)*($AU$2:$AU$501&lt;AV490)*($AV$2:$AV$501&gt;AU490)*($BA$2:$BA$501=1)*(ROW($AS$2:$AS$501)&lt;&gt;ROW())*ROW($AS$2:$AS$501)))-1)&amp;" ("&amp;INDEX($AY$2:$AY$501,SUMPRODUCT(MAX(($AS$2:$AS$501=AS490)*($AT$2:$AT$501=AT490)*($AU$2:$AU$501&lt;AV490)*($AV$2:$AV$501&gt;AU490)*($BA$2:$BA$501=1)*(ROW($AS$2:$AS$501)&lt;&gt;ROW())*ROW($AS$2:$AS$501)))-1)&amp;")"&amp;IF(BB490&gt;1," and "&amp;(BB490-1)&amp;" more",""),"")</f>
        <v/>
      </c>
      <c r="BD490" s="21">
        <f>IF(AND(BA490=1,AY490="Confirmed"),AT490*10000000+AU490*1000+ROW(),"")</f>
        <v/>
      </c>
      <c r="BE490" s="21">
        <f>IF(IFERROR(TRIM(INDEX($A490:$AL490,MATCH(Lists!$F$2,$A$1:$AL$1,0))&amp;""),"")="","",IFERROR(TRIM(INDEX($A490:$AL490,MATCH(Lists!$F$11,$A$1:$AL$1,0))&amp;""),""))</f>
        <v/>
      </c>
      <c r="BF490" s="21">
        <f>IF(IFERROR(TRIM(INDEX($A490:$AL490,MATCH(Lists!$F$2,$A$1:$AL$1,0))&amp;""),"")="","",IFERROR(TRIM(INDEX($A490:$AL490,MATCH(Lists!$F$12,$A$1:$AL$1,0))&amp;""),""))</f>
        <v/>
      </c>
    </row>
    <row r="491">
      <c r="AM491" s="19" t="n"/>
      <c r="AN491" s="23" t="n"/>
      <c r="AO491" s="23" t="n"/>
      <c r="AP491" s="23" t="n"/>
      <c r="AQ491" s="23" t="n"/>
      <c r="AR491" s="19" t="n"/>
      <c r="AS491" s="21">
        <f>IF(IFERROR(TRIM(INDEX($A491:$AL491,MATCH(Lists!$F$2,$A$1:$AL$1,0))&amp;""),"")="","",IF(AND(IFERROR(TRIM(INDEX($A491:$AL491,MATCH(Lists!$F$3,$A$1:$AL$1,0))&amp;""),"")="Other",IFERROR(TRIM(INDEX($A491:$AL491,MATCH(Lists!$F$4,$A$1:$AL$1,0))&amp;""),"")&lt;&gt;""),IFERROR(TRIM(INDEX($A491:$AL491,MATCH(Lists!$F$4,$A$1:$AL$1,0))&amp;""),""),IF(IFERROR(TRIM(INDEX($A491:$AL491,MATCH(Lists!$F$3,$A$1:$AL$1,0))&amp;""),"")="","(no space)",IFERROR(TRIM(INDEX($A491:$AL491,MATCH(Lists!$F$3,$A$1:$AL$1,0))&amp;""),""))))</f>
        <v/>
      </c>
      <c r="AT491" s="22">
        <f>IF(IFERROR(TRIM(INDEX($A491:$AL491,MATCH(Lists!$F$2,$A$1:$AL$1,0))&amp;""),"")="",0,N(IFERROR(IF(TRIM(INDEX($A491:$AL491,MATCH(Lists!$F$5,$A$1:$AL$1,0))&amp;"")="","",IF(ISNUMBER(INDEX($A491:$AL491,MATCH(Lists!$F$5,$A$1:$AL$1,0))),INT(INDEX($A491:$AL491,MATCH(Lists!$F$5,$A$1:$AL$1,0))),DATE(VALUE(LEFT(INDEX($A491:$AL491,MATCH(Lists!$F$5,$A$1:$AL$1,0)),4)),VALUE(MID(INDEX($A491:$AL491,MATCH(Lists!$F$5,$A$1:$AL$1,0)),6,2)),VALUE(MID(INDEX($A491:$AL491,MATCH(Lists!$F$5,$A$1:$AL$1,0)),9,2))))),"")))</f>
        <v/>
      </c>
      <c r="AU491" s="21">
        <f>IF(IFERROR(TRIM(INDEX($A491:$AL491,MATCH(Lists!$F$2,$A$1:$AL$1,0))&amp;""),"")="",-1,IF(ISNUMBER(IFERROR(IF(TRIM(INDEX($A491:$AL491,MATCH(Lists!$F$6,$A$1:$AL$1,0))&amp;"")="","",IF(ISNUMBER(INDEX($A491:$AL491,MATCH(Lists!$F$6,$A$1:$AL$1,0))),ROUND(MOD(INDEX($A491:$AL491,MATCH(Lists!$F$6,$A$1:$AL$1,0)),1)*1440,0),VALUE(LEFT(INDEX($A491:$AL491,MATCH(Lists!$F$6,$A$1:$AL$1,0)),2))*60+VALUE(MID(INDEX($A491:$AL491,MATCH(Lists!$F$6,$A$1:$AL$1,0)),4,2)))),"")),IFERROR(IF(TRIM(INDEX($A491:$AL491,MATCH(Lists!$F$6,$A$1:$AL$1,0))&amp;"")="","",IF(ISNUMBER(INDEX($A491:$AL491,MATCH(Lists!$F$6,$A$1:$AL$1,0))),ROUND(MOD(INDEX($A491:$AL491,MATCH(Lists!$F$6,$A$1:$AL$1,0)),1)*1440,0),VALUE(LEFT(INDEX($A491:$AL491,MATCH(Lists!$F$6,$A$1:$AL$1,0)),2))*60+VALUE(MID(INDEX($A491:$AL491,MATCH(Lists!$F$6,$A$1:$AL$1,0)),4,2)))),""),-1))</f>
        <v/>
      </c>
      <c r="AV491" s="21">
        <f>IF(IFERROR(TRIM(INDEX($A491:$AL491,MATCH(Lists!$F$2,$A$1:$AL$1,0))&amp;""),"")="",-1,IF(ISNUMBER(IFERROR(IF(TRIM(INDEX($A491:$AL491,MATCH(Lists!$F$7,$A$1:$AL$1,0))&amp;"")="","",IF(ISNUMBER(INDEX($A491:$AL491,MATCH(Lists!$F$7,$A$1:$AL$1,0))),ROUND(MOD(INDEX($A491:$AL491,MATCH(Lists!$F$7,$A$1:$AL$1,0)),1)*1440,0),VALUE(LEFT(INDEX($A491:$AL491,MATCH(Lists!$F$7,$A$1:$AL$1,0)),2))*60+VALUE(MID(INDEX($A491:$AL491,MATCH(Lists!$F$7,$A$1:$AL$1,0)),4,2)))),"")),IFERROR(IF(TRIM(INDEX($A491:$AL491,MATCH(Lists!$F$7,$A$1:$AL$1,0))&amp;"")="","",IF(ISNUMBER(INDEX($A491:$AL491,MATCH(Lists!$F$7,$A$1:$AL$1,0))),ROUND(MOD(INDEX($A491:$AL491,MATCH(Lists!$F$7,$A$1:$AL$1,0)),1)*1440,0),VALUE(LEFT(INDEX($A491:$AL491,MATCH(Lists!$F$7,$A$1:$AL$1,0)),2))*60+VALUE(MID(INDEX($A491:$AL491,MATCH(Lists!$F$7,$A$1:$AL$1,0)),4,2)))),""),-1))</f>
        <v/>
      </c>
      <c r="AW491" s="21">
        <f>IF(IFERROR(TRIM(INDEX($A491:$AL491,MATCH(Lists!$F$2,$A$1:$AL$1,0))&amp;""),"")="","",IF(IFERROR(TRIM(INDEX($A491:$AL491,MATCH(Lists!$F$8,$A$1:$AL$1,0))&amp;""),"")&lt;&gt;"",IFERROR(TRIM(INDEX($A491:$AL491,MATCH(Lists!$F$8,$A$1:$AL$1,0))&amp;""),""),IFERROR(TRIM(INDEX($A491:$AL491,MATCH(Lists!$F$9,$A$1:$AL$1,0))&amp;""),"")))</f>
        <v/>
      </c>
      <c r="AX491" s="21">
        <f>IFERROR(IF(TRIM(INDEX($A491:$AL491,MATCH(Lists!$F$10,$A$1:$AL$1,0))&amp;"")="","",VALUE(TRIM(INDEX($A491:$AL491,MATCH(Lists!$F$10,$A$1:$AL$1,0))&amp;""))),"")</f>
        <v/>
      </c>
      <c r="AY491" s="21">
        <f>IF(IFERROR(TRIM(INDEX($A491:$AL491,MATCH(Lists!$F$2,$A$1:$AL$1,0))&amp;""),"")="","",IF(AN491="","New",AN491))</f>
        <v/>
      </c>
      <c r="AZ491" s="21">
        <f>IF(IFERROR(TRIM(INDEX($A491:$AL491,MATCH(Lists!$F$2,$A$1:$AL$1,0))&amp;""),"")="","",IF(OR(IFERROR(TRIM(INDEX($A491:$AL491,MATCH(Lists!$F$13,$A$1:$AL$1,0))&amp;""),"")="Paid",IFERROR(TRIM(INDEX($A491:$AL491,MATCH(Lists!$F$13,$A$1:$AL$1,0))&amp;""),"")="Partially refunded"),"Paid",IF(AP491="Yes","Paid (by hand)",IFERROR(TRIM(INDEX($A491:$AL491,MATCH(Lists!$F$13,$A$1:$AL$1,0))&amp;""),""))))</f>
        <v/>
      </c>
      <c r="BA491" s="21">
        <f>IF(AND(IFERROR(TRIM(INDEX($A491:$AL491,MATCH(Lists!$F$2,$A$1:$AL$1,0))&amp;""),"")&lt;&gt;"",AT491&gt;0,AU491&gt;=0,AV491&gt;AU491,AY491&lt;&gt;"Declined"),1,0)</f>
        <v/>
      </c>
      <c r="BB491" s="21">
        <f>IF(BA491=1,COUNTIFS($AS$2:$AS$501,AS491,$AT$2:$AT$501,AT491,$AU$2:$AU$501,"&lt;"&amp;AV491,$AV$2:$AV$501,"&gt;"&amp;AU491,$BA$2:$BA$501,1)-1,"")</f>
        <v/>
      </c>
      <c r="BC491" s="21">
        <f>IF(N(BB491)&gt;0,"Clashes with "&amp;INDEX($AW$2:$AW$501,SUMPRODUCT(MAX(($AS$2:$AS$501=AS491)*($AT$2:$AT$501=AT491)*($AU$2:$AU$501&lt;AV491)*($AV$2:$AV$501&gt;AU491)*($BA$2:$BA$501=1)*(ROW($AS$2:$AS$501)&lt;&gt;ROW())*ROW($AS$2:$AS$501)))-1)&amp;" ("&amp;INDEX($AY$2:$AY$501,SUMPRODUCT(MAX(($AS$2:$AS$501=AS491)*($AT$2:$AT$501=AT491)*($AU$2:$AU$501&lt;AV491)*($AV$2:$AV$501&gt;AU491)*($BA$2:$BA$501=1)*(ROW($AS$2:$AS$501)&lt;&gt;ROW())*ROW($AS$2:$AS$501)))-1)&amp;")"&amp;IF(BB491&gt;1," and "&amp;(BB491-1)&amp;" more",""),"")</f>
        <v/>
      </c>
      <c r="BD491" s="21">
        <f>IF(AND(BA491=1,AY491="Confirmed"),AT491*10000000+AU491*1000+ROW(),"")</f>
        <v/>
      </c>
      <c r="BE491" s="21">
        <f>IF(IFERROR(TRIM(INDEX($A491:$AL491,MATCH(Lists!$F$2,$A$1:$AL$1,0))&amp;""),"")="","",IFERROR(TRIM(INDEX($A491:$AL491,MATCH(Lists!$F$11,$A$1:$AL$1,0))&amp;""),""))</f>
        <v/>
      </c>
      <c r="BF491" s="21">
        <f>IF(IFERROR(TRIM(INDEX($A491:$AL491,MATCH(Lists!$F$2,$A$1:$AL$1,0))&amp;""),"")="","",IFERROR(TRIM(INDEX($A491:$AL491,MATCH(Lists!$F$12,$A$1:$AL$1,0))&amp;""),""))</f>
        <v/>
      </c>
    </row>
    <row r="492">
      <c r="AM492" s="19" t="n"/>
      <c r="AN492" s="23" t="n"/>
      <c r="AO492" s="23" t="n"/>
      <c r="AP492" s="23" t="n"/>
      <c r="AQ492" s="23" t="n"/>
      <c r="AR492" s="19" t="n"/>
      <c r="AS492" s="21">
        <f>IF(IFERROR(TRIM(INDEX($A492:$AL492,MATCH(Lists!$F$2,$A$1:$AL$1,0))&amp;""),"")="","",IF(AND(IFERROR(TRIM(INDEX($A492:$AL492,MATCH(Lists!$F$3,$A$1:$AL$1,0))&amp;""),"")="Other",IFERROR(TRIM(INDEX($A492:$AL492,MATCH(Lists!$F$4,$A$1:$AL$1,0))&amp;""),"")&lt;&gt;""),IFERROR(TRIM(INDEX($A492:$AL492,MATCH(Lists!$F$4,$A$1:$AL$1,0))&amp;""),""),IF(IFERROR(TRIM(INDEX($A492:$AL492,MATCH(Lists!$F$3,$A$1:$AL$1,0))&amp;""),"")="","(no space)",IFERROR(TRIM(INDEX($A492:$AL492,MATCH(Lists!$F$3,$A$1:$AL$1,0))&amp;""),""))))</f>
        <v/>
      </c>
      <c r="AT492" s="22">
        <f>IF(IFERROR(TRIM(INDEX($A492:$AL492,MATCH(Lists!$F$2,$A$1:$AL$1,0))&amp;""),"")="",0,N(IFERROR(IF(TRIM(INDEX($A492:$AL492,MATCH(Lists!$F$5,$A$1:$AL$1,0))&amp;"")="","",IF(ISNUMBER(INDEX($A492:$AL492,MATCH(Lists!$F$5,$A$1:$AL$1,0))),INT(INDEX($A492:$AL492,MATCH(Lists!$F$5,$A$1:$AL$1,0))),DATE(VALUE(LEFT(INDEX($A492:$AL492,MATCH(Lists!$F$5,$A$1:$AL$1,0)),4)),VALUE(MID(INDEX($A492:$AL492,MATCH(Lists!$F$5,$A$1:$AL$1,0)),6,2)),VALUE(MID(INDEX($A492:$AL492,MATCH(Lists!$F$5,$A$1:$AL$1,0)),9,2))))),"")))</f>
        <v/>
      </c>
      <c r="AU492" s="21">
        <f>IF(IFERROR(TRIM(INDEX($A492:$AL492,MATCH(Lists!$F$2,$A$1:$AL$1,0))&amp;""),"")="",-1,IF(ISNUMBER(IFERROR(IF(TRIM(INDEX($A492:$AL492,MATCH(Lists!$F$6,$A$1:$AL$1,0))&amp;"")="","",IF(ISNUMBER(INDEX($A492:$AL492,MATCH(Lists!$F$6,$A$1:$AL$1,0))),ROUND(MOD(INDEX($A492:$AL492,MATCH(Lists!$F$6,$A$1:$AL$1,0)),1)*1440,0),VALUE(LEFT(INDEX($A492:$AL492,MATCH(Lists!$F$6,$A$1:$AL$1,0)),2))*60+VALUE(MID(INDEX($A492:$AL492,MATCH(Lists!$F$6,$A$1:$AL$1,0)),4,2)))),"")),IFERROR(IF(TRIM(INDEX($A492:$AL492,MATCH(Lists!$F$6,$A$1:$AL$1,0))&amp;"")="","",IF(ISNUMBER(INDEX($A492:$AL492,MATCH(Lists!$F$6,$A$1:$AL$1,0))),ROUND(MOD(INDEX($A492:$AL492,MATCH(Lists!$F$6,$A$1:$AL$1,0)),1)*1440,0),VALUE(LEFT(INDEX($A492:$AL492,MATCH(Lists!$F$6,$A$1:$AL$1,0)),2))*60+VALUE(MID(INDEX($A492:$AL492,MATCH(Lists!$F$6,$A$1:$AL$1,0)),4,2)))),""),-1))</f>
        <v/>
      </c>
      <c r="AV492" s="21">
        <f>IF(IFERROR(TRIM(INDEX($A492:$AL492,MATCH(Lists!$F$2,$A$1:$AL$1,0))&amp;""),"")="",-1,IF(ISNUMBER(IFERROR(IF(TRIM(INDEX($A492:$AL492,MATCH(Lists!$F$7,$A$1:$AL$1,0))&amp;"")="","",IF(ISNUMBER(INDEX($A492:$AL492,MATCH(Lists!$F$7,$A$1:$AL$1,0))),ROUND(MOD(INDEX($A492:$AL492,MATCH(Lists!$F$7,$A$1:$AL$1,0)),1)*1440,0),VALUE(LEFT(INDEX($A492:$AL492,MATCH(Lists!$F$7,$A$1:$AL$1,0)),2))*60+VALUE(MID(INDEX($A492:$AL492,MATCH(Lists!$F$7,$A$1:$AL$1,0)),4,2)))),"")),IFERROR(IF(TRIM(INDEX($A492:$AL492,MATCH(Lists!$F$7,$A$1:$AL$1,0))&amp;"")="","",IF(ISNUMBER(INDEX($A492:$AL492,MATCH(Lists!$F$7,$A$1:$AL$1,0))),ROUND(MOD(INDEX($A492:$AL492,MATCH(Lists!$F$7,$A$1:$AL$1,0)),1)*1440,0),VALUE(LEFT(INDEX($A492:$AL492,MATCH(Lists!$F$7,$A$1:$AL$1,0)),2))*60+VALUE(MID(INDEX($A492:$AL492,MATCH(Lists!$F$7,$A$1:$AL$1,0)),4,2)))),""),-1))</f>
        <v/>
      </c>
      <c r="AW492" s="21">
        <f>IF(IFERROR(TRIM(INDEX($A492:$AL492,MATCH(Lists!$F$2,$A$1:$AL$1,0))&amp;""),"")="","",IF(IFERROR(TRIM(INDEX($A492:$AL492,MATCH(Lists!$F$8,$A$1:$AL$1,0))&amp;""),"")&lt;&gt;"",IFERROR(TRIM(INDEX($A492:$AL492,MATCH(Lists!$F$8,$A$1:$AL$1,0))&amp;""),""),IFERROR(TRIM(INDEX($A492:$AL492,MATCH(Lists!$F$9,$A$1:$AL$1,0))&amp;""),"")))</f>
        <v/>
      </c>
      <c r="AX492" s="21">
        <f>IFERROR(IF(TRIM(INDEX($A492:$AL492,MATCH(Lists!$F$10,$A$1:$AL$1,0))&amp;"")="","",VALUE(TRIM(INDEX($A492:$AL492,MATCH(Lists!$F$10,$A$1:$AL$1,0))&amp;""))),"")</f>
        <v/>
      </c>
      <c r="AY492" s="21">
        <f>IF(IFERROR(TRIM(INDEX($A492:$AL492,MATCH(Lists!$F$2,$A$1:$AL$1,0))&amp;""),"")="","",IF(AN492="","New",AN492))</f>
        <v/>
      </c>
      <c r="AZ492" s="21">
        <f>IF(IFERROR(TRIM(INDEX($A492:$AL492,MATCH(Lists!$F$2,$A$1:$AL$1,0))&amp;""),"")="","",IF(OR(IFERROR(TRIM(INDEX($A492:$AL492,MATCH(Lists!$F$13,$A$1:$AL$1,0))&amp;""),"")="Paid",IFERROR(TRIM(INDEX($A492:$AL492,MATCH(Lists!$F$13,$A$1:$AL$1,0))&amp;""),"")="Partially refunded"),"Paid",IF(AP492="Yes","Paid (by hand)",IFERROR(TRIM(INDEX($A492:$AL492,MATCH(Lists!$F$13,$A$1:$AL$1,0))&amp;""),""))))</f>
        <v/>
      </c>
      <c r="BA492" s="21">
        <f>IF(AND(IFERROR(TRIM(INDEX($A492:$AL492,MATCH(Lists!$F$2,$A$1:$AL$1,0))&amp;""),"")&lt;&gt;"",AT492&gt;0,AU492&gt;=0,AV492&gt;AU492,AY492&lt;&gt;"Declined"),1,0)</f>
        <v/>
      </c>
      <c r="BB492" s="21">
        <f>IF(BA492=1,COUNTIFS($AS$2:$AS$501,AS492,$AT$2:$AT$501,AT492,$AU$2:$AU$501,"&lt;"&amp;AV492,$AV$2:$AV$501,"&gt;"&amp;AU492,$BA$2:$BA$501,1)-1,"")</f>
        <v/>
      </c>
      <c r="BC492" s="21">
        <f>IF(N(BB492)&gt;0,"Clashes with "&amp;INDEX($AW$2:$AW$501,SUMPRODUCT(MAX(($AS$2:$AS$501=AS492)*($AT$2:$AT$501=AT492)*($AU$2:$AU$501&lt;AV492)*($AV$2:$AV$501&gt;AU492)*($BA$2:$BA$501=1)*(ROW($AS$2:$AS$501)&lt;&gt;ROW())*ROW($AS$2:$AS$501)))-1)&amp;" ("&amp;INDEX($AY$2:$AY$501,SUMPRODUCT(MAX(($AS$2:$AS$501=AS492)*($AT$2:$AT$501=AT492)*($AU$2:$AU$501&lt;AV492)*($AV$2:$AV$501&gt;AU492)*($BA$2:$BA$501=1)*(ROW($AS$2:$AS$501)&lt;&gt;ROW())*ROW($AS$2:$AS$501)))-1)&amp;")"&amp;IF(BB492&gt;1," and "&amp;(BB492-1)&amp;" more",""),"")</f>
        <v/>
      </c>
      <c r="BD492" s="21">
        <f>IF(AND(BA492=1,AY492="Confirmed"),AT492*10000000+AU492*1000+ROW(),"")</f>
        <v/>
      </c>
      <c r="BE492" s="21">
        <f>IF(IFERROR(TRIM(INDEX($A492:$AL492,MATCH(Lists!$F$2,$A$1:$AL$1,0))&amp;""),"")="","",IFERROR(TRIM(INDEX($A492:$AL492,MATCH(Lists!$F$11,$A$1:$AL$1,0))&amp;""),""))</f>
        <v/>
      </c>
      <c r="BF492" s="21">
        <f>IF(IFERROR(TRIM(INDEX($A492:$AL492,MATCH(Lists!$F$2,$A$1:$AL$1,0))&amp;""),"")="","",IFERROR(TRIM(INDEX($A492:$AL492,MATCH(Lists!$F$12,$A$1:$AL$1,0))&amp;""),""))</f>
        <v/>
      </c>
    </row>
    <row r="493">
      <c r="AM493" s="19" t="n"/>
      <c r="AN493" s="23" t="n"/>
      <c r="AO493" s="23" t="n"/>
      <c r="AP493" s="23" t="n"/>
      <c r="AQ493" s="23" t="n"/>
      <c r="AR493" s="19" t="n"/>
      <c r="AS493" s="21">
        <f>IF(IFERROR(TRIM(INDEX($A493:$AL493,MATCH(Lists!$F$2,$A$1:$AL$1,0))&amp;""),"")="","",IF(AND(IFERROR(TRIM(INDEX($A493:$AL493,MATCH(Lists!$F$3,$A$1:$AL$1,0))&amp;""),"")="Other",IFERROR(TRIM(INDEX($A493:$AL493,MATCH(Lists!$F$4,$A$1:$AL$1,0))&amp;""),"")&lt;&gt;""),IFERROR(TRIM(INDEX($A493:$AL493,MATCH(Lists!$F$4,$A$1:$AL$1,0))&amp;""),""),IF(IFERROR(TRIM(INDEX($A493:$AL493,MATCH(Lists!$F$3,$A$1:$AL$1,0))&amp;""),"")="","(no space)",IFERROR(TRIM(INDEX($A493:$AL493,MATCH(Lists!$F$3,$A$1:$AL$1,0))&amp;""),""))))</f>
        <v/>
      </c>
      <c r="AT493" s="22">
        <f>IF(IFERROR(TRIM(INDEX($A493:$AL493,MATCH(Lists!$F$2,$A$1:$AL$1,0))&amp;""),"")="",0,N(IFERROR(IF(TRIM(INDEX($A493:$AL493,MATCH(Lists!$F$5,$A$1:$AL$1,0))&amp;"")="","",IF(ISNUMBER(INDEX($A493:$AL493,MATCH(Lists!$F$5,$A$1:$AL$1,0))),INT(INDEX($A493:$AL493,MATCH(Lists!$F$5,$A$1:$AL$1,0))),DATE(VALUE(LEFT(INDEX($A493:$AL493,MATCH(Lists!$F$5,$A$1:$AL$1,0)),4)),VALUE(MID(INDEX($A493:$AL493,MATCH(Lists!$F$5,$A$1:$AL$1,0)),6,2)),VALUE(MID(INDEX($A493:$AL493,MATCH(Lists!$F$5,$A$1:$AL$1,0)),9,2))))),"")))</f>
        <v/>
      </c>
      <c r="AU493" s="21">
        <f>IF(IFERROR(TRIM(INDEX($A493:$AL493,MATCH(Lists!$F$2,$A$1:$AL$1,0))&amp;""),"")="",-1,IF(ISNUMBER(IFERROR(IF(TRIM(INDEX($A493:$AL493,MATCH(Lists!$F$6,$A$1:$AL$1,0))&amp;"")="","",IF(ISNUMBER(INDEX($A493:$AL493,MATCH(Lists!$F$6,$A$1:$AL$1,0))),ROUND(MOD(INDEX($A493:$AL493,MATCH(Lists!$F$6,$A$1:$AL$1,0)),1)*1440,0),VALUE(LEFT(INDEX($A493:$AL493,MATCH(Lists!$F$6,$A$1:$AL$1,0)),2))*60+VALUE(MID(INDEX($A493:$AL493,MATCH(Lists!$F$6,$A$1:$AL$1,0)),4,2)))),"")),IFERROR(IF(TRIM(INDEX($A493:$AL493,MATCH(Lists!$F$6,$A$1:$AL$1,0))&amp;"")="","",IF(ISNUMBER(INDEX($A493:$AL493,MATCH(Lists!$F$6,$A$1:$AL$1,0))),ROUND(MOD(INDEX($A493:$AL493,MATCH(Lists!$F$6,$A$1:$AL$1,0)),1)*1440,0),VALUE(LEFT(INDEX($A493:$AL493,MATCH(Lists!$F$6,$A$1:$AL$1,0)),2))*60+VALUE(MID(INDEX($A493:$AL493,MATCH(Lists!$F$6,$A$1:$AL$1,0)),4,2)))),""),-1))</f>
        <v/>
      </c>
      <c r="AV493" s="21">
        <f>IF(IFERROR(TRIM(INDEX($A493:$AL493,MATCH(Lists!$F$2,$A$1:$AL$1,0))&amp;""),"")="",-1,IF(ISNUMBER(IFERROR(IF(TRIM(INDEX($A493:$AL493,MATCH(Lists!$F$7,$A$1:$AL$1,0))&amp;"")="","",IF(ISNUMBER(INDEX($A493:$AL493,MATCH(Lists!$F$7,$A$1:$AL$1,0))),ROUND(MOD(INDEX($A493:$AL493,MATCH(Lists!$F$7,$A$1:$AL$1,0)),1)*1440,0),VALUE(LEFT(INDEX($A493:$AL493,MATCH(Lists!$F$7,$A$1:$AL$1,0)),2))*60+VALUE(MID(INDEX($A493:$AL493,MATCH(Lists!$F$7,$A$1:$AL$1,0)),4,2)))),"")),IFERROR(IF(TRIM(INDEX($A493:$AL493,MATCH(Lists!$F$7,$A$1:$AL$1,0))&amp;"")="","",IF(ISNUMBER(INDEX($A493:$AL493,MATCH(Lists!$F$7,$A$1:$AL$1,0))),ROUND(MOD(INDEX($A493:$AL493,MATCH(Lists!$F$7,$A$1:$AL$1,0)),1)*1440,0),VALUE(LEFT(INDEX($A493:$AL493,MATCH(Lists!$F$7,$A$1:$AL$1,0)),2))*60+VALUE(MID(INDEX($A493:$AL493,MATCH(Lists!$F$7,$A$1:$AL$1,0)),4,2)))),""),-1))</f>
        <v/>
      </c>
      <c r="AW493" s="21">
        <f>IF(IFERROR(TRIM(INDEX($A493:$AL493,MATCH(Lists!$F$2,$A$1:$AL$1,0))&amp;""),"")="","",IF(IFERROR(TRIM(INDEX($A493:$AL493,MATCH(Lists!$F$8,$A$1:$AL$1,0))&amp;""),"")&lt;&gt;"",IFERROR(TRIM(INDEX($A493:$AL493,MATCH(Lists!$F$8,$A$1:$AL$1,0))&amp;""),""),IFERROR(TRIM(INDEX($A493:$AL493,MATCH(Lists!$F$9,$A$1:$AL$1,0))&amp;""),"")))</f>
        <v/>
      </c>
      <c r="AX493" s="21">
        <f>IFERROR(IF(TRIM(INDEX($A493:$AL493,MATCH(Lists!$F$10,$A$1:$AL$1,0))&amp;"")="","",VALUE(TRIM(INDEX($A493:$AL493,MATCH(Lists!$F$10,$A$1:$AL$1,0))&amp;""))),"")</f>
        <v/>
      </c>
      <c r="AY493" s="21">
        <f>IF(IFERROR(TRIM(INDEX($A493:$AL493,MATCH(Lists!$F$2,$A$1:$AL$1,0))&amp;""),"")="","",IF(AN493="","New",AN493))</f>
        <v/>
      </c>
      <c r="AZ493" s="21">
        <f>IF(IFERROR(TRIM(INDEX($A493:$AL493,MATCH(Lists!$F$2,$A$1:$AL$1,0))&amp;""),"")="","",IF(OR(IFERROR(TRIM(INDEX($A493:$AL493,MATCH(Lists!$F$13,$A$1:$AL$1,0))&amp;""),"")="Paid",IFERROR(TRIM(INDEX($A493:$AL493,MATCH(Lists!$F$13,$A$1:$AL$1,0))&amp;""),"")="Partially refunded"),"Paid",IF(AP493="Yes","Paid (by hand)",IFERROR(TRIM(INDEX($A493:$AL493,MATCH(Lists!$F$13,$A$1:$AL$1,0))&amp;""),""))))</f>
        <v/>
      </c>
      <c r="BA493" s="21">
        <f>IF(AND(IFERROR(TRIM(INDEX($A493:$AL493,MATCH(Lists!$F$2,$A$1:$AL$1,0))&amp;""),"")&lt;&gt;"",AT493&gt;0,AU493&gt;=0,AV493&gt;AU493,AY493&lt;&gt;"Declined"),1,0)</f>
        <v/>
      </c>
      <c r="BB493" s="21">
        <f>IF(BA493=1,COUNTIFS($AS$2:$AS$501,AS493,$AT$2:$AT$501,AT493,$AU$2:$AU$501,"&lt;"&amp;AV493,$AV$2:$AV$501,"&gt;"&amp;AU493,$BA$2:$BA$501,1)-1,"")</f>
        <v/>
      </c>
      <c r="BC493" s="21">
        <f>IF(N(BB493)&gt;0,"Clashes with "&amp;INDEX($AW$2:$AW$501,SUMPRODUCT(MAX(($AS$2:$AS$501=AS493)*($AT$2:$AT$501=AT493)*($AU$2:$AU$501&lt;AV493)*($AV$2:$AV$501&gt;AU493)*($BA$2:$BA$501=1)*(ROW($AS$2:$AS$501)&lt;&gt;ROW())*ROW($AS$2:$AS$501)))-1)&amp;" ("&amp;INDEX($AY$2:$AY$501,SUMPRODUCT(MAX(($AS$2:$AS$501=AS493)*($AT$2:$AT$501=AT493)*($AU$2:$AU$501&lt;AV493)*($AV$2:$AV$501&gt;AU493)*($BA$2:$BA$501=1)*(ROW($AS$2:$AS$501)&lt;&gt;ROW())*ROW($AS$2:$AS$501)))-1)&amp;")"&amp;IF(BB493&gt;1," and "&amp;(BB493-1)&amp;" more",""),"")</f>
        <v/>
      </c>
      <c r="BD493" s="21">
        <f>IF(AND(BA493=1,AY493="Confirmed"),AT493*10000000+AU493*1000+ROW(),"")</f>
        <v/>
      </c>
      <c r="BE493" s="21">
        <f>IF(IFERROR(TRIM(INDEX($A493:$AL493,MATCH(Lists!$F$2,$A$1:$AL$1,0))&amp;""),"")="","",IFERROR(TRIM(INDEX($A493:$AL493,MATCH(Lists!$F$11,$A$1:$AL$1,0))&amp;""),""))</f>
        <v/>
      </c>
      <c r="BF493" s="21">
        <f>IF(IFERROR(TRIM(INDEX($A493:$AL493,MATCH(Lists!$F$2,$A$1:$AL$1,0))&amp;""),"")="","",IFERROR(TRIM(INDEX($A493:$AL493,MATCH(Lists!$F$12,$A$1:$AL$1,0))&amp;""),""))</f>
        <v/>
      </c>
    </row>
    <row r="494">
      <c r="AM494" s="19" t="n"/>
      <c r="AN494" s="23" t="n"/>
      <c r="AO494" s="23" t="n"/>
      <c r="AP494" s="23" t="n"/>
      <c r="AQ494" s="23" t="n"/>
      <c r="AR494" s="19" t="n"/>
      <c r="AS494" s="21">
        <f>IF(IFERROR(TRIM(INDEX($A494:$AL494,MATCH(Lists!$F$2,$A$1:$AL$1,0))&amp;""),"")="","",IF(AND(IFERROR(TRIM(INDEX($A494:$AL494,MATCH(Lists!$F$3,$A$1:$AL$1,0))&amp;""),"")="Other",IFERROR(TRIM(INDEX($A494:$AL494,MATCH(Lists!$F$4,$A$1:$AL$1,0))&amp;""),"")&lt;&gt;""),IFERROR(TRIM(INDEX($A494:$AL494,MATCH(Lists!$F$4,$A$1:$AL$1,0))&amp;""),""),IF(IFERROR(TRIM(INDEX($A494:$AL494,MATCH(Lists!$F$3,$A$1:$AL$1,0))&amp;""),"")="","(no space)",IFERROR(TRIM(INDEX($A494:$AL494,MATCH(Lists!$F$3,$A$1:$AL$1,0))&amp;""),""))))</f>
        <v/>
      </c>
      <c r="AT494" s="22">
        <f>IF(IFERROR(TRIM(INDEX($A494:$AL494,MATCH(Lists!$F$2,$A$1:$AL$1,0))&amp;""),"")="",0,N(IFERROR(IF(TRIM(INDEX($A494:$AL494,MATCH(Lists!$F$5,$A$1:$AL$1,0))&amp;"")="","",IF(ISNUMBER(INDEX($A494:$AL494,MATCH(Lists!$F$5,$A$1:$AL$1,0))),INT(INDEX($A494:$AL494,MATCH(Lists!$F$5,$A$1:$AL$1,0))),DATE(VALUE(LEFT(INDEX($A494:$AL494,MATCH(Lists!$F$5,$A$1:$AL$1,0)),4)),VALUE(MID(INDEX($A494:$AL494,MATCH(Lists!$F$5,$A$1:$AL$1,0)),6,2)),VALUE(MID(INDEX($A494:$AL494,MATCH(Lists!$F$5,$A$1:$AL$1,0)),9,2))))),"")))</f>
        <v/>
      </c>
      <c r="AU494" s="21">
        <f>IF(IFERROR(TRIM(INDEX($A494:$AL494,MATCH(Lists!$F$2,$A$1:$AL$1,0))&amp;""),"")="",-1,IF(ISNUMBER(IFERROR(IF(TRIM(INDEX($A494:$AL494,MATCH(Lists!$F$6,$A$1:$AL$1,0))&amp;"")="","",IF(ISNUMBER(INDEX($A494:$AL494,MATCH(Lists!$F$6,$A$1:$AL$1,0))),ROUND(MOD(INDEX($A494:$AL494,MATCH(Lists!$F$6,$A$1:$AL$1,0)),1)*1440,0),VALUE(LEFT(INDEX($A494:$AL494,MATCH(Lists!$F$6,$A$1:$AL$1,0)),2))*60+VALUE(MID(INDEX($A494:$AL494,MATCH(Lists!$F$6,$A$1:$AL$1,0)),4,2)))),"")),IFERROR(IF(TRIM(INDEX($A494:$AL494,MATCH(Lists!$F$6,$A$1:$AL$1,0))&amp;"")="","",IF(ISNUMBER(INDEX($A494:$AL494,MATCH(Lists!$F$6,$A$1:$AL$1,0))),ROUND(MOD(INDEX($A494:$AL494,MATCH(Lists!$F$6,$A$1:$AL$1,0)),1)*1440,0),VALUE(LEFT(INDEX($A494:$AL494,MATCH(Lists!$F$6,$A$1:$AL$1,0)),2))*60+VALUE(MID(INDEX($A494:$AL494,MATCH(Lists!$F$6,$A$1:$AL$1,0)),4,2)))),""),-1))</f>
        <v/>
      </c>
      <c r="AV494" s="21">
        <f>IF(IFERROR(TRIM(INDEX($A494:$AL494,MATCH(Lists!$F$2,$A$1:$AL$1,0))&amp;""),"")="",-1,IF(ISNUMBER(IFERROR(IF(TRIM(INDEX($A494:$AL494,MATCH(Lists!$F$7,$A$1:$AL$1,0))&amp;"")="","",IF(ISNUMBER(INDEX($A494:$AL494,MATCH(Lists!$F$7,$A$1:$AL$1,0))),ROUND(MOD(INDEX($A494:$AL494,MATCH(Lists!$F$7,$A$1:$AL$1,0)),1)*1440,0),VALUE(LEFT(INDEX($A494:$AL494,MATCH(Lists!$F$7,$A$1:$AL$1,0)),2))*60+VALUE(MID(INDEX($A494:$AL494,MATCH(Lists!$F$7,$A$1:$AL$1,0)),4,2)))),"")),IFERROR(IF(TRIM(INDEX($A494:$AL494,MATCH(Lists!$F$7,$A$1:$AL$1,0))&amp;"")="","",IF(ISNUMBER(INDEX($A494:$AL494,MATCH(Lists!$F$7,$A$1:$AL$1,0))),ROUND(MOD(INDEX($A494:$AL494,MATCH(Lists!$F$7,$A$1:$AL$1,0)),1)*1440,0),VALUE(LEFT(INDEX($A494:$AL494,MATCH(Lists!$F$7,$A$1:$AL$1,0)),2))*60+VALUE(MID(INDEX($A494:$AL494,MATCH(Lists!$F$7,$A$1:$AL$1,0)),4,2)))),""),-1))</f>
        <v/>
      </c>
      <c r="AW494" s="21">
        <f>IF(IFERROR(TRIM(INDEX($A494:$AL494,MATCH(Lists!$F$2,$A$1:$AL$1,0))&amp;""),"")="","",IF(IFERROR(TRIM(INDEX($A494:$AL494,MATCH(Lists!$F$8,$A$1:$AL$1,0))&amp;""),"")&lt;&gt;"",IFERROR(TRIM(INDEX($A494:$AL494,MATCH(Lists!$F$8,$A$1:$AL$1,0))&amp;""),""),IFERROR(TRIM(INDEX($A494:$AL494,MATCH(Lists!$F$9,$A$1:$AL$1,0))&amp;""),"")))</f>
        <v/>
      </c>
      <c r="AX494" s="21">
        <f>IFERROR(IF(TRIM(INDEX($A494:$AL494,MATCH(Lists!$F$10,$A$1:$AL$1,0))&amp;"")="","",VALUE(TRIM(INDEX($A494:$AL494,MATCH(Lists!$F$10,$A$1:$AL$1,0))&amp;""))),"")</f>
        <v/>
      </c>
      <c r="AY494" s="21">
        <f>IF(IFERROR(TRIM(INDEX($A494:$AL494,MATCH(Lists!$F$2,$A$1:$AL$1,0))&amp;""),"")="","",IF(AN494="","New",AN494))</f>
        <v/>
      </c>
      <c r="AZ494" s="21">
        <f>IF(IFERROR(TRIM(INDEX($A494:$AL494,MATCH(Lists!$F$2,$A$1:$AL$1,0))&amp;""),"")="","",IF(OR(IFERROR(TRIM(INDEX($A494:$AL494,MATCH(Lists!$F$13,$A$1:$AL$1,0))&amp;""),"")="Paid",IFERROR(TRIM(INDEX($A494:$AL494,MATCH(Lists!$F$13,$A$1:$AL$1,0))&amp;""),"")="Partially refunded"),"Paid",IF(AP494="Yes","Paid (by hand)",IFERROR(TRIM(INDEX($A494:$AL494,MATCH(Lists!$F$13,$A$1:$AL$1,0))&amp;""),""))))</f>
        <v/>
      </c>
      <c r="BA494" s="21">
        <f>IF(AND(IFERROR(TRIM(INDEX($A494:$AL494,MATCH(Lists!$F$2,$A$1:$AL$1,0))&amp;""),"")&lt;&gt;"",AT494&gt;0,AU494&gt;=0,AV494&gt;AU494,AY494&lt;&gt;"Declined"),1,0)</f>
        <v/>
      </c>
      <c r="BB494" s="21">
        <f>IF(BA494=1,COUNTIFS($AS$2:$AS$501,AS494,$AT$2:$AT$501,AT494,$AU$2:$AU$501,"&lt;"&amp;AV494,$AV$2:$AV$501,"&gt;"&amp;AU494,$BA$2:$BA$501,1)-1,"")</f>
        <v/>
      </c>
      <c r="BC494" s="21">
        <f>IF(N(BB494)&gt;0,"Clashes with "&amp;INDEX($AW$2:$AW$501,SUMPRODUCT(MAX(($AS$2:$AS$501=AS494)*($AT$2:$AT$501=AT494)*($AU$2:$AU$501&lt;AV494)*($AV$2:$AV$501&gt;AU494)*($BA$2:$BA$501=1)*(ROW($AS$2:$AS$501)&lt;&gt;ROW())*ROW($AS$2:$AS$501)))-1)&amp;" ("&amp;INDEX($AY$2:$AY$501,SUMPRODUCT(MAX(($AS$2:$AS$501=AS494)*($AT$2:$AT$501=AT494)*($AU$2:$AU$501&lt;AV494)*($AV$2:$AV$501&gt;AU494)*($BA$2:$BA$501=1)*(ROW($AS$2:$AS$501)&lt;&gt;ROW())*ROW($AS$2:$AS$501)))-1)&amp;")"&amp;IF(BB494&gt;1," and "&amp;(BB494-1)&amp;" more",""),"")</f>
        <v/>
      </c>
      <c r="BD494" s="21">
        <f>IF(AND(BA494=1,AY494="Confirmed"),AT494*10000000+AU494*1000+ROW(),"")</f>
        <v/>
      </c>
      <c r="BE494" s="21">
        <f>IF(IFERROR(TRIM(INDEX($A494:$AL494,MATCH(Lists!$F$2,$A$1:$AL$1,0))&amp;""),"")="","",IFERROR(TRIM(INDEX($A494:$AL494,MATCH(Lists!$F$11,$A$1:$AL$1,0))&amp;""),""))</f>
        <v/>
      </c>
      <c r="BF494" s="21">
        <f>IF(IFERROR(TRIM(INDEX($A494:$AL494,MATCH(Lists!$F$2,$A$1:$AL$1,0))&amp;""),"")="","",IFERROR(TRIM(INDEX($A494:$AL494,MATCH(Lists!$F$12,$A$1:$AL$1,0))&amp;""),""))</f>
        <v/>
      </c>
    </row>
    <row r="495">
      <c r="AM495" s="19" t="n"/>
      <c r="AN495" s="23" t="n"/>
      <c r="AO495" s="23" t="n"/>
      <c r="AP495" s="23" t="n"/>
      <c r="AQ495" s="23" t="n"/>
      <c r="AR495" s="19" t="n"/>
      <c r="AS495" s="21">
        <f>IF(IFERROR(TRIM(INDEX($A495:$AL495,MATCH(Lists!$F$2,$A$1:$AL$1,0))&amp;""),"")="","",IF(AND(IFERROR(TRIM(INDEX($A495:$AL495,MATCH(Lists!$F$3,$A$1:$AL$1,0))&amp;""),"")="Other",IFERROR(TRIM(INDEX($A495:$AL495,MATCH(Lists!$F$4,$A$1:$AL$1,0))&amp;""),"")&lt;&gt;""),IFERROR(TRIM(INDEX($A495:$AL495,MATCH(Lists!$F$4,$A$1:$AL$1,0))&amp;""),""),IF(IFERROR(TRIM(INDEX($A495:$AL495,MATCH(Lists!$F$3,$A$1:$AL$1,0))&amp;""),"")="","(no space)",IFERROR(TRIM(INDEX($A495:$AL495,MATCH(Lists!$F$3,$A$1:$AL$1,0))&amp;""),""))))</f>
        <v/>
      </c>
      <c r="AT495" s="22">
        <f>IF(IFERROR(TRIM(INDEX($A495:$AL495,MATCH(Lists!$F$2,$A$1:$AL$1,0))&amp;""),"")="",0,N(IFERROR(IF(TRIM(INDEX($A495:$AL495,MATCH(Lists!$F$5,$A$1:$AL$1,0))&amp;"")="","",IF(ISNUMBER(INDEX($A495:$AL495,MATCH(Lists!$F$5,$A$1:$AL$1,0))),INT(INDEX($A495:$AL495,MATCH(Lists!$F$5,$A$1:$AL$1,0))),DATE(VALUE(LEFT(INDEX($A495:$AL495,MATCH(Lists!$F$5,$A$1:$AL$1,0)),4)),VALUE(MID(INDEX($A495:$AL495,MATCH(Lists!$F$5,$A$1:$AL$1,0)),6,2)),VALUE(MID(INDEX($A495:$AL495,MATCH(Lists!$F$5,$A$1:$AL$1,0)),9,2))))),"")))</f>
        <v/>
      </c>
      <c r="AU495" s="21">
        <f>IF(IFERROR(TRIM(INDEX($A495:$AL495,MATCH(Lists!$F$2,$A$1:$AL$1,0))&amp;""),"")="",-1,IF(ISNUMBER(IFERROR(IF(TRIM(INDEX($A495:$AL495,MATCH(Lists!$F$6,$A$1:$AL$1,0))&amp;"")="","",IF(ISNUMBER(INDEX($A495:$AL495,MATCH(Lists!$F$6,$A$1:$AL$1,0))),ROUND(MOD(INDEX($A495:$AL495,MATCH(Lists!$F$6,$A$1:$AL$1,0)),1)*1440,0),VALUE(LEFT(INDEX($A495:$AL495,MATCH(Lists!$F$6,$A$1:$AL$1,0)),2))*60+VALUE(MID(INDEX($A495:$AL495,MATCH(Lists!$F$6,$A$1:$AL$1,0)),4,2)))),"")),IFERROR(IF(TRIM(INDEX($A495:$AL495,MATCH(Lists!$F$6,$A$1:$AL$1,0))&amp;"")="","",IF(ISNUMBER(INDEX($A495:$AL495,MATCH(Lists!$F$6,$A$1:$AL$1,0))),ROUND(MOD(INDEX($A495:$AL495,MATCH(Lists!$F$6,$A$1:$AL$1,0)),1)*1440,0),VALUE(LEFT(INDEX($A495:$AL495,MATCH(Lists!$F$6,$A$1:$AL$1,0)),2))*60+VALUE(MID(INDEX($A495:$AL495,MATCH(Lists!$F$6,$A$1:$AL$1,0)),4,2)))),""),-1))</f>
        <v/>
      </c>
      <c r="AV495" s="21">
        <f>IF(IFERROR(TRIM(INDEX($A495:$AL495,MATCH(Lists!$F$2,$A$1:$AL$1,0))&amp;""),"")="",-1,IF(ISNUMBER(IFERROR(IF(TRIM(INDEX($A495:$AL495,MATCH(Lists!$F$7,$A$1:$AL$1,0))&amp;"")="","",IF(ISNUMBER(INDEX($A495:$AL495,MATCH(Lists!$F$7,$A$1:$AL$1,0))),ROUND(MOD(INDEX($A495:$AL495,MATCH(Lists!$F$7,$A$1:$AL$1,0)),1)*1440,0),VALUE(LEFT(INDEX($A495:$AL495,MATCH(Lists!$F$7,$A$1:$AL$1,0)),2))*60+VALUE(MID(INDEX($A495:$AL495,MATCH(Lists!$F$7,$A$1:$AL$1,0)),4,2)))),"")),IFERROR(IF(TRIM(INDEX($A495:$AL495,MATCH(Lists!$F$7,$A$1:$AL$1,0))&amp;"")="","",IF(ISNUMBER(INDEX($A495:$AL495,MATCH(Lists!$F$7,$A$1:$AL$1,0))),ROUND(MOD(INDEX($A495:$AL495,MATCH(Lists!$F$7,$A$1:$AL$1,0)),1)*1440,0),VALUE(LEFT(INDEX($A495:$AL495,MATCH(Lists!$F$7,$A$1:$AL$1,0)),2))*60+VALUE(MID(INDEX($A495:$AL495,MATCH(Lists!$F$7,$A$1:$AL$1,0)),4,2)))),""),-1))</f>
        <v/>
      </c>
      <c r="AW495" s="21">
        <f>IF(IFERROR(TRIM(INDEX($A495:$AL495,MATCH(Lists!$F$2,$A$1:$AL$1,0))&amp;""),"")="","",IF(IFERROR(TRIM(INDEX($A495:$AL495,MATCH(Lists!$F$8,$A$1:$AL$1,0))&amp;""),"")&lt;&gt;"",IFERROR(TRIM(INDEX($A495:$AL495,MATCH(Lists!$F$8,$A$1:$AL$1,0))&amp;""),""),IFERROR(TRIM(INDEX($A495:$AL495,MATCH(Lists!$F$9,$A$1:$AL$1,0))&amp;""),"")))</f>
        <v/>
      </c>
      <c r="AX495" s="21">
        <f>IFERROR(IF(TRIM(INDEX($A495:$AL495,MATCH(Lists!$F$10,$A$1:$AL$1,0))&amp;"")="","",VALUE(TRIM(INDEX($A495:$AL495,MATCH(Lists!$F$10,$A$1:$AL$1,0))&amp;""))),"")</f>
        <v/>
      </c>
      <c r="AY495" s="21">
        <f>IF(IFERROR(TRIM(INDEX($A495:$AL495,MATCH(Lists!$F$2,$A$1:$AL$1,0))&amp;""),"")="","",IF(AN495="","New",AN495))</f>
        <v/>
      </c>
      <c r="AZ495" s="21">
        <f>IF(IFERROR(TRIM(INDEX($A495:$AL495,MATCH(Lists!$F$2,$A$1:$AL$1,0))&amp;""),"")="","",IF(OR(IFERROR(TRIM(INDEX($A495:$AL495,MATCH(Lists!$F$13,$A$1:$AL$1,0))&amp;""),"")="Paid",IFERROR(TRIM(INDEX($A495:$AL495,MATCH(Lists!$F$13,$A$1:$AL$1,0))&amp;""),"")="Partially refunded"),"Paid",IF(AP495="Yes","Paid (by hand)",IFERROR(TRIM(INDEX($A495:$AL495,MATCH(Lists!$F$13,$A$1:$AL$1,0))&amp;""),""))))</f>
        <v/>
      </c>
      <c r="BA495" s="21">
        <f>IF(AND(IFERROR(TRIM(INDEX($A495:$AL495,MATCH(Lists!$F$2,$A$1:$AL$1,0))&amp;""),"")&lt;&gt;"",AT495&gt;0,AU495&gt;=0,AV495&gt;AU495,AY495&lt;&gt;"Declined"),1,0)</f>
        <v/>
      </c>
      <c r="BB495" s="21">
        <f>IF(BA495=1,COUNTIFS($AS$2:$AS$501,AS495,$AT$2:$AT$501,AT495,$AU$2:$AU$501,"&lt;"&amp;AV495,$AV$2:$AV$501,"&gt;"&amp;AU495,$BA$2:$BA$501,1)-1,"")</f>
        <v/>
      </c>
      <c r="BC495" s="21">
        <f>IF(N(BB495)&gt;0,"Clashes with "&amp;INDEX($AW$2:$AW$501,SUMPRODUCT(MAX(($AS$2:$AS$501=AS495)*($AT$2:$AT$501=AT495)*($AU$2:$AU$501&lt;AV495)*($AV$2:$AV$501&gt;AU495)*($BA$2:$BA$501=1)*(ROW($AS$2:$AS$501)&lt;&gt;ROW())*ROW($AS$2:$AS$501)))-1)&amp;" ("&amp;INDEX($AY$2:$AY$501,SUMPRODUCT(MAX(($AS$2:$AS$501=AS495)*($AT$2:$AT$501=AT495)*($AU$2:$AU$501&lt;AV495)*($AV$2:$AV$501&gt;AU495)*($BA$2:$BA$501=1)*(ROW($AS$2:$AS$501)&lt;&gt;ROW())*ROW($AS$2:$AS$501)))-1)&amp;")"&amp;IF(BB495&gt;1," and "&amp;(BB495-1)&amp;" more",""),"")</f>
        <v/>
      </c>
      <c r="BD495" s="21">
        <f>IF(AND(BA495=1,AY495="Confirmed"),AT495*10000000+AU495*1000+ROW(),"")</f>
        <v/>
      </c>
      <c r="BE495" s="21">
        <f>IF(IFERROR(TRIM(INDEX($A495:$AL495,MATCH(Lists!$F$2,$A$1:$AL$1,0))&amp;""),"")="","",IFERROR(TRIM(INDEX($A495:$AL495,MATCH(Lists!$F$11,$A$1:$AL$1,0))&amp;""),""))</f>
        <v/>
      </c>
      <c r="BF495" s="21">
        <f>IF(IFERROR(TRIM(INDEX($A495:$AL495,MATCH(Lists!$F$2,$A$1:$AL$1,0))&amp;""),"")="","",IFERROR(TRIM(INDEX($A495:$AL495,MATCH(Lists!$F$12,$A$1:$AL$1,0))&amp;""),""))</f>
        <v/>
      </c>
    </row>
    <row r="496">
      <c r="AM496" s="19" t="n"/>
      <c r="AN496" s="23" t="n"/>
      <c r="AO496" s="23" t="n"/>
      <c r="AP496" s="23" t="n"/>
      <c r="AQ496" s="23" t="n"/>
      <c r="AR496" s="19" t="n"/>
      <c r="AS496" s="21">
        <f>IF(IFERROR(TRIM(INDEX($A496:$AL496,MATCH(Lists!$F$2,$A$1:$AL$1,0))&amp;""),"")="","",IF(AND(IFERROR(TRIM(INDEX($A496:$AL496,MATCH(Lists!$F$3,$A$1:$AL$1,0))&amp;""),"")="Other",IFERROR(TRIM(INDEX($A496:$AL496,MATCH(Lists!$F$4,$A$1:$AL$1,0))&amp;""),"")&lt;&gt;""),IFERROR(TRIM(INDEX($A496:$AL496,MATCH(Lists!$F$4,$A$1:$AL$1,0))&amp;""),""),IF(IFERROR(TRIM(INDEX($A496:$AL496,MATCH(Lists!$F$3,$A$1:$AL$1,0))&amp;""),"")="","(no space)",IFERROR(TRIM(INDEX($A496:$AL496,MATCH(Lists!$F$3,$A$1:$AL$1,0))&amp;""),""))))</f>
        <v/>
      </c>
      <c r="AT496" s="22">
        <f>IF(IFERROR(TRIM(INDEX($A496:$AL496,MATCH(Lists!$F$2,$A$1:$AL$1,0))&amp;""),"")="",0,N(IFERROR(IF(TRIM(INDEX($A496:$AL496,MATCH(Lists!$F$5,$A$1:$AL$1,0))&amp;"")="","",IF(ISNUMBER(INDEX($A496:$AL496,MATCH(Lists!$F$5,$A$1:$AL$1,0))),INT(INDEX($A496:$AL496,MATCH(Lists!$F$5,$A$1:$AL$1,0))),DATE(VALUE(LEFT(INDEX($A496:$AL496,MATCH(Lists!$F$5,$A$1:$AL$1,0)),4)),VALUE(MID(INDEX($A496:$AL496,MATCH(Lists!$F$5,$A$1:$AL$1,0)),6,2)),VALUE(MID(INDEX($A496:$AL496,MATCH(Lists!$F$5,$A$1:$AL$1,0)),9,2))))),"")))</f>
        <v/>
      </c>
      <c r="AU496" s="21">
        <f>IF(IFERROR(TRIM(INDEX($A496:$AL496,MATCH(Lists!$F$2,$A$1:$AL$1,0))&amp;""),"")="",-1,IF(ISNUMBER(IFERROR(IF(TRIM(INDEX($A496:$AL496,MATCH(Lists!$F$6,$A$1:$AL$1,0))&amp;"")="","",IF(ISNUMBER(INDEX($A496:$AL496,MATCH(Lists!$F$6,$A$1:$AL$1,0))),ROUND(MOD(INDEX($A496:$AL496,MATCH(Lists!$F$6,$A$1:$AL$1,0)),1)*1440,0),VALUE(LEFT(INDEX($A496:$AL496,MATCH(Lists!$F$6,$A$1:$AL$1,0)),2))*60+VALUE(MID(INDEX($A496:$AL496,MATCH(Lists!$F$6,$A$1:$AL$1,0)),4,2)))),"")),IFERROR(IF(TRIM(INDEX($A496:$AL496,MATCH(Lists!$F$6,$A$1:$AL$1,0))&amp;"")="","",IF(ISNUMBER(INDEX($A496:$AL496,MATCH(Lists!$F$6,$A$1:$AL$1,0))),ROUND(MOD(INDEX($A496:$AL496,MATCH(Lists!$F$6,$A$1:$AL$1,0)),1)*1440,0),VALUE(LEFT(INDEX($A496:$AL496,MATCH(Lists!$F$6,$A$1:$AL$1,0)),2))*60+VALUE(MID(INDEX($A496:$AL496,MATCH(Lists!$F$6,$A$1:$AL$1,0)),4,2)))),""),-1))</f>
        <v/>
      </c>
      <c r="AV496" s="21">
        <f>IF(IFERROR(TRIM(INDEX($A496:$AL496,MATCH(Lists!$F$2,$A$1:$AL$1,0))&amp;""),"")="",-1,IF(ISNUMBER(IFERROR(IF(TRIM(INDEX($A496:$AL496,MATCH(Lists!$F$7,$A$1:$AL$1,0))&amp;"")="","",IF(ISNUMBER(INDEX($A496:$AL496,MATCH(Lists!$F$7,$A$1:$AL$1,0))),ROUND(MOD(INDEX($A496:$AL496,MATCH(Lists!$F$7,$A$1:$AL$1,0)),1)*1440,0),VALUE(LEFT(INDEX($A496:$AL496,MATCH(Lists!$F$7,$A$1:$AL$1,0)),2))*60+VALUE(MID(INDEX($A496:$AL496,MATCH(Lists!$F$7,$A$1:$AL$1,0)),4,2)))),"")),IFERROR(IF(TRIM(INDEX($A496:$AL496,MATCH(Lists!$F$7,$A$1:$AL$1,0))&amp;"")="","",IF(ISNUMBER(INDEX($A496:$AL496,MATCH(Lists!$F$7,$A$1:$AL$1,0))),ROUND(MOD(INDEX($A496:$AL496,MATCH(Lists!$F$7,$A$1:$AL$1,0)),1)*1440,0),VALUE(LEFT(INDEX($A496:$AL496,MATCH(Lists!$F$7,$A$1:$AL$1,0)),2))*60+VALUE(MID(INDEX($A496:$AL496,MATCH(Lists!$F$7,$A$1:$AL$1,0)),4,2)))),""),-1))</f>
        <v/>
      </c>
      <c r="AW496" s="21">
        <f>IF(IFERROR(TRIM(INDEX($A496:$AL496,MATCH(Lists!$F$2,$A$1:$AL$1,0))&amp;""),"")="","",IF(IFERROR(TRIM(INDEX($A496:$AL496,MATCH(Lists!$F$8,$A$1:$AL$1,0))&amp;""),"")&lt;&gt;"",IFERROR(TRIM(INDEX($A496:$AL496,MATCH(Lists!$F$8,$A$1:$AL$1,0))&amp;""),""),IFERROR(TRIM(INDEX($A496:$AL496,MATCH(Lists!$F$9,$A$1:$AL$1,0))&amp;""),"")))</f>
        <v/>
      </c>
      <c r="AX496" s="21">
        <f>IFERROR(IF(TRIM(INDEX($A496:$AL496,MATCH(Lists!$F$10,$A$1:$AL$1,0))&amp;"")="","",VALUE(TRIM(INDEX($A496:$AL496,MATCH(Lists!$F$10,$A$1:$AL$1,0))&amp;""))),"")</f>
        <v/>
      </c>
      <c r="AY496" s="21">
        <f>IF(IFERROR(TRIM(INDEX($A496:$AL496,MATCH(Lists!$F$2,$A$1:$AL$1,0))&amp;""),"")="","",IF(AN496="","New",AN496))</f>
        <v/>
      </c>
      <c r="AZ496" s="21">
        <f>IF(IFERROR(TRIM(INDEX($A496:$AL496,MATCH(Lists!$F$2,$A$1:$AL$1,0))&amp;""),"")="","",IF(OR(IFERROR(TRIM(INDEX($A496:$AL496,MATCH(Lists!$F$13,$A$1:$AL$1,0))&amp;""),"")="Paid",IFERROR(TRIM(INDEX($A496:$AL496,MATCH(Lists!$F$13,$A$1:$AL$1,0))&amp;""),"")="Partially refunded"),"Paid",IF(AP496="Yes","Paid (by hand)",IFERROR(TRIM(INDEX($A496:$AL496,MATCH(Lists!$F$13,$A$1:$AL$1,0))&amp;""),""))))</f>
        <v/>
      </c>
      <c r="BA496" s="21">
        <f>IF(AND(IFERROR(TRIM(INDEX($A496:$AL496,MATCH(Lists!$F$2,$A$1:$AL$1,0))&amp;""),"")&lt;&gt;"",AT496&gt;0,AU496&gt;=0,AV496&gt;AU496,AY496&lt;&gt;"Declined"),1,0)</f>
        <v/>
      </c>
      <c r="BB496" s="21">
        <f>IF(BA496=1,COUNTIFS($AS$2:$AS$501,AS496,$AT$2:$AT$501,AT496,$AU$2:$AU$501,"&lt;"&amp;AV496,$AV$2:$AV$501,"&gt;"&amp;AU496,$BA$2:$BA$501,1)-1,"")</f>
        <v/>
      </c>
      <c r="BC496" s="21">
        <f>IF(N(BB496)&gt;0,"Clashes with "&amp;INDEX($AW$2:$AW$501,SUMPRODUCT(MAX(($AS$2:$AS$501=AS496)*($AT$2:$AT$501=AT496)*($AU$2:$AU$501&lt;AV496)*($AV$2:$AV$501&gt;AU496)*($BA$2:$BA$501=1)*(ROW($AS$2:$AS$501)&lt;&gt;ROW())*ROW($AS$2:$AS$501)))-1)&amp;" ("&amp;INDEX($AY$2:$AY$501,SUMPRODUCT(MAX(($AS$2:$AS$501=AS496)*($AT$2:$AT$501=AT496)*($AU$2:$AU$501&lt;AV496)*($AV$2:$AV$501&gt;AU496)*($BA$2:$BA$501=1)*(ROW($AS$2:$AS$501)&lt;&gt;ROW())*ROW($AS$2:$AS$501)))-1)&amp;")"&amp;IF(BB496&gt;1," and "&amp;(BB496-1)&amp;" more",""),"")</f>
        <v/>
      </c>
      <c r="BD496" s="21">
        <f>IF(AND(BA496=1,AY496="Confirmed"),AT496*10000000+AU496*1000+ROW(),"")</f>
        <v/>
      </c>
      <c r="BE496" s="21">
        <f>IF(IFERROR(TRIM(INDEX($A496:$AL496,MATCH(Lists!$F$2,$A$1:$AL$1,0))&amp;""),"")="","",IFERROR(TRIM(INDEX($A496:$AL496,MATCH(Lists!$F$11,$A$1:$AL$1,0))&amp;""),""))</f>
        <v/>
      </c>
      <c r="BF496" s="21">
        <f>IF(IFERROR(TRIM(INDEX($A496:$AL496,MATCH(Lists!$F$2,$A$1:$AL$1,0))&amp;""),"")="","",IFERROR(TRIM(INDEX($A496:$AL496,MATCH(Lists!$F$12,$A$1:$AL$1,0))&amp;""),""))</f>
        <v/>
      </c>
    </row>
    <row r="497">
      <c r="AM497" s="19" t="n"/>
      <c r="AN497" s="23" t="n"/>
      <c r="AO497" s="23" t="n"/>
      <c r="AP497" s="23" t="n"/>
      <c r="AQ497" s="23" t="n"/>
      <c r="AR497" s="19" t="n"/>
      <c r="AS497" s="21">
        <f>IF(IFERROR(TRIM(INDEX($A497:$AL497,MATCH(Lists!$F$2,$A$1:$AL$1,0))&amp;""),"")="","",IF(AND(IFERROR(TRIM(INDEX($A497:$AL497,MATCH(Lists!$F$3,$A$1:$AL$1,0))&amp;""),"")="Other",IFERROR(TRIM(INDEX($A497:$AL497,MATCH(Lists!$F$4,$A$1:$AL$1,0))&amp;""),"")&lt;&gt;""),IFERROR(TRIM(INDEX($A497:$AL497,MATCH(Lists!$F$4,$A$1:$AL$1,0))&amp;""),""),IF(IFERROR(TRIM(INDEX($A497:$AL497,MATCH(Lists!$F$3,$A$1:$AL$1,0))&amp;""),"")="","(no space)",IFERROR(TRIM(INDEX($A497:$AL497,MATCH(Lists!$F$3,$A$1:$AL$1,0))&amp;""),""))))</f>
        <v/>
      </c>
      <c r="AT497" s="22">
        <f>IF(IFERROR(TRIM(INDEX($A497:$AL497,MATCH(Lists!$F$2,$A$1:$AL$1,0))&amp;""),"")="",0,N(IFERROR(IF(TRIM(INDEX($A497:$AL497,MATCH(Lists!$F$5,$A$1:$AL$1,0))&amp;"")="","",IF(ISNUMBER(INDEX($A497:$AL497,MATCH(Lists!$F$5,$A$1:$AL$1,0))),INT(INDEX($A497:$AL497,MATCH(Lists!$F$5,$A$1:$AL$1,0))),DATE(VALUE(LEFT(INDEX($A497:$AL497,MATCH(Lists!$F$5,$A$1:$AL$1,0)),4)),VALUE(MID(INDEX($A497:$AL497,MATCH(Lists!$F$5,$A$1:$AL$1,0)),6,2)),VALUE(MID(INDEX($A497:$AL497,MATCH(Lists!$F$5,$A$1:$AL$1,0)),9,2))))),"")))</f>
        <v/>
      </c>
      <c r="AU497" s="21">
        <f>IF(IFERROR(TRIM(INDEX($A497:$AL497,MATCH(Lists!$F$2,$A$1:$AL$1,0))&amp;""),"")="",-1,IF(ISNUMBER(IFERROR(IF(TRIM(INDEX($A497:$AL497,MATCH(Lists!$F$6,$A$1:$AL$1,0))&amp;"")="","",IF(ISNUMBER(INDEX($A497:$AL497,MATCH(Lists!$F$6,$A$1:$AL$1,0))),ROUND(MOD(INDEX($A497:$AL497,MATCH(Lists!$F$6,$A$1:$AL$1,0)),1)*1440,0),VALUE(LEFT(INDEX($A497:$AL497,MATCH(Lists!$F$6,$A$1:$AL$1,0)),2))*60+VALUE(MID(INDEX($A497:$AL497,MATCH(Lists!$F$6,$A$1:$AL$1,0)),4,2)))),"")),IFERROR(IF(TRIM(INDEX($A497:$AL497,MATCH(Lists!$F$6,$A$1:$AL$1,0))&amp;"")="","",IF(ISNUMBER(INDEX($A497:$AL497,MATCH(Lists!$F$6,$A$1:$AL$1,0))),ROUND(MOD(INDEX($A497:$AL497,MATCH(Lists!$F$6,$A$1:$AL$1,0)),1)*1440,0),VALUE(LEFT(INDEX($A497:$AL497,MATCH(Lists!$F$6,$A$1:$AL$1,0)),2))*60+VALUE(MID(INDEX($A497:$AL497,MATCH(Lists!$F$6,$A$1:$AL$1,0)),4,2)))),""),-1))</f>
        <v/>
      </c>
      <c r="AV497" s="21">
        <f>IF(IFERROR(TRIM(INDEX($A497:$AL497,MATCH(Lists!$F$2,$A$1:$AL$1,0))&amp;""),"")="",-1,IF(ISNUMBER(IFERROR(IF(TRIM(INDEX($A497:$AL497,MATCH(Lists!$F$7,$A$1:$AL$1,0))&amp;"")="","",IF(ISNUMBER(INDEX($A497:$AL497,MATCH(Lists!$F$7,$A$1:$AL$1,0))),ROUND(MOD(INDEX($A497:$AL497,MATCH(Lists!$F$7,$A$1:$AL$1,0)),1)*1440,0),VALUE(LEFT(INDEX($A497:$AL497,MATCH(Lists!$F$7,$A$1:$AL$1,0)),2))*60+VALUE(MID(INDEX($A497:$AL497,MATCH(Lists!$F$7,$A$1:$AL$1,0)),4,2)))),"")),IFERROR(IF(TRIM(INDEX($A497:$AL497,MATCH(Lists!$F$7,$A$1:$AL$1,0))&amp;"")="","",IF(ISNUMBER(INDEX($A497:$AL497,MATCH(Lists!$F$7,$A$1:$AL$1,0))),ROUND(MOD(INDEX($A497:$AL497,MATCH(Lists!$F$7,$A$1:$AL$1,0)),1)*1440,0),VALUE(LEFT(INDEX($A497:$AL497,MATCH(Lists!$F$7,$A$1:$AL$1,0)),2))*60+VALUE(MID(INDEX($A497:$AL497,MATCH(Lists!$F$7,$A$1:$AL$1,0)),4,2)))),""),-1))</f>
        <v/>
      </c>
      <c r="AW497" s="21">
        <f>IF(IFERROR(TRIM(INDEX($A497:$AL497,MATCH(Lists!$F$2,$A$1:$AL$1,0))&amp;""),"")="","",IF(IFERROR(TRIM(INDEX($A497:$AL497,MATCH(Lists!$F$8,$A$1:$AL$1,0))&amp;""),"")&lt;&gt;"",IFERROR(TRIM(INDEX($A497:$AL497,MATCH(Lists!$F$8,$A$1:$AL$1,0))&amp;""),""),IFERROR(TRIM(INDEX($A497:$AL497,MATCH(Lists!$F$9,$A$1:$AL$1,0))&amp;""),"")))</f>
        <v/>
      </c>
      <c r="AX497" s="21">
        <f>IFERROR(IF(TRIM(INDEX($A497:$AL497,MATCH(Lists!$F$10,$A$1:$AL$1,0))&amp;"")="","",VALUE(TRIM(INDEX($A497:$AL497,MATCH(Lists!$F$10,$A$1:$AL$1,0))&amp;""))),"")</f>
        <v/>
      </c>
      <c r="AY497" s="21">
        <f>IF(IFERROR(TRIM(INDEX($A497:$AL497,MATCH(Lists!$F$2,$A$1:$AL$1,0))&amp;""),"")="","",IF(AN497="","New",AN497))</f>
        <v/>
      </c>
      <c r="AZ497" s="21">
        <f>IF(IFERROR(TRIM(INDEX($A497:$AL497,MATCH(Lists!$F$2,$A$1:$AL$1,0))&amp;""),"")="","",IF(OR(IFERROR(TRIM(INDEX($A497:$AL497,MATCH(Lists!$F$13,$A$1:$AL$1,0))&amp;""),"")="Paid",IFERROR(TRIM(INDEX($A497:$AL497,MATCH(Lists!$F$13,$A$1:$AL$1,0))&amp;""),"")="Partially refunded"),"Paid",IF(AP497="Yes","Paid (by hand)",IFERROR(TRIM(INDEX($A497:$AL497,MATCH(Lists!$F$13,$A$1:$AL$1,0))&amp;""),""))))</f>
        <v/>
      </c>
      <c r="BA497" s="21">
        <f>IF(AND(IFERROR(TRIM(INDEX($A497:$AL497,MATCH(Lists!$F$2,$A$1:$AL$1,0))&amp;""),"")&lt;&gt;"",AT497&gt;0,AU497&gt;=0,AV497&gt;AU497,AY497&lt;&gt;"Declined"),1,0)</f>
        <v/>
      </c>
      <c r="BB497" s="21">
        <f>IF(BA497=1,COUNTIFS($AS$2:$AS$501,AS497,$AT$2:$AT$501,AT497,$AU$2:$AU$501,"&lt;"&amp;AV497,$AV$2:$AV$501,"&gt;"&amp;AU497,$BA$2:$BA$501,1)-1,"")</f>
        <v/>
      </c>
      <c r="BC497" s="21">
        <f>IF(N(BB497)&gt;0,"Clashes with "&amp;INDEX($AW$2:$AW$501,SUMPRODUCT(MAX(($AS$2:$AS$501=AS497)*($AT$2:$AT$501=AT497)*($AU$2:$AU$501&lt;AV497)*($AV$2:$AV$501&gt;AU497)*($BA$2:$BA$501=1)*(ROW($AS$2:$AS$501)&lt;&gt;ROW())*ROW($AS$2:$AS$501)))-1)&amp;" ("&amp;INDEX($AY$2:$AY$501,SUMPRODUCT(MAX(($AS$2:$AS$501=AS497)*($AT$2:$AT$501=AT497)*($AU$2:$AU$501&lt;AV497)*($AV$2:$AV$501&gt;AU497)*($BA$2:$BA$501=1)*(ROW($AS$2:$AS$501)&lt;&gt;ROW())*ROW($AS$2:$AS$501)))-1)&amp;")"&amp;IF(BB497&gt;1," and "&amp;(BB497-1)&amp;" more",""),"")</f>
        <v/>
      </c>
      <c r="BD497" s="21">
        <f>IF(AND(BA497=1,AY497="Confirmed"),AT497*10000000+AU497*1000+ROW(),"")</f>
        <v/>
      </c>
      <c r="BE497" s="21">
        <f>IF(IFERROR(TRIM(INDEX($A497:$AL497,MATCH(Lists!$F$2,$A$1:$AL$1,0))&amp;""),"")="","",IFERROR(TRIM(INDEX($A497:$AL497,MATCH(Lists!$F$11,$A$1:$AL$1,0))&amp;""),""))</f>
        <v/>
      </c>
      <c r="BF497" s="21">
        <f>IF(IFERROR(TRIM(INDEX($A497:$AL497,MATCH(Lists!$F$2,$A$1:$AL$1,0))&amp;""),"")="","",IFERROR(TRIM(INDEX($A497:$AL497,MATCH(Lists!$F$12,$A$1:$AL$1,0))&amp;""),""))</f>
        <v/>
      </c>
    </row>
    <row r="498">
      <c r="AM498" s="19" t="n"/>
      <c r="AN498" s="23" t="n"/>
      <c r="AO498" s="23" t="n"/>
      <c r="AP498" s="23" t="n"/>
      <c r="AQ498" s="23" t="n"/>
      <c r="AR498" s="19" t="n"/>
      <c r="AS498" s="21">
        <f>IF(IFERROR(TRIM(INDEX($A498:$AL498,MATCH(Lists!$F$2,$A$1:$AL$1,0))&amp;""),"")="","",IF(AND(IFERROR(TRIM(INDEX($A498:$AL498,MATCH(Lists!$F$3,$A$1:$AL$1,0))&amp;""),"")="Other",IFERROR(TRIM(INDEX($A498:$AL498,MATCH(Lists!$F$4,$A$1:$AL$1,0))&amp;""),"")&lt;&gt;""),IFERROR(TRIM(INDEX($A498:$AL498,MATCH(Lists!$F$4,$A$1:$AL$1,0))&amp;""),""),IF(IFERROR(TRIM(INDEX($A498:$AL498,MATCH(Lists!$F$3,$A$1:$AL$1,0))&amp;""),"")="","(no space)",IFERROR(TRIM(INDEX($A498:$AL498,MATCH(Lists!$F$3,$A$1:$AL$1,0))&amp;""),""))))</f>
        <v/>
      </c>
      <c r="AT498" s="22">
        <f>IF(IFERROR(TRIM(INDEX($A498:$AL498,MATCH(Lists!$F$2,$A$1:$AL$1,0))&amp;""),"")="",0,N(IFERROR(IF(TRIM(INDEX($A498:$AL498,MATCH(Lists!$F$5,$A$1:$AL$1,0))&amp;"")="","",IF(ISNUMBER(INDEX($A498:$AL498,MATCH(Lists!$F$5,$A$1:$AL$1,0))),INT(INDEX($A498:$AL498,MATCH(Lists!$F$5,$A$1:$AL$1,0))),DATE(VALUE(LEFT(INDEX($A498:$AL498,MATCH(Lists!$F$5,$A$1:$AL$1,0)),4)),VALUE(MID(INDEX($A498:$AL498,MATCH(Lists!$F$5,$A$1:$AL$1,0)),6,2)),VALUE(MID(INDEX($A498:$AL498,MATCH(Lists!$F$5,$A$1:$AL$1,0)),9,2))))),"")))</f>
        <v/>
      </c>
      <c r="AU498" s="21">
        <f>IF(IFERROR(TRIM(INDEX($A498:$AL498,MATCH(Lists!$F$2,$A$1:$AL$1,0))&amp;""),"")="",-1,IF(ISNUMBER(IFERROR(IF(TRIM(INDEX($A498:$AL498,MATCH(Lists!$F$6,$A$1:$AL$1,0))&amp;"")="","",IF(ISNUMBER(INDEX($A498:$AL498,MATCH(Lists!$F$6,$A$1:$AL$1,0))),ROUND(MOD(INDEX($A498:$AL498,MATCH(Lists!$F$6,$A$1:$AL$1,0)),1)*1440,0),VALUE(LEFT(INDEX($A498:$AL498,MATCH(Lists!$F$6,$A$1:$AL$1,0)),2))*60+VALUE(MID(INDEX($A498:$AL498,MATCH(Lists!$F$6,$A$1:$AL$1,0)),4,2)))),"")),IFERROR(IF(TRIM(INDEX($A498:$AL498,MATCH(Lists!$F$6,$A$1:$AL$1,0))&amp;"")="","",IF(ISNUMBER(INDEX($A498:$AL498,MATCH(Lists!$F$6,$A$1:$AL$1,0))),ROUND(MOD(INDEX($A498:$AL498,MATCH(Lists!$F$6,$A$1:$AL$1,0)),1)*1440,0),VALUE(LEFT(INDEX($A498:$AL498,MATCH(Lists!$F$6,$A$1:$AL$1,0)),2))*60+VALUE(MID(INDEX($A498:$AL498,MATCH(Lists!$F$6,$A$1:$AL$1,0)),4,2)))),""),-1))</f>
        <v/>
      </c>
      <c r="AV498" s="21">
        <f>IF(IFERROR(TRIM(INDEX($A498:$AL498,MATCH(Lists!$F$2,$A$1:$AL$1,0))&amp;""),"")="",-1,IF(ISNUMBER(IFERROR(IF(TRIM(INDEX($A498:$AL498,MATCH(Lists!$F$7,$A$1:$AL$1,0))&amp;"")="","",IF(ISNUMBER(INDEX($A498:$AL498,MATCH(Lists!$F$7,$A$1:$AL$1,0))),ROUND(MOD(INDEX($A498:$AL498,MATCH(Lists!$F$7,$A$1:$AL$1,0)),1)*1440,0),VALUE(LEFT(INDEX($A498:$AL498,MATCH(Lists!$F$7,$A$1:$AL$1,0)),2))*60+VALUE(MID(INDEX($A498:$AL498,MATCH(Lists!$F$7,$A$1:$AL$1,0)),4,2)))),"")),IFERROR(IF(TRIM(INDEX($A498:$AL498,MATCH(Lists!$F$7,$A$1:$AL$1,0))&amp;"")="","",IF(ISNUMBER(INDEX($A498:$AL498,MATCH(Lists!$F$7,$A$1:$AL$1,0))),ROUND(MOD(INDEX($A498:$AL498,MATCH(Lists!$F$7,$A$1:$AL$1,0)),1)*1440,0),VALUE(LEFT(INDEX($A498:$AL498,MATCH(Lists!$F$7,$A$1:$AL$1,0)),2))*60+VALUE(MID(INDEX($A498:$AL498,MATCH(Lists!$F$7,$A$1:$AL$1,0)),4,2)))),""),-1))</f>
        <v/>
      </c>
      <c r="AW498" s="21">
        <f>IF(IFERROR(TRIM(INDEX($A498:$AL498,MATCH(Lists!$F$2,$A$1:$AL$1,0))&amp;""),"")="","",IF(IFERROR(TRIM(INDEX($A498:$AL498,MATCH(Lists!$F$8,$A$1:$AL$1,0))&amp;""),"")&lt;&gt;"",IFERROR(TRIM(INDEX($A498:$AL498,MATCH(Lists!$F$8,$A$1:$AL$1,0))&amp;""),""),IFERROR(TRIM(INDEX($A498:$AL498,MATCH(Lists!$F$9,$A$1:$AL$1,0))&amp;""),"")))</f>
        <v/>
      </c>
      <c r="AX498" s="21">
        <f>IFERROR(IF(TRIM(INDEX($A498:$AL498,MATCH(Lists!$F$10,$A$1:$AL$1,0))&amp;"")="","",VALUE(TRIM(INDEX($A498:$AL498,MATCH(Lists!$F$10,$A$1:$AL$1,0))&amp;""))),"")</f>
        <v/>
      </c>
      <c r="AY498" s="21">
        <f>IF(IFERROR(TRIM(INDEX($A498:$AL498,MATCH(Lists!$F$2,$A$1:$AL$1,0))&amp;""),"")="","",IF(AN498="","New",AN498))</f>
        <v/>
      </c>
      <c r="AZ498" s="21">
        <f>IF(IFERROR(TRIM(INDEX($A498:$AL498,MATCH(Lists!$F$2,$A$1:$AL$1,0))&amp;""),"")="","",IF(OR(IFERROR(TRIM(INDEX($A498:$AL498,MATCH(Lists!$F$13,$A$1:$AL$1,0))&amp;""),"")="Paid",IFERROR(TRIM(INDEX($A498:$AL498,MATCH(Lists!$F$13,$A$1:$AL$1,0))&amp;""),"")="Partially refunded"),"Paid",IF(AP498="Yes","Paid (by hand)",IFERROR(TRIM(INDEX($A498:$AL498,MATCH(Lists!$F$13,$A$1:$AL$1,0))&amp;""),""))))</f>
        <v/>
      </c>
      <c r="BA498" s="21">
        <f>IF(AND(IFERROR(TRIM(INDEX($A498:$AL498,MATCH(Lists!$F$2,$A$1:$AL$1,0))&amp;""),"")&lt;&gt;"",AT498&gt;0,AU498&gt;=0,AV498&gt;AU498,AY498&lt;&gt;"Declined"),1,0)</f>
        <v/>
      </c>
      <c r="BB498" s="21">
        <f>IF(BA498=1,COUNTIFS($AS$2:$AS$501,AS498,$AT$2:$AT$501,AT498,$AU$2:$AU$501,"&lt;"&amp;AV498,$AV$2:$AV$501,"&gt;"&amp;AU498,$BA$2:$BA$501,1)-1,"")</f>
        <v/>
      </c>
      <c r="BC498" s="21">
        <f>IF(N(BB498)&gt;0,"Clashes with "&amp;INDEX($AW$2:$AW$501,SUMPRODUCT(MAX(($AS$2:$AS$501=AS498)*($AT$2:$AT$501=AT498)*($AU$2:$AU$501&lt;AV498)*($AV$2:$AV$501&gt;AU498)*($BA$2:$BA$501=1)*(ROW($AS$2:$AS$501)&lt;&gt;ROW())*ROW($AS$2:$AS$501)))-1)&amp;" ("&amp;INDEX($AY$2:$AY$501,SUMPRODUCT(MAX(($AS$2:$AS$501=AS498)*($AT$2:$AT$501=AT498)*($AU$2:$AU$501&lt;AV498)*($AV$2:$AV$501&gt;AU498)*($BA$2:$BA$501=1)*(ROW($AS$2:$AS$501)&lt;&gt;ROW())*ROW($AS$2:$AS$501)))-1)&amp;")"&amp;IF(BB498&gt;1," and "&amp;(BB498-1)&amp;" more",""),"")</f>
        <v/>
      </c>
      <c r="BD498" s="21">
        <f>IF(AND(BA498=1,AY498="Confirmed"),AT498*10000000+AU498*1000+ROW(),"")</f>
        <v/>
      </c>
      <c r="BE498" s="21">
        <f>IF(IFERROR(TRIM(INDEX($A498:$AL498,MATCH(Lists!$F$2,$A$1:$AL$1,0))&amp;""),"")="","",IFERROR(TRIM(INDEX($A498:$AL498,MATCH(Lists!$F$11,$A$1:$AL$1,0))&amp;""),""))</f>
        <v/>
      </c>
      <c r="BF498" s="21">
        <f>IF(IFERROR(TRIM(INDEX($A498:$AL498,MATCH(Lists!$F$2,$A$1:$AL$1,0))&amp;""),"")="","",IFERROR(TRIM(INDEX($A498:$AL498,MATCH(Lists!$F$12,$A$1:$AL$1,0))&amp;""),""))</f>
        <v/>
      </c>
    </row>
    <row r="499">
      <c r="AM499" s="19" t="n"/>
      <c r="AN499" s="23" t="n"/>
      <c r="AO499" s="23" t="n"/>
      <c r="AP499" s="23" t="n"/>
      <c r="AQ499" s="23" t="n"/>
      <c r="AR499" s="19" t="n"/>
      <c r="AS499" s="21">
        <f>IF(IFERROR(TRIM(INDEX($A499:$AL499,MATCH(Lists!$F$2,$A$1:$AL$1,0))&amp;""),"")="","",IF(AND(IFERROR(TRIM(INDEX($A499:$AL499,MATCH(Lists!$F$3,$A$1:$AL$1,0))&amp;""),"")="Other",IFERROR(TRIM(INDEX($A499:$AL499,MATCH(Lists!$F$4,$A$1:$AL$1,0))&amp;""),"")&lt;&gt;""),IFERROR(TRIM(INDEX($A499:$AL499,MATCH(Lists!$F$4,$A$1:$AL$1,0))&amp;""),""),IF(IFERROR(TRIM(INDEX($A499:$AL499,MATCH(Lists!$F$3,$A$1:$AL$1,0))&amp;""),"")="","(no space)",IFERROR(TRIM(INDEX($A499:$AL499,MATCH(Lists!$F$3,$A$1:$AL$1,0))&amp;""),""))))</f>
        <v/>
      </c>
      <c r="AT499" s="22">
        <f>IF(IFERROR(TRIM(INDEX($A499:$AL499,MATCH(Lists!$F$2,$A$1:$AL$1,0))&amp;""),"")="",0,N(IFERROR(IF(TRIM(INDEX($A499:$AL499,MATCH(Lists!$F$5,$A$1:$AL$1,0))&amp;"")="","",IF(ISNUMBER(INDEX($A499:$AL499,MATCH(Lists!$F$5,$A$1:$AL$1,0))),INT(INDEX($A499:$AL499,MATCH(Lists!$F$5,$A$1:$AL$1,0))),DATE(VALUE(LEFT(INDEX($A499:$AL499,MATCH(Lists!$F$5,$A$1:$AL$1,0)),4)),VALUE(MID(INDEX($A499:$AL499,MATCH(Lists!$F$5,$A$1:$AL$1,0)),6,2)),VALUE(MID(INDEX($A499:$AL499,MATCH(Lists!$F$5,$A$1:$AL$1,0)),9,2))))),"")))</f>
        <v/>
      </c>
      <c r="AU499" s="21">
        <f>IF(IFERROR(TRIM(INDEX($A499:$AL499,MATCH(Lists!$F$2,$A$1:$AL$1,0))&amp;""),"")="",-1,IF(ISNUMBER(IFERROR(IF(TRIM(INDEX($A499:$AL499,MATCH(Lists!$F$6,$A$1:$AL$1,0))&amp;"")="","",IF(ISNUMBER(INDEX($A499:$AL499,MATCH(Lists!$F$6,$A$1:$AL$1,0))),ROUND(MOD(INDEX($A499:$AL499,MATCH(Lists!$F$6,$A$1:$AL$1,0)),1)*1440,0),VALUE(LEFT(INDEX($A499:$AL499,MATCH(Lists!$F$6,$A$1:$AL$1,0)),2))*60+VALUE(MID(INDEX($A499:$AL499,MATCH(Lists!$F$6,$A$1:$AL$1,0)),4,2)))),"")),IFERROR(IF(TRIM(INDEX($A499:$AL499,MATCH(Lists!$F$6,$A$1:$AL$1,0))&amp;"")="","",IF(ISNUMBER(INDEX($A499:$AL499,MATCH(Lists!$F$6,$A$1:$AL$1,0))),ROUND(MOD(INDEX($A499:$AL499,MATCH(Lists!$F$6,$A$1:$AL$1,0)),1)*1440,0),VALUE(LEFT(INDEX($A499:$AL499,MATCH(Lists!$F$6,$A$1:$AL$1,0)),2))*60+VALUE(MID(INDEX($A499:$AL499,MATCH(Lists!$F$6,$A$1:$AL$1,0)),4,2)))),""),-1))</f>
        <v/>
      </c>
      <c r="AV499" s="21">
        <f>IF(IFERROR(TRIM(INDEX($A499:$AL499,MATCH(Lists!$F$2,$A$1:$AL$1,0))&amp;""),"")="",-1,IF(ISNUMBER(IFERROR(IF(TRIM(INDEX($A499:$AL499,MATCH(Lists!$F$7,$A$1:$AL$1,0))&amp;"")="","",IF(ISNUMBER(INDEX($A499:$AL499,MATCH(Lists!$F$7,$A$1:$AL$1,0))),ROUND(MOD(INDEX($A499:$AL499,MATCH(Lists!$F$7,$A$1:$AL$1,0)),1)*1440,0),VALUE(LEFT(INDEX($A499:$AL499,MATCH(Lists!$F$7,$A$1:$AL$1,0)),2))*60+VALUE(MID(INDEX($A499:$AL499,MATCH(Lists!$F$7,$A$1:$AL$1,0)),4,2)))),"")),IFERROR(IF(TRIM(INDEX($A499:$AL499,MATCH(Lists!$F$7,$A$1:$AL$1,0))&amp;"")="","",IF(ISNUMBER(INDEX($A499:$AL499,MATCH(Lists!$F$7,$A$1:$AL$1,0))),ROUND(MOD(INDEX($A499:$AL499,MATCH(Lists!$F$7,$A$1:$AL$1,0)),1)*1440,0),VALUE(LEFT(INDEX($A499:$AL499,MATCH(Lists!$F$7,$A$1:$AL$1,0)),2))*60+VALUE(MID(INDEX($A499:$AL499,MATCH(Lists!$F$7,$A$1:$AL$1,0)),4,2)))),""),-1))</f>
        <v/>
      </c>
      <c r="AW499" s="21">
        <f>IF(IFERROR(TRIM(INDEX($A499:$AL499,MATCH(Lists!$F$2,$A$1:$AL$1,0))&amp;""),"")="","",IF(IFERROR(TRIM(INDEX($A499:$AL499,MATCH(Lists!$F$8,$A$1:$AL$1,0))&amp;""),"")&lt;&gt;"",IFERROR(TRIM(INDEX($A499:$AL499,MATCH(Lists!$F$8,$A$1:$AL$1,0))&amp;""),""),IFERROR(TRIM(INDEX($A499:$AL499,MATCH(Lists!$F$9,$A$1:$AL$1,0))&amp;""),"")))</f>
        <v/>
      </c>
      <c r="AX499" s="21">
        <f>IFERROR(IF(TRIM(INDEX($A499:$AL499,MATCH(Lists!$F$10,$A$1:$AL$1,0))&amp;"")="","",VALUE(TRIM(INDEX($A499:$AL499,MATCH(Lists!$F$10,$A$1:$AL$1,0))&amp;""))),"")</f>
        <v/>
      </c>
      <c r="AY499" s="21">
        <f>IF(IFERROR(TRIM(INDEX($A499:$AL499,MATCH(Lists!$F$2,$A$1:$AL$1,0))&amp;""),"")="","",IF(AN499="","New",AN499))</f>
        <v/>
      </c>
      <c r="AZ499" s="21">
        <f>IF(IFERROR(TRIM(INDEX($A499:$AL499,MATCH(Lists!$F$2,$A$1:$AL$1,0))&amp;""),"")="","",IF(OR(IFERROR(TRIM(INDEX($A499:$AL499,MATCH(Lists!$F$13,$A$1:$AL$1,0))&amp;""),"")="Paid",IFERROR(TRIM(INDEX($A499:$AL499,MATCH(Lists!$F$13,$A$1:$AL$1,0))&amp;""),"")="Partially refunded"),"Paid",IF(AP499="Yes","Paid (by hand)",IFERROR(TRIM(INDEX($A499:$AL499,MATCH(Lists!$F$13,$A$1:$AL$1,0))&amp;""),""))))</f>
        <v/>
      </c>
      <c r="BA499" s="21">
        <f>IF(AND(IFERROR(TRIM(INDEX($A499:$AL499,MATCH(Lists!$F$2,$A$1:$AL$1,0))&amp;""),"")&lt;&gt;"",AT499&gt;0,AU499&gt;=0,AV499&gt;AU499,AY499&lt;&gt;"Declined"),1,0)</f>
        <v/>
      </c>
      <c r="BB499" s="21">
        <f>IF(BA499=1,COUNTIFS($AS$2:$AS$501,AS499,$AT$2:$AT$501,AT499,$AU$2:$AU$501,"&lt;"&amp;AV499,$AV$2:$AV$501,"&gt;"&amp;AU499,$BA$2:$BA$501,1)-1,"")</f>
        <v/>
      </c>
      <c r="BC499" s="21">
        <f>IF(N(BB499)&gt;0,"Clashes with "&amp;INDEX($AW$2:$AW$501,SUMPRODUCT(MAX(($AS$2:$AS$501=AS499)*($AT$2:$AT$501=AT499)*($AU$2:$AU$501&lt;AV499)*($AV$2:$AV$501&gt;AU499)*($BA$2:$BA$501=1)*(ROW($AS$2:$AS$501)&lt;&gt;ROW())*ROW($AS$2:$AS$501)))-1)&amp;" ("&amp;INDEX($AY$2:$AY$501,SUMPRODUCT(MAX(($AS$2:$AS$501=AS499)*($AT$2:$AT$501=AT499)*($AU$2:$AU$501&lt;AV499)*($AV$2:$AV$501&gt;AU499)*($BA$2:$BA$501=1)*(ROW($AS$2:$AS$501)&lt;&gt;ROW())*ROW($AS$2:$AS$501)))-1)&amp;")"&amp;IF(BB499&gt;1," and "&amp;(BB499-1)&amp;" more",""),"")</f>
        <v/>
      </c>
      <c r="BD499" s="21">
        <f>IF(AND(BA499=1,AY499="Confirmed"),AT499*10000000+AU499*1000+ROW(),"")</f>
        <v/>
      </c>
      <c r="BE499" s="21">
        <f>IF(IFERROR(TRIM(INDEX($A499:$AL499,MATCH(Lists!$F$2,$A$1:$AL$1,0))&amp;""),"")="","",IFERROR(TRIM(INDEX($A499:$AL499,MATCH(Lists!$F$11,$A$1:$AL$1,0))&amp;""),""))</f>
        <v/>
      </c>
      <c r="BF499" s="21">
        <f>IF(IFERROR(TRIM(INDEX($A499:$AL499,MATCH(Lists!$F$2,$A$1:$AL$1,0))&amp;""),"")="","",IFERROR(TRIM(INDEX($A499:$AL499,MATCH(Lists!$F$12,$A$1:$AL$1,0))&amp;""),""))</f>
        <v/>
      </c>
    </row>
    <row r="500">
      <c r="AM500" s="19" t="n"/>
      <c r="AN500" s="23" t="n"/>
      <c r="AO500" s="23" t="n"/>
      <c r="AP500" s="23" t="n"/>
      <c r="AQ500" s="23" t="n"/>
      <c r="AR500" s="19" t="n"/>
      <c r="AS500" s="21">
        <f>IF(IFERROR(TRIM(INDEX($A500:$AL500,MATCH(Lists!$F$2,$A$1:$AL$1,0))&amp;""),"")="","",IF(AND(IFERROR(TRIM(INDEX($A500:$AL500,MATCH(Lists!$F$3,$A$1:$AL$1,0))&amp;""),"")="Other",IFERROR(TRIM(INDEX($A500:$AL500,MATCH(Lists!$F$4,$A$1:$AL$1,0))&amp;""),"")&lt;&gt;""),IFERROR(TRIM(INDEX($A500:$AL500,MATCH(Lists!$F$4,$A$1:$AL$1,0))&amp;""),""),IF(IFERROR(TRIM(INDEX($A500:$AL500,MATCH(Lists!$F$3,$A$1:$AL$1,0))&amp;""),"")="","(no space)",IFERROR(TRIM(INDEX($A500:$AL500,MATCH(Lists!$F$3,$A$1:$AL$1,0))&amp;""),""))))</f>
        <v/>
      </c>
      <c r="AT500" s="22">
        <f>IF(IFERROR(TRIM(INDEX($A500:$AL500,MATCH(Lists!$F$2,$A$1:$AL$1,0))&amp;""),"")="",0,N(IFERROR(IF(TRIM(INDEX($A500:$AL500,MATCH(Lists!$F$5,$A$1:$AL$1,0))&amp;"")="","",IF(ISNUMBER(INDEX($A500:$AL500,MATCH(Lists!$F$5,$A$1:$AL$1,0))),INT(INDEX($A500:$AL500,MATCH(Lists!$F$5,$A$1:$AL$1,0))),DATE(VALUE(LEFT(INDEX($A500:$AL500,MATCH(Lists!$F$5,$A$1:$AL$1,0)),4)),VALUE(MID(INDEX($A500:$AL500,MATCH(Lists!$F$5,$A$1:$AL$1,0)),6,2)),VALUE(MID(INDEX($A500:$AL500,MATCH(Lists!$F$5,$A$1:$AL$1,0)),9,2))))),"")))</f>
        <v/>
      </c>
      <c r="AU500" s="21">
        <f>IF(IFERROR(TRIM(INDEX($A500:$AL500,MATCH(Lists!$F$2,$A$1:$AL$1,0))&amp;""),"")="",-1,IF(ISNUMBER(IFERROR(IF(TRIM(INDEX($A500:$AL500,MATCH(Lists!$F$6,$A$1:$AL$1,0))&amp;"")="","",IF(ISNUMBER(INDEX($A500:$AL500,MATCH(Lists!$F$6,$A$1:$AL$1,0))),ROUND(MOD(INDEX($A500:$AL500,MATCH(Lists!$F$6,$A$1:$AL$1,0)),1)*1440,0),VALUE(LEFT(INDEX($A500:$AL500,MATCH(Lists!$F$6,$A$1:$AL$1,0)),2))*60+VALUE(MID(INDEX($A500:$AL500,MATCH(Lists!$F$6,$A$1:$AL$1,0)),4,2)))),"")),IFERROR(IF(TRIM(INDEX($A500:$AL500,MATCH(Lists!$F$6,$A$1:$AL$1,0))&amp;"")="","",IF(ISNUMBER(INDEX($A500:$AL500,MATCH(Lists!$F$6,$A$1:$AL$1,0))),ROUND(MOD(INDEX($A500:$AL500,MATCH(Lists!$F$6,$A$1:$AL$1,0)),1)*1440,0),VALUE(LEFT(INDEX($A500:$AL500,MATCH(Lists!$F$6,$A$1:$AL$1,0)),2))*60+VALUE(MID(INDEX($A500:$AL500,MATCH(Lists!$F$6,$A$1:$AL$1,0)),4,2)))),""),-1))</f>
        <v/>
      </c>
      <c r="AV500" s="21">
        <f>IF(IFERROR(TRIM(INDEX($A500:$AL500,MATCH(Lists!$F$2,$A$1:$AL$1,0))&amp;""),"")="",-1,IF(ISNUMBER(IFERROR(IF(TRIM(INDEX($A500:$AL500,MATCH(Lists!$F$7,$A$1:$AL$1,0))&amp;"")="","",IF(ISNUMBER(INDEX($A500:$AL500,MATCH(Lists!$F$7,$A$1:$AL$1,0))),ROUND(MOD(INDEX($A500:$AL500,MATCH(Lists!$F$7,$A$1:$AL$1,0)),1)*1440,0),VALUE(LEFT(INDEX($A500:$AL500,MATCH(Lists!$F$7,$A$1:$AL$1,0)),2))*60+VALUE(MID(INDEX($A500:$AL500,MATCH(Lists!$F$7,$A$1:$AL$1,0)),4,2)))),"")),IFERROR(IF(TRIM(INDEX($A500:$AL500,MATCH(Lists!$F$7,$A$1:$AL$1,0))&amp;"")="","",IF(ISNUMBER(INDEX($A500:$AL500,MATCH(Lists!$F$7,$A$1:$AL$1,0))),ROUND(MOD(INDEX($A500:$AL500,MATCH(Lists!$F$7,$A$1:$AL$1,0)),1)*1440,0),VALUE(LEFT(INDEX($A500:$AL500,MATCH(Lists!$F$7,$A$1:$AL$1,0)),2))*60+VALUE(MID(INDEX($A500:$AL500,MATCH(Lists!$F$7,$A$1:$AL$1,0)),4,2)))),""),-1))</f>
        <v/>
      </c>
      <c r="AW500" s="21">
        <f>IF(IFERROR(TRIM(INDEX($A500:$AL500,MATCH(Lists!$F$2,$A$1:$AL$1,0))&amp;""),"")="","",IF(IFERROR(TRIM(INDEX($A500:$AL500,MATCH(Lists!$F$8,$A$1:$AL$1,0))&amp;""),"")&lt;&gt;"",IFERROR(TRIM(INDEX($A500:$AL500,MATCH(Lists!$F$8,$A$1:$AL$1,0))&amp;""),""),IFERROR(TRIM(INDEX($A500:$AL500,MATCH(Lists!$F$9,$A$1:$AL$1,0))&amp;""),"")))</f>
        <v/>
      </c>
      <c r="AX500" s="21">
        <f>IFERROR(IF(TRIM(INDEX($A500:$AL500,MATCH(Lists!$F$10,$A$1:$AL$1,0))&amp;"")="","",VALUE(TRIM(INDEX($A500:$AL500,MATCH(Lists!$F$10,$A$1:$AL$1,0))&amp;""))),"")</f>
        <v/>
      </c>
      <c r="AY500" s="21">
        <f>IF(IFERROR(TRIM(INDEX($A500:$AL500,MATCH(Lists!$F$2,$A$1:$AL$1,0))&amp;""),"")="","",IF(AN500="","New",AN500))</f>
        <v/>
      </c>
      <c r="AZ500" s="21">
        <f>IF(IFERROR(TRIM(INDEX($A500:$AL500,MATCH(Lists!$F$2,$A$1:$AL$1,0))&amp;""),"")="","",IF(OR(IFERROR(TRIM(INDEX($A500:$AL500,MATCH(Lists!$F$13,$A$1:$AL$1,0))&amp;""),"")="Paid",IFERROR(TRIM(INDEX($A500:$AL500,MATCH(Lists!$F$13,$A$1:$AL$1,0))&amp;""),"")="Partially refunded"),"Paid",IF(AP500="Yes","Paid (by hand)",IFERROR(TRIM(INDEX($A500:$AL500,MATCH(Lists!$F$13,$A$1:$AL$1,0))&amp;""),""))))</f>
        <v/>
      </c>
      <c r="BA500" s="21">
        <f>IF(AND(IFERROR(TRIM(INDEX($A500:$AL500,MATCH(Lists!$F$2,$A$1:$AL$1,0))&amp;""),"")&lt;&gt;"",AT500&gt;0,AU500&gt;=0,AV500&gt;AU500,AY500&lt;&gt;"Declined"),1,0)</f>
        <v/>
      </c>
      <c r="BB500" s="21">
        <f>IF(BA500=1,COUNTIFS($AS$2:$AS$501,AS500,$AT$2:$AT$501,AT500,$AU$2:$AU$501,"&lt;"&amp;AV500,$AV$2:$AV$501,"&gt;"&amp;AU500,$BA$2:$BA$501,1)-1,"")</f>
        <v/>
      </c>
      <c r="BC500" s="21">
        <f>IF(N(BB500)&gt;0,"Clashes with "&amp;INDEX($AW$2:$AW$501,SUMPRODUCT(MAX(($AS$2:$AS$501=AS500)*($AT$2:$AT$501=AT500)*($AU$2:$AU$501&lt;AV500)*($AV$2:$AV$501&gt;AU500)*($BA$2:$BA$501=1)*(ROW($AS$2:$AS$501)&lt;&gt;ROW())*ROW($AS$2:$AS$501)))-1)&amp;" ("&amp;INDEX($AY$2:$AY$501,SUMPRODUCT(MAX(($AS$2:$AS$501=AS500)*($AT$2:$AT$501=AT500)*($AU$2:$AU$501&lt;AV500)*($AV$2:$AV$501&gt;AU500)*($BA$2:$BA$501=1)*(ROW($AS$2:$AS$501)&lt;&gt;ROW())*ROW($AS$2:$AS$501)))-1)&amp;")"&amp;IF(BB500&gt;1," and "&amp;(BB500-1)&amp;" more",""),"")</f>
        <v/>
      </c>
      <c r="BD500" s="21">
        <f>IF(AND(BA500=1,AY500="Confirmed"),AT500*10000000+AU500*1000+ROW(),"")</f>
        <v/>
      </c>
      <c r="BE500" s="21">
        <f>IF(IFERROR(TRIM(INDEX($A500:$AL500,MATCH(Lists!$F$2,$A$1:$AL$1,0))&amp;""),"")="","",IFERROR(TRIM(INDEX($A500:$AL500,MATCH(Lists!$F$11,$A$1:$AL$1,0))&amp;""),""))</f>
        <v/>
      </c>
      <c r="BF500" s="21">
        <f>IF(IFERROR(TRIM(INDEX($A500:$AL500,MATCH(Lists!$F$2,$A$1:$AL$1,0))&amp;""),"")="","",IFERROR(TRIM(INDEX($A500:$AL500,MATCH(Lists!$F$12,$A$1:$AL$1,0))&amp;""),""))</f>
        <v/>
      </c>
    </row>
    <row r="501">
      <c r="AM501" s="19" t="n"/>
      <c r="AN501" s="23" t="n"/>
      <c r="AO501" s="23" t="n"/>
      <c r="AP501" s="23" t="n"/>
      <c r="AQ501" s="23" t="n"/>
      <c r="AR501" s="19" t="n"/>
      <c r="AS501" s="21">
        <f>IF(IFERROR(TRIM(INDEX($A501:$AL501,MATCH(Lists!$F$2,$A$1:$AL$1,0))&amp;""),"")="","",IF(AND(IFERROR(TRIM(INDEX($A501:$AL501,MATCH(Lists!$F$3,$A$1:$AL$1,0))&amp;""),"")="Other",IFERROR(TRIM(INDEX($A501:$AL501,MATCH(Lists!$F$4,$A$1:$AL$1,0))&amp;""),"")&lt;&gt;""),IFERROR(TRIM(INDEX($A501:$AL501,MATCH(Lists!$F$4,$A$1:$AL$1,0))&amp;""),""),IF(IFERROR(TRIM(INDEX($A501:$AL501,MATCH(Lists!$F$3,$A$1:$AL$1,0))&amp;""),"")="","(no space)",IFERROR(TRIM(INDEX($A501:$AL501,MATCH(Lists!$F$3,$A$1:$AL$1,0))&amp;""),""))))</f>
        <v/>
      </c>
      <c r="AT501" s="22">
        <f>IF(IFERROR(TRIM(INDEX($A501:$AL501,MATCH(Lists!$F$2,$A$1:$AL$1,0))&amp;""),"")="",0,N(IFERROR(IF(TRIM(INDEX($A501:$AL501,MATCH(Lists!$F$5,$A$1:$AL$1,0))&amp;"")="","",IF(ISNUMBER(INDEX($A501:$AL501,MATCH(Lists!$F$5,$A$1:$AL$1,0))),INT(INDEX($A501:$AL501,MATCH(Lists!$F$5,$A$1:$AL$1,0))),DATE(VALUE(LEFT(INDEX($A501:$AL501,MATCH(Lists!$F$5,$A$1:$AL$1,0)),4)),VALUE(MID(INDEX($A501:$AL501,MATCH(Lists!$F$5,$A$1:$AL$1,0)),6,2)),VALUE(MID(INDEX($A501:$AL501,MATCH(Lists!$F$5,$A$1:$AL$1,0)),9,2))))),"")))</f>
        <v/>
      </c>
      <c r="AU501" s="21">
        <f>IF(IFERROR(TRIM(INDEX($A501:$AL501,MATCH(Lists!$F$2,$A$1:$AL$1,0))&amp;""),"")="",-1,IF(ISNUMBER(IFERROR(IF(TRIM(INDEX($A501:$AL501,MATCH(Lists!$F$6,$A$1:$AL$1,0))&amp;"")="","",IF(ISNUMBER(INDEX($A501:$AL501,MATCH(Lists!$F$6,$A$1:$AL$1,0))),ROUND(MOD(INDEX($A501:$AL501,MATCH(Lists!$F$6,$A$1:$AL$1,0)),1)*1440,0),VALUE(LEFT(INDEX($A501:$AL501,MATCH(Lists!$F$6,$A$1:$AL$1,0)),2))*60+VALUE(MID(INDEX($A501:$AL501,MATCH(Lists!$F$6,$A$1:$AL$1,0)),4,2)))),"")),IFERROR(IF(TRIM(INDEX($A501:$AL501,MATCH(Lists!$F$6,$A$1:$AL$1,0))&amp;"")="","",IF(ISNUMBER(INDEX($A501:$AL501,MATCH(Lists!$F$6,$A$1:$AL$1,0))),ROUND(MOD(INDEX($A501:$AL501,MATCH(Lists!$F$6,$A$1:$AL$1,0)),1)*1440,0),VALUE(LEFT(INDEX($A501:$AL501,MATCH(Lists!$F$6,$A$1:$AL$1,0)),2))*60+VALUE(MID(INDEX($A501:$AL501,MATCH(Lists!$F$6,$A$1:$AL$1,0)),4,2)))),""),-1))</f>
        <v/>
      </c>
      <c r="AV501" s="21">
        <f>IF(IFERROR(TRIM(INDEX($A501:$AL501,MATCH(Lists!$F$2,$A$1:$AL$1,0))&amp;""),"")="",-1,IF(ISNUMBER(IFERROR(IF(TRIM(INDEX($A501:$AL501,MATCH(Lists!$F$7,$A$1:$AL$1,0))&amp;"")="","",IF(ISNUMBER(INDEX($A501:$AL501,MATCH(Lists!$F$7,$A$1:$AL$1,0))),ROUND(MOD(INDEX($A501:$AL501,MATCH(Lists!$F$7,$A$1:$AL$1,0)),1)*1440,0),VALUE(LEFT(INDEX($A501:$AL501,MATCH(Lists!$F$7,$A$1:$AL$1,0)),2))*60+VALUE(MID(INDEX($A501:$AL501,MATCH(Lists!$F$7,$A$1:$AL$1,0)),4,2)))),"")),IFERROR(IF(TRIM(INDEX($A501:$AL501,MATCH(Lists!$F$7,$A$1:$AL$1,0))&amp;"")="","",IF(ISNUMBER(INDEX($A501:$AL501,MATCH(Lists!$F$7,$A$1:$AL$1,0))),ROUND(MOD(INDEX($A501:$AL501,MATCH(Lists!$F$7,$A$1:$AL$1,0)),1)*1440,0),VALUE(LEFT(INDEX($A501:$AL501,MATCH(Lists!$F$7,$A$1:$AL$1,0)),2))*60+VALUE(MID(INDEX($A501:$AL501,MATCH(Lists!$F$7,$A$1:$AL$1,0)),4,2)))),""),-1))</f>
        <v/>
      </c>
      <c r="AW501" s="21">
        <f>IF(IFERROR(TRIM(INDEX($A501:$AL501,MATCH(Lists!$F$2,$A$1:$AL$1,0))&amp;""),"")="","",IF(IFERROR(TRIM(INDEX($A501:$AL501,MATCH(Lists!$F$8,$A$1:$AL$1,0))&amp;""),"")&lt;&gt;"",IFERROR(TRIM(INDEX($A501:$AL501,MATCH(Lists!$F$8,$A$1:$AL$1,0))&amp;""),""),IFERROR(TRIM(INDEX($A501:$AL501,MATCH(Lists!$F$9,$A$1:$AL$1,0))&amp;""),"")))</f>
        <v/>
      </c>
      <c r="AX501" s="21">
        <f>IFERROR(IF(TRIM(INDEX($A501:$AL501,MATCH(Lists!$F$10,$A$1:$AL$1,0))&amp;"")="","",VALUE(TRIM(INDEX($A501:$AL501,MATCH(Lists!$F$10,$A$1:$AL$1,0))&amp;""))),"")</f>
        <v/>
      </c>
      <c r="AY501" s="21">
        <f>IF(IFERROR(TRIM(INDEX($A501:$AL501,MATCH(Lists!$F$2,$A$1:$AL$1,0))&amp;""),"")="","",IF(AN501="","New",AN501))</f>
        <v/>
      </c>
      <c r="AZ501" s="21">
        <f>IF(IFERROR(TRIM(INDEX($A501:$AL501,MATCH(Lists!$F$2,$A$1:$AL$1,0))&amp;""),"")="","",IF(OR(IFERROR(TRIM(INDEX($A501:$AL501,MATCH(Lists!$F$13,$A$1:$AL$1,0))&amp;""),"")="Paid",IFERROR(TRIM(INDEX($A501:$AL501,MATCH(Lists!$F$13,$A$1:$AL$1,0))&amp;""),"")="Partially refunded"),"Paid",IF(AP501="Yes","Paid (by hand)",IFERROR(TRIM(INDEX($A501:$AL501,MATCH(Lists!$F$13,$A$1:$AL$1,0))&amp;""),""))))</f>
        <v/>
      </c>
      <c r="BA501" s="21">
        <f>IF(AND(IFERROR(TRIM(INDEX($A501:$AL501,MATCH(Lists!$F$2,$A$1:$AL$1,0))&amp;""),"")&lt;&gt;"",AT501&gt;0,AU501&gt;=0,AV501&gt;AU501,AY501&lt;&gt;"Declined"),1,0)</f>
        <v/>
      </c>
      <c r="BB501" s="21">
        <f>IF(BA501=1,COUNTIFS($AS$2:$AS$501,AS501,$AT$2:$AT$501,AT501,$AU$2:$AU$501,"&lt;"&amp;AV501,$AV$2:$AV$501,"&gt;"&amp;AU501,$BA$2:$BA$501,1)-1,"")</f>
        <v/>
      </c>
      <c r="BC501" s="21">
        <f>IF(N(BB501)&gt;0,"Clashes with "&amp;INDEX($AW$2:$AW$501,SUMPRODUCT(MAX(($AS$2:$AS$501=AS501)*($AT$2:$AT$501=AT501)*($AU$2:$AU$501&lt;AV501)*($AV$2:$AV$501&gt;AU501)*($BA$2:$BA$501=1)*(ROW($AS$2:$AS$501)&lt;&gt;ROW())*ROW($AS$2:$AS$501)))-1)&amp;" ("&amp;INDEX($AY$2:$AY$501,SUMPRODUCT(MAX(($AS$2:$AS$501=AS501)*($AT$2:$AT$501=AT501)*($AU$2:$AU$501&lt;AV501)*($AV$2:$AV$501&gt;AU501)*($BA$2:$BA$501=1)*(ROW($AS$2:$AS$501)&lt;&gt;ROW())*ROW($AS$2:$AS$501)))-1)&amp;")"&amp;IF(BB501&gt;1," and "&amp;(BB501-1)&amp;" more",""),"")</f>
        <v/>
      </c>
      <c r="BD501" s="21">
        <f>IF(AND(BA501=1,AY501="Confirmed"),AT501*10000000+AU501*1000+ROW(),"")</f>
        <v/>
      </c>
      <c r="BE501" s="21">
        <f>IF(IFERROR(TRIM(INDEX($A501:$AL501,MATCH(Lists!$F$2,$A$1:$AL$1,0))&amp;""),"")="","",IFERROR(TRIM(INDEX($A501:$AL501,MATCH(Lists!$F$11,$A$1:$AL$1,0))&amp;""),""))</f>
        <v/>
      </c>
      <c r="BF501" s="21">
        <f>IF(IFERROR(TRIM(INDEX($A501:$AL501,MATCH(Lists!$F$2,$A$1:$AL$1,0))&amp;""),"")="","",IFERROR(TRIM(INDEX($A501:$AL501,MATCH(Lists!$F$12,$A$1:$AL$1,0))&amp;""),""))</f>
        <v/>
      </c>
    </row>
  </sheetData>
  <dataValidations count="2">
    <dataValidation sqref="AN2:AN501" showDropDown="0" showInputMessage="1" showErrorMessage="1" allowBlank="1" errorTitle="Status" error="Pick a value from the list. New, Confirmed or Declined." promptTitle="Status" prompt="New, Confirmed or Declined." type="list" errorStyle="warning">
      <formula1>Lists!$A$2:$A$4</formula1>
    </dataValidation>
    <dataValidation sqref="AO2:AP501" showDropDown="0" showInputMessage="1" showErrorMessage="1" allowBlank="1" errorTitle="Yes or No" error="Pick a value from the list. Yes once you have it." promptTitle="Yes or No" prompt="Yes once you have it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O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8" customWidth="1" min="3" max="3"/>
    <col width="8" customWidth="1" min="4" max="4"/>
    <col width="24" customWidth="1" min="5" max="5"/>
    <col width="8" customWidth="1" min="6" max="6"/>
    <col width="14" customWidth="1" min="7" max="7"/>
    <col width="26" customWidth="1" min="8" max="8"/>
    <col width="12" customWidth="1" min="9" max="9"/>
    <col width="14" customWidth="1" min="10" max="10"/>
    <col width="11" customWidth="1" min="11" max="11"/>
    <col width="44" customWidth="1" min="12" max="12"/>
    <col width="3" customWidth="1" min="13" max="13"/>
    <col width="28" customWidth="1" min="14" max="14"/>
    <col width="10" customWidth="1" min="15" max="15"/>
  </cols>
  <sheetData>
    <row r="1">
      <c r="A1" s="24" t="inlineStr">
        <is>
          <t>Booking log: one row per request</t>
        </is>
      </c>
    </row>
    <row r="2">
      <c r="A2" s="25" t="inlineStr">
        <is>
          <t>Status, certificate and paid columns come from the yellow cells on Responses. A clash means another request that is not Declined wants the same space on the same date at an overlapping time.</t>
        </is>
      </c>
    </row>
    <row r="3">
      <c r="A3" s="26">
        <f>IF(COUNTIF(Responses!$A$2:$A$501,"EXAMPLE*")&gt;0,"You are looking at EXAMPLE data. Clear A2 to AQ9 on Responses, then paste your own.","")</f>
        <v/>
      </c>
    </row>
    <row r="5" ht="32" customHeight="1">
      <c r="A5" s="3" t="inlineStr">
        <is>
          <t>Date</t>
        </is>
      </c>
      <c r="B5" s="3" t="inlineStr">
        <is>
          <t>Space</t>
        </is>
      </c>
      <c r="C5" s="3" t="inlineStr">
        <is>
          <t>Start</t>
        </is>
      </c>
      <c r="D5" s="3" t="inlineStr">
        <is>
          <t>End</t>
        </is>
      </c>
      <c r="E5" s="3" t="inlineStr">
        <is>
          <t>Group or name</t>
        </is>
      </c>
      <c r="F5" s="3" t="inlineStr">
        <is>
          <t>People</t>
        </is>
      </c>
      <c r="G5" s="3" t="inlineStr">
        <is>
          <t>Capacity check</t>
        </is>
      </c>
      <c r="H5" s="3" t="inlineStr">
        <is>
          <t>Insurance on the form</t>
        </is>
      </c>
      <c r="I5" s="3" t="inlineStr">
        <is>
          <t>Certificate received</t>
        </is>
      </c>
      <c r="J5" s="3" t="inlineStr">
        <is>
          <t>Paid</t>
        </is>
      </c>
      <c r="K5" s="3" t="inlineStr">
        <is>
          <t>Status</t>
        </is>
      </c>
      <c r="L5" s="3" t="inlineStr">
        <is>
          <t>Clash</t>
        </is>
      </c>
      <c r="N5" s="3" t="inlineStr">
        <is>
          <t>Counts</t>
        </is>
      </c>
      <c r="O5" s="3" t="inlineStr">
        <is>
          <t>Requests</t>
        </is>
      </c>
    </row>
    <row r="6">
      <c r="A6" s="27">
        <f>IF(Responses!AS2="","",IF(Responses!AT2&gt;0,Responses!AT2,"Check date"))</f>
        <v/>
      </c>
      <c r="B6" s="28">
        <f>Responses!AS2</f>
        <v/>
      </c>
      <c r="C6" s="29">
        <f>IF(Responses!AS2="","",IF(Responses!AU2&gt;=0,IF(Responses!AU2="","",RIGHT("0"&amp;INT(Responses!AU2/60),2)&amp;":"&amp;RIGHT("0"&amp;MOD(Responses!AU2,60),2)),"Check"))</f>
        <v/>
      </c>
      <c r="D6" s="29">
        <f>IF(Responses!AS2="","",IF(Responses!AV2&gt;=0,IF(Responses!AV2="","",RIGHT("0"&amp;INT(Responses!AV2/60),2)&amp;":"&amp;RIGHT("0"&amp;MOD(Responses!AV2,60),2)),"Check"))</f>
        <v/>
      </c>
      <c r="E6" s="28">
        <f>Responses!AW2</f>
        <v/>
      </c>
      <c r="F6" s="29">
        <f>Responses!AX2</f>
        <v/>
      </c>
      <c r="G6" s="29">
        <f>IF(Responses!AS2="","",IF(AND(ISNUMBER(Responses!AX2),ISNUMBER(IFERROR(VALUE(INDEX(Spaces!$B$5:$B$16,MATCH(Responses!AS2,Spaces!$A$5:$A$16,0))&amp;""),""))),IF(Responses!AX2&gt;IFERROR(VALUE(INDEX(Spaces!$B$5:$B$16,MATCH(Responses!AS2,Spaces!$A$5:$A$16,0))&amp;""),""),"Over by "&amp;(Responses!AX2-IFERROR(VALUE(INDEX(Spaces!$B$5:$B$16,MATCH(Responses!AS2,Spaces!$A$5:$A$16,0))&amp;""),"")),"OK"),""))</f>
        <v/>
      </c>
      <c r="H6" s="28">
        <f>Responses!BF2</f>
        <v/>
      </c>
      <c r="I6" s="28">
        <f>IF(Responses!AS2="","",Responses!AO2&amp;"")</f>
        <v/>
      </c>
      <c r="J6" s="28">
        <f>IF(Responses!AS2="","",Responses!AZ2&amp;"")</f>
        <v/>
      </c>
      <c r="K6" s="29">
        <f>Responses!AY2</f>
        <v/>
      </c>
      <c r="L6" s="28">
        <f>IF(Responses!AS2="","",IF(Responses!AY2="Declined","",IF(Responses!BA2=0,"Check date and times",IF(Responses!BB2&gt;0,Responses!BC2,"No clash"))))</f>
        <v/>
      </c>
      <c r="N6" s="10" t="inlineStr">
        <is>
          <t>All requests</t>
        </is>
      </c>
      <c r="O6" s="28">
        <f>SUM(O7:O9)</f>
        <v/>
      </c>
    </row>
    <row r="7">
      <c r="A7" s="27">
        <f>IF(Responses!AS3="","",IF(Responses!AT3&gt;0,Responses!AT3,"Check date"))</f>
        <v/>
      </c>
      <c r="B7" s="28">
        <f>Responses!AS3</f>
        <v/>
      </c>
      <c r="C7" s="29">
        <f>IF(Responses!AS3="","",IF(Responses!AU3&gt;=0,IF(Responses!AU3="","",RIGHT("0"&amp;INT(Responses!AU3/60),2)&amp;":"&amp;RIGHT("0"&amp;MOD(Responses!AU3,60),2)),"Check"))</f>
        <v/>
      </c>
      <c r="D7" s="29">
        <f>IF(Responses!AS3="","",IF(Responses!AV3&gt;=0,IF(Responses!AV3="","",RIGHT("0"&amp;INT(Responses!AV3/60),2)&amp;":"&amp;RIGHT("0"&amp;MOD(Responses!AV3,60),2)),"Check"))</f>
        <v/>
      </c>
      <c r="E7" s="28">
        <f>Responses!AW3</f>
        <v/>
      </c>
      <c r="F7" s="29">
        <f>Responses!AX3</f>
        <v/>
      </c>
      <c r="G7" s="29">
        <f>IF(Responses!AS3="","",IF(AND(ISNUMBER(Responses!AX3),ISNUMBER(IFERROR(VALUE(INDEX(Spaces!$B$5:$B$16,MATCH(Responses!AS3,Spaces!$A$5:$A$16,0))&amp;""),""))),IF(Responses!AX3&gt;IFERROR(VALUE(INDEX(Spaces!$B$5:$B$16,MATCH(Responses!AS3,Spaces!$A$5:$A$16,0))&amp;""),""),"Over by "&amp;(Responses!AX3-IFERROR(VALUE(INDEX(Spaces!$B$5:$B$16,MATCH(Responses!AS3,Spaces!$A$5:$A$16,0))&amp;""),"")),"OK"),""))</f>
        <v/>
      </c>
      <c r="H7" s="28">
        <f>Responses!BF3</f>
        <v/>
      </c>
      <c r="I7" s="28">
        <f>IF(Responses!AS3="","",Responses!AO3&amp;"")</f>
        <v/>
      </c>
      <c r="J7" s="28">
        <f>IF(Responses!AS3="","",Responses!AZ3&amp;"")</f>
        <v/>
      </c>
      <c r="K7" s="29">
        <f>Responses!AY3</f>
        <v/>
      </c>
      <c r="L7" s="28">
        <f>IF(Responses!AS3="","",IF(Responses!AY3="Declined","",IF(Responses!BA3=0,"Check date and times",IF(Responses!BB3&gt;0,Responses!BC3,"No clash"))))</f>
        <v/>
      </c>
      <c r="N7" s="10" t="inlineStr">
        <is>
          <t>New</t>
        </is>
      </c>
      <c r="O7" s="28">
        <f>COUNTIF(Responses!$AY$2:$AY$501,"New")</f>
        <v/>
      </c>
    </row>
    <row r="8">
      <c r="A8" s="27">
        <f>IF(Responses!AS4="","",IF(Responses!AT4&gt;0,Responses!AT4,"Check date"))</f>
        <v/>
      </c>
      <c r="B8" s="28">
        <f>Responses!AS4</f>
        <v/>
      </c>
      <c r="C8" s="29">
        <f>IF(Responses!AS4="","",IF(Responses!AU4&gt;=0,IF(Responses!AU4="","",RIGHT("0"&amp;INT(Responses!AU4/60),2)&amp;":"&amp;RIGHT("0"&amp;MOD(Responses!AU4,60),2)),"Check"))</f>
        <v/>
      </c>
      <c r="D8" s="29">
        <f>IF(Responses!AS4="","",IF(Responses!AV4&gt;=0,IF(Responses!AV4="","",RIGHT("0"&amp;INT(Responses!AV4/60),2)&amp;":"&amp;RIGHT("0"&amp;MOD(Responses!AV4,60),2)),"Check"))</f>
        <v/>
      </c>
      <c r="E8" s="28">
        <f>Responses!AW4</f>
        <v/>
      </c>
      <c r="F8" s="29">
        <f>Responses!AX4</f>
        <v/>
      </c>
      <c r="G8" s="29">
        <f>IF(Responses!AS4="","",IF(AND(ISNUMBER(Responses!AX4),ISNUMBER(IFERROR(VALUE(INDEX(Spaces!$B$5:$B$16,MATCH(Responses!AS4,Spaces!$A$5:$A$16,0))&amp;""),""))),IF(Responses!AX4&gt;IFERROR(VALUE(INDEX(Spaces!$B$5:$B$16,MATCH(Responses!AS4,Spaces!$A$5:$A$16,0))&amp;""),""),"Over by "&amp;(Responses!AX4-IFERROR(VALUE(INDEX(Spaces!$B$5:$B$16,MATCH(Responses!AS4,Spaces!$A$5:$A$16,0))&amp;""),"")),"OK"),""))</f>
        <v/>
      </c>
      <c r="H8" s="28">
        <f>Responses!BF4</f>
        <v/>
      </c>
      <c r="I8" s="28">
        <f>IF(Responses!AS4="","",Responses!AO4&amp;"")</f>
        <v/>
      </c>
      <c r="J8" s="28">
        <f>IF(Responses!AS4="","",Responses!AZ4&amp;"")</f>
        <v/>
      </c>
      <c r="K8" s="29">
        <f>Responses!AY4</f>
        <v/>
      </c>
      <c r="L8" s="28">
        <f>IF(Responses!AS4="","",IF(Responses!AY4="Declined","",IF(Responses!BA4=0,"Check date and times",IF(Responses!BB4&gt;0,Responses!BC4,"No clash"))))</f>
        <v/>
      </c>
      <c r="N8" s="10" t="inlineStr">
        <is>
          <t>Confirmed</t>
        </is>
      </c>
      <c r="O8" s="28">
        <f>COUNTIF(Responses!$AY$2:$AY$501,"Confirmed")</f>
        <v/>
      </c>
    </row>
    <row r="9">
      <c r="A9" s="27">
        <f>IF(Responses!AS5="","",IF(Responses!AT5&gt;0,Responses!AT5,"Check date"))</f>
        <v/>
      </c>
      <c r="B9" s="28">
        <f>Responses!AS5</f>
        <v/>
      </c>
      <c r="C9" s="29">
        <f>IF(Responses!AS5="","",IF(Responses!AU5&gt;=0,IF(Responses!AU5="","",RIGHT("0"&amp;INT(Responses!AU5/60),2)&amp;":"&amp;RIGHT("0"&amp;MOD(Responses!AU5,60),2)),"Check"))</f>
        <v/>
      </c>
      <c r="D9" s="29">
        <f>IF(Responses!AS5="","",IF(Responses!AV5&gt;=0,IF(Responses!AV5="","",RIGHT("0"&amp;INT(Responses!AV5/60),2)&amp;":"&amp;RIGHT("0"&amp;MOD(Responses!AV5,60),2)),"Check"))</f>
        <v/>
      </c>
      <c r="E9" s="28">
        <f>Responses!AW5</f>
        <v/>
      </c>
      <c r="F9" s="29">
        <f>Responses!AX5</f>
        <v/>
      </c>
      <c r="G9" s="29">
        <f>IF(Responses!AS5="","",IF(AND(ISNUMBER(Responses!AX5),ISNUMBER(IFERROR(VALUE(INDEX(Spaces!$B$5:$B$16,MATCH(Responses!AS5,Spaces!$A$5:$A$16,0))&amp;""),""))),IF(Responses!AX5&gt;IFERROR(VALUE(INDEX(Spaces!$B$5:$B$16,MATCH(Responses!AS5,Spaces!$A$5:$A$16,0))&amp;""),""),"Over by "&amp;(Responses!AX5-IFERROR(VALUE(INDEX(Spaces!$B$5:$B$16,MATCH(Responses!AS5,Spaces!$A$5:$A$16,0))&amp;""),"")),"OK"),""))</f>
        <v/>
      </c>
      <c r="H9" s="28">
        <f>Responses!BF5</f>
        <v/>
      </c>
      <c r="I9" s="28">
        <f>IF(Responses!AS5="","",Responses!AO5&amp;"")</f>
        <v/>
      </c>
      <c r="J9" s="28">
        <f>IF(Responses!AS5="","",Responses!AZ5&amp;"")</f>
        <v/>
      </c>
      <c r="K9" s="29">
        <f>Responses!AY5</f>
        <v/>
      </c>
      <c r="L9" s="28">
        <f>IF(Responses!AS5="","",IF(Responses!AY5="Declined","",IF(Responses!BA5=0,"Check date and times",IF(Responses!BB5&gt;0,Responses!BC5,"No clash"))))</f>
        <v/>
      </c>
      <c r="N9" s="10" t="inlineStr">
        <is>
          <t>Declined</t>
        </is>
      </c>
      <c r="O9" s="28">
        <f>COUNTIF(Responses!$AY$2:$AY$501,"Declined")</f>
        <v/>
      </c>
    </row>
    <row r="10">
      <c r="A10" s="27">
        <f>IF(Responses!AS6="","",IF(Responses!AT6&gt;0,Responses!AT6,"Check date"))</f>
        <v/>
      </c>
      <c r="B10" s="28">
        <f>Responses!AS6</f>
        <v/>
      </c>
      <c r="C10" s="29">
        <f>IF(Responses!AS6="","",IF(Responses!AU6&gt;=0,IF(Responses!AU6="","",RIGHT("0"&amp;INT(Responses!AU6/60),2)&amp;":"&amp;RIGHT("0"&amp;MOD(Responses!AU6,60),2)),"Check"))</f>
        <v/>
      </c>
      <c r="D10" s="29">
        <f>IF(Responses!AS6="","",IF(Responses!AV6&gt;=0,IF(Responses!AV6="","",RIGHT("0"&amp;INT(Responses!AV6/60),2)&amp;":"&amp;RIGHT("0"&amp;MOD(Responses!AV6,60),2)),"Check"))</f>
        <v/>
      </c>
      <c r="E10" s="28">
        <f>Responses!AW6</f>
        <v/>
      </c>
      <c r="F10" s="29">
        <f>Responses!AX6</f>
        <v/>
      </c>
      <c r="G10" s="29">
        <f>IF(Responses!AS6="","",IF(AND(ISNUMBER(Responses!AX6),ISNUMBER(IFERROR(VALUE(INDEX(Spaces!$B$5:$B$16,MATCH(Responses!AS6,Spaces!$A$5:$A$16,0))&amp;""),""))),IF(Responses!AX6&gt;IFERROR(VALUE(INDEX(Spaces!$B$5:$B$16,MATCH(Responses!AS6,Spaces!$A$5:$A$16,0))&amp;""),""),"Over by "&amp;(Responses!AX6-IFERROR(VALUE(INDEX(Spaces!$B$5:$B$16,MATCH(Responses!AS6,Spaces!$A$5:$A$16,0))&amp;""),"")),"OK"),""))</f>
        <v/>
      </c>
      <c r="H10" s="28">
        <f>Responses!BF6</f>
        <v/>
      </c>
      <c r="I10" s="28">
        <f>IF(Responses!AS6="","",Responses!AO6&amp;"")</f>
        <v/>
      </c>
      <c r="J10" s="28">
        <f>IF(Responses!AS6="","",Responses!AZ6&amp;"")</f>
        <v/>
      </c>
      <c r="K10" s="29">
        <f>Responses!AY6</f>
        <v/>
      </c>
      <c r="L10" s="28">
        <f>IF(Responses!AS6="","",IF(Responses!AY6="Declined","",IF(Responses!BA6=0,"Check date and times",IF(Responses!BB6&gt;0,Responses!BC6,"No clash"))))</f>
        <v/>
      </c>
      <c r="N10" s="10" t="inlineStr">
        <is>
          <t>With a clash</t>
        </is>
      </c>
      <c r="O10" s="28">
        <f>COUNTIF(Responses!$BB$2:$BB$501,"&gt;0")</f>
        <v/>
      </c>
    </row>
    <row r="11">
      <c r="A11" s="27">
        <f>IF(Responses!AS7="","",IF(Responses!AT7&gt;0,Responses!AT7,"Check date"))</f>
        <v/>
      </c>
      <c r="B11" s="28">
        <f>Responses!AS7</f>
        <v/>
      </c>
      <c r="C11" s="29">
        <f>IF(Responses!AS7="","",IF(Responses!AU7&gt;=0,IF(Responses!AU7="","",RIGHT("0"&amp;INT(Responses!AU7/60),2)&amp;":"&amp;RIGHT("0"&amp;MOD(Responses!AU7,60),2)),"Check"))</f>
        <v/>
      </c>
      <c r="D11" s="29">
        <f>IF(Responses!AS7="","",IF(Responses!AV7&gt;=0,IF(Responses!AV7="","",RIGHT("0"&amp;INT(Responses!AV7/60),2)&amp;":"&amp;RIGHT("0"&amp;MOD(Responses!AV7,60),2)),"Check"))</f>
        <v/>
      </c>
      <c r="E11" s="28">
        <f>Responses!AW7</f>
        <v/>
      </c>
      <c r="F11" s="29">
        <f>Responses!AX7</f>
        <v/>
      </c>
      <c r="G11" s="29">
        <f>IF(Responses!AS7="","",IF(AND(ISNUMBER(Responses!AX7),ISNUMBER(IFERROR(VALUE(INDEX(Spaces!$B$5:$B$16,MATCH(Responses!AS7,Spaces!$A$5:$A$16,0))&amp;""),""))),IF(Responses!AX7&gt;IFERROR(VALUE(INDEX(Spaces!$B$5:$B$16,MATCH(Responses!AS7,Spaces!$A$5:$A$16,0))&amp;""),""),"Over by "&amp;(Responses!AX7-IFERROR(VALUE(INDEX(Spaces!$B$5:$B$16,MATCH(Responses!AS7,Spaces!$A$5:$A$16,0))&amp;""),"")),"OK"),""))</f>
        <v/>
      </c>
      <c r="H11" s="28">
        <f>Responses!BF7</f>
        <v/>
      </c>
      <c r="I11" s="28">
        <f>IF(Responses!AS7="","",Responses!AO7&amp;"")</f>
        <v/>
      </c>
      <c r="J11" s="28">
        <f>IF(Responses!AS7="","",Responses!AZ7&amp;"")</f>
        <v/>
      </c>
      <c r="K11" s="29">
        <f>Responses!AY7</f>
        <v/>
      </c>
      <c r="L11" s="28">
        <f>IF(Responses!AS7="","",IF(Responses!AY7="Declined","",IF(Responses!BA7=0,"Check date and times",IF(Responses!BB7&gt;0,Responses!BC7,"No clash"))))</f>
        <v/>
      </c>
      <c r="N11" s="10" t="inlineStr">
        <is>
          <t>Certificate not received yet</t>
        </is>
      </c>
      <c r="O11" s="28">
        <f>SUMPRODUCT((Responses!$AY$2:$AY$501="Confirmed")*(Responses!$AO$2:$AO$501&lt;&gt;"Yes"))</f>
        <v/>
      </c>
    </row>
    <row r="12">
      <c r="A12" s="27">
        <f>IF(Responses!AS8="","",IF(Responses!AT8&gt;0,Responses!AT8,"Check date"))</f>
        <v/>
      </c>
      <c r="B12" s="28">
        <f>Responses!AS8</f>
        <v/>
      </c>
      <c r="C12" s="29">
        <f>IF(Responses!AS8="","",IF(Responses!AU8&gt;=0,IF(Responses!AU8="","",RIGHT("0"&amp;INT(Responses!AU8/60),2)&amp;":"&amp;RIGHT("0"&amp;MOD(Responses!AU8,60),2)),"Check"))</f>
        <v/>
      </c>
      <c r="D12" s="29">
        <f>IF(Responses!AS8="","",IF(Responses!AV8&gt;=0,IF(Responses!AV8="","",RIGHT("0"&amp;INT(Responses!AV8/60),2)&amp;":"&amp;RIGHT("0"&amp;MOD(Responses!AV8,60),2)),"Check"))</f>
        <v/>
      </c>
      <c r="E12" s="28">
        <f>Responses!AW8</f>
        <v/>
      </c>
      <c r="F12" s="29">
        <f>Responses!AX8</f>
        <v/>
      </c>
      <c r="G12" s="29">
        <f>IF(Responses!AS8="","",IF(AND(ISNUMBER(Responses!AX8),ISNUMBER(IFERROR(VALUE(INDEX(Spaces!$B$5:$B$16,MATCH(Responses!AS8,Spaces!$A$5:$A$16,0))&amp;""),""))),IF(Responses!AX8&gt;IFERROR(VALUE(INDEX(Spaces!$B$5:$B$16,MATCH(Responses!AS8,Spaces!$A$5:$A$16,0))&amp;""),""),"Over by "&amp;(Responses!AX8-IFERROR(VALUE(INDEX(Spaces!$B$5:$B$16,MATCH(Responses!AS8,Spaces!$A$5:$A$16,0))&amp;""),"")),"OK"),""))</f>
        <v/>
      </c>
      <c r="H12" s="28">
        <f>Responses!BF8</f>
        <v/>
      </c>
      <c r="I12" s="28">
        <f>IF(Responses!AS8="","",Responses!AO8&amp;"")</f>
        <v/>
      </c>
      <c r="J12" s="28">
        <f>IF(Responses!AS8="","",Responses!AZ8&amp;"")</f>
        <v/>
      </c>
      <c r="K12" s="29">
        <f>Responses!AY8</f>
        <v/>
      </c>
      <c r="L12" s="28">
        <f>IF(Responses!AS8="","",IF(Responses!AY8="Declined","",IF(Responses!BA8=0,"Check date and times",IF(Responses!BB8&gt;0,Responses!BC8,"No clash"))))</f>
        <v/>
      </c>
    </row>
    <row r="13">
      <c r="A13" s="27">
        <f>IF(Responses!AS9="","",IF(Responses!AT9&gt;0,Responses!AT9,"Check date"))</f>
        <v/>
      </c>
      <c r="B13" s="28">
        <f>Responses!AS9</f>
        <v/>
      </c>
      <c r="C13" s="29">
        <f>IF(Responses!AS9="","",IF(Responses!AU9&gt;=0,IF(Responses!AU9="","",RIGHT("0"&amp;INT(Responses!AU9/60),2)&amp;":"&amp;RIGHT("0"&amp;MOD(Responses!AU9,60),2)),"Check"))</f>
        <v/>
      </c>
      <c r="D13" s="29">
        <f>IF(Responses!AS9="","",IF(Responses!AV9&gt;=0,IF(Responses!AV9="","",RIGHT("0"&amp;INT(Responses!AV9/60),2)&amp;":"&amp;RIGHT("0"&amp;MOD(Responses!AV9,60),2)),"Check"))</f>
        <v/>
      </c>
      <c r="E13" s="28">
        <f>Responses!AW9</f>
        <v/>
      </c>
      <c r="F13" s="29">
        <f>Responses!AX9</f>
        <v/>
      </c>
      <c r="G13" s="29">
        <f>IF(Responses!AS9="","",IF(AND(ISNUMBER(Responses!AX9),ISNUMBER(IFERROR(VALUE(INDEX(Spaces!$B$5:$B$16,MATCH(Responses!AS9,Spaces!$A$5:$A$16,0))&amp;""),""))),IF(Responses!AX9&gt;IFERROR(VALUE(INDEX(Spaces!$B$5:$B$16,MATCH(Responses!AS9,Spaces!$A$5:$A$16,0))&amp;""),""),"Over by "&amp;(Responses!AX9-IFERROR(VALUE(INDEX(Spaces!$B$5:$B$16,MATCH(Responses!AS9,Spaces!$A$5:$A$16,0))&amp;""),"")),"OK"),""))</f>
        <v/>
      </c>
      <c r="H13" s="28">
        <f>Responses!BF9</f>
        <v/>
      </c>
      <c r="I13" s="28">
        <f>IF(Responses!AS9="","",Responses!AO9&amp;"")</f>
        <v/>
      </c>
      <c r="J13" s="28">
        <f>IF(Responses!AS9="","",Responses!AZ9&amp;"")</f>
        <v/>
      </c>
      <c r="K13" s="29">
        <f>Responses!AY9</f>
        <v/>
      </c>
      <c r="L13" s="28">
        <f>IF(Responses!AS9="","",IF(Responses!AY9="Declined","",IF(Responses!BA9=0,"Check date and times",IF(Responses!BB9&gt;0,Responses!BC9,"No clash"))))</f>
        <v/>
      </c>
    </row>
    <row r="14">
      <c r="A14" s="27">
        <f>IF(Responses!AS10="","",IF(Responses!AT10&gt;0,Responses!AT10,"Check date"))</f>
        <v/>
      </c>
      <c r="B14" s="28">
        <f>Responses!AS10</f>
        <v/>
      </c>
      <c r="C14" s="29">
        <f>IF(Responses!AS10="","",IF(Responses!AU10&gt;=0,IF(Responses!AU10="","",RIGHT("0"&amp;INT(Responses!AU10/60),2)&amp;":"&amp;RIGHT("0"&amp;MOD(Responses!AU10,60),2)),"Check"))</f>
        <v/>
      </c>
      <c r="D14" s="29">
        <f>IF(Responses!AS10="","",IF(Responses!AV10&gt;=0,IF(Responses!AV10="","",RIGHT("0"&amp;INT(Responses!AV10/60),2)&amp;":"&amp;RIGHT("0"&amp;MOD(Responses!AV10,60),2)),"Check"))</f>
        <v/>
      </c>
      <c r="E14" s="28">
        <f>Responses!AW10</f>
        <v/>
      </c>
      <c r="F14" s="29">
        <f>Responses!AX10</f>
        <v/>
      </c>
      <c r="G14" s="29">
        <f>IF(Responses!AS10="","",IF(AND(ISNUMBER(Responses!AX10),ISNUMBER(IFERROR(VALUE(INDEX(Spaces!$B$5:$B$16,MATCH(Responses!AS10,Spaces!$A$5:$A$16,0))&amp;""),""))),IF(Responses!AX10&gt;IFERROR(VALUE(INDEX(Spaces!$B$5:$B$16,MATCH(Responses!AS10,Spaces!$A$5:$A$16,0))&amp;""),""),"Over by "&amp;(Responses!AX10-IFERROR(VALUE(INDEX(Spaces!$B$5:$B$16,MATCH(Responses!AS10,Spaces!$A$5:$A$16,0))&amp;""),"")),"OK"),""))</f>
        <v/>
      </c>
      <c r="H14" s="28">
        <f>Responses!BF10</f>
        <v/>
      </c>
      <c r="I14" s="28">
        <f>IF(Responses!AS10="","",Responses!AO10&amp;"")</f>
        <v/>
      </c>
      <c r="J14" s="28">
        <f>IF(Responses!AS10="","",Responses!AZ10&amp;"")</f>
        <v/>
      </c>
      <c r="K14" s="29">
        <f>Responses!AY10</f>
        <v/>
      </c>
      <c r="L14" s="28">
        <f>IF(Responses!AS10="","",IF(Responses!AY10="Declined","",IF(Responses!BA10=0,"Check date and times",IF(Responses!BB10&gt;0,Responses!BC10,"No clash"))))</f>
        <v/>
      </c>
    </row>
    <row r="15">
      <c r="A15" s="27">
        <f>IF(Responses!AS11="","",IF(Responses!AT11&gt;0,Responses!AT11,"Check date"))</f>
        <v/>
      </c>
      <c r="B15" s="28">
        <f>Responses!AS11</f>
        <v/>
      </c>
      <c r="C15" s="29">
        <f>IF(Responses!AS11="","",IF(Responses!AU11&gt;=0,IF(Responses!AU11="","",RIGHT("0"&amp;INT(Responses!AU11/60),2)&amp;":"&amp;RIGHT("0"&amp;MOD(Responses!AU11,60),2)),"Check"))</f>
        <v/>
      </c>
      <c r="D15" s="29">
        <f>IF(Responses!AS11="","",IF(Responses!AV11&gt;=0,IF(Responses!AV11="","",RIGHT("0"&amp;INT(Responses!AV11/60),2)&amp;":"&amp;RIGHT("0"&amp;MOD(Responses!AV11,60),2)),"Check"))</f>
        <v/>
      </c>
      <c r="E15" s="28">
        <f>Responses!AW11</f>
        <v/>
      </c>
      <c r="F15" s="29">
        <f>Responses!AX11</f>
        <v/>
      </c>
      <c r="G15" s="29">
        <f>IF(Responses!AS11="","",IF(AND(ISNUMBER(Responses!AX11),ISNUMBER(IFERROR(VALUE(INDEX(Spaces!$B$5:$B$16,MATCH(Responses!AS11,Spaces!$A$5:$A$16,0))&amp;""),""))),IF(Responses!AX11&gt;IFERROR(VALUE(INDEX(Spaces!$B$5:$B$16,MATCH(Responses!AS11,Spaces!$A$5:$A$16,0))&amp;""),""),"Over by "&amp;(Responses!AX11-IFERROR(VALUE(INDEX(Spaces!$B$5:$B$16,MATCH(Responses!AS11,Spaces!$A$5:$A$16,0))&amp;""),"")),"OK"),""))</f>
        <v/>
      </c>
      <c r="H15" s="28">
        <f>Responses!BF11</f>
        <v/>
      </c>
      <c r="I15" s="28">
        <f>IF(Responses!AS11="","",Responses!AO11&amp;"")</f>
        <v/>
      </c>
      <c r="J15" s="28">
        <f>IF(Responses!AS11="","",Responses!AZ11&amp;"")</f>
        <v/>
      </c>
      <c r="K15" s="29">
        <f>Responses!AY11</f>
        <v/>
      </c>
      <c r="L15" s="28">
        <f>IF(Responses!AS11="","",IF(Responses!AY11="Declined","",IF(Responses!BA11=0,"Check date and times",IF(Responses!BB11&gt;0,Responses!BC11,"No clash"))))</f>
        <v/>
      </c>
    </row>
    <row r="16">
      <c r="A16" s="27">
        <f>IF(Responses!AS12="","",IF(Responses!AT12&gt;0,Responses!AT12,"Check date"))</f>
        <v/>
      </c>
      <c r="B16" s="28">
        <f>Responses!AS12</f>
        <v/>
      </c>
      <c r="C16" s="29">
        <f>IF(Responses!AS12="","",IF(Responses!AU12&gt;=0,IF(Responses!AU12="","",RIGHT("0"&amp;INT(Responses!AU12/60),2)&amp;":"&amp;RIGHT("0"&amp;MOD(Responses!AU12,60),2)),"Check"))</f>
        <v/>
      </c>
      <c r="D16" s="29">
        <f>IF(Responses!AS12="","",IF(Responses!AV12&gt;=0,IF(Responses!AV12="","",RIGHT("0"&amp;INT(Responses!AV12/60),2)&amp;":"&amp;RIGHT("0"&amp;MOD(Responses!AV12,60),2)),"Check"))</f>
        <v/>
      </c>
      <c r="E16" s="28">
        <f>Responses!AW12</f>
        <v/>
      </c>
      <c r="F16" s="29">
        <f>Responses!AX12</f>
        <v/>
      </c>
      <c r="G16" s="29">
        <f>IF(Responses!AS12="","",IF(AND(ISNUMBER(Responses!AX12),ISNUMBER(IFERROR(VALUE(INDEX(Spaces!$B$5:$B$16,MATCH(Responses!AS12,Spaces!$A$5:$A$16,0))&amp;""),""))),IF(Responses!AX12&gt;IFERROR(VALUE(INDEX(Spaces!$B$5:$B$16,MATCH(Responses!AS12,Spaces!$A$5:$A$16,0))&amp;""),""),"Over by "&amp;(Responses!AX12-IFERROR(VALUE(INDEX(Spaces!$B$5:$B$16,MATCH(Responses!AS12,Spaces!$A$5:$A$16,0))&amp;""),"")),"OK"),""))</f>
        <v/>
      </c>
      <c r="H16" s="28">
        <f>Responses!BF12</f>
        <v/>
      </c>
      <c r="I16" s="28">
        <f>IF(Responses!AS12="","",Responses!AO12&amp;"")</f>
        <v/>
      </c>
      <c r="J16" s="28">
        <f>IF(Responses!AS12="","",Responses!AZ12&amp;"")</f>
        <v/>
      </c>
      <c r="K16" s="29">
        <f>Responses!AY12</f>
        <v/>
      </c>
      <c r="L16" s="28">
        <f>IF(Responses!AS12="","",IF(Responses!AY12="Declined","",IF(Responses!BA12=0,"Check date and times",IF(Responses!BB12&gt;0,Responses!BC12,"No clash"))))</f>
        <v/>
      </c>
    </row>
    <row r="17">
      <c r="A17" s="27">
        <f>IF(Responses!AS13="","",IF(Responses!AT13&gt;0,Responses!AT13,"Check date"))</f>
        <v/>
      </c>
      <c r="B17" s="28">
        <f>Responses!AS13</f>
        <v/>
      </c>
      <c r="C17" s="29">
        <f>IF(Responses!AS13="","",IF(Responses!AU13&gt;=0,IF(Responses!AU13="","",RIGHT("0"&amp;INT(Responses!AU13/60),2)&amp;":"&amp;RIGHT("0"&amp;MOD(Responses!AU13,60),2)),"Check"))</f>
        <v/>
      </c>
      <c r="D17" s="29">
        <f>IF(Responses!AS13="","",IF(Responses!AV13&gt;=0,IF(Responses!AV13="","",RIGHT("0"&amp;INT(Responses!AV13/60),2)&amp;":"&amp;RIGHT("0"&amp;MOD(Responses!AV13,60),2)),"Check"))</f>
        <v/>
      </c>
      <c r="E17" s="28">
        <f>Responses!AW13</f>
        <v/>
      </c>
      <c r="F17" s="29">
        <f>Responses!AX13</f>
        <v/>
      </c>
      <c r="G17" s="29">
        <f>IF(Responses!AS13="","",IF(AND(ISNUMBER(Responses!AX13),ISNUMBER(IFERROR(VALUE(INDEX(Spaces!$B$5:$B$16,MATCH(Responses!AS13,Spaces!$A$5:$A$16,0))&amp;""),""))),IF(Responses!AX13&gt;IFERROR(VALUE(INDEX(Spaces!$B$5:$B$16,MATCH(Responses!AS13,Spaces!$A$5:$A$16,0))&amp;""),""),"Over by "&amp;(Responses!AX13-IFERROR(VALUE(INDEX(Spaces!$B$5:$B$16,MATCH(Responses!AS13,Spaces!$A$5:$A$16,0))&amp;""),"")),"OK"),""))</f>
        <v/>
      </c>
      <c r="H17" s="28">
        <f>Responses!BF13</f>
        <v/>
      </c>
      <c r="I17" s="28">
        <f>IF(Responses!AS13="","",Responses!AO13&amp;"")</f>
        <v/>
      </c>
      <c r="J17" s="28">
        <f>IF(Responses!AS13="","",Responses!AZ13&amp;"")</f>
        <v/>
      </c>
      <c r="K17" s="29">
        <f>Responses!AY13</f>
        <v/>
      </c>
      <c r="L17" s="28">
        <f>IF(Responses!AS13="","",IF(Responses!AY13="Declined","",IF(Responses!BA13=0,"Check date and times",IF(Responses!BB13&gt;0,Responses!BC13,"No clash"))))</f>
        <v/>
      </c>
    </row>
    <row r="18">
      <c r="A18" s="27">
        <f>IF(Responses!AS14="","",IF(Responses!AT14&gt;0,Responses!AT14,"Check date"))</f>
        <v/>
      </c>
      <c r="B18" s="28">
        <f>Responses!AS14</f>
        <v/>
      </c>
      <c r="C18" s="29">
        <f>IF(Responses!AS14="","",IF(Responses!AU14&gt;=0,IF(Responses!AU14="","",RIGHT("0"&amp;INT(Responses!AU14/60),2)&amp;":"&amp;RIGHT("0"&amp;MOD(Responses!AU14,60),2)),"Check"))</f>
        <v/>
      </c>
      <c r="D18" s="29">
        <f>IF(Responses!AS14="","",IF(Responses!AV14&gt;=0,IF(Responses!AV14="","",RIGHT("0"&amp;INT(Responses!AV14/60),2)&amp;":"&amp;RIGHT("0"&amp;MOD(Responses!AV14,60),2)),"Check"))</f>
        <v/>
      </c>
      <c r="E18" s="28">
        <f>Responses!AW14</f>
        <v/>
      </c>
      <c r="F18" s="29">
        <f>Responses!AX14</f>
        <v/>
      </c>
      <c r="G18" s="29">
        <f>IF(Responses!AS14="","",IF(AND(ISNUMBER(Responses!AX14),ISNUMBER(IFERROR(VALUE(INDEX(Spaces!$B$5:$B$16,MATCH(Responses!AS14,Spaces!$A$5:$A$16,0))&amp;""),""))),IF(Responses!AX14&gt;IFERROR(VALUE(INDEX(Spaces!$B$5:$B$16,MATCH(Responses!AS14,Spaces!$A$5:$A$16,0))&amp;""),""),"Over by "&amp;(Responses!AX14-IFERROR(VALUE(INDEX(Spaces!$B$5:$B$16,MATCH(Responses!AS14,Spaces!$A$5:$A$16,0))&amp;""),"")),"OK"),""))</f>
        <v/>
      </c>
      <c r="H18" s="28">
        <f>Responses!BF14</f>
        <v/>
      </c>
      <c r="I18" s="28">
        <f>IF(Responses!AS14="","",Responses!AO14&amp;"")</f>
        <v/>
      </c>
      <c r="J18" s="28">
        <f>IF(Responses!AS14="","",Responses!AZ14&amp;"")</f>
        <v/>
      </c>
      <c r="K18" s="29">
        <f>Responses!AY14</f>
        <v/>
      </c>
      <c r="L18" s="28">
        <f>IF(Responses!AS14="","",IF(Responses!AY14="Declined","",IF(Responses!BA14=0,"Check date and times",IF(Responses!BB14&gt;0,Responses!BC14,"No clash"))))</f>
        <v/>
      </c>
    </row>
    <row r="19">
      <c r="A19" s="27">
        <f>IF(Responses!AS15="","",IF(Responses!AT15&gt;0,Responses!AT15,"Check date"))</f>
        <v/>
      </c>
      <c r="B19" s="28">
        <f>Responses!AS15</f>
        <v/>
      </c>
      <c r="C19" s="29">
        <f>IF(Responses!AS15="","",IF(Responses!AU15&gt;=0,IF(Responses!AU15="","",RIGHT("0"&amp;INT(Responses!AU15/60),2)&amp;":"&amp;RIGHT("0"&amp;MOD(Responses!AU15,60),2)),"Check"))</f>
        <v/>
      </c>
      <c r="D19" s="29">
        <f>IF(Responses!AS15="","",IF(Responses!AV15&gt;=0,IF(Responses!AV15="","",RIGHT("0"&amp;INT(Responses!AV15/60),2)&amp;":"&amp;RIGHT("0"&amp;MOD(Responses!AV15,60),2)),"Check"))</f>
        <v/>
      </c>
      <c r="E19" s="28">
        <f>Responses!AW15</f>
        <v/>
      </c>
      <c r="F19" s="29">
        <f>Responses!AX15</f>
        <v/>
      </c>
      <c r="G19" s="29">
        <f>IF(Responses!AS15="","",IF(AND(ISNUMBER(Responses!AX15),ISNUMBER(IFERROR(VALUE(INDEX(Spaces!$B$5:$B$16,MATCH(Responses!AS15,Spaces!$A$5:$A$16,0))&amp;""),""))),IF(Responses!AX15&gt;IFERROR(VALUE(INDEX(Spaces!$B$5:$B$16,MATCH(Responses!AS15,Spaces!$A$5:$A$16,0))&amp;""),""),"Over by "&amp;(Responses!AX15-IFERROR(VALUE(INDEX(Spaces!$B$5:$B$16,MATCH(Responses!AS15,Spaces!$A$5:$A$16,0))&amp;""),"")),"OK"),""))</f>
        <v/>
      </c>
      <c r="H19" s="28">
        <f>Responses!BF15</f>
        <v/>
      </c>
      <c r="I19" s="28">
        <f>IF(Responses!AS15="","",Responses!AO15&amp;"")</f>
        <v/>
      </c>
      <c r="J19" s="28">
        <f>IF(Responses!AS15="","",Responses!AZ15&amp;"")</f>
        <v/>
      </c>
      <c r="K19" s="29">
        <f>Responses!AY15</f>
        <v/>
      </c>
      <c r="L19" s="28">
        <f>IF(Responses!AS15="","",IF(Responses!AY15="Declined","",IF(Responses!BA15=0,"Check date and times",IF(Responses!BB15&gt;0,Responses!BC15,"No clash"))))</f>
        <v/>
      </c>
    </row>
    <row r="20">
      <c r="A20" s="27">
        <f>IF(Responses!AS16="","",IF(Responses!AT16&gt;0,Responses!AT16,"Check date"))</f>
        <v/>
      </c>
      <c r="B20" s="28">
        <f>Responses!AS16</f>
        <v/>
      </c>
      <c r="C20" s="29">
        <f>IF(Responses!AS16="","",IF(Responses!AU16&gt;=0,IF(Responses!AU16="","",RIGHT("0"&amp;INT(Responses!AU16/60),2)&amp;":"&amp;RIGHT("0"&amp;MOD(Responses!AU16,60),2)),"Check"))</f>
        <v/>
      </c>
      <c r="D20" s="29">
        <f>IF(Responses!AS16="","",IF(Responses!AV16&gt;=0,IF(Responses!AV16="","",RIGHT("0"&amp;INT(Responses!AV16/60),2)&amp;":"&amp;RIGHT("0"&amp;MOD(Responses!AV16,60),2)),"Check"))</f>
        <v/>
      </c>
      <c r="E20" s="28">
        <f>Responses!AW16</f>
        <v/>
      </c>
      <c r="F20" s="29">
        <f>Responses!AX16</f>
        <v/>
      </c>
      <c r="G20" s="29">
        <f>IF(Responses!AS16="","",IF(AND(ISNUMBER(Responses!AX16),ISNUMBER(IFERROR(VALUE(INDEX(Spaces!$B$5:$B$16,MATCH(Responses!AS16,Spaces!$A$5:$A$16,0))&amp;""),""))),IF(Responses!AX16&gt;IFERROR(VALUE(INDEX(Spaces!$B$5:$B$16,MATCH(Responses!AS16,Spaces!$A$5:$A$16,0))&amp;""),""),"Over by "&amp;(Responses!AX16-IFERROR(VALUE(INDEX(Spaces!$B$5:$B$16,MATCH(Responses!AS16,Spaces!$A$5:$A$16,0))&amp;""),"")),"OK"),""))</f>
        <v/>
      </c>
      <c r="H20" s="28">
        <f>Responses!BF16</f>
        <v/>
      </c>
      <c r="I20" s="28">
        <f>IF(Responses!AS16="","",Responses!AO16&amp;"")</f>
        <v/>
      </c>
      <c r="J20" s="28">
        <f>IF(Responses!AS16="","",Responses!AZ16&amp;"")</f>
        <v/>
      </c>
      <c r="K20" s="29">
        <f>Responses!AY16</f>
        <v/>
      </c>
      <c r="L20" s="28">
        <f>IF(Responses!AS16="","",IF(Responses!AY16="Declined","",IF(Responses!BA16=0,"Check date and times",IF(Responses!BB16&gt;0,Responses!BC16,"No clash"))))</f>
        <v/>
      </c>
    </row>
    <row r="21">
      <c r="A21" s="27">
        <f>IF(Responses!AS17="","",IF(Responses!AT17&gt;0,Responses!AT17,"Check date"))</f>
        <v/>
      </c>
      <c r="B21" s="28">
        <f>Responses!AS17</f>
        <v/>
      </c>
      <c r="C21" s="29">
        <f>IF(Responses!AS17="","",IF(Responses!AU17&gt;=0,IF(Responses!AU17="","",RIGHT("0"&amp;INT(Responses!AU17/60),2)&amp;":"&amp;RIGHT("0"&amp;MOD(Responses!AU17,60),2)),"Check"))</f>
        <v/>
      </c>
      <c r="D21" s="29">
        <f>IF(Responses!AS17="","",IF(Responses!AV17&gt;=0,IF(Responses!AV17="","",RIGHT("0"&amp;INT(Responses!AV17/60),2)&amp;":"&amp;RIGHT("0"&amp;MOD(Responses!AV17,60),2)),"Check"))</f>
        <v/>
      </c>
      <c r="E21" s="28">
        <f>Responses!AW17</f>
        <v/>
      </c>
      <c r="F21" s="29">
        <f>Responses!AX17</f>
        <v/>
      </c>
      <c r="G21" s="29">
        <f>IF(Responses!AS17="","",IF(AND(ISNUMBER(Responses!AX17),ISNUMBER(IFERROR(VALUE(INDEX(Spaces!$B$5:$B$16,MATCH(Responses!AS17,Spaces!$A$5:$A$16,0))&amp;""),""))),IF(Responses!AX17&gt;IFERROR(VALUE(INDEX(Spaces!$B$5:$B$16,MATCH(Responses!AS17,Spaces!$A$5:$A$16,0))&amp;""),""),"Over by "&amp;(Responses!AX17-IFERROR(VALUE(INDEX(Spaces!$B$5:$B$16,MATCH(Responses!AS17,Spaces!$A$5:$A$16,0))&amp;""),"")),"OK"),""))</f>
        <v/>
      </c>
      <c r="H21" s="28">
        <f>Responses!BF17</f>
        <v/>
      </c>
      <c r="I21" s="28">
        <f>IF(Responses!AS17="","",Responses!AO17&amp;"")</f>
        <v/>
      </c>
      <c r="J21" s="28">
        <f>IF(Responses!AS17="","",Responses!AZ17&amp;"")</f>
        <v/>
      </c>
      <c r="K21" s="29">
        <f>Responses!AY17</f>
        <v/>
      </c>
      <c r="L21" s="28">
        <f>IF(Responses!AS17="","",IF(Responses!AY17="Declined","",IF(Responses!BA17=0,"Check date and times",IF(Responses!BB17&gt;0,Responses!BC17,"No clash"))))</f>
        <v/>
      </c>
    </row>
    <row r="22">
      <c r="A22" s="27">
        <f>IF(Responses!AS18="","",IF(Responses!AT18&gt;0,Responses!AT18,"Check date"))</f>
        <v/>
      </c>
      <c r="B22" s="28">
        <f>Responses!AS18</f>
        <v/>
      </c>
      <c r="C22" s="29">
        <f>IF(Responses!AS18="","",IF(Responses!AU18&gt;=0,IF(Responses!AU18="","",RIGHT("0"&amp;INT(Responses!AU18/60),2)&amp;":"&amp;RIGHT("0"&amp;MOD(Responses!AU18,60),2)),"Check"))</f>
        <v/>
      </c>
      <c r="D22" s="29">
        <f>IF(Responses!AS18="","",IF(Responses!AV18&gt;=0,IF(Responses!AV18="","",RIGHT("0"&amp;INT(Responses!AV18/60),2)&amp;":"&amp;RIGHT("0"&amp;MOD(Responses!AV18,60),2)),"Check"))</f>
        <v/>
      </c>
      <c r="E22" s="28">
        <f>Responses!AW18</f>
        <v/>
      </c>
      <c r="F22" s="29">
        <f>Responses!AX18</f>
        <v/>
      </c>
      <c r="G22" s="29">
        <f>IF(Responses!AS18="","",IF(AND(ISNUMBER(Responses!AX18),ISNUMBER(IFERROR(VALUE(INDEX(Spaces!$B$5:$B$16,MATCH(Responses!AS18,Spaces!$A$5:$A$16,0))&amp;""),""))),IF(Responses!AX18&gt;IFERROR(VALUE(INDEX(Spaces!$B$5:$B$16,MATCH(Responses!AS18,Spaces!$A$5:$A$16,0))&amp;""),""),"Over by "&amp;(Responses!AX18-IFERROR(VALUE(INDEX(Spaces!$B$5:$B$16,MATCH(Responses!AS18,Spaces!$A$5:$A$16,0))&amp;""),"")),"OK"),""))</f>
        <v/>
      </c>
      <c r="H22" s="28">
        <f>Responses!BF18</f>
        <v/>
      </c>
      <c r="I22" s="28">
        <f>IF(Responses!AS18="","",Responses!AO18&amp;"")</f>
        <v/>
      </c>
      <c r="J22" s="28">
        <f>IF(Responses!AS18="","",Responses!AZ18&amp;"")</f>
        <v/>
      </c>
      <c r="K22" s="29">
        <f>Responses!AY18</f>
        <v/>
      </c>
      <c r="L22" s="28">
        <f>IF(Responses!AS18="","",IF(Responses!AY18="Declined","",IF(Responses!BA18=0,"Check date and times",IF(Responses!BB18&gt;0,Responses!BC18,"No clash"))))</f>
        <v/>
      </c>
    </row>
    <row r="23">
      <c r="A23" s="27">
        <f>IF(Responses!AS19="","",IF(Responses!AT19&gt;0,Responses!AT19,"Check date"))</f>
        <v/>
      </c>
      <c r="B23" s="28">
        <f>Responses!AS19</f>
        <v/>
      </c>
      <c r="C23" s="29">
        <f>IF(Responses!AS19="","",IF(Responses!AU19&gt;=0,IF(Responses!AU19="","",RIGHT("0"&amp;INT(Responses!AU19/60),2)&amp;":"&amp;RIGHT("0"&amp;MOD(Responses!AU19,60),2)),"Check"))</f>
        <v/>
      </c>
      <c r="D23" s="29">
        <f>IF(Responses!AS19="","",IF(Responses!AV19&gt;=0,IF(Responses!AV19="","",RIGHT("0"&amp;INT(Responses!AV19/60),2)&amp;":"&amp;RIGHT("0"&amp;MOD(Responses!AV19,60),2)),"Check"))</f>
        <v/>
      </c>
      <c r="E23" s="28">
        <f>Responses!AW19</f>
        <v/>
      </c>
      <c r="F23" s="29">
        <f>Responses!AX19</f>
        <v/>
      </c>
      <c r="G23" s="29">
        <f>IF(Responses!AS19="","",IF(AND(ISNUMBER(Responses!AX19),ISNUMBER(IFERROR(VALUE(INDEX(Spaces!$B$5:$B$16,MATCH(Responses!AS19,Spaces!$A$5:$A$16,0))&amp;""),""))),IF(Responses!AX19&gt;IFERROR(VALUE(INDEX(Spaces!$B$5:$B$16,MATCH(Responses!AS19,Spaces!$A$5:$A$16,0))&amp;""),""),"Over by "&amp;(Responses!AX19-IFERROR(VALUE(INDEX(Spaces!$B$5:$B$16,MATCH(Responses!AS19,Spaces!$A$5:$A$16,0))&amp;""),"")),"OK"),""))</f>
        <v/>
      </c>
      <c r="H23" s="28">
        <f>Responses!BF19</f>
        <v/>
      </c>
      <c r="I23" s="28">
        <f>IF(Responses!AS19="","",Responses!AO19&amp;"")</f>
        <v/>
      </c>
      <c r="J23" s="28">
        <f>IF(Responses!AS19="","",Responses!AZ19&amp;"")</f>
        <v/>
      </c>
      <c r="K23" s="29">
        <f>Responses!AY19</f>
        <v/>
      </c>
      <c r="L23" s="28">
        <f>IF(Responses!AS19="","",IF(Responses!AY19="Declined","",IF(Responses!BA19=0,"Check date and times",IF(Responses!BB19&gt;0,Responses!BC19,"No clash"))))</f>
        <v/>
      </c>
    </row>
    <row r="24">
      <c r="A24" s="27">
        <f>IF(Responses!AS20="","",IF(Responses!AT20&gt;0,Responses!AT20,"Check date"))</f>
        <v/>
      </c>
      <c r="B24" s="28">
        <f>Responses!AS20</f>
        <v/>
      </c>
      <c r="C24" s="29">
        <f>IF(Responses!AS20="","",IF(Responses!AU20&gt;=0,IF(Responses!AU20="","",RIGHT("0"&amp;INT(Responses!AU20/60),2)&amp;":"&amp;RIGHT("0"&amp;MOD(Responses!AU20,60),2)),"Check"))</f>
        <v/>
      </c>
      <c r="D24" s="29">
        <f>IF(Responses!AS20="","",IF(Responses!AV20&gt;=0,IF(Responses!AV20="","",RIGHT("0"&amp;INT(Responses!AV20/60),2)&amp;":"&amp;RIGHT("0"&amp;MOD(Responses!AV20,60),2)),"Check"))</f>
        <v/>
      </c>
      <c r="E24" s="28">
        <f>Responses!AW20</f>
        <v/>
      </c>
      <c r="F24" s="29">
        <f>Responses!AX20</f>
        <v/>
      </c>
      <c r="G24" s="29">
        <f>IF(Responses!AS20="","",IF(AND(ISNUMBER(Responses!AX20),ISNUMBER(IFERROR(VALUE(INDEX(Spaces!$B$5:$B$16,MATCH(Responses!AS20,Spaces!$A$5:$A$16,0))&amp;""),""))),IF(Responses!AX20&gt;IFERROR(VALUE(INDEX(Spaces!$B$5:$B$16,MATCH(Responses!AS20,Spaces!$A$5:$A$16,0))&amp;""),""),"Over by "&amp;(Responses!AX20-IFERROR(VALUE(INDEX(Spaces!$B$5:$B$16,MATCH(Responses!AS20,Spaces!$A$5:$A$16,0))&amp;""),"")),"OK"),""))</f>
        <v/>
      </c>
      <c r="H24" s="28">
        <f>Responses!BF20</f>
        <v/>
      </c>
      <c r="I24" s="28">
        <f>IF(Responses!AS20="","",Responses!AO20&amp;"")</f>
        <v/>
      </c>
      <c r="J24" s="28">
        <f>IF(Responses!AS20="","",Responses!AZ20&amp;"")</f>
        <v/>
      </c>
      <c r="K24" s="29">
        <f>Responses!AY20</f>
        <v/>
      </c>
      <c r="L24" s="28">
        <f>IF(Responses!AS20="","",IF(Responses!AY20="Declined","",IF(Responses!BA20=0,"Check date and times",IF(Responses!BB20&gt;0,Responses!BC20,"No clash"))))</f>
        <v/>
      </c>
    </row>
    <row r="25">
      <c r="A25" s="27">
        <f>IF(Responses!AS21="","",IF(Responses!AT21&gt;0,Responses!AT21,"Check date"))</f>
        <v/>
      </c>
      <c r="B25" s="28">
        <f>Responses!AS21</f>
        <v/>
      </c>
      <c r="C25" s="29">
        <f>IF(Responses!AS21="","",IF(Responses!AU21&gt;=0,IF(Responses!AU21="","",RIGHT("0"&amp;INT(Responses!AU21/60),2)&amp;":"&amp;RIGHT("0"&amp;MOD(Responses!AU21,60),2)),"Check"))</f>
        <v/>
      </c>
      <c r="D25" s="29">
        <f>IF(Responses!AS21="","",IF(Responses!AV21&gt;=0,IF(Responses!AV21="","",RIGHT("0"&amp;INT(Responses!AV21/60),2)&amp;":"&amp;RIGHT("0"&amp;MOD(Responses!AV21,60),2)),"Check"))</f>
        <v/>
      </c>
      <c r="E25" s="28">
        <f>Responses!AW21</f>
        <v/>
      </c>
      <c r="F25" s="29">
        <f>Responses!AX21</f>
        <v/>
      </c>
      <c r="G25" s="29">
        <f>IF(Responses!AS21="","",IF(AND(ISNUMBER(Responses!AX21),ISNUMBER(IFERROR(VALUE(INDEX(Spaces!$B$5:$B$16,MATCH(Responses!AS21,Spaces!$A$5:$A$16,0))&amp;""),""))),IF(Responses!AX21&gt;IFERROR(VALUE(INDEX(Spaces!$B$5:$B$16,MATCH(Responses!AS21,Spaces!$A$5:$A$16,0))&amp;""),""),"Over by "&amp;(Responses!AX21-IFERROR(VALUE(INDEX(Spaces!$B$5:$B$16,MATCH(Responses!AS21,Spaces!$A$5:$A$16,0))&amp;""),"")),"OK"),""))</f>
        <v/>
      </c>
      <c r="H25" s="28">
        <f>Responses!BF21</f>
        <v/>
      </c>
      <c r="I25" s="28">
        <f>IF(Responses!AS21="","",Responses!AO21&amp;"")</f>
        <v/>
      </c>
      <c r="J25" s="28">
        <f>IF(Responses!AS21="","",Responses!AZ21&amp;"")</f>
        <v/>
      </c>
      <c r="K25" s="29">
        <f>Responses!AY21</f>
        <v/>
      </c>
      <c r="L25" s="28">
        <f>IF(Responses!AS21="","",IF(Responses!AY21="Declined","",IF(Responses!BA21=0,"Check date and times",IF(Responses!BB21&gt;0,Responses!BC21,"No clash"))))</f>
        <v/>
      </c>
    </row>
    <row r="26">
      <c r="A26" s="27">
        <f>IF(Responses!AS22="","",IF(Responses!AT22&gt;0,Responses!AT22,"Check date"))</f>
        <v/>
      </c>
      <c r="B26" s="28">
        <f>Responses!AS22</f>
        <v/>
      </c>
      <c r="C26" s="29">
        <f>IF(Responses!AS22="","",IF(Responses!AU22&gt;=0,IF(Responses!AU22="","",RIGHT("0"&amp;INT(Responses!AU22/60),2)&amp;":"&amp;RIGHT("0"&amp;MOD(Responses!AU22,60),2)),"Check"))</f>
        <v/>
      </c>
      <c r="D26" s="29">
        <f>IF(Responses!AS22="","",IF(Responses!AV22&gt;=0,IF(Responses!AV22="","",RIGHT("0"&amp;INT(Responses!AV22/60),2)&amp;":"&amp;RIGHT("0"&amp;MOD(Responses!AV22,60),2)),"Check"))</f>
        <v/>
      </c>
      <c r="E26" s="28">
        <f>Responses!AW22</f>
        <v/>
      </c>
      <c r="F26" s="29">
        <f>Responses!AX22</f>
        <v/>
      </c>
      <c r="G26" s="29">
        <f>IF(Responses!AS22="","",IF(AND(ISNUMBER(Responses!AX22),ISNUMBER(IFERROR(VALUE(INDEX(Spaces!$B$5:$B$16,MATCH(Responses!AS22,Spaces!$A$5:$A$16,0))&amp;""),""))),IF(Responses!AX22&gt;IFERROR(VALUE(INDEX(Spaces!$B$5:$B$16,MATCH(Responses!AS22,Spaces!$A$5:$A$16,0))&amp;""),""),"Over by "&amp;(Responses!AX22-IFERROR(VALUE(INDEX(Spaces!$B$5:$B$16,MATCH(Responses!AS22,Spaces!$A$5:$A$16,0))&amp;""),"")),"OK"),""))</f>
        <v/>
      </c>
      <c r="H26" s="28">
        <f>Responses!BF22</f>
        <v/>
      </c>
      <c r="I26" s="28">
        <f>IF(Responses!AS22="","",Responses!AO22&amp;"")</f>
        <v/>
      </c>
      <c r="J26" s="28">
        <f>IF(Responses!AS22="","",Responses!AZ22&amp;"")</f>
        <v/>
      </c>
      <c r="K26" s="29">
        <f>Responses!AY22</f>
        <v/>
      </c>
      <c r="L26" s="28">
        <f>IF(Responses!AS22="","",IF(Responses!AY22="Declined","",IF(Responses!BA22=0,"Check date and times",IF(Responses!BB22&gt;0,Responses!BC22,"No clash"))))</f>
        <v/>
      </c>
    </row>
    <row r="27">
      <c r="A27" s="27">
        <f>IF(Responses!AS23="","",IF(Responses!AT23&gt;0,Responses!AT23,"Check date"))</f>
        <v/>
      </c>
      <c r="B27" s="28">
        <f>Responses!AS23</f>
        <v/>
      </c>
      <c r="C27" s="29">
        <f>IF(Responses!AS23="","",IF(Responses!AU23&gt;=0,IF(Responses!AU23="","",RIGHT("0"&amp;INT(Responses!AU23/60),2)&amp;":"&amp;RIGHT("0"&amp;MOD(Responses!AU23,60),2)),"Check"))</f>
        <v/>
      </c>
      <c r="D27" s="29">
        <f>IF(Responses!AS23="","",IF(Responses!AV23&gt;=0,IF(Responses!AV23="","",RIGHT("0"&amp;INT(Responses!AV23/60),2)&amp;":"&amp;RIGHT("0"&amp;MOD(Responses!AV23,60),2)),"Check"))</f>
        <v/>
      </c>
      <c r="E27" s="28">
        <f>Responses!AW23</f>
        <v/>
      </c>
      <c r="F27" s="29">
        <f>Responses!AX23</f>
        <v/>
      </c>
      <c r="G27" s="29">
        <f>IF(Responses!AS23="","",IF(AND(ISNUMBER(Responses!AX23),ISNUMBER(IFERROR(VALUE(INDEX(Spaces!$B$5:$B$16,MATCH(Responses!AS23,Spaces!$A$5:$A$16,0))&amp;""),""))),IF(Responses!AX23&gt;IFERROR(VALUE(INDEX(Spaces!$B$5:$B$16,MATCH(Responses!AS23,Spaces!$A$5:$A$16,0))&amp;""),""),"Over by "&amp;(Responses!AX23-IFERROR(VALUE(INDEX(Spaces!$B$5:$B$16,MATCH(Responses!AS23,Spaces!$A$5:$A$16,0))&amp;""),"")),"OK"),""))</f>
        <v/>
      </c>
      <c r="H27" s="28">
        <f>Responses!BF23</f>
        <v/>
      </c>
      <c r="I27" s="28">
        <f>IF(Responses!AS23="","",Responses!AO23&amp;"")</f>
        <v/>
      </c>
      <c r="J27" s="28">
        <f>IF(Responses!AS23="","",Responses!AZ23&amp;"")</f>
        <v/>
      </c>
      <c r="K27" s="29">
        <f>Responses!AY23</f>
        <v/>
      </c>
      <c r="L27" s="28">
        <f>IF(Responses!AS23="","",IF(Responses!AY23="Declined","",IF(Responses!BA23=0,"Check date and times",IF(Responses!BB23&gt;0,Responses!BC23,"No clash"))))</f>
        <v/>
      </c>
    </row>
    <row r="28">
      <c r="A28" s="27">
        <f>IF(Responses!AS24="","",IF(Responses!AT24&gt;0,Responses!AT24,"Check date"))</f>
        <v/>
      </c>
      <c r="B28" s="28">
        <f>Responses!AS24</f>
        <v/>
      </c>
      <c r="C28" s="29">
        <f>IF(Responses!AS24="","",IF(Responses!AU24&gt;=0,IF(Responses!AU24="","",RIGHT("0"&amp;INT(Responses!AU24/60),2)&amp;":"&amp;RIGHT("0"&amp;MOD(Responses!AU24,60),2)),"Check"))</f>
        <v/>
      </c>
      <c r="D28" s="29">
        <f>IF(Responses!AS24="","",IF(Responses!AV24&gt;=0,IF(Responses!AV24="","",RIGHT("0"&amp;INT(Responses!AV24/60),2)&amp;":"&amp;RIGHT("0"&amp;MOD(Responses!AV24,60),2)),"Check"))</f>
        <v/>
      </c>
      <c r="E28" s="28">
        <f>Responses!AW24</f>
        <v/>
      </c>
      <c r="F28" s="29">
        <f>Responses!AX24</f>
        <v/>
      </c>
      <c r="G28" s="29">
        <f>IF(Responses!AS24="","",IF(AND(ISNUMBER(Responses!AX24),ISNUMBER(IFERROR(VALUE(INDEX(Spaces!$B$5:$B$16,MATCH(Responses!AS24,Spaces!$A$5:$A$16,0))&amp;""),""))),IF(Responses!AX24&gt;IFERROR(VALUE(INDEX(Spaces!$B$5:$B$16,MATCH(Responses!AS24,Spaces!$A$5:$A$16,0))&amp;""),""),"Over by "&amp;(Responses!AX24-IFERROR(VALUE(INDEX(Spaces!$B$5:$B$16,MATCH(Responses!AS24,Spaces!$A$5:$A$16,0))&amp;""),"")),"OK"),""))</f>
        <v/>
      </c>
      <c r="H28" s="28">
        <f>Responses!BF24</f>
        <v/>
      </c>
      <c r="I28" s="28">
        <f>IF(Responses!AS24="","",Responses!AO24&amp;"")</f>
        <v/>
      </c>
      <c r="J28" s="28">
        <f>IF(Responses!AS24="","",Responses!AZ24&amp;"")</f>
        <v/>
      </c>
      <c r="K28" s="29">
        <f>Responses!AY24</f>
        <v/>
      </c>
      <c r="L28" s="28">
        <f>IF(Responses!AS24="","",IF(Responses!AY24="Declined","",IF(Responses!BA24=0,"Check date and times",IF(Responses!BB24&gt;0,Responses!BC24,"No clash"))))</f>
        <v/>
      </c>
    </row>
    <row r="29">
      <c r="A29" s="27">
        <f>IF(Responses!AS25="","",IF(Responses!AT25&gt;0,Responses!AT25,"Check date"))</f>
        <v/>
      </c>
      <c r="B29" s="28">
        <f>Responses!AS25</f>
        <v/>
      </c>
      <c r="C29" s="29">
        <f>IF(Responses!AS25="","",IF(Responses!AU25&gt;=0,IF(Responses!AU25="","",RIGHT("0"&amp;INT(Responses!AU25/60),2)&amp;":"&amp;RIGHT("0"&amp;MOD(Responses!AU25,60),2)),"Check"))</f>
        <v/>
      </c>
      <c r="D29" s="29">
        <f>IF(Responses!AS25="","",IF(Responses!AV25&gt;=0,IF(Responses!AV25="","",RIGHT("0"&amp;INT(Responses!AV25/60),2)&amp;":"&amp;RIGHT("0"&amp;MOD(Responses!AV25,60),2)),"Check"))</f>
        <v/>
      </c>
      <c r="E29" s="28">
        <f>Responses!AW25</f>
        <v/>
      </c>
      <c r="F29" s="29">
        <f>Responses!AX25</f>
        <v/>
      </c>
      <c r="G29" s="29">
        <f>IF(Responses!AS25="","",IF(AND(ISNUMBER(Responses!AX25),ISNUMBER(IFERROR(VALUE(INDEX(Spaces!$B$5:$B$16,MATCH(Responses!AS25,Spaces!$A$5:$A$16,0))&amp;""),""))),IF(Responses!AX25&gt;IFERROR(VALUE(INDEX(Spaces!$B$5:$B$16,MATCH(Responses!AS25,Spaces!$A$5:$A$16,0))&amp;""),""),"Over by "&amp;(Responses!AX25-IFERROR(VALUE(INDEX(Spaces!$B$5:$B$16,MATCH(Responses!AS25,Spaces!$A$5:$A$16,0))&amp;""),"")),"OK"),""))</f>
        <v/>
      </c>
      <c r="H29" s="28">
        <f>Responses!BF25</f>
        <v/>
      </c>
      <c r="I29" s="28">
        <f>IF(Responses!AS25="","",Responses!AO25&amp;"")</f>
        <v/>
      </c>
      <c r="J29" s="28">
        <f>IF(Responses!AS25="","",Responses!AZ25&amp;"")</f>
        <v/>
      </c>
      <c r="K29" s="29">
        <f>Responses!AY25</f>
        <v/>
      </c>
      <c r="L29" s="28">
        <f>IF(Responses!AS25="","",IF(Responses!AY25="Declined","",IF(Responses!BA25=0,"Check date and times",IF(Responses!BB25&gt;0,Responses!BC25,"No clash"))))</f>
        <v/>
      </c>
    </row>
    <row r="30">
      <c r="A30" s="27">
        <f>IF(Responses!AS26="","",IF(Responses!AT26&gt;0,Responses!AT26,"Check date"))</f>
        <v/>
      </c>
      <c r="B30" s="28">
        <f>Responses!AS26</f>
        <v/>
      </c>
      <c r="C30" s="29">
        <f>IF(Responses!AS26="","",IF(Responses!AU26&gt;=0,IF(Responses!AU26="","",RIGHT("0"&amp;INT(Responses!AU26/60),2)&amp;":"&amp;RIGHT("0"&amp;MOD(Responses!AU26,60),2)),"Check"))</f>
        <v/>
      </c>
      <c r="D30" s="29">
        <f>IF(Responses!AS26="","",IF(Responses!AV26&gt;=0,IF(Responses!AV26="","",RIGHT("0"&amp;INT(Responses!AV26/60),2)&amp;":"&amp;RIGHT("0"&amp;MOD(Responses!AV26,60),2)),"Check"))</f>
        <v/>
      </c>
      <c r="E30" s="28">
        <f>Responses!AW26</f>
        <v/>
      </c>
      <c r="F30" s="29">
        <f>Responses!AX26</f>
        <v/>
      </c>
      <c r="G30" s="29">
        <f>IF(Responses!AS26="","",IF(AND(ISNUMBER(Responses!AX26),ISNUMBER(IFERROR(VALUE(INDEX(Spaces!$B$5:$B$16,MATCH(Responses!AS26,Spaces!$A$5:$A$16,0))&amp;""),""))),IF(Responses!AX26&gt;IFERROR(VALUE(INDEX(Spaces!$B$5:$B$16,MATCH(Responses!AS26,Spaces!$A$5:$A$16,0))&amp;""),""),"Over by "&amp;(Responses!AX26-IFERROR(VALUE(INDEX(Spaces!$B$5:$B$16,MATCH(Responses!AS26,Spaces!$A$5:$A$16,0))&amp;""),"")),"OK"),""))</f>
        <v/>
      </c>
      <c r="H30" s="28">
        <f>Responses!BF26</f>
        <v/>
      </c>
      <c r="I30" s="28">
        <f>IF(Responses!AS26="","",Responses!AO26&amp;"")</f>
        <v/>
      </c>
      <c r="J30" s="28">
        <f>IF(Responses!AS26="","",Responses!AZ26&amp;"")</f>
        <v/>
      </c>
      <c r="K30" s="29">
        <f>Responses!AY26</f>
        <v/>
      </c>
      <c r="L30" s="28">
        <f>IF(Responses!AS26="","",IF(Responses!AY26="Declined","",IF(Responses!BA26=0,"Check date and times",IF(Responses!BB26&gt;0,Responses!BC26,"No clash"))))</f>
        <v/>
      </c>
    </row>
    <row r="31">
      <c r="A31" s="27">
        <f>IF(Responses!AS27="","",IF(Responses!AT27&gt;0,Responses!AT27,"Check date"))</f>
        <v/>
      </c>
      <c r="B31" s="28">
        <f>Responses!AS27</f>
        <v/>
      </c>
      <c r="C31" s="29">
        <f>IF(Responses!AS27="","",IF(Responses!AU27&gt;=0,IF(Responses!AU27="","",RIGHT("0"&amp;INT(Responses!AU27/60),2)&amp;":"&amp;RIGHT("0"&amp;MOD(Responses!AU27,60),2)),"Check"))</f>
        <v/>
      </c>
      <c r="D31" s="29">
        <f>IF(Responses!AS27="","",IF(Responses!AV27&gt;=0,IF(Responses!AV27="","",RIGHT("0"&amp;INT(Responses!AV27/60),2)&amp;":"&amp;RIGHT("0"&amp;MOD(Responses!AV27,60),2)),"Check"))</f>
        <v/>
      </c>
      <c r="E31" s="28">
        <f>Responses!AW27</f>
        <v/>
      </c>
      <c r="F31" s="29">
        <f>Responses!AX27</f>
        <v/>
      </c>
      <c r="G31" s="29">
        <f>IF(Responses!AS27="","",IF(AND(ISNUMBER(Responses!AX27),ISNUMBER(IFERROR(VALUE(INDEX(Spaces!$B$5:$B$16,MATCH(Responses!AS27,Spaces!$A$5:$A$16,0))&amp;""),""))),IF(Responses!AX27&gt;IFERROR(VALUE(INDEX(Spaces!$B$5:$B$16,MATCH(Responses!AS27,Spaces!$A$5:$A$16,0))&amp;""),""),"Over by "&amp;(Responses!AX27-IFERROR(VALUE(INDEX(Spaces!$B$5:$B$16,MATCH(Responses!AS27,Spaces!$A$5:$A$16,0))&amp;""),"")),"OK"),""))</f>
        <v/>
      </c>
      <c r="H31" s="28">
        <f>Responses!BF27</f>
        <v/>
      </c>
      <c r="I31" s="28">
        <f>IF(Responses!AS27="","",Responses!AO27&amp;"")</f>
        <v/>
      </c>
      <c r="J31" s="28">
        <f>IF(Responses!AS27="","",Responses!AZ27&amp;"")</f>
        <v/>
      </c>
      <c r="K31" s="29">
        <f>Responses!AY27</f>
        <v/>
      </c>
      <c r="L31" s="28">
        <f>IF(Responses!AS27="","",IF(Responses!AY27="Declined","",IF(Responses!BA27=0,"Check date and times",IF(Responses!BB27&gt;0,Responses!BC27,"No clash"))))</f>
        <v/>
      </c>
    </row>
    <row r="32">
      <c r="A32" s="27">
        <f>IF(Responses!AS28="","",IF(Responses!AT28&gt;0,Responses!AT28,"Check date"))</f>
        <v/>
      </c>
      <c r="B32" s="28">
        <f>Responses!AS28</f>
        <v/>
      </c>
      <c r="C32" s="29">
        <f>IF(Responses!AS28="","",IF(Responses!AU28&gt;=0,IF(Responses!AU28="","",RIGHT("0"&amp;INT(Responses!AU28/60),2)&amp;":"&amp;RIGHT("0"&amp;MOD(Responses!AU28,60),2)),"Check"))</f>
        <v/>
      </c>
      <c r="D32" s="29">
        <f>IF(Responses!AS28="","",IF(Responses!AV28&gt;=0,IF(Responses!AV28="","",RIGHT("0"&amp;INT(Responses!AV28/60),2)&amp;":"&amp;RIGHT("0"&amp;MOD(Responses!AV28,60),2)),"Check"))</f>
        <v/>
      </c>
      <c r="E32" s="28">
        <f>Responses!AW28</f>
        <v/>
      </c>
      <c r="F32" s="29">
        <f>Responses!AX28</f>
        <v/>
      </c>
      <c r="G32" s="29">
        <f>IF(Responses!AS28="","",IF(AND(ISNUMBER(Responses!AX28),ISNUMBER(IFERROR(VALUE(INDEX(Spaces!$B$5:$B$16,MATCH(Responses!AS28,Spaces!$A$5:$A$16,0))&amp;""),""))),IF(Responses!AX28&gt;IFERROR(VALUE(INDEX(Spaces!$B$5:$B$16,MATCH(Responses!AS28,Spaces!$A$5:$A$16,0))&amp;""),""),"Over by "&amp;(Responses!AX28-IFERROR(VALUE(INDEX(Spaces!$B$5:$B$16,MATCH(Responses!AS28,Spaces!$A$5:$A$16,0))&amp;""),"")),"OK"),""))</f>
        <v/>
      </c>
      <c r="H32" s="28">
        <f>Responses!BF28</f>
        <v/>
      </c>
      <c r="I32" s="28">
        <f>IF(Responses!AS28="","",Responses!AO28&amp;"")</f>
        <v/>
      </c>
      <c r="J32" s="28">
        <f>IF(Responses!AS28="","",Responses!AZ28&amp;"")</f>
        <v/>
      </c>
      <c r="K32" s="29">
        <f>Responses!AY28</f>
        <v/>
      </c>
      <c r="L32" s="28">
        <f>IF(Responses!AS28="","",IF(Responses!AY28="Declined","",IF(Responses!BA28=0,"Check date and times",IF(Responses!BB28&gt;0,Responses!BC28,"No clash"))))</f>
        <v/>
      </c>
    </row>
    <row r="33">
      <c r="A33" s="27">
        <f>IF(Responses!AS29="","",IF(Responses!AT29&gt;0,Responses!AT29,"Check date"))</f>
        <v/>
      </c>
      <c r="B33" s="28">
        <f>Responses!AS29</f>
        <v/>
      </c>
      <c r="C33" s="29">
        <f>IF(Responses!AS29="","",IF(Responses!AU29&gt;=0,IF(Responses!AU29="","",RIGHT("0"&amp;INT(Responses!AU29/60),2)&amp;":"&amp;RIGHT("0"&amp;MOD(Responses!AU29,60),2)),"Check"))</f>
        <v/>
      </c>
      <c r="D33" s="29">
        <f>IF(Responses!AS29="","",IF(Responses!AV29&gt;=0,IF(Responses!AV29="","",RIGHT("0"&amp;INT(Responses!AV29/60),2)&amp;":"&amp;RIGHT("0"&amp;MOD(Responses!AV29,60),2)),"Check"))</f>
        <v/>
      </c>
      <c r="E33" s="28">
        <f>Responses!AW29</f>
        <v/>
      </c>
      <c r="F33" s="29">
        <f>Responses!AX29</f>
        <v/>
      </c>
      <c r="G33" s="29">
        <f>IF(Responses!AS29="","",IF(AND(ISNUMBER(Responses!AX29),ISNUMBER(IFERROR(VALUE(INDEX(Spaces!$B$5:$B$16,MATCH(Responses!AS29,Spaces!$A$5:$A$16,0))&amp;""),""))),IF(Responses!AX29&gt;IFERROR(VALUE(INDEX(Spaces!$B$5:$B$16,MATCH(Responses!AS29,Spaces!$A$5:$A$16,0))&amp;""),""),"Over by "&amp;(Responses!AX29-IFERROR(VALUE(INDEX(Spaces!$B$5:$B$16,MATCH(Responses!AS29,Spaces!$A$5:$A$16,0))&amp;""),"")),"OK"),""))</f>
        <v/>
      </c>
      <c r="H33" s="28">
        <f>Responses!BF29</f>
        <v/>
      </c>
      <c r="I33" s="28">
        <f>IF(Responses!AS29="","",Responses!AO29&amp;"")</f>
        <v/>
      </c>
      <c r="J33" s="28">
        <f>IF(Responses!AS29="","",Responses!AZ29&amp;"")</f>
        <v/>
      </c>
      <c r="K33" s="29">
        <f>Responses!AY29</f>
        <v/>
      </c>
      <c r="L33" s="28">
        <f>IF(Responses!AS29="","",IF(Responses!AY29="Declined","",IF(Responses!BA29=0,"Check date and times",IF(Responses!BB29&gt;0,Responses!BC29,"No clash"))))</f>
        <v/>
      </c>
    </row>
    <row r="34">
      <c r="A34" s="27">
        <f>IF(Responses!AS30="","",IF(Responses!AT30&gt;0,Responses!AT30,"Check date"))</f>
        <v/>
      </c>
      <c r="B34" s="28">
        <f>Responses!AS30</f>
        <v/>
      </c>
      <c r="C34" s="29">
        <f>IF(Responses!AS30="","",IF(Responses!AU30&gt;=0,IF(Responses!AU30="","",RIGHT("0"&amp;INT(Responses!AU30/60),2)&amp;":"&amp;RIGHT("0"&amp;MOD(Responses!AU30,60),2)),"Check"))</f>
        <v/>
      </c>
      <c r="D34" s="29">
        <f>IF(Responses!AS30="","",IF(Responses!AV30&gt;=0,IF(Responses!AV30="","",RIGHT("0"&amp;INT(Responses!AV30/60),2)&amp;":"&amp;RIGHT("0"&amp;MOD(Responses!AV30,60),2)),"Check"))</f>
        <v/>
      </c>
      <c r="E34" s="28">
        <f>Responses!AW30</f>
        <v/>
      </c>
      <c r="F34" s="29">
        <f>Responses!AX30</f>
        <v/>
      </c>
      <c r="G34" s="29">
        <f>IF(Responses!AS30="","",IF(AND(ISNUMBER(Responses!AX30),ISNUMBER(IFERROR(VALUE(INDEX(Spaces!$B$5:$B$16,MATCH(Responses!AS30,Spaces!$A$5:$A$16,0))&amp;""),""))),IF(Responses!AX30&gt;IFERROR(VALUE(INDEX(Spaces!$B$5:$B$16,MATCH(Responses!AS30,Spaces!$A$5:$A$16,0))&amp;""),""),"Over by "&amp;(Responses!AX30-IFERROR(VALUE(INDEX(Spaces!$B$5:$B$16,MATCH(Responses!AS30,Spaces!$A$5:$A$16,0))&amp;""),"")),"OK"),""))</f>
        <v/>
      </c>
      <c r="H34" s="28">
        <f>Responses!BF30</f>
        <v/>
      </c>
      <c r="I34" s="28">
        <f>IF(Responses!AS30="","",Responses!AO30&amp;"")</f>
        <v/>
      </c>
      <c r="J34" s="28">
        <f>IF(Responses!AS30="","",Responses!AZ30&amp;"")</f>
        <v/>
      </c>
      <c r="K34" s="29">
        <f>Responses!AY30</f>
        <v/>
      </c>
      <c r="L34" s="28">
        <f>IF(Responses!AS30="","",IF(Responses!AY30="Declined","",IF(Responses!BA30=0,"Check date and times",IF(Responses!BB30&gt;0,Responses!BC30,"No clash"))))</f>
        <v/>
      </c>
    </row>
    <row r="35">
      <c r="A35" s="27">
        <f>IF(Responses!AS31="","",IF(Responses!AT31&gt;0,Responses!AT31,"Check date"))</f>
        <v/>
      </c>
      <c r="B35" s="28">
        <f>Responses!AS31</f>
        <v/>
      </c>
      <c r="C35" s="29">
        <f>IF(Responses!AS31="","",IF(Responses!AU31&gt;=0,IF(Responses!AU31="","",RIGHT("0"&amp;INT(Responses!AU31/60),2)&amp;":"&amp;RIGHT("0"&amp;MOD(Responses!AU31,60),2)),"Check"))</f>
        <v/>
      </c>
      <c r="D35" s="29">
        <f>IF(Responses!AS31="","",IF(Responses!AV31&gt;=0,IF(Responses!AV31="","",RIGHT("0"&amp;INT(Responses!AV31/60),2)&amp;":"&amp;RIGHT("0"&amp;MOD(Responses!AV31,60),2)),"Check"))</f>
        <v/>
      </c>
      <c r="E35" s="28">
        <f>Responses!AW31</f>
        <v/>
      </c>
      <c r="F35" s="29">
        <f>Responses!AX31</f>
        <v/>
      </c>
      <c r="G35" s="29">
        <f>IF(Responses!AS31="","",IF(AND(ISNUMBER(Responses!AX31),ISNUMBER(IFERROR(VALUE(INDEX(Spaces!$B$5:$B$16,MATCH(Responses!AS31,Spaces!$A$5:$A$16,0))&amp;""),""))),IF(Responses!AX31&gt;IFERROR(VALUE(INDEX(Spaces!$B$5:$B$16,MATCH(Responses!AS31,Spaces!$A$5:$A$16,0))&amp;""),""),"Over by "&amp;(Responses!AX31-IFERROR(VALUE(INDEX(Spaces!$B$5:$B$16,MATCH(Responses!AS31,Spaces!$A$5:$A$16,0))&amp;""),"")),"OK"),""))</f>
        <v/>
      </c>
      <c r="H35" s="28">
        <f>Responses!BF31</f>
        <v/>
      </c>
      <c r="I35" s="28">
        <f>IF(Responses!AS31="","",Responses!AO31&amp;"")</f>
        <v/>
      </c>
      <c r="J35" s="28">
        <f>IF(Responses!AS31="","",Responses!AZ31&amp;"")</f>
        <v/>
      </c>
      <c r="K35" s="29">
        <f>Responses!AY31</f>
        <v/>
      </c>
      <c r="L35" s="28">
        <f>IF(Responses!AS31="","",IF(Responses!AY31="Declined","",IF(Responses!BA31=0,"Check date and times",IF(Responses!BB31&gt;0,Responses!BC31,"No clash"))))</f>
        <v/>
      </c>
    </row>
    <row r="36">
      <c r="A36" s="27">
        <f>IF(Responses!AS32="","",IF(Responses!AT32&gt;0,Responses!AT32,"Check date"))</f>
        <v/>
      </c>
      <c r="B36" s="28">
        <f>Responses!AS32</f>
        <v/>
      </c>
      <c r="C36" s="29">
        <f>IF(Responses!AS32="","",IF(Responses!AU32&gt;=0,IF(Responses!AU32="","",RIGHT("0"&amp;INT(Responses!AU32/60),2)&amp;":"&amp;RIGHT("0"&amp;MOD(Responses!AU32,60),2)),"Check"))</f>
        <v/>
      </c>
      <c r="D36" s="29">
        <f>IF(Responses!AS32="","",IF(Responses!AV32&gt;=0,IF(Responses!AV32="","",RIGHT("0"&amp;INT(Responses!AV32/60),2)&amp;":"&amp;RIGHT("0"&amp;MOD(Responses!AV32,60),2)),"Check"))</f>
        <v/>
      </c>
      <c r="E36" s="28">
        <f>Responses!AW32</f>
        <v/>
      </c>
      <c r="F36" s="29">
        <f>Responses!AX32</f>
        <v/>
      </c>
      <c r="G36" s="29">
        <f>IF(Responses!AS32="","",IF(AND(ISNUMBER(Responses!AX32),ISNUMBER(IFERROR(VALUE(INDEX(Spaces!$B$5:$B$16,MATCH(Responses!AS32,Spaces!$A$5:$A$16,0))&amp;""),""))),IF(Responses!AX32&gt;IFERROR(VALUE(INDEX(Spaces!$B$5:$B$16,MATCH(Responses!AS32,Spaces!$A$5:$A$16,0))&amp;""),""),"Over by "&amp;(Responses!AX32-IFERROR(VALUE(INDEX(Spaces!$B$5:$B$16,MATCH(Responses!AS32,Spaces!$A$5:$A$16,0))&amp;""),"")),"OK"),""))</f>
        <v/>
      </c>
      <c r="H36" s="28">
        <f>Responses!BF32</f>
        <v/>
      </c>
      <c r="I36" s="28">
        <f>IF(Responses!AS32="","",Responses!AO32&amp;"")</f>
        <v/>
      </c>
      <c r="J36" s="28">
        <f>IF(Responses!AS32="","",Responses!AZ32&amp;"")</f>
        <v/>
      </c>
      <c r="K36" s="29">
        <f>Responses!AY32</f>
        <v/>
      </c>
      <c r="L36" s="28">
        <f>IF(Responses!AS32="","",IF(Responses!AY32="Declined","",IF(Responses!BA32=0,"Check date and times",IF(Responses!BB32&gt;0,Responses!BC32,"No clash"))))</f>
        <v/>
      </c>
    </row>
    <row r="37">
      <c r="A37" s="27">
        <f>IF(Responses!AS33="","",IF(Responses!AT33&gt;0,Responses!AT33,"Check date"))</f>
        <v/>
      </c>
      <c r="B37" s="28">
        <f>Responses!AS33</f>
        <v/>
      </c>
      <c r="C37" s="29">
        <f>IF(Responses!AS33="","",IF(Responses!AU33&gt;=0,IF(Responses!AU33="","",RIGHT("0"&amp;INT(Responses!AU33/60),2)&amp;":"&amp;RIGHT("0"&amp;MOD(Responses!AU33,60),2)),"Check"))</f>
        <v/>
      </c>
      <c r="D37" s="29">
        <f>IF(Responses!AS33="","",IF(Responses!AV33&gt;=0,IF(Responses!AV33="","",RIGHT("0"&amp;INT(Responses!AV33/60),2)&amp;":"&amp;RIGHT("0"&amp;MOD(Responses!AV33,60),2)),"Check"))</f>
        <v/>
      </c>
      <c r="E37" s="28">
        <f>Responses!AW33</f>
        <v/>
      </c>
      <c r="F37" s="29">
        <f>Responses!AX33</f>
        <v/>
      </c>
      <c r="G37" s="29">
        <f>IF(Responses!AS33="","",IF(AND(ISNUMBER(Responses!AX33),ISNUMBER(IFERROR(VALUE(INDEX(Spaces!$B$5:$B$16,MATCH(Responses!AS33,Spaces!$A$5:$A$16,0))&amp;""),""))),IF(Responses!AX33&gt;IFERROR(VALUE(INDEX(Spaces!$B$5:$B$16,MATCH(Responses!AS33,Spaces!$A$5:$A$16,0))&amp;""),""),"Over by "&amp;(Responses!AX33-IFERROR(VALUE(INDEX(Spaces!$B$5:$B$16,MATCH(Responses!AS33,Spaces!$A$5:$A$16,0))&amp;""),"")),"OK"),""))</f>
        <v/>
      </c>
      <c r="H37" s="28">
        <f>Responses!BF33</f>
        <v/>
      </c>
      <c r="I37" s="28">
        <f>IF(Responses!AS33="","",Responses!AO33&amp;"")</f>
        <v/>
      </c>
      <c r="J37" s="28">
        <f>IF(Responses!AS33="","",Responses!AZ33&amp;"")</f>
        <v/>
      </c>
      <c r="K37" s="29">
        <f>Responses!AY33</f>
        <v/>
      </c>
      <c r="L37" s="28">
        <f>IF(Responses!AS33="","",IF(Responses!AY33="Declined","",IF(Responses!BA33=0,"Check date and times",IF(Responses!BB33&gt;0,Responses!BC33,"No clash"))))</f>
        <v/>
      </c>
    </row>
    <row r="38">
      <c r="A38" s="27">
        <f>IF(Responses!AS34="","",IF(Responses!AT34&gt;0,Responses!AT34,"Check date"))</f>
        <v/>
      </c>
      <c r="B38" s="28">
        <f>Responses!AS34</f>
        <v/>
      </c>
      <c r="C38" s="29">
        <f>IF(Responses!AS34="","",IF(Responses!AU34&gt;=0,IF(Responses!AU34="","",RIGHT("0"&amp;INT(Responses!AU34/60),2)&amp;":"&amp;RIGHT("0"&amp;MOD(Responses!AU34,60),2)),"Check"))</f>
        <v/>
      </c>
      <c r="D38" s="29">
        <f>IF(Responses!AS34="","",IF(Responses!AV34&gt;=0,IF(Responses!AV34="","",RIGHT("0"&amp;INT(Responses!AV34/60),2)&amp;":"&amp;RIGHT("0"&amp;MOD(Responses!AV34,60),2)),"Check"))</f>
        <v/>
      </c>
      <c r="E38" s="28">
        <f>Responses!AW34</f>
        <v/>
      </c>
      <c r="F38" s="29">
        <f>Responses!AX34</f>
        <v/>
      </c>
      <c r="G38" s="29">
        <f>IF(Responses!AS34="","",IF(AND(ISNUMBER(Responses!AX34),ISNUMBER(IFERROR(VALUE(INDEX(Spaces!$B$5:$B$16,MATCH(Responses!AS34,Spaces!$A$5:$A$16,0))&amp;""),""))),IF(Responses!AX34&gt;IFERROR(VALUE(INDEX(Spaces!$B$5:$B$16,MATCH(Responses!AS34,Spaces!$A$5:$A$16,0))&amp;""),""),"Over by "&amp;(Responses!AX34-IFERROR(VALUE(INDEX(Spaces!$B$5:$B$16,MATCH(Responses!AS34,Spaces!$A$5:$A$16,0))&amp;""),"")),"OK"),""))</f>
        <v/>
      </c>
      <c r="H38" s="28">
        <f>Responses!BF34</f>
        <v/>
      </c>
      <c r="I38" s="28">
        <f>IF(Responses!AS34="","",Responses!AO34&amp;"")</f>
        <v/>
      </c>
      <c r="J38" s="28">
        <f>IF(Responses!AS34="","",Responses!AZ34&amp;"")</f>
        <v/>
      </c>
      <c r="K38" s="29">
        <f>Responses!AY34</f>
        <v/>
      </c>
      <c r="L38" s="28">
        <f>IF(Responses!AS34="","",IF(Responses!AY34="Declined","",IF(Responses!BA34=0,"Check date and times",IF(Responses!BB34&gt;0,Responses!BC34,"No clash"))))</f>
        <v/>
      </c>
    </row>
    <row r="39">
      <c r="A39" s="27">
        <f>IF(Responses!AS35="","",IF(Responses!AT35&gt;0,Responses!AT35,"Check date"))</f>
        <v/>
      </c>
      <c r="B39" s="28">
        <f>Responses!AS35</f>
        <v/>
      </c>
      <c r="C39" s="29">
        <f>IF(Responses!AS35="","",IF(Responses!AU35&gt;=0,IF(Responses!AU35="","",RIGHT("0"&amp;INT(Responses!AU35/60),2)&amp;":"&amp;RIGHT("0"&amp;MOD(Responses!AU35,60),2)),"Check"))</f>
        <v/>
      </c>
      <c r="D39" s="29">
        <f>IF(Responses!AS35="","",IF(Responses!AV35&gt;=0,IF(Responses!AV35="","",RIGHT("0"&amp;INT(Responses!AV35/60),2)&amp;":"&amp;RIGHT("0"&amp;MOD(Responses!AV35,60),2)),"Check"))</f>
        <v/>
      </c>
      <c r="E39" s="28">
        <f>Responses!AW35</f>
        <v/>
      </c>
      <c r="F39" s="29">
        <f>Responses!AX35</f>
        <v/>
      </c>
      <c r="G39" s="29">
        <f>IF(Responses!AS35="","",IF(AND(ISNUMBER(Responses!AX35),ISNUMBER(IFERROR(VALUE(INDEX(Spaces!$B$5:$B$16,MATCH(Responses!AS35,Spaces!$A$5:$A$16,0))&amp;""),""))),IF(Responses!AX35&gt;IFERROR(VALUE(INDEX(Spaces!$B$5:$B$16,MATCH(Responses!AS35,Spaces!$A$5:$A$16,0))&amp;""),""),"Over by "&amp;(Responses!AX35-IFERROR(VALUE(INDEX(Spaces!$B$5:$B$16,MATCH(Responses!AS35,Spaces!$A$5:$A$16,0))&amp;""),"")),"OK"),""))</f>
        <v/>
      </c>
      <c r="H39" s="28">
        <f>Responses!BF35</f>
        <v/>
      </c>
      <c r="I39" s="28">
        <f>IF(Responses!AS35="","",Responses!AO35&amp;"")</f>
        <v/>
      </c>
      <c r="J39" s="28">
        <f>IF(Responses!AS35="","",Responses!AZ35&amp;"")</f>
        <v/>
      </c>
      <c r="K39" s="29">
        <f>Responses!AY35</f>
        <v/>
      </c>
      <c r="L39" s="28">
        <f>IF(Responses!AS35="","",IF(Responses!AY35="Declined","",IF(Responses!BA35=0,"Check date and times",IF(Responses!BB35&gt;0,Responses!BC35,"No clash"))))</f>
        <v/>
      </c>
    </row>
    <row r="40">
      <c r="A40" s="27">
        <f>IF(Responses!AS36="","",IF(Responses!AT36&gt;0,Responses!AT36,"Check date"))</f>
        <v/>
      </c>
      <c r="B40" s="28">
        <f>Responses!AS36</f>
        <v/>
      </c>
      <c r="C40" s="29">
        <f>IF(Responses!AS36="","",IF(Responses!AU36&gt;=0,IF(Responses!AU36="","",RIGHT("0"&amp;INT(Responses!AU36/60),2)&amp;":"&amp;RIGHT("0"&amp;MOD(Responses!AU36,60),2)),"Check"))</f>
        <v/>
      </c>
      <c r="D40" s="29">
        <f>IF(Responses!AS36="","",IF(Responses!AV36&gt;=0,IF(Responses!AV36="","",RIGHT("0"&amp;INT(Responses!AV36/60),2)&amp;":"&amp;RIGHT("0"&amp;MOD(Responses!AV36,60),2)),"Check"))</f>
        <v/>
      </c>
      <c r="E40" s="28">
        <f>Responses!AW36</f>
        <v/>
      </c>
      <c r="F40" s="29">
        <f>Responses!AX36</f>
        <v/>
      </c>
      <c r="G40" s="29">
        <f>IF(Responses!AS36="","",IF(AND(ISNUMBER(Responses!AX36),ISNUMBER(IFERROR(VALUE(INDEX(Spaces!$B$5:$B$16,MATCH(Responses!AS36,Spaces!$A$5:$A$16,0))&amp;""),""))),IF(Responses!AX36&gt;IFERROR(VALUE(INDEX(Spaces!$B$5:$B$16,MATCH(Responses!AS36,Spaces!$A$5:$A$16,0))&amp;""),""),"Over by "&amp;(Responses!AX36-IFERROR(VALUE(INDEX(Spaces!$B$5:$B$16,MATCH(Responses!AS36,Spaces!$A$5:$A$16,0))&amp;""),"")),"OK"),""))</f>
        <v/>
      </c>
      <c r="H40" s="28">
        <f>Responses!BF36</f>
        <v/>
      </c>
      <c r="I40" s="28">
        <f>IF(Responses!AS36="","",Responses!AO36&amp;"")</f>
        <v/>
      </c>
      <c r="J40" s="28">
        <f>IF(Responses!AS36="","",Responses!AZ36&amp;"")</f>
        <v/>
      </c>
      <c r="K40" s="29">
        <f>Responses!AY36</f>
        <v/>
      </c>
      <c r="L40" s="28">
        <f>IF(Responses!AS36="","",IF(Responses!AY36="Declined","",IF(Responses!BA36=0,"Check date and times",IF(Responses!BB36&gt;0,Responses!BC36,"No clash"))))</f>
        <v/>
      </c>
    </row>
    <row r="41">
      <c r="A41" s="27">
        <f>IF(Responses!AS37="","",IF(Responses!AT37&gt;0,Responses!AT37,"Check date"))</f>
        <v/>
      </c>
      <c r="B41" s="28">
        <f>Responses!AS37</f>
        <v/>
      </c>
      <c r="C41" s="29">
        <f>IF(Responses!AS37="","",IF(Responses!AU37&gt;=0,IF(Responses!AU37="","",RIGHT("0"&amp;INT(Responses!AU37/60),2)&amp;":"&amp;RIGHT("0"&amp;MOD(Responses!AU37,60),2)),"Check"))</f>
        <v/>
      </c>
      <c r="D41" s="29">
        <f>IF(Responses!AS37="","",IF(Responses!AV37&gt;=0,IF(Responses!AV37="","",RIGHT("0"&amp;INT(Responses!AV37/60),2)&amp;":"&amp;RIGHT("0"&amp;MOD(Responses!AV37,60),2)),"Check"))</f>
        <v/>
      </c>
      <c r="E41" s="28">
        <f>Responses!AW37</f>
        <v/>
      </c>
      <c r="F41" s="29">
        <f>Responses!AX37</f>
        <v/>
      </c>
      <c r="G41" s="29">
        <f>IF(Responses!AS37="","",IF(AND(ISNUMBER(Responses!AX37),ISNUMBER(IFERROR(VALUE(INDEX(Spaces!$B$5:$B$16,MATCH(Responses!AS37,Spaces!$A$5:$A$16,0))&amp;""),""))),IF(Responses!AX37&gt;IFERROR(VALUE(INDEX(Spaces!$B$5:$B$16,MATCH(Responses!AS37,Spaces!$A$5:$A$16,0))&amp;""),""),"Over by "&amp;(Responses!AX37-IFERROR(VALUE(INDEX(Spaces!$B$5:$B$16,MATCH(Responses!AS37,Spaces!$A$5:$A$16,0))&amp;""),"")),"OK"),""))</f>
        <v/>
      </c>
      <c r="H41" s="28">
        <f>Responses!BF37</f>
        <v/>
      </c>
      <c r="I41" s="28">
        <f>IF(Responses!AS37="","",Responses!AO37&amp;"")</f>
        <v/>
      </c>
      <c r="J41" s="28">
        <f>IF(Responses!AS37="","",Responses!AZ37&amp;"")</f>
        <v/>
      </c>
      <c r="K41" s="29">
        <f>Responses!AY37</f>
        <v/>
      </c>
      <c r="L41" s="28">
        <f>IF(Responses!AS37="","",IF(Responses!AY37="Declined","",IF(Responses!BA37=0,"Check date and times",IF(Responses!BB37&gt;0,Responses!BC37,"No clash"))))</f>
        <v/>
      </c>
    </row>
    <row r="42">
      <c r="A42" s="27">
        <f>IF(Responses!AS38="","",IF(Responses!AT38&gt;0,Responses!AT38,"Check date"))</f>
        <v/>
      </c>
      <c r="B42" s="28">
        <f>Responses!AS38</f>
        <v/>
      </c>
      <c r="C42" s="29">
        <f>IF(Responses!AS38="","",IF(Responses!AU38&gt;=0,IF(Responses!AU38="","",RIGHT("0"&amp;INT(Responses!AU38/60),2)&amp;":"&amp;RIGHT("0"&amp;MOD(Responses!AU38,60),2)),"Check"))</f>
        <v/>
      </c>
      <c r="D42" s="29">
        <f>IF(Responses!AS38="","",IF(Responses!AV38&gt;=0,IF(Responses!AV38="","",RIGHT("0"&amp;INT(Responses!AV38/60),2)&amp;":"&amp;RIGHT("0"&amp;MOD(Responses!AV38,60),2)),"Check"))</f>
        <v/>
      </c>
      <c r="E42" s="28">
        <f>Responses!AW38</f>
        <v/>
      </c>
      <c r="F42" s="29">
        <f>Responses!AX38</f>
        <v/>
      </c>
      <c r="G42" s="29">
        <f>IF(Responses!AS38="","",IF(AND(ISNUMBER(Responses!AX38),ISNUMBER(IFERROR(VALUE(INDEX(Spaces!$B$5:$B$16,MATCH(Responses!AS38,Spaces!$A$5:$A$16,0))&amp;""),""))),IF(Responses!AX38&gt;IFERROR(VALUE(INDEX(Spaces!$B$5:$B$16,MATCH(Responses!AS38,Spaces!$A$5:$A$16,0))&amp;""),""),"Over by "&amp;(Responses!AX38-IFERROR(VALUE(INDEX(Spaces!$B$5:$B$16,MATCH(Responses!AS38,Spaces!$A$5:$A$16,0))&amp;""),"")),"OK"),""))</f>
        <v/>
      </c>
      <c r="H42" s="28">
        <f>Responses!BF38</f>
        <v/>
      </c>
      <c r="I42" s="28">
        <f>IF(Responses!AS38="","",Responses!AO38&amp;"")</f>
        <v/>
      </c>
      <c r="J42" s="28">
        <f>IF(Responses!AS38="","",Responses!AZ38&amp;"")</f>
        <v/>
      </c>
      <c r="K42" s="29">
        <f>Responses!AY38</f>
        <v/>
      </c>
      <c r="L42" s="28">
        <f>IF(Responses!AS38="","",IF(Responses!AY38="Declined","",IF(Responses!BA38=0,"Check date and times",IF(Responses!BB38&gt;0,Responses!BC38,"No clash"))))</f>
        <v/>
      </c>
    </row>
    <row r="43">
      <c r="A43" s="27">
        <f>IF(Responses!AS39="","",IF(Responses!AT39&gt;0,Responses!AT39,"Check date"))</f>
        <v/>
      </c>
      <c r="B43" s="28">
        <f>Responses!AS39</f>
        <v/>
      </c>
      <c r="C43" s="29">
        <f>IF(Responses!AS39="","",IF(Responses!AU39&gt;=0,IF(Responses!AU39="","",RIGHT("0"&amp;INT(Responses!AU39/60),2)&amp;":"&amp;RIGHT("0"&amp;MOD(Responses!AU39,60),2)),"Check"))</f>
        <v/>
      </c>
      <c r="D43" s="29">
        <f>IF(Responses!AS39="","",IF(Responses!AV39&gt;=0,IF(Responses!AV39="","",RIGHT("0"&amp;INT(Responses!AV39/60),2)&amp;":"&amp;RIGHT("0"&amp;MOD(Responses!AV39,60),2)),"Check"))</f>
        <v/>
      </c>
      <c r="E43" s="28">
        <f>Responses!AW39</f>
        <v/>
      </c>
      <c r="F43" s="29">
        <f>Responses!AX39</f>
        <v/>
      </c>
      <c r="G43" s="29">
        <f>IF(Responses!AS39="","",IF(AND(ISNUMBER(Responses!AX39),ISNUMBER(IFERROR(VALUE(INDEX(Spaces!$B$5:$B$16,MATCH(Responses!AS39,Spaces!$A$5:$A$16,0))&amp;""),""))),IF(Responses!AX39&gt;IFERROR(VALUE(INDEX(Spaces!$B$5:$B$16,MATCH(Responses!AS39,Spaces!$A$5:$A$16,0))&amp;""),""),"Over by "&amp;(Responses!AX39-IFERROR(VALUE(INDEX(Spaces!$B$5:$B$16,MATCH(Responses!AS39,Spaces!$A$5:$A$16,0))&amp;""),"")),"OK"),""))</f>
        <v/>
      </c>
      <c r="H43" s="28">
        <f>Responses!BF39</f>
        <v/>
      </c>
      <c r="I43" s="28">
        <f>IF(Responses!AS39="","",Responses!AO39&amp;"")</f>
        <v/>
      </c>
      <c r="J43" s="28">
        <f>IF(Responses!AS39="","",Responses!AZ39&amp;"")</f>
        <v/>
      </c>
      <c r="K43" s="29">
        <f>Responses!AY39</f>
        <v/>
      </c>
      <c r="L43" s="28">
        <f>IF(Responses!AS39="","",IF(Responses!AY39="Declined","",IF(Responses!BA39=0,"Check date and times",IF(Responses!BB39&gt;0,Responses!BC39,"No clash"))))</f>
        <v/>
      </c>
    </row>
    <row r="44">
      <c r="A44" s="27">
        <f>IF(Responses!AS40="","",IF(Responses!AT40&gt;0,Responses!AT40,"Check date"))</f>
        <v/>
      </c>
      <c r="B44" s="28">
        <f>Responses!AS40</f>
        <v/>
      </c>
      <c r="C44" s="29">
        <f>IF(Responses!AS40="","",IF(Responses!AU40&gt;=0,IF(Responses!AU40="","",RIGHT("0"&amp;INT(Responses!AU40/60),2)&amp;":"&amp;RIGHT("0"&amp;MOD(Responses!AU40,60),2)),"Check"))</f>
        <v/>
      </c>
      <c r="D44" s="29">
        <f>IF(Responses!AS40="","",IF(Responses!AV40&gt;=0,IF(Responses!AV40="","",RIGHT("0"&amp;INT(Responses!AV40/60),2)&amp;":"&amp;RIGHT("0"&amp;MOD(Responses!AV40,60),2)),"Check"))</f>
        <v/>
      </c>
      <c r="E44" s="28">
        <f>Responses!AW40</f>
        <v/>
      </c>
      <c r="F44" s="29">
        <f>Responses!AX40</f>
        <v/>
      </c>
      <c r="G44" s="29">
        <f>IF(Responses!AS40="","",IF(AND(ISNUMBER(Responses!AX40),ISNUMBER(IFERROR(VALUE(INDEX(Spaces!$B$5:$B$16,MATCH(Responses!AS40,Spaces!$A$5:$A$16,0))&amp;""),""))),IF(Responses!AX40&gt;IFERROR(VALUE(INDEX(Spaces!$B$5:$B$16,MATCH(Responses!AS40,Spaces!$A$5:$A$16,0))&amp;""),""),"Over by "&amp;(Responses!AX40-IFERROR(VALUE(INDEX(Spaces!$B$5:$B$16,MATCH(Responses!AS40,Spaces!$A$5:$A$16,0))&amp;""),"")),"OK"),""))</f>
        <v/>
      </c>
      <c r="H44" s="28">
        <f>Responses!BF40</f>
        <v/>
      </c>
      <c r="I44" s="28">
        <f>IF(Responses!AS40="","",Responses!AO40&amp;"")</f>
        <v/>
      </c>
      <c r="J44" s="28">
        <f>IF(Responses!AS40="","",Responses!AZ40&amp;"")</f>
        <v/>
      </c>
      <c r="K44" s="29">
        <f>Responses!AY40</f>
        <v/>
      </c>
      <c r="L44" s="28">
        <f>IF(Responses!AS40="","",IF(Responses!AY40="Declined","",IF(Responses!BA40=0,"Check date and times",IF(Responses!BB40&gt;0,Responses!BC40,"No clash"))))</f>
        <v/>
      </c>
    </row>
    <row r="45">
      <c r="A45" s="27">
        <f>IF(Responses!AS41="","",IF(Responses!AT41&gt;0,Responses!AT41,"Check date"))</f>
        <v/>
      </c>
      <c r="B45" s="28">
        <f>Responses!AS41</f>
        <v/>
      </c>
      <c r="C45" s="29">
        <f>IF(Responses!AS41="","",IF(Responses!AU41&gt;=0,IF(Responses!AU41="","",RIGHT("0"&amp;INT(Responses!AU41/60),2)&amp;":"&amp;RIGHT("0"&amp;MOD(Responses!AU41,60),2)),"Check"))</f>
        <v/>
      </c>
      <c r="D45" s="29">
        <f>IF(Responses!AS41="","",IF(Responses!AV41&gt;=0,IF(Responses!AV41="","",RIGHT("0"&amp;INT(Responses!AV41/60),2)&amp;":"&amp;RIGHT("0"&amp;MOD(Responses!AV41,60),2)),"Check"))</f>
        <v/>
      </c>
      <c r="E45" s="28">
        <f>Responses!AW41</f>
        <v/>
      </c>
      <c r="F45" s="29">
        <f>Responses!AX41</f>
        <v/>
      </c>
      <c r="G45" s="29">
        <f>IF(Responses!AS41="","",IF(AND(ISNUMBER(Responses!AX41),ISNUMBER(IFERROR(VALUE(INDEX(Spaces!$B$5:$B$16,MATCH(Responses!AS41,Spaces!$A$5:$A$16,0))&amp;""),""))),IF(Responses!AX41&gt;IFERROR(VALUE(INDEX(Spaces!$B$5:$B$16,MATCH(Responses!AS41,Spaces!$A$5:$A$16,0))&amp;""),""),"Over by "&amp;(Responses!AX41-IFERROR(VALUE(INDEX(Spaces!$B$5:$B$16,MATCH(Responses!AS41,Spaces!$A$5:$A$16,0))&amp;""),"")),"OK"),""))</f>
        <v/>
      </c>
      <c r="H45" s="28">
        <f>Responses!BF41</f>
        <v/>
      </c>
      <c r="I45" s="28">
        <f>IF(Responses!AS41="","",Responses!AO41&amp;"")</f>
        <v/>
      </c>
      <c r="J45" s="28">
        <f>IF(Responses!AS41="","",Responses!AZ41&amp;"")</f>
        <v/>
      </c>
      <c r="K45" s="29">
        <f>Responses!AY41</f>
        <v/>
      </c>
      <c r="L45" s="28">
        <f>IF(Responses!AS41="","",IF(Responses!AY41="Declined","",IF(Responses!BA41=0,"Check date and times",IF(Responses!BB41&gt;0,Responses!BC41,"No clash"))))</f>
        <v/>
      </c>
    </row>
    <row r="46">
      <c r="A46" s="27">
        <f>IF(Responses!AS42="","",IF(Responses!AT42&gt;0,Responses!AT42,"Check date"))</f>
        <v/>
      </c>
      <c r="B46" s="28">
        <f>Responses!AS42</f>
        <v/>
      </c>
      <c r="C46" s="29">
        <f>IF(Responses!AS42="","",IF(Responses!AU42&gt;=0,IF(Responses!AU42="","",RIGHT("0"&amp;INT(Responses!AU42/60),2)&amp;":"&amp;RIGHT("0"&amp;MOD(Responses!AU42,60),2)),"Check"))</f>
        <v/>
      </c>
      <c r="D46" s="29">
        <f>IF(Responses!AS42="","",IF(Responses!AV42&gt;=0,IF(Responses!AV42="","",RIGHT("0"&amp;INT(Responses!AV42/60),2)&amp;":"&amp;RIGHT("0"&amp;MOD(Responses!AV42,60),2)),"Check"))</f>
        <v/>
      </c>
      <c r="E46" s="28">
        <f>Responses!AW42</f>
        <v/>
      </c>
      <c r="F46" s="29">
        <f>Responses!AX42</f>
        <v/>
      </c>
      <c r="G46" s="29">
        <f>IF(Responses!AS42="","",IF(AND(ISNUMBER(Responses!AX42),ISNUMBER(IFERROR(VALUE(INDEX(Spaces!$B$5:$B$16,MATCH(Responses!AS42,Spaces!$A$5:$A$16,0))&amp;""),""))),IF(Responses!AX42&gt;IFERROR(VALUE(INDEX(Spaces!$B$5:$B$16,MATCH(Responses!AS42,Spaces!$A$5:$A$16,0))&amp;""),""),"Over by "&amp;(Responses!AX42-IFERROR(VALUE(INDEX(Spaces!$B$5:$B$16,MATCH(Responses!AS42,Spaces!$A$5:$A$16,0))&amp;""),"")),"OK"),""))</f>
        <v/>
      </c>
      <c r="H46" s="28">
        <f>Responses!BF42</f>
        <v/>
      </c>
      <c r="I46" s="28">
        <f>IF(Responses!AS42="","",Responses!AO42&amp;"")</f>
        <v/>
      </c>
      <c r="J46" s="28">
        <f>IF(Responses!AS42="","",Responses!AZ42&amp;"")</f>
        <v/>
      </c>
      <c r="K46" s="29">
        <f>Responses!AY42</f>
        <v/>
      </c>
      <c r="L46" s="28">
        <f>IF(Responses!AS42="","",IF(Responses!AY42="Declined","",IF(Responses!BA42=0,"Check date and times",IF(Responses!BB42&gt;0,Responses!BC42,"No clash"))))</f>
        <v/>
      </c>
    </row>
    <row r="47">
      <c r="A47" s="27">
        <f>IF(Responses!AS43="","",IF(Responses!AT43&gt;0,Responses!AT43,"Check date"))</f>
        <v/>
      </c>
      <c r="B47" s="28">
        <f>Responses!AS43</f>
        <v/>
      </c>
      <c r="C47" s="29">
        <f>IF(Responses!AS43="","",IF(Responses!AU43&gt;=0,IF(Responses!AU43="","",RIGHT("0"&amp;INT(Responses!AU43/60),2)&amp;":"&amp;RIGHT("0"&amp;MOD(Responses!AU43,60),2)),"Check"))</f>
        <v/>
      </c>
      <c r="D47" s="29">
        <f>IF(Responses!AS43="","",IF(Responses!AV43&gt;=0,IF(Responses!AV43="","",RIGHT("0"&amp;INT(Responses!AV43/60),2)&amp;":"&amp;RIGHT("0"&amp;MOD(Responses!AV43,60),2)),"Check"))</f>
        <v/>
      </c>
      <c r="E47" s="28">
        <f>Responses!AW43</f>
        <v/>
      </c>
      <c r="F47" s="29">
        <f>Responses!AX43</f>
        <v/>
      </c>
      <c r="G47" s="29">
        <f>IF(Responses!AS43="","",IF(AND(ISNUMBER(Responses!AX43),ISNUMBER(IFERROR(VALUE(INDEX(Spaces!$B$5:$B$16,MATCH(Responses!AS43,Spaces!$A$5:$A$16,0))&amp;""),""))),IF(Responses!AX43&gt;IFERROR(VALUE(INDEX(Spaces!$B$5:$B$16,MATCH(Responses!AS43,Spaces!$A$5:$A$16,0))&amp;""),""),"Over by "&amp;(Responses!AX43-IFERROR(VALUE(INDEX(Spaces!$B$5:$B$16,MATCH(Responses!AS43,Spaces!$A$5:$A$16,0))&amp;""),"")),"OK"),""))</f>
        <v/>
      </c>
      <c r="H47" s="28">
        <f>Responses!BF43</f>
        <v/>
      </c>
      <c r="I47" s="28">
        <f>IF(Responses!AS43="","",Responses!AO43&amp;"")</f>
        <v/>
      </c>
      <c r="J47" s="28">
        <f>IF(Responses!AS43="","",Responses!AZ43&amp;"")</f>
        <v/>
      </c>
      <c r="K47" s="29">
        <f>Responses!AY43</f>
        <v/>
      </c>
      <c r="L47" s="28">
        <f>IF(Responses!AS43="","",IF(Responses!AY43="Declined","",IF(Responses!BA43=0,"Check date and times",IF(Responses!BB43&gt;0,Responses!BC43,"No clash"))))</f>
        <v/>
      </c>
    </row>
    <row r="48">
      <c r="A48" s="27">
        <f>IF(Responses!AS44="","",IF(Responses!AT44&gt;0,Responses!AT44,"Check date"))</f>
        <v/>
      </c>
      <c r="B48" s="28">
        <f>Responses!AS44</f>
        <v/>
      </c>
      <c r="C48" s="29">
        <f>IF(Responses!AS44="","",IF(Responses!AU44&gt;=0,IF(Responses!AU44="","",RIGHT("0"&amp;INT(Responses!AU44/60),2)&amp;":"&amp;RIGHT("0"&amp;MOD(Responses!AU44,60),2)),"Check"))</f>
        <v/>
      </c>
      <c r="D48" s="29">
        <f>IF(Responses!AS44="","",IF(Responses!AV44&gt;=0,IF(Responses!AV44="","",RIGHT("0"&amp;INT(Responses!AV44/60),2)&amp;":"&amp;RIGHT("0"&amp;MOD(Responses!AV44,60),2)),"Check"))</f>
        <v/>
      </c>
      <c r="E48" s="28">
        <f>Responses!AW44</f>
        <v/>
      </c>
      <c r="F48" s="29">
        <f>Responses!AX44</f>
        <v/>
      </c>
      <c r="G48" s="29">
        <f>IF(Responses!AS44="","",IF(AND(ISNUMBER(Responses!AX44),ISNUMBER(IFERROR(VALUE(INDEX(Spaces!$B$5:$B$16,MATCH(Responses!AS44,Spaces!$A$5:$A$16,0))&amp;""),""))),IF(Responses!AX44&gt;IFERROR(VALUE(INDEX(Spaces!$B$5:$B$16,MATCH(Responses!AS44,Spaces!$A$5:$A$16,0))&amp;""),""),"Over by "&amp;(Responses!AX44-IFERROR(VALUE(INDEX(Spaces!$B$5:$B$16,MATCH(Responses!AS44,Spaces!$A$5:$A$16,0))&amp;""),"")),"OK"),""))</f>
        <v/>
      </c>
      <c r="H48" s="28">
        <f>Responses!BF44</f>
        <v/>
      </c>
      <c r="I48" s="28">
        <f>IF(Responses!AS44="","",Responses!AO44&amp;"")</f>
        <v/>
      </c>
      <c r="J48" s="28">
        <f>IF(Responses!AS44="","",Responses!AZ44&amp;"")</f>
        <v/>
      </c>
      <c r="K48" s="29">
        <f>Responses!AY44</f>
        <v/>
      </c>
      <c r="L48" s="28">
        <f>IF(Responses!AS44="","",IF(Responses!AY44="Declined","",IF(Responses!BA44=0,"Check date and times",IF(Responses!BB44&gt;0,Responses!BC44,"No clash"))))</f>
        <v/>
      </c>
    </row>
    <row r="49">
      <c r="A49" s="27">
        <f>IF(Responses!AS45="","",IF(Responses!AT45&gt;0,Responses!AT45,"Check date"))</f>
        <v/>
      </c>
      <c r="B49" s="28">
        <f>Responses!AS45</f>
        <v/>
      </c>
      <c r="C49" s="29">
        <f>IF(Responses!AS45="","",IF(Responses!AU45&gt;=0,IF(Responses!AU45="","",RIGHT("0"&amp;INT(Responses!AU45/60),2)&amp;":"&amp;RIGHT("0"&amp;MOD(Responses!AU45,60),2)),"Check"))</f>
        <v/>
      </c>
      <c r="D49" s="29">
        <f>IF(Responses!AS45="","",IF(Responses!AV45&gt;=0,IF(Responses!AV45="","",RIGHT("0"&amp;INT(Responses!AV45/60),2)&amp;":"&amp;RIGHT("0"&amp;MOD(Responses!AV45,60),2)),"Check"))</f>
        <v/>
      </c>
      <c r="E49" s="28">
        <f>Responses!AW45</f>
        <v/>
      </c>
      <c r="F49" s="29">
        <f>Responses!AX45</f>
        <v/>
      </c>
      <c r="G49" s="29">
        <f>IF(Responses!AS45="","",IF(AND(ISNUMBER(Responses!AX45),ISNUMBER(IFERROR(VALUE(INDEX(Spaces!$B$5:$B$16,MATCH(Responses!AS45,Spaces!$A$5:$A$16,0))&amp;""),""))),IF(Responses!AX45&gt;IFERROR(VALUE(INDEX(Spaces!$B$5:$B$16,MATCH(Responses!AS45,Spaces!$A$5:$A$16,0))&amp;""),""),"Over by "&amp;(Responses!AX45-IFERROR(VALUE(INDEX(Spaces!$B$5:$B$16,MATCH(Responses!AS45,Spaces!$A$5:$A$16,0))&amp;""),"")),"OK"),""))</f>
        <v/>
      </c>
      <c r="H49" s="28">
        <f>Responses!BF45</f>
        <v/>
      </c>
      <c r="I49" s="28">
        <f>IF(Responses!AS45="","",Responses!AO45&amp;"")</f>
        <v/>
      </c>
      <c r="J49" s="28">
        <f>IF(Responses!AS45="","",Responses!AZ45&amp;"")</f>
        <v/>
      </c>
      <c r="K49" s="29">
        <f>Responses!AY45</f>
        <v/>
      </c>
      <c r="L49" s="28">
        <f>IF(Responses!AS45="","",IF(Responses!AY45="Declined","",IF(Responses!BA45=0,"Check date and times",IF(Responses!BB45&gt;0,Responses!BC45,"No clash"))))</f>
        <v/>
      </c>
    </row>
    <row r="50">
      <c r="A50" s="27">
        <f>IF(Responses!AS46="","",IF(Responses!AT46&gt;0,Responses!AT46,"Check date"))</f>
        <v/>
      </c>
      <c r="B50" s="28">
        <f>Responses!AS46</f>
        <v/>
      </c>
      <c r="C50" s="29">
        <f>IF(Responses!AS46="","",IF(Responses!AU46&gt;=0,IF(Responses!AU46="","",RIGHT("0"&amp;INT(Responses!AU46/60),2)&amp;":"&amp;RIGHT("0"&amp;MOD(Responses!AU46,60),2)),"Check"))</f>
        <v/>
      </c>
      <c r="D50" s="29">
        <f>IF(Responses!AS46="","",IF(Responses!AV46&gt;=0,IF(Responses!AV46="","",RIGHT("0"&amp;INT(Responses!AV46/60),2)&amp;":"&amp;RIGHT("0"&amp;MOD(Responses!AV46,60),2)),"Check"))</f>
        <v/>
      </c>
      <c r="E50" s="28">
        <f>Responses!AW46</f>
        <v/>
      </c>
      <c r="F50" s="29">
        <f>Responses!AX46</f>
        <v/>
      </c>
      <c r="G50" s="29">
        <f>IF(Responses!AS46="","",IF(AND(ISNUMBER(Responses!AX46),ISNUMBER(IFERROR(VALUE(INDEX(Spaces!$B$5:$B$16,MATCH(Responses!AS46,Spaces!$A$5:$A$16,0))&amp;""),""))),IF(Responses!AX46&gt;IFERROR(VALUE(INDEX(Spaces!$B$5:$B$16,MATCH(Responses!AS46,Spaces!$A$5:$A$16,0))&amp;""),""),"Over by "&amp;(Responses!AX46-IFERROR(VALUE(INDEX(Spaces!$B$5:$B$16,MATCH(Responses!AS46,Spaces!$A$5:$A$16,0))&amp;""),"")),"OK"),""))</f>
        <v/>
      </c>
      <c r="H50" s="28">
        <f>Responses!BF46</f>
        <v/>
      </c>
      <c r="I50" s="28">
        <f>IF(Responses!AS46="","",Responses!AO46&amp;"")</f>
        <v/>
      </c>
      <c r="J50" s="28">
        <f>IF(Responses!AS46="","",Responses!AZ46&amp;"")</f>
        <v/>
      </c>
      <c r="K50" s="29">
        <f>Responses!AY46</f>
        <v/>
      </c>
      <c r="L50" s="28">
        <f>IF(Responses!AS46="","",IF(Responses!AY46="Declined","",IF(Responses!BA46=0,"Check date and times",IF(Responses!BB46&gt;0,Responses!BC46,"No clash"))))</f>
        <v/>
      </c>
    </row>
    <row r="51">
      <c r="A51" s="27">
        <f>IF(Responses!AS47="","",IF(Responses!AT47&gt;0,Responses!AT47,"Check date"))</f>
        <v/>
      </c>
      <c r="B51" s="28">
        <f>Responses!AS47</f>
        <v/>
      </c>
      <c r="C51" s="29">
        <f>IF(Responses!AS47="","",IF(Responses!AU47&gt;=0,IF(Responses!AU47="","",RIGHT("0"&amp;INT(Responses!AU47/60),2)&amp;":"&amp;RIGHT("0"&amp;MOD(Responses!AU47,60),2)),"Check"))</f>
        <v/>
      </c>
      <c r="D51" s="29">
        <f>IF(Responses!AS47="","",IF(Responses!AV47&gt;=0,IF(Responses!AV47="","",RIGHT("0"&amp;INT(Responses!AV47/60),2)&amp;":"&amp;RIGHT("0"&amp;MOD(Responses!AV47,60),2)),"Check"))</f>
        <v/>
      </c>
      <c r="E51" s="28">
        <f>Responses!AW47</f>
        <v/>
      </c>
      <c r="F51" s="29">
        <f>Responses!AX47</f>
        <v/>
      </c>
      <c r="G51" s="29">
        <f>IF(Responses!AS47="","",IF(AND(ISNUMBER(Responses!AX47),ISNUMBER(IFERROR(VALUE(INDEX(Spaces!$B$5:$B$16,MATCH(Responses!AS47,Spaces!$A$5:$A$16,0))&amp;""),""))),IF(Responses!AX47&gt;IFERROR(VALUE(INDEX(Spaces!$B$5:$B$16,MATCH(Responses!AS47,Spaces!$A$5:$A$16,0))&amp;""),""),"Over by "&amp;(Responses!AX47-IFERROR(VALUE(INDEX(Spaces!$B$5:$B$16,MATCH(Responses!AS47,Spaces!$A$5:$A$16,0))&amp;""),"")),"OK"),""))</f>
        <v/>
      </c>
      <c r="H51" s="28">
        <f>Responses!BF47</f>
        <v/>
      </c>
      <c r="I51" s="28">
        <f>IF(Responses!AS47="","",Responses!AO47&amp;"")</f>
        <v/>
      </c>
      <c r="J51" s="28">
        <f>IF(Responses!AS47="","",Responses!AZ47&amp;"")</f>
        <v/>
      </c>
      <c r="K51" s="29">
        <f>Responses!AY47</f>
        <v/>
      </c>
      <c r="L51" s="28">
        <f>IF(Responses!AS47="","",IF(Responses!AY47="Declined","",IF(Responses!BA47=0,"Check date and times",IF(Responses!BB47&gt;0,Responses!BC47,"No clash"))))</f>
        <v/>
      </c>
    </row>
    <row r="52">
      <c r="A52" s="27">
        <f>IF(Responses!AS48="","",IF(Responses!AT48&gt;0,Responses!AT48,"Check date"))</f>
        <v/>
      </c>
      <c r="B52" s="28">
        <f>Responses!AS48</f>
        <v/>
      </c>
      <c r="C52" s="29">
        <f>IF(Responses!AS48="","",IF(Responses!AU48&gt;=0,IF(Responses!AU48="","",RIGHT("0"&amp;INT(Responses!AU48/60),2)&amp;":"&amp;RIGHT("0"&amp;MOD(Responses!AU48,60),2)),"Check"))</f>
        <v/>
      </c>
      <c r="D52" s="29">
        <f>IF(Responses!AS48="","",IF(Responses!AV48&gt;=0,IF(Responses!AV48="","",RIGHT("0"&amp;INT(Responses!AV48/60),2)&amp;":"&amp;RIGHT("0"&amp;MOD(Responses!AV48,60),2)),"Check"))</f>
        <v/>
      </c>
      <c r="E52" s="28">
        <f>Responses!AW48</f>
        <v/>
      </c>
      <c r="F52" s="29">
        <f>Responses!AX48</f>
        <v/>
      </c>
      <c r="G52" s="29">
        <f>IF(Responses!AS48="","",IF(AND(ISNUMBER(Responses!AX48),ISNUMBER(IFERROR(VALUE(INDEX(Spaces!$B$5:$B$16,MATCH(Responses!AS48,Spaces!$A$5:$A$16,0))&amp;""),""))),IF(Responses!AX48&gt;IFERROR(VALUE(INDEX(Spaces!$B$5:$B$16,MATCH(Responses!AS48,Spaces!$A$5:$A$16,0))&amp;""),""),"Over by "&amp;(Responses!AX48-IFERROR(VALUE(INDEX(Spaces!$B$5:$B$16,MATCH(Responses!AS48,Spaces!$A$5:$A$16,0))&amp;""),"")),"OK"),""))</f>
        <v/>
      </c>
      <c r="H52" s="28">
        <f>Responses!BF48</f>
        <v/>
      </c>
      <c r="I52" s="28">
        <f>IF(Responses!AS48="","",Responses!AO48&amp;"")</f>
        <v/>
      </c>
      <c r="J52" s="28">
        <f>IF(Responses!AS48="","",Responses!AZ48&amp;"")</f>
        <v/>
      </c>
      <c r="K52" s="29">
        <f>Responses!AY48</f>
        <v/>
      </c>
      <c r="L52" s="28">
        <f>IF(Responses!AS48="","",IF(Responses!AY48="Declined","",IF(Responses!BA48=0,"Check date and times",IF(Responses!BB48&gt;0,Responses!BC48,"No clash"))))</f>
        <v/>
      </c>
    </row>
    <row r="53">
      <c r="A53" s="27">
        <f>IF(Responses!AS49="","",IF(Responses!AT49&gt;0,Responses!AT49,"Check date"))</f>
        <v/>
      </c>
      <c r="B53" s="28">
        <f>Responses!AS49</f>
        <v/>
      </c>
      <c r="C53" s="29">
        <f>IF(Responses!AS49="","",IF(Responses!AU49&gt;=0,IF(Responses!AU49="","",RIGHT("0"&amp;INT(Responses!AU49/60),2)&amp;":"&amp;RIGHT("0"&amp;MOD(Responses!AU49,60),2)),"Check"))</f>
        <v/>
      </c>
      <c r="D53" s="29">
        <f>IF(Responses!AS49="","",IF(Responses!AV49&gt;=0,IF(Responses!AV49="","",RIGHT("0"&amp;INT(Responses!AV49/60),2)&amp;":"&amp;RIGHT("0"&amp;MOD(Responses!AV49,60),2)),"Check"))</f>
        <v/>
      </c>
      <c r="E53" s="28">
        <f>Responses!AW49</f>
        <v/>
      </c>
      <c r="F53" s="29">
        <f>Responses!AX49</f>
        <v/>
      </c>
      <c r="G53" s="29">
        <f>IF(Responses!AS49="","",IF(AND(ISNUMBER(Responses!AX49),ISNUMBER(IFERROR(VALUE(INDEX(Spaces!$B$5:$B$16,MATCH(Responses!AS49,Spaces!$A$5:$A$16,0))&amp;""),""))),IF(Responses!AX49&gt;IFERROR(VALUE(INDEX(Spaces!$B$5:$B$16,MATCH(Responses!AS49,Spaces!$A$5:$A$16,0))&amp;""),""),"Over by "&amp;(Responses!AX49-IFERROR(VALUE(INDEX(Spaces!$B$5:$B$16,MATCH(Responses!AS49,Spaces!$A$5:$A$16,0))&amp;""),"")),"OK"),""))</f>
        <v/>
      </c>
      <c r="H53" s="28">
        <f>Responses!BF49</f>
        <v/>
      </c>
      <c r="I53" s="28">
        <f>IF(Responses!AS49="","",Responses!AO49&amp;"")</f>
        <v/>
      </c>
      <c r="J53" s="28">
        <f>IF(Responses!AS49="","",Responses!AZ49&amp;"")</f>
        <v/>
      </c>
      <c r="K53" s="29">
        <f>Responses!AY49</f>
        <v/>
      </c>
      <c r="L53" s="28">
        <f>IF(Responses!AS49="","",IF(Responses!AY49="Declined","",IF(Responses!BA49=0,"Check date and times",IF(Responses!BB49&gt;0,Responses!BC49,"No clash"))))</f>
        <v/>
      </c>
    </row>
    <row r="54">
      <c r="A54" s="27">
        <f>IF(Responses!AS50="","",IF(Responses!AT50&gt;0,Responses!AT50,"Check date"))</f>
        <v/>
      </c>
      <c r="B54" s="28">
        <f>Responses!AS50</f>
        <v/>
      </c>
      <c r="C54" s="29">
        <f>IF(Responses!AS50="","",IF(Responses!AU50&gt;=0,IF(Responses!AU50="","",RIGHT("0"&amp;INT(Responses!AU50/60),2)&amp;":"&amp;RIGHT("0"&amp;MOD(Responses!AU50,60),2)),"Check"))</f>
        <v/>
      </c>
      <c r="D54" s="29">
        <f>IF(Responses!AS50="","",IF(Responses!AV50&gt;=0,IF(Responses!AV50="","",RIGHT("0"&amp;INT(Responses!AV50/60),2)&amp;":"&amp;RIGHT("0"&amp;MOD(Responses!AV50,60),2)),"Check"))</f>
        <v/>
      </c>
      <c r="E54" s="28">
        <f>Responses!AW50</f>
        <v/>
      </c>
      <c r="F54" s="29">
        <f>Responses!AX50</f>
        <v/>
      </c>
      <c r="G54" s="29">
        <f>IF(Responses!AS50="","",IF(AND(ISNUMBER(Responses!AX50),ISNUMBER(IFERROR(VALUE(INDEX(Spaces!$B$5:$B$16,MATCH(Responses!AS50,Spaces!$A$5:$A$16,0))&amp;""),""))),IF(Responses!AX50&gt;IFERROR(VALUE(INDEX(Spaces!$B$5:$B$16,MATCH(Responses!AS50,Spaces!$A$5:$A$16,0))&amp;""),""),"Over by "&amp;(Responses!AX50-IFERROR(VALUE(INDEX(Spaces!$B$5:$B$16,MATCH(Responses!AS50,Spaces!$A$5:$A$16,0))&amp;""),"")),"OK"),""))</f>
        <v/>
      </c>
      <c r="H54" s="28">
        <f>Responses!BF50</f>
        <v/>
      </c>
      <c r="I54" s="28">
        <f>IF(Responses!AS50="","",Responses!AO50&amp;"")</f>
        <v/>
      </c>
      <c r="J54" s="28">
        <f>IF(Responses!AS50="","",Responses!AZ50&amp;"")</f>
        <v/>
      </c>
      <c r="K54" s="29">
        <f>Responses!AY50</f>
        <v/>
      </c>
      <c r="L54" s="28">
        <f>IF(Responses!AS50="","",IF(Responses!AY50="Declined","",IF(Responses!BA50=0,"Check date and times",IF(Responses!BB50&gt;0,Responses!BC50,"No clash"))))</f>
        <v/>
      </c>
    </row>
    <row r="55">
      <c r="A55" s="27">
        <f>IF(Responses!AS51="","",IF(Responses!AT51&gt;0,Responses!AT51,"Check date"))</f>
        <v/>
      </c>
      <c r="B55" s="28">
        <f>Responses!AS51</f>
        <v/>
      </c>
      <c r="C55" s="29">
        <f>IF(Responses!AS51="","",IF(Responses!AU51&gt;=0,IF(Responses!AU51="","",RIGHT("0"&amp;INT(Responses!AU51/60),2)&amp;":"&amp;RIGHT("0"&amp;MOD(Responses!AU51,60),2)),"Check"))</f>
        <v/>
      </c>
      <c r="D55" s="29">
        <f>IF(Responses!AS51="","",IF(Responses!AV51&gt;=0,IF(Responses!AV51="","",RIGHT("0"&amp;INT(Responses!AV51/60),2)&amp;":"&amp;RIGHT("0"&amp;MOD(Responses!AV51,60),2)),"Check"))</f>
        <v/>
      </c>
      <c r="E55" s="28">
        <f>Responses!AW51</f>
        <v/>
      </c>
      <c r="F55" s="29">
        <f>Responses!AX51</f>
        <v/>
      </c>
      <c r="G55" s="29">
        <f>IF(Responses!AS51="","",IF(AND(ISNUMBER(Responses!AX51),ISNUMBER(IFERROR(VALUE(INDEX(Spaces!$B$5:$B$16,MATCH(Responses!AS51,Spaces!$A$5:$A$16,0))&amp;""),""))),IF(Responses!AX51&gt;IFERROR(VALUE(INDEX(Spaces!$B$5:$B$16,MATCH(Responses!AS51,Spaces!$A$5:$A$16,0))&amp;""),""),"Over by "&amp;(Responses!AX51-IFERROR(VALUE(INDEX(Spaces!$B$5:$B$16,MATCH(Responses!AS51,Spaces!$A$5:$A$16,0))&amp;""),"")),"OK"),""))</f>
        <v/>
      </c>
      <c r="H55" s="28">
        <f>Responses!BF51</f>
        <v/>
      </c>
      <c r="I55" s="28">
        <f>IF(Responses!AS51="","",Responses!AO51&amp;"")</f>
        <v/>
      </c>
      <c r="J55" s="28">
        <f>IF(Responses!AS51="","",Responses!AZ51&amp;"")</f>
        <v/>
      </c>
      <c r="K55" s="29">
        <f>Responses!AY51</f>
        <v/>
      </c>
      <c r="L55" s="28">
        <f>IF(Responses!AS51="","",IF(Responses!AY51="Declined","",IF(Responses!BA51=0,"Check date and times",IF(Responses!BB51&gt;0,Responses!BC51,"No clash"))))</f>
        <v/>
      </c>
    </row>
    <row r="56">
      <c r="A56" s="27">
        <f>IF(Responses!AS52="","",IF(Responses!AT52&gt;0,Responses!AT52,"Check date"))</f>
        <v/>
      </c>
      <c r="B56" s="28">
        <f>Responses!AS52</f>
        <v/>
      </c>
      <c r="C56" s="29">
        <f>IF(Responses!AS52="","",IF(Responses!AU52&gt;=0,IF(Responses!AU52="","",RIGHT("0"&amp;INT(Responses!AU52/60),2)&amp;":"&amp;RIGHT("0"&amp;MOD(Responses!AU52,60),2)),"Check"))</f>
        <v/>
      </c>
      <c r="D56" s="29">
        <f>IF(Responses!AS52="","",IF(Responses!AV52&gt;=0,IF(Responses!AV52="","",RIGHT("0"&amp;INT(Responses!AV52/60),2)&amp;":"&amp;RIGHT("0"&amp;MOD(Responses!AV52,60),2)),"Check"))</f>
        <v/>
      </c>
      <c r="E56" s="28">
        <f>Responses!AW52</f>
        <v/>
      </c>
      <c r="F56" s="29">
        <f>Responses!AX52</f>
        <v/>
      </c>
      <c r="G56" s="29">
        <f>IF(Responses!AS52="","",IF(AND(ISNUMBER(Responses!AX52),ISNUMBER(IFERROR(VALUE(INDEX(Spaces!$B$5:$B$16,MATCH(Responses!AS52,Spaces!$A$5:$A$16,0))&amp;""),""))),IF(Responses!AX52&gt;IFERROR(VALUE(INDEX(Spaces!$B$5:$B$16,MATCH(Responses!AS52,Spaces!$A$5:$A$16,0))&amp;""),""),"Over by "&amp;(Responses!AX52-IFERROR(VALUE(INDEX(Spaces!$B$5:$B$16,MATCH(Responses!AS52,Spaces!$A$5:$A$16,0))&amp;""),"")),"OK"),""))</f>
        <v/>
      </c>
      <c r="H56" s="28">
        <f>Responses!BF52</f>
        <v/>
      </c>
      <c r="I56" s="28">
        <f>IF(Responses!AS52="","",Responses!AO52&amp;"")</f>
        <v/>
      </c>
      <c r="J56" s="28">
        <f>IF(Responses!AS52="","",Responses!AZ52&amp;"")</f>
        <v/>
      </c>
      <c r="K56" s="29">
        <f>Responses!AY52</f>
        <v/>
      </c>
      <c r="L56" s="28">
        <f>IF(Responses!AS52="","",IF(Responses!AY52="Declined","",IF(Responses!BA52=0,"Check date and times",IF(Responses!BB52&gt;0,Responses!BC52,"No clash"))))</f>
        <v/>
      </c>
    </row>
    <row r="57">
      <c r="A57" s="27">
        <f>IF(Responses!AS53="","",IF(Responses!AT53&gt;0,Responses!AT53,"Check date"))</f>
        <v/>
      </c>
      <c r="B57" s="28">
        <f>Responses!AS53</f>
        <v/>
      </c>
      <c r="C57" s="29">
        <f>IF(Responses!AS53="","",IF(Responses!AU53&gt;=0,IF(Responses!AU53="","",RIGHT("0"&amp;INT(Responses!AU53/60),2)&amp;":"&amp;RIGHT("0"&amp;MOD(Responses!AU53,60),2)),"Check"))</f>
        <v/>
      </c>
      <c r="D57" s="29">
        <f>IF(Responses!AS53="","",IF(Responses!AV53&gt;=0,IF(Responses!AV53="","",RIGHT("0"&amp;INT(Responses!AV53/60),2)&amp;":"&amp;RIGHT("0"&amp;MOD(Responses!AV53,60),2)),"Check"))</f>
        <v/>
      </c>
      <c r="E57" s="28">
        <f>Responses!AW53</f>
        <v/>
      </c>
      <c r="F57" s="29">
        <f>Responses!AX53</f>
        <v/>
      </c>
      <c r="G57" s="29">
        <f>IF(Responses!AS53="","",IF(AND(ISNUMBER(Responses!AX53),ISNUMBER(IFERROR(VALUE(INDEX(Spaces!$B$5:$B$16,MATCH(Responses!AS53,Spaces!$A$5:$A$16,0))&amp;""),""))),IF(Responses!AX53&gt;IFERROR(VALUE(INDEX(Spaces!$B$5:$B$16,MATCH(Responses!AS53,Spaces!$A$5:$A$16,0))&amp;""),""),"Over by "&amp;(Responses!AX53-IFERROR(VALUE(INDEX(Spaces!$B$5:$B$16,MATCH(Responses!AS53,Spaces!$A$5:$A$16,0))&amp;""),"")),"OK"),""))</f>
        <v/>
      </c>
      <c r="H57" s="28">
        <f>Responses!BF53</f>
        <v/>
      </c>
      <c r="I57" s="28">
        <f>IF(Responses!AS53="","",Responses!AO53&amp;"")</f>
        <v/>
      </c>
      <c r="J57" s="28">
        <f>IF(Responses!AS53="","",Responses!AZ53&amp;"")</f>
        <v/>
      </c>
      <c r="K57" s="29">
        <f>Responses!AY53</f>
        <v/>
      </c>
      <c r="L57" s="28">
        <f>IF(Responses!AS53="","",IF(Responses!AY53="Declined","",IF(Responses!BA53=0,"Check date and times",IF(Responses!BB53&gt;0,Responses!BC53,"No clash"))))</f>
        <v/>
      </c>
    </row>
    <row r="58">
      <c r="A58" s="27">
        <f>IF(Responses!AS54="","",IF(Responses!AT54&gt;0,Responses!AT54,"Check date"))</f>
        <v/>
      </c>
      <c r="B58" s="28">
        <f>Responses!AS54</f>
        <v/>
      </c>
      <c r="C58" s="29">
        <f>IF(Responses!AS54="","",IF(Responses!AU54&gt;=0,IF(Responses!AU54="","",RIGHT("0"&amp;INT(Responses!AU54/60),2)&amp;":"&amp;RIGHT("0"&amp;MOD(Responses!AU54,60),2)),"Check"))</f>
        <v/>
      </c>
      <c r="D58" s="29">
        <f>IF(Responses!AS54="","",IF(Responses!AV54&gt;=0,IF(Responses!AV54="","",RIGHT("0"&amp;INT(Responses!AV54/60),2)&amp;":"&amp;RIGHT("0"&amp;MOD(Responses!AV54,60),2)),"Check"))</f>
        <v/>
      </c>
      <c r="E58" s="28">
        <f>Responses!AW54</f>
        <v/>
      </c>
      <c r="F58" s="29">
        <f>Responses!AX54</f>
        <v/>
      </c>
      <c r="G58" s="29">
        <f>IF(Responses!AS54="","",IF(AND(ISNUMBER(Responses!AX54),ISNUMBER(IFERROR(VALUE(INDEX(Spaces!$B$5:$B$16,MATCH(Responses!AS54,Spaces!$A$5:$A$16,0))&amp;""),""))),IF(Responses!AX54&gt;IFERROR(VALUE(INDEX(Spaces!$B$5:$B$16,MATCH(Responses!AS54,Spaces!$A$5:$A$16,0))&amp;""),""),"Over by "&amp;(Responses!AX54-IFERROR(VALUE(INDEX(Spaces!$B$5:$B$16,MATCH(Responses!AS54,Spaces!$A$5:$A$16,0))&amp;""),"")),"OK"),""))</f>
        <v/>
      </c>
      <c r="H58" s="28">
        <f>Responses!BF54</f>
        <v/>
      </c>
      <c r="I58" s="28">
        <f>IF(Responses!AS54="","",Responses!AO54&amp;"")</f>
        <v/>
      </c>
      <c r="J58" s="28">
        <f>IF(Responses!AS54="","",Responses!AZ54&amp;"")</f>
        <v/>
      </c>
      <c r="K58" s="29">
        <f>Responses!AY54</f>
        <v/>
      </c>
      <c r="L58" s="28">
        <f>IF(Responses!AS54="","",IF(Responses!AY54="Declined","",IF(Responses!BA54=0,"Check date and times",IF(Responses!BB54&gt;0,Responses!BC54,"No clash"))))</f>
        <v/>
      </c>
    </row>
    <row r="59">
      <c r="A59" s="27">
        <f>IF(Responses!AS55="","",IF(Responses!AT55&gt;0,Responses!AT55,"Check date"))</f>
        <v/>
      </c>
      <c r="B59" s="28">
        <f>Responses!AS55</f>
        <v/>
      </c>
      <c r="C59" s="29">
        <f>IF(Responses!AS55="","",IF(Responses!AU55&gt;=0,IF(Responses!AU55="","",RIGHT("0"&amp;INT(Responses!AU55/60),2)&amp;":"&amp;RIGHT("0"&amp;MOD(Responses!AU55,60),2)),"Check"))</f>
        <v/>
      </c>
      <c r="D59" s="29">
        <f>IF(Responses!AS55="","",IF(Responses!AV55&gt;=0,IF(Responses!AV55="","",RIGHT("0"&amp;INT(Responses!AV55/60),2)&amp;":"&amp;RIGHT("0"&amp;MOD(Responses!AV55,60),2)),"Check"))</f>
        <v/>
      </c>
      <c r="E59" s="28">
        <f>Responses!AW55</f>
        <v/>
      </c>
      <c r="F59" s="29">
        <f>Responses!AX55</f>
        <v/>
      </c>
      <c r="G59" s="29">
        <f>IF(Responses!AS55="","",IF(AND(ISNUMBER(Responses!AX55),ISNUMBER(IFERROR(VALUE(INDEX(Spaces!$B$5:$B$16,MATCH(Responses!AS55,Spaces!$A$5:$A$16,0))&amp;""),""))),IF(Responses!AX55&gt;IFERROR(VALUE(INDEX(Spaces!$B$5:$B$16,MATCH(Responses!AS55,Spaces!$A$5:$A$16,0))&amp;""),""),"Over by "&amp;(Responses!AX55-IFERROR(VALUE(INDEX(Spaces!$B$5:$B$16,MATCH(Responses!AS55,Spaces!$A$5:$A$16,0))&amp;""),"")),"OK"),""))</f>
        <v/>
      </c>
      <c r="H59" s="28">
        <f>Responses!BF55</f>
        <v/>
      </c>
      <c r="I59" s="28">
        <f>IF(Responses!AS55="","",Responses!AO55&amp;"")</f>
        <v/>
      </c>
      <c r="J59" s="28">
        <f>IF(Responses!AS55="","",Responses!AZ55&amp;"")</f>
        <v/>
      </c>
      <c r="K59" s="29">
        <f>Responses!AY55</f>
        <v/>
      </c>
      <c r="L59" s="28">
        <f>IF(Responses!AS55="","",IF(Responses!AY55="Declined","",IF(Responses!BA55=0,"Check date and times",IF(Responses!BB55&gt;0,Responses!BC55,"No clash"))))</f>
        <v/>
      </c>
    </row>
    <row r="60">
      <c r="A60" s="27">
        <f>IF(Responses!AS56="","",IF(Responses!AT56&gt;0,Responses!AT56,"Check date"))</f>
        <v/>
      </c>
      <c r="B60" s="28">
        <f>Responses!AS56</f>
        <v/>
      </c>
      <c r="C60" s="29">
        <f>IF(Responses!AS56="","",IF(Responses!AU56&gt;=0,IF(Responses!AU56="","",RIGHT("0"&amp;INT(Responses!AU56/60),2)&amp;":"&amp;RIGHT("0"&amp;MOD(Responses!AU56,60),2)),"Check"))</f>
        <v/>
      </c>
      <c r="D60" s="29">
        <f>IF(Responses!AS56="","",IF(Responses!AV56&gt;=0,IF(Responses!AV56="","",RIGHT("0"&amp;INT(Responses!AV56/60),2)&amp;":"&amp;RIGHT("0"&amp;MOD(Responses!AV56,60),2)),"Check"))</f>
        <v/>
      </c>
      <c r="E60" s="28">
        <f>Responses!AW56</f>
        <v/>
      </c>
      <c r="F60" s="29">
        <f>Responses!AX56</f>
        <v/>
      </c>
      <c r="G60" s="29">
        <f>IF(Responses!AS56="","",IF(AND(ISNUMBER(Responses!AX56),ISNUMBER(IFERROR(VALUE(INDEX(Spaces!$B$5:$B$16,MATCH(Responses!AS56,Spaces!$A$5:$A$16,0))&amp;""),""))),IF(Responses!AX56&gt;IFERROR(VALUE(INDEX(Spaces!$B$5:$B$16,MATCH(Responses!AS56,Spaces!$A$5:$A$16,0))&amp;""),""),"Over by "&amp;(Responses!AX56-IFERROR(VALUE(INDEX(Spaces!$B$5:$B$16,MATCH(Responses!AS56,Spaces!$A$5:$A$16,0))&amp;""),"")),"OK"),""))</f>
        <v/>
      </c>
      <c r="H60" s="28">
        <f>Responses!BF56</f>
        <v/>
      </c>
      <c r="I60" s="28">
        <f>IF(Responses!AS56="","",Responses!AO56&amp;"")</f>
        <v/>
      </c>
      <c r="J60" s="28">
        <f>IF(Responses!AS56="","",Responses!AZ56&amp;"")</f>
        <v/>
      </c>
      <c r="K60" s="29">
        <f>Responses!AY56</f>
        <v/>
      </c>
      <c r="L60" s="28">
        <f>IF(Responses!AS56="","",IF(Responses!AY56="Declined","",IF(Responses!BA56=0,"Check date and times",IF(Responses!BB56&gt;0,Responses!BC56,"No clash"))))</f>
        <v/>
      </c>
    </row>
    <row r="61">
      <c r="A61" s="27">
        <f>IF(Responses!AS57="","",IF(Responses!AT57&gt;0,Responses!AT57,"Check date"))</f>
        <v/>
      </c>
      <c r="B61" s="28">
        <f>Responses!AS57</f>
        <v/>
      </c>
      <c r="C61" s="29">
        <f>IF(Responses!AS57="","",IF(Responses!AU57&gt;=0,IF(Responses!AU57="","",RIGHT("0"&amp;INT(Responses!AU57/60),2)&amp;":"&amp;RIGHT("0"&amp;MOD(Responses!AU57,60),2)),"Check"))</f>
        <v/>
      </c>
      <c r="D61" s="29">
        <f>IF(Responses!AS57="","",IF(Responses!AV57&gt;=0,IF(Responses!AV57="","",RIGHT("0"&amp;INT(Responses!AV57/60),2)&amp;":"&amp;RIGHT("0"&amp;MOD(Responses!AV57,60),2)),"Check"))</f>
        <v/>
      </c>
      <c r="E61" s="28">
        <f>Responses!AW57</f>
        <v/>
      </c>
      <c r="F61" s="29">
        <f>Responses!AX57</f>
        <v/>
      </c>
      <c r="G61" s="29">
        <f>IF(Responses!AS57="","",IF(AND(ISNUMBER(Responses!AX57),ISNUMBER(IFERROR(VALUE(INDEX(Spaces!$B$5:$B$16,MATCH(Responses!AS57,Spaces!$A$5:$A$16,0))&amp;""),""))),IF(Responses!AX57&gt;IFERROR(VALUE(INDEX(Spaces!$B$5:$B$16,MATCH(Responses!AS57,Spaces!$A$5:$A$16,0))&amp;""),""),"Over by "&amp;(Responses!AX57-IFERROR(VALUE(INDEX(Spaces!$B$5:$B$16,MATCH(Responses!AS57,Spaces!$A$5:$A$16,0))&amp;""),"")),"OK"),""))</f>
        <v/>
      </c>
      <c r="H61" s="28">
        <f>Responses!BF57</f>
        <v/>
      </c>
      <c r="I61" s="28">
        <f>IF(Responses!AS57="","",Responses!AO57&amp;"")</f>
        <v/>
      </c>
      <c r="J61" s="28">
        <f>IF(Responses!AS57="","",Responses!AZ57&amp;"")</f>
        <v/>
      </c>
      <c r="K61" s="29">
        <f>Responses!AY57</f>
        <v/>
      </c>
      <c r="L61" s="28">
        <f>IF(Responses!AS57="","",IF(Responses!AY57="Declined","",IF(Responses!BA57=0,"Check date and times",IF(Responses!BB57&gt;0,Responses!BC57,"No clash"))))</f>
        <v/>
      </c>
    </row>
    <row r="62">
      <c r="A62" s="27">
        <f>IF(Responses!AS58="","",IF(Responses!AT58&gt;0,Responses!AT58,"Check date"))</f>
        <v/>
      </c>
      <c r="B62" s="28">
        <f>Responses!AS58</f>
        <v/>
      </c>
      <c r="C62" s="29">
        <f>IF(Responses!AS58="","",IF(Responses!AU58&gt;=0,IF(Responses!AU58="","",RIGHT("0"&amp;INT(Responses!AU58/60),2)&amp;":"&amp;RIGHT("0"&amp;MOD(Responses!AU58,60),2)),"Check"))</f>
        <v/>
      </c>
      <c r="D62" s="29">
        <f>IF(Responses!AS58="","",IF(Responses!AV58&gt;=0,IF(Responses!AV58="","",RIGHT("0"&amp;INT(Responses!AV58/60),2)&amp;":"&amp;RIGHT("0"&amp;MOD(Responses!AV58,60),2)),"Check"))</f>
        <v/>
      </c>
      <c r="E62" s="28">
        <f>Responses!AW58</f>
        <v/>
      </c>
      <c r="F62" s="29">
        <f>Responses!AX58</f>
        <v/>
      </c>
      <c r="G62" s="29">
        <f>IF(Responses!AS58="","",IF(AND(ISNUMBER(Responses!AX58),ISNUMBER(IFERROR(VALUE(INDEX(Spaces!$B$5:$B$16,MATCH(Responses!AS58,Spaces!$A$5:$A$16,0))&amp;""),""))),IF(Responses!AX58&gt;IFERROR(VALUE(INDEX(Spaces!$B$5:$B$16,MATCH(Responses!AS58,Spaces!$A$5:$A$16,0))&amp;""),""),"Over by "&amp;(Responses!AX58-IFERROR(VALUE(INDEX(Spaces!$B$5:$B$16,MATCH(Responses!AS58,Spaces!$A$5:$A$16,0))&amp;""),"")),"OK"),""))</f>
        <v/>
      </c>
      <c r="H62" s="28">
        <f>Responses!BF58</f>
        <v/>
      </c>
      <c r="I62" s="28">
        <f>IF(Responses!AS58="","",Responses!AO58&amp;"")</f>
        <v/>
      </c>
      <c r="J62" s="28">
        <f>IF(Responses!AS58="","",Responses!AZ58&amp;"")</f>
        <v/>
      </c>
      <c r="K62" s="29">
        <f>Responses!AY58</f>
        <v/>
      </c>
      <c r="L62" s="28">
        <f>IF(Responses!AS58="","",IF(Responses!AY58="Declined","",IF(Responses!BA58=0,"Check date and times",IF(Responses!BB58&gt;0,Responses!BC58,"No clash"))))</f>
        <v/>
      </c>
    </row>
    <row r="63">
      <c r="A63" s="27">
        <f>IF(Responses!AS59="","",IF(Responses!AT59&gt;0,Responses!AT59,"Check date"))</f>
        <v/>
      </c>
      <c r="B63" s="28">
        <f>Responses!AS59</f>
        <v/>
      </c>
      <c r="C63" s="29">
        <f>IF(Responses!AS59="","",IF(Responses!AU59&gt;=0,IF(Responses!AU59="","",RIGHT("0"&amp;INT(Responses!AU59/60),2)&amp;":"&amp;RIGHT("0"&amp;MOD(Responses!AU59,60),2)),"Check"))</f>
        <v/>
      </c>
      <c r="D63" s="29">
        <f>IF(Responses!AS59="","",IF(Responses!AV59&gt;=0,IF(Responses!AV59="","",RIGHT("0"&amp;INT(Responses!AV59/60),2)&amp;":"&amp;RIGHT("0"&amp;MOD(Responses!AV59,60),2)),"Check"))</f>
        <v/>
      </c>
      <c r="E63" s="28">
        <f>Responses!AW59</f>
        <v/>
      </c>
      <c r="F63" s="29">
        <f>Responses!AX59</f>
        <v/>
      </c>
      <c r="G63" s="29">
        <f>IF(Responses!AS59="","",IF(AND(ISNUMBER(Responses!AX59),ISNUMBER(IFERROR(VALUE(INDEX(Spaces!$B$5:$B$16,MATCH(Responses!AS59,Spaces!$A$5:$A$16,0))&amp;""),""))),IF(Responses!AX59&gt;IFERROR(VALUE(INDEX(Spaces!$B$5:$B$16,MATCH(Responses!AS59,Spaces!$A$5:$A$16,0))&amp;""),""),"Over by "&amp;(Responses!AX59-IFERROR(VALUE(INDEX(Spaces!$B$5:$B$16,MATCH(Responses!AS59,Spaces!$A$5:$A$16,0))&amp;""),"")),"OK"),""))</f>
        <v/>
      </c>
      <c r="H63" s="28">
        <f>Responses!BF59</f>
        <v/>
      </c>
      <c r="I63" s="28">
        <f>IF(Responses!AS59="","",Responses!AO59&amp;"")</f>
        <v/>
      </c>
      <c r="J63" s="28">
        <f>IF(Responses!AS59="","",Responses!AZ59&amp;"")</f>
        <v/>
      </c>
      <c r="K63" s="29">
        <f>Responses!AY59</f>
        <v/>
      </c>
      <c r="L63" s="28">
        <f>IF(Responses!AS59="","",IF(Responses!AY59="Declined","",IF(Responses!BA59=0,"Check date and times",IF(Responses!BB59&gt;0,Responses!BC59,"No clash"))))</f>
        <v/>
      </c>
    </row>
    <row r="64">
      <c r="A64" s="27">
        <f>IF(Responses!AS60="","",IF(Responses!AT60&gt;0,Responses!AT60,"Check date"))</f>
        <v/>
      </c>
      <c r="B64" s="28">
        <f>Responses!AS60</f>
        <v/>
      </c>
      <c r="C64" s="29">
        <f>IF(Responses!AS60="","",IF(Responses!AU60&gt;=0,IF(Responses!AU60="","",RIGHT("0"&amp;INT(Responses!AU60/60),2)&amp;":"&amp;RIGHT("0"&amp;MOD(Responses!AU60,60),2)),"Check"))</f>
        <v/>
      </c>
      <c r="D64" s="29">
        <f>IF(Responses!AS60="","",IF(Responses!AV60&gt;=0,IF(Responses!AV60="","",RIGHT("0"&amp;INT(Responses!AV60/60),2)&amp;":"&amp;RIGHT("0"&amp;MOD(Responses!AV60,60),2)),"Check"))</f>
        <v/>
      </c>
      <c r="E64" s="28">
        <f>Responses!AW60</f>
        <v/>
      </c>
      <c r="F64" s="29">
        <f>Responses!AX60</f>
        <v/>
      </c>
      <c r="G64" s="29">
        <f>IF(Responses!AS60="","",IF(AND(ISNUMBER(Responses!AX60),ISNUMBER(IFERROR(VALUE(INDEX(Spaces!$B$5:$B$16,MATCH(Responses!AS60,Spaces!$A$5:$A$16,0))&amp;""),""))),IF(Responses!AX60&gt;IFERROR(VALUE(INDEX(Spaces!$B$5:$B$16,MATCH(Responses!AS60,Spaces!$A$5:$A$16,0))&amp;""),""),"Over by "&amp;(Responses!AX60-IFERROR(VALUE(INDEX(Spaces!$B$5:$B$16,MATCH(Responses!AS60,Spaces!$A$5:$A$16,0))&amp;""),"")),"OK"),""))</f>
        <v/>
      </c>
      <c r="H64" s="28">
        <f>Responses!BF60</f>
        <v/>
      </c>
      <c r="I64" s="28">
        <f>IF(Responses!AS60="","",Responses!AO60&amp;"")</f>
        <v/>
      </c>
      <c r="J64" s="28">
        <f>IF(Responses!AS60="","",Responses!AZ60&amp;"")</f>
        <v/>
      </c>
      <c r="K64" s="29">
        <f>Responses!AY60</f>
        <v/>
      </c>
      <c r="L64" s="28">
        <f>IF(Responses!AS60="","",IF(Responses!AY60="Declined","",IF(Responses!BA60=0,"Check date and times",IF(Responses!BB60&gt;0,Responses!BC60,"No clash"))))</f>
        <v/>
      </c>
    </row>
    <row r="65">
      <c r="A65" s="27">
        <f>IF(Responses!AS61="","",IF(Responses!AT61&gt;0,Responses!AT61,"Check date"))</f>
        <v/>
      </c>
      <c r="B65" s="28">
        <f>Responses!AS61</f>
        <v/>
      </c>
      <c r="C65" s="29">
        <f>IF(Responses!AS61="","",IF(Responses!AU61&gt;=0,IF(Responses!AU61="","",RIGHT("0"&amp;INT(Responses!AU61/60),2)&amp;":"&amp;RIGHT("0"&amp;MOD(Responses!AU61,60),2)),"Check"))</f>
        <v/>
      </c>
      <c r="D65" s="29">
        <f>IF(Responses!AS61="","",IF(Responses!AV61&gt;=0,IF(Responses!AV61="","",RIGHT("0"&amp;INT(Responses!AV61/60),2)&amp;":"&amp;RIGHT("0"&amp;MOD(Responses!AV61,60),2)),"Check"))</f>
        <v/>
      </c>
      <c r="E65" s="28">
        <f>Responses!AW61</f>
        <v/>
      </c>
      <c r="F65" s="29">
        <f>Responses!AX61</f>
        <v/>
      </c>
      <c r="G65" s="29">
        <f>IF(Responses!AS61="","",IF(AND(ISNUMBER(Responses!AX61),ISNUMBER(IFERROR(VALUE(INDEX(Spaces!$B$5:$B$16,MATCH(Responses!AS61,Spaces!$A$5:$A$16,0))&amp;""),""))),IF(Responses!AX61&gt;IFERROR(VALUE(INDEX(Spaces!$B$5:$B$16,MATCH(Responses!AS61,Spaces!$A$5:$A$16,0))&amp;""),""),"Over by "&amp;(Responses!AX61-IFERROR(VALUE(INDEX(Spaces!$B$5:$B$16,MATCH(Responses!AS61,Spaces!$A$5:$A$16,0))&amp;""),"")),"OK"),""))</f>
        <v/>
      </c>
      <c r="H65" s="28">
        <f>Responses!BF61</f>
        <v/>
      </c>
      <c r="I65" s="28">
        <f>IF(Responses!AS61="","",Responses!AO61&amp;"")</f>
        <v/>
      </c>
      <c r="J65" s="28">
        <f>IF(Responses!AS61="","",Responses!AZ61&amp;"")</f>
        <v/>
      </c>
      <c r="K65" s="29">
        <f>Responses!AY61</f>
        <v/>
      </c>
      <c r="L65" s="28">
        <f>IF(Responses!AS61="","",IF(Responses!AY61="Declined","",IF(Responses!BA61=0,"Check date and times",IF(Responses!BB61&gt;0,Responses!BC61,"No clash"))))</f>
        <v/>
      </c>
    </row>
    <row r="66">
      <c r="A66" s="27">
        <f>IF(Responses!AS62="","",IF(Responses!AT62&gt;0,Responses!AT62,"Check date"))</f>
        <v/>
      </c>
      <c r="B66" s="28">
        <f>Responses!AS62</f>
        <v/>
      </c>
      <c r="C66" s="29">
        <f>IF(Responses!AS62="","",IF(Responses!AU62&gt;=0,IF(Responses!AU62="","",RIGHT("0"&amp;INT(Responses!AU62/60),2)&amp;":"&amp;RIGHT("0"&amp;MOD(Responses!AU62,60),2)),"Check"))</f>
        <v/>
      </c>
      <c r="D66" s="29">
        <f>IF(Responses!AS62="","",IF(Responses!AV62&gt;=0,IF(Responses!AV62="","",RIGHT("0"&amp;INT(Responses!AV62/60),2)&amp;":"&amp;RIGHT("0"&amp;MOD(Responses!AV62,60),2)),"Check"))</f>
        <v/>
      </c>
      <c r="E66" s="28">
        <f>Responses!AW62</f>
        <v/>
      </c>
      <c r="F66" s="29">
        <f>Responses!AX62</f>
        <v/>
      </c>
      <c r="G66" s="29">
        <f>IF(Responses!AS62="","",IF(AND(ISNUMBER(Responses!AX62),ISNUMBER(IFERROR(VALUE(INDEX(Spaces!$B$5:$B$16,MATCH(Responses!AS62,Spaces!$A$5:$A$16,0))&amp;""),""))),IF(Responses!AX62&gt;IFERROR(VALUE(INDEX(Spaces!$B$5:$B$16,MATCH(Responses!AS62,Spaces!$A$5:$A$16,0))&amp;""),""),"Over by "&amp;(Responses!AX62-IFERROR(VALUE(INDEX(Spaces!$B$5:$B$16,MATCH(Responses!AS62,Spaces!$A$5:$A$16,0))&amp;""),"")),"OK"),""))</f>
        <v/>
      </c>
      <c r="H66" s="28">
        <f>Responses!BF62</f>
        <v/>
      </c>
      <c r="I66" s="28">
        <f>IF(Responses!AS62="","",Responses!AO62&amp;"")</f>
        <v/>
      </c>
      <c r="J66" s="28">
        <f>IF(Responses!AS62="","",Responses!AZ62&amp;"")</f>
        <v/>
      </c>
      <c r="K66" s="29">
        <f>Responses!AY62</f>
        <v/>
      </c>
      <c r="L66" s="28">
        <f>IF(Responses!AS62="","",IF(Responses!AY62="Declined","",IF(Responses!BA62=0,"Check date and times",IF(Responses!BB62&gt;0,Responses!BC62,"No clash"))))</f>
        <v/>
      </c>
    </row>
    <row r="67">
      <c r="A67" s="27">
        <f>IF(Responses!AS63="","",IF(Responses!AT63&gt;0,Responses!AT63,"Check date"))</f>
        <v/>
      </c>
      <c r="B67" s="28">
        <f>Responses!AS63</f>
        <v/>
      </c>
      <c r="C67" s="29">
        <f>IF(Responses!AS63="","",IF(Responses!AU63&gt;=0,IF(Responses!AU63="","",RIGHT("0"&amp;INT(Responses!AU63/60),2)&amp;":"&amp;RIGHT("0"&amp;MOD(Responses!AU63,60),2)),"Check"))</f>
        <v/>
      </c>
      <c r="D67" s="29">
        <f>IF(Responses!AS63="","",IF(Responses!AV63&gt;=0,IF(Responses!AV63="","",RIGHT("0"&amp;INT(Responses!AV63/60),2)&amp;":"&amp;RIGHT("0"&amp;MOD(Responses!AV63,60),2)),"Check"))</f>
        <v/>
      </c>
      <c r="E67" s="28">
        <f>Responses!AW63</f>
        <v/>
      </c>
      <c r="F67" s="29">
        <f>Responses!AX63</f>
        <v/>
      </c>
      <c r="G67" s="29">
        <f>IF(Responses!AS63="","",IF(AND(ISNUMBER(Responses!AX63),ISNUMBER(IFERROR(VALUE(INDEX(Spaces!$B$5:$B$16,MATCH(Responses!AS63,Spaces!$A$5:$A$16,0))&amp;""),""))),IF(Responses!AX63&gt;IFERROR(VALUE(INDEX(Spaces!$B$5:$B$16,MATCH(Responses!AS63,Spaces!$A$5:$A$16,0))&amp;""),""),"Over by "&amp;(Responses!AX63-IFERROR(VALUE(INDEX(Spaces!$B$5:$B$16,MATCH(Responses!AS63,Spaces!$A$5:$A$16,0))&amp;""),"")),"OK"),""))</f>
        <v/>
      </c>
      <c r="H67" s="28">
        <f>Responses!BF63</f>
        <v/>
      </c>
      <c r="I67" s="28">
        <f>IF(Responses!AS63="","",Responses!AO63&amp;"")</f>
        <v/>
      </c>
      <c r="J67" s="28">
        <f>IF(Responses!AS63="","",Responses!AZ63&amp;"")</f>
        <v/>
      </c>
      <c r="K67" s="29">
        <f>Responses!AY63</f>
        <v/>
      </c>
      <c r="L67" s="28">
        <f>IF(Responses!AS63="","",IF(Responses!AY63="Declined","",IF(Responses!BA63=0,"Check date and times",IF(Responses!BB63&gt;0,Responses!BC63,"No clash"))))</f>
        <v/>
      </c>
    </row>
    <row r="68">
      <c r="A68" s="27">
        <f>IF(Responses!AS64="","",IF(Responses!AT64&gt;0,Responses!AT64,"Check date"))</f>
        <v/>
      </c>
      <c r="B68" s="28">
        <f>Responses!AS64</f>
        <v/>
      </c>
      <c r="C68" s="29">
        <f>IF(Responses!AS64="","",IF(Responses!AU64&gt;=0,IF(Responses!AU64="","",RIGHT("0"&amp;INT(Responses!AU64/60),2)&amp;":"&amp;RIGHT("0"&amp;MOD(Responses!AU64,60),2)),"Check"))</f>
        <v/>
      </c>
      <c r="D68" s="29">
        <f>IF(Responses!AS64="","",IF(Responses!AV64&gt;=0,IF(Responses!AV64="","",RIGHT("0"&amp;INT(Responses!AV64/60),2)&amp;":"&amp;RIGHT("0"&amp;MOD(Responses!AV64,60),2)),"Check"))</f>
        <v/>
      </c>
      <c r="E68" s="28">
        <f>Responses!AW64</f>
        <v/>
      </c>
      <c r="F68" s="29">
        <f>Responses!AX64</f>
        <v/>
      </c>
      <c r="G68" s="29">
        <f>IF(Responses!AS64="","",IF(AND(ISNUMBER(Responses!AX64),ISNUMBER(IFERROR(VALUE(INDEX(Spaces!$B$5:$B$16,MATCH(Responses!AS64,Spaces!$A$5:$A$16,0))&amp;""),""))),IF(Responses!AX64&gt;IFERROR(VALUE(INDEX(Spaces!$B$5:$B$16,MATCH(Responses!AS64,Spaces!$A$5:$A$16,0))&amp;""),""),"Over by "&amp;(Responses!AX64-IFERROR(VALUE(INDEX(Spaces!$B$5:$B$16,MATCH(Responses!AS64,Spaces!$A$5:$A$16,0))&amp;""),"")),"OK"),""))</f>
        <v/>
      </c>
      <c r="H68" s="28">
        <f>Responses!BF64</f>
        <v/>
      </c>
      <c r="I68" s="28">
        <f>IF(Responses!AS64="","",Responses!AO64&amp;"")</f>
        <v/>
      </c>
      <c r="J68" s="28">
        <f>IF(Responses!AS64="","",Responses!AZ64&amp;"")</f>
        <v/>
      </c>
      <c r="K68" s="29">
        <f>Responses!AY64</f>
        <v/>
      </c>
      <c r="L68" s="28">
        <f>IF(Responses!AS64="","",IF(Responses!AY64="Declined","",IF(Responses!BA64=0,"Check date and times",IF(Responses!BB64&gt;0,Responses!BC64,"No clash"))))</f>
        <v/>
      </c>
    </row>
    <row r="69">
      <c r="A69" s="27">
        <f>IF(Responses!AS65="","",IF(Responses!AT65&gt;0,Responses!AT65,"Check date"))</f>
        <v/>
      </c>
      <c r="B69" s="28">
        <f>Responses!AS65</f>
        <v/>
      </c>
      <c r="C69" s="29">
        <f>IF(Responses!AS65="","",IF(Responses!AU65&gt;=0,IF(Responses!AU65="","",RIGHT("0"&amp;INT(Responses!AU65/60),2)&amp;":"&amp;RIGHT("0"&amp;MOD(Responses!AU65,60),2)),"Check"))</f>
        <v/>
      </c>
      <c r="D69" s="29">
        <f>IF(Responses!AS65="","",IF(Responses!AV65&gt;=0,IF(Responses!AV65="","",RIGHT("0"&amp;INT(Responses!AV65/60),2)&amp;":"&amp;RIGHT("0"&amp;MOD(Responses!AV65,60),2)),"Check"))</f>
        <v/>
      </c>
      <c r="E69" s="28">
        <f>Responses!AW65</f>
        <v/>
      </c>
      <c r="F69" s="29">
        <f>Responses!AX65</f>
        <v/>
      </c>
      <c r="G69" s="29">
        <f>IF(Responses!AS65="","",IF(AND(ISNUMBER(Responses!AX65),ISNUMBER(IFERROR(VALUE(INDEX(Spaces!$B$5:$B$16,MATCH(Responses!AS65,Spaces!$A$5:$A$16,0))&amp;""),""))),IF(Responses!AX65&gt;IFERROR(VALUE(INDEX(Spaces!$B$5:$B$16,MATCH(Responses!AS65,Spaces!$A$5:$A$16,0))&amp;""),""),"Over by "&amp;(Responses!AX65-IFERROR(VALUE(INDEX(Spaces!$B$5:$B$16,MATCH(Responses!AS65,Spaces!$A$5:$A$16,0))&amp;""),"")),"OK"),""))</f>
        <v/>
      </c>
      <c r="H69" s="28">
        <f>Responses!BF65</f>
        <v/>
      </c>
      <c r="I69" s="28">
        <f>IF(Responses!AS65="","",Responses!AO65&amp;"")</f>
        <v/>
      </c>
      <c r="J69" s="28">
        <f>IF(Responses!AS65="","",Responses!AZ65&amp;"")</f>
        <v/>
      </c>
      <c r="K69" s="29">
        <f>Responses!AY65</f>
        <v/>
      </c>
      <c r="L69" s="28">
        <f>IF(Responses!AS65="","",IF(Responses!AY65="Declined","",IF(Responses!BA65=0,"Check date and times",IF(Responses!BB65&gt;0,Responses!BC65,"No clash"))))</f>
        <v/>
      </c>
    </row>
    <row r="70">
      <c r="A70" s="27">
        <f>IF(Responses!AS66="","",IF(Responses!AT66&gt;0,Responses!AT66,"Check date"))</f>
        <v/>
      </c>
      <c r="B70" s="28">
        <f>Responses!AS66</f>
        <v/>
      </c>
      <c r="C70" s="29">
        <f>IF(Responses!AS66="","",IF(Responses!AU66&gt;=0,IF(Responses!AU66="","",RIGHT("0"&amp;INT(Responses!AU66/60),2)&amp;":"&amp;RIGHT("0"&amp;MOD(Responses!AU66,60),2)),"Check"))</f>
        <v/>
      </c>
      <c r="D70" s="29">
        <f>IF(Responses!AS66="","",IF(Responses!AV66&gt;=0,IF(Responses!AV66="","",RIGHT("0"&amp;INT(Responses!AV66/60),2)&amp;":"&amp;RIGHT("0"&amp;MOD(Responses!AV66,60),2)),"Check"))</f>
        <v/>
      </c>
      <c r="E70" s="28">
        <f>Responses!AW66</f>
        <v/>
      </c>
      <c r="F70" s="29">
        <f>Responses!AX66</f>
        <v/>
      </c>
      <c r="G70" s="29">
        <f>IF(Responses!AS66="","",IF(AND(ISNUMBER(Responses!AX66),ISNUMBER(IFERROR(VALUE(INDEX(Spaces!$B$5:$B$16,MATCH(Responses!AS66,Spaces!$A$5:$A$16,0))&amp;""),""))),IF(Responses!AX66&gt;IFERROR(VALUE(INDEX(Spaces!$B$5:$B$16,MATCH(Responses!AS66,Spaces!$A$5:$A$16,0))&amp;""),""),"Over by "&amp;(Responses!AX66-IFERROR(VALUE(INDEX(Spaces!$B$5:$B$16,MATCH(Responses!AS66,Spaces!$A$5:$A$16,0))&amp;""),"")),"OK"),""))</f>
        <v/>
      </c>
      <c r="H70" s="28">
        <f>Responses!BF66</f>
        <v/>
      </c>
      <c r="I70" s="28">
        <f>IF(Responses!AS66="","",Responses!AO66&amp;"")</f>
        <v/>
      </c>
      <c r="J70" s="28">
        <f>IF(Responses!AS66="","",Responses!AZ66&amp;"")</f>
        <v/>
      </c>
      <c r="K70" s="29">
        <f>Responses!AY66</f>
        <v/>
      </c>
      <c r="L70" s="28">
        <f>IF(Responses!AS66="","",IF(Responses!AY66="Declined","",IF(Responses!BA66=0,"Check date and times",IF(Responses!BB66&gt;0,Responses!BC66,"No clash"))))</f>
        <v/>
      </c>
    </row>
    <row r="71">
      <c r="A71" s="27">
        <f>IF(Responses!AS67="","",IF(Responses!AT67&gt;0,Responses!AT67,"Check date"))</f>
        <v/>
      </c>
      <c r="B71" s="28">
        <f>Responses!AS67</f>
        <v/>
      </c>
      <c r="C71" s="29">
        <f>IF(Responses!AS67="","",IF(Responses!AU67&gt;=0,IF(Responses!AU67="","",RIGHT("0"&amp;INT(Responses!AU67/60),2)&amp;":"&amp;RIGHT("0"&amp;MOD(Responses!AU67,60),2)),"Check"))</f>
        <v/>
      </c>
      <c r="D71" s="29">
        <f>IF(Responses!AS67="","",IF(Responses!AV67&gt;=0,IF(Responses!AV67="","",RIGHT("0"&amp;INT(Responses!AV67/60),2)&amp;":"&amp;RIGHT("0"&amp;MOD(Responses!AV67,60),2)),"Check"))</f>
        <v/>
      </c>
      <c r="E71" s="28">
        <f>Responses!AW67</f>
        <v/>
      </c>
      <c r="F71" s="29">
        <f>Responses!AX67</f>
        <v/>
      </c>
      <c r="G71" s="29">
        <f>IF(Responses!AS67="","",IF(AND(ISNUMBER(Responses!AX67),ISNUMBER(IFERROR(VALUE(INDEX(Spaces!$B$5:$B$16,MATCH(Responses!AS67,Spaces!$A$5:$A$16,0))&amp;""),""))),IF(Responses!AX67&gt;IFERROR(VALUE(INDEX(Spaces!$B$5:$B$16,MATCH(Responses!AS67,Spaces!$A$5:$A$16,0))&amp;""),""),"Over by "&amp;(Responses!AX67-IFERROR(VALUE(INDEX(Spaces!$B$5:$B$16,MATCH(Responses!AS67,Spaces!$A$5:$A$16,0))&amp;""),"")),"OK"),""))</f>
        <v/>
      </c>
      <c r="H71" s="28">
        <f>Responses!BF67</f>
        <v/>
      </c>
      <c r="I71" s="28">
        <f>IF(Responses!AS67="","",Responses!AO67&amp;"")</f>
        <v/>
      </c>
      <c r="J71" s="28">
        <f>IF(Responses!AS67="","",Responses!AZ67&amp;"")</f>
        <v/>
      </c>
      <c r="K71" s="29">
        <f>Responses!AY67</f>
        <v/>
      </c>
      <c r="L71" s="28">
        <f>IF(Responses!AS67="","",IF(Responses!AY67="Declined","",IF(Responses!BA67=0,"Check date and times",IF(Responses!BB67&gt;0,Responses!BC67,"No clash"))))</f>
        <v/>
      </c>
    </row>
    <row r="72">
      <c r="A72" s="27">
        <f>IF(Responses!AS68="","",IF(Responses!AT68&gt;0,Responses!AT68,"Check date"))</f>
        <v/>
      </c>
      <c r="B72" s="28">
        <f>Responses!AS68</f>
        <v/>
      </c>
      <c r="C72" s="29">
        <f>IF(Responses!AS68="","",IF(Responses!AU68&gt;=0,IF(Responses!AU68="","",RIGHT("0"&amp;INT(Responses!AU68/60),2)&amp;":"&amp;RIGHT("0"&amp;MOD(Responses!AU68,60),2)),"Check"))</f>
        <v/>
      </c>
      <c r="D72" s="29">
        <f>IF(Responses!AS68="","",IF(Responses!AV68&gt;=0,IF(Responses!AV68="","",RIGHT("0"&amp;INT(Responses!AV68/60),2)&amp;":"&amp;RIGHT("0"&amp;MOD(Responses!AV68,60),2)),"Check"))</f>
        <v/>
      </c>
      <c r="E72" s="28">
        <f>Responses!AW68</f>
        <v/>
      </c>
      <c r="F72" s="29">
        <f>Responses!AX68</f>
        <v/>
      </c>
      <c r="G72" s="29">
        <f>IF(Responses!AS68="","",IF(AND(ISNUMBER(Responses!AX68),ISNUMBER(IFERROR(VALUE(INDEX(Spaces!$B$5:$B$16,MATCH(Responses!AS68,Spaces!$A$5:$A$16,0))&amp;""),""))),IF(Responses!AX68&gt;IFERROR(VALUE(INDEX(Spaces!$B$5:$B$16,MATCH(Responses!AS68,Spaces!$A$5:$A$16,0))&amp;""),""),"Over by "&amp;(Responses!AX68-IFERROR(VALUE(INDEX(Spaces!$B$5:$B$16,MATCH(Responses!AS68,Spaces!$A$5:$A$16,0))&amp;""),"")),"OK"),""))</f>
        <v/>
      </c>
      <c r="H72" s="28">
        <f>Responses!BF68</f>
        <v/>
      </c>
      <c r="I72" s="28">
        <f>IF(Responses!AS68="","",Responses!AO68&amp;"")</f>
        <v/>
      </c>
      <c r="J72" s="28">
        <f>IF(Responses!AS68="","",Responses!AZ68&amp;"")</f>
        <v/>
      </c>
      <c r="K72" s="29">
        <f>Responses!AY68</f>
        <v/>
      </c>
      <c r="L72" s="28">
        <f>IF(Responses!AS68="","",IF(Responses!AY68="Declined","",IF(Responses!BA68=0,"Check date and times",IF(Responses!BB68&gt;0,Responses!BC68,"No clash"))))</f>
        <v/>
      </c>
    </row>
    <row r="73">
      <c r="A73" s="27">
        <f>IF(Responses!AS69="","",IF(Responses!AT69&gt;0,Responses!AT69,"Check date"))</f>
        <v/>
      </c>
      <c r="B73" s="28">
        <f>Responses!AS69</f>
        <v/>
      </c>
      <c r="C73" s="29">
        <f>IF(Responses!AS69="","",IF(Responses!AU69&gt;=0,IF(Responses!AU69="","",RIGHT("0"&amp;INT(Responses!AU69/60),2)&amp;":"&amp;RIGHT("0"&amp;MOD(Responses!AU69,60),2)),"Check"))</f>
        <v/>
      </c>
      <c r="D73" s="29">
        <f>IF(Responses!AS69="","",IF(Responses!AV69&gt;=0,IF(Responses!AV69="","",RIGHT("0"&amp;INT(Responses!AV69/60),2)&amp;":"&amp;RIGHT("0"&amp;MOD(Responses!AV69,60),2)),"Check"))</f>
        <v/>
      </c>
      <c r="E73" s="28">
        <f>Responses!AW69</f>
        <v/>
      </c>
      <c r="F73" s="29">
        <f>Responses!AX69</f>
        <v/>
      </c>
      <c r="G73" s="29">
        <f>IF(Responses!AS69="","",IF(AND(ISNUMBER(Responses!AX69),ISNUMBER(IFERROR(VALUE(INDEX(Spaces!$B$5:$B$16,MATCH(Responses!AS69,Spaces!$A$5:$A$16,0))&amp;""),""))),IF(Responses!AX69&gt;IFERROR(VALUE(INDEX(Spaces!$B$5:$B$16,MATCH(Responses!AS69,Spaces!$A$5:$A$16,0))&amp;""),""),"Over by "&amp;(Responses!AX69-IFERROR(VALUE(INDEX(Spaces!$B$5:$B$16,MATCH(Responses!AS69,Spaces!$A$5:$A$16,0))&amp;""),"")),"OK"),""))</f>
        <v/>
      </c>
      <c r="H73" s="28">
        <f>Responses!BF69</f>
        <v/>
      </c>
      <c r="I73" s="28">
        <f>IF(Responses!AS69="","",Responses!AO69&amp;"")</f>
        <v/>
      </c>
      <c r="J73" s="28">
        <f>IF(Responses!AS69="","",Responses!AZ69&amp;"")</f>
        <v/>
      </c>
      <c r="K73" s="29">
        <f>Responses!AY69</f>
        <v/>
      </c>
      <c r="L73" s="28">
        <f>IF(Responses!AS69="","",IF(Responses!AY69="Declined","",IF(Responses!BA69=0,"Check date and times",IF(Responses!BB69&gt;0,Responses!BC69,"No clash"))))</f>
        <v/>
      </c>
    </row>
    <row r="74">
      <c r="A74" s="27">
        <f>IF(Responses!AS70="","",IF(Responses!AT70&gt;0,Responses!AT70,"Check date"))</f>
        <v/>
      </c>
      <c r="B74" s="28">
        <f>Responses!AS70</f>
        <v/>
      </c>
      <c r="C74" s="29">
        <f>IF(Responses!AS70="","",IF(Responses!AU70&gt;=0,IF(Responses!AU70="","",RIGHT("0"&amp;INT(Responses!AU70/60),2)&amp;":"&amp;RIGHT("0"&amp;MOD(Responses!AU70,60),2)),"Check"))</f>
        <v/>
      </c>
      <c r="D74" s="29">
        <f>IF(Responses!AS70="","",IF(Responses!AV70&gt;=0,IF(Responses!AV70="","",RIGHT("0"&amp;INT(Responses!AV70/60),2)&amp;":"&amp;RIGHT("0"&amp;MOD(Responses!AV70,60),2)),"Check"))</f>
        <v/>
      </c>
      <c r="E74" s="28">
        <f>Responses!AW70</f>
        <v/>
      </c>
      <c r="F74" s="29">
        <f>Responses!AX70</f>
        <v/>
      </c>
      <c r="G74" s="29">
        <f>IF(Responses!AS70="","",IF(AND(ISNUMBER(Responses!AX70),ISNUMBER(IFERROR(VALUE(INDEX(Spaces!$B$5:$B$16,MATCH(Responses!AS70,Spaces!$A$5:$A$16,0))&amp;""),""))),IF(Responses!AX70&gt;IFERROR(VALUE(INDEX(Spaces!$B$5:$B$16,MATCH(Responses!AS70,Spaces!$A$5:$A$16,0))&amp;""),""),"Over by "&amp;(Responses!AX70-IFERROR(VALUE(INDEX(Spaces!$B$5:$B$16,MATCH(Responses!AS70,Spaces!$A$5:$A$16,0))&amp;""),"")),"OK"),""))</f>
        <v/>
      </c>
      <c r="H74" s="28">
        <f>Responses!BF70</f>
        <v/>
      </c>
      <c r="I74" s="28">
        <f>IF(Responses!AS70="","",Responses!AO70&amp;"")</f>
        <v/>
      </c>
      <c r="J74" s="28">
        <f>IF(Responses!AS70="","",Responses!AZ70&amp;"")</f>
        <v/>
      </c>
      <c r="K74" s="29">
        <f>Responses!AY70</f>
        <v/>
      </c>
      <c r="L74" s="28">
        <f>IF(Responses!AS70="","",IF(Responses!AY70="Declined","",IF(Responses!BA70=0,"Check date and times",IF(Responses!BB70&gt;0,Responses!BC70,"No clash"))))</f>
        <v/>
      </c>
    </row>
    <row r="75">
      <c r="A75" s="27">
        <f>IF(Responses!AS71="","",IF(Responses!AT71&gt;0,Responses!AT71,"Check date"))</f>
        <v/>
      </c>
      <c r="B75" s="28">
        <f>Responses!AS71</f>
        <v/>
      </c>
      <c r="C75" s="29">
        <f>IF(Responses!AS71="","",IF(Responses!AU71&gt;=0,IF(Responses!AU71="","",RIGHT("0"&amp;INT(Responses!AU71/60),2)&amp;":"&amp;RIGHT("0"&amp;MOD(Responses!AU71,60),2)),"Check"))</f>
        <v/>
      </c>
      <c r="D75" s="29">
        <f>IF(Responses!AS71="","",IF(Responses!AV71&gt;=0,IF(Responses!AV71="","",RIGHT("0"&amp;INT(Responses!AV71/60),2)&amp;":"&amp;RIGHT("0"&amp;MOD(Responses!AV71,60),2)),"Check"))</f>
        <v/>
      </c>
      <c r="E75" s="28">
        <f>Responses!AW71</f>
        <v/>
      </c>
      <c r="F75" s="29">
        <f>Responses!AX71</f>
        <v/>
      </c>
      <c r="G75" s="29">
        <f>IF(Responses!AS71="","",IF(AND(ISNUMBER(Responses!AX71),ISNUMBER(IFERROR(VALUE(INDEX(Spaces!$B$5:$B$16,MATCH(Responses!AS71,Spaces!$A$5:$A$16,0))&amp;""),""))),IF(Responses!AX71&gt;IFERROR(VALUE(INDEX(Spaces!$B$5:$B$16,MATCH(Responses!AS71,Spaces!$A$5:$A$16,0))&amp;""),""),"Over by "&amp;(Responses!AX71-IFERROR(VALUE(INDEX(Spaces!$B$5:$B$16,MATCH(Responses!AS71,Spaces!$A$5:$A$16,0))&amp;""),"")),"OK"),""))</f>
        <v/>
      </c>
      <c r="H75" s="28">
        <f>Responses!BF71</f>
        <v/>
      </c>
      <c r="I75" s="28">
        <f>IF(Responses!AS71="","",Responses!AO71&amp;"")</f>
        <v/>
      </c>
      <c r="J75" s="28">
        <f>IF(Responses!AS71="","",Responses!AZ71&amp;"")</f>
        <v/>
      </c>
      <c r="K75" s="29">
        <f>Responses!AY71</f>
        <v/>
      </c>
      <c r="L75" s="28">
        <f>IF(Responses!AS71="","",IF(Responses!AY71="Declined","",IF(Responses!BA71=0,"Check date and times",IF(Responses!BB71&gt;0,Responses!BC71,"No clash"))))</f>
        <v/>
      </c>
    </row>
    <row r="76">
      <c r="A76" s="27">
        <f>IF(Responses!AS72="","",IF(Responses!AT72&gt;0,Responses!AT72,"Check date"))</f>
        <v/>
      </c>
      <c r="B76" s="28">
        <f>Responses!AS72</f>
        <v/>
      </c>
      <c r="C76" s="29">
        <f>IF(Responses!AS72="","",IF(Responses!AU72&gt;=0,IF(Responses!AU72="","",RIGHT("0"&amp;INT(Responses!AU72/60),2)&amp;":"&amp;RIGHT("0"&amp;MOD(Responses!AU72,60),2)),"Check"))</f>
        <v/>
      </c>
      <c r="D76" s="29">
        <f>IF(Responses!AS72="","",IF(Responses!AV72&gt;=0,IF(Responses!AV72="","",RIGHT("0"&amp;INT(Responses!AV72/60),2)&amp;":"&amp;RIGHT("0"&amp;MOD(Responses!AV72,60),2)),"Check"))</f>
        <v/>
      </c>
      <c r="E76" s="28">
        <f>Responses!AW72</f>
        <v/>
      </c>
      <c r="F76" s="29">
        <f>Responses!AX72</f>
        <v/>
      </c>
      <c r="G76" s="29">
        <f>IF(Responses!AS72="","",IF(AND(ISNUMBER(Responses!AX72),ISNUMBER(IFERROR(VALUE(INDEX(Spaces!$B$5:$B$16,MATCH(Responses!AS72,Spaces!$A$5:$A$16,0))&amp;""),""))),IF(Responses!AX72&gt;IFERROR(VALUE(INDEX(Spaces!$B$5:$B$16,MATCH(Responses!AS72,Spaces!$A$5:$A$16,0))&amp;""),""),"Over by "&amp;(Responses!AX72-IFERROR(VALUE(INDEX(Spaces!$B$5:$B$16,MATCH(Responses!AS72,Spaces!$A$5:$A$16,0))&amp;""),"")),"OK"),""))</f>
        <v/>
      </c>
      <c r="H76" s="28">
        <f>Responses!BF72</f>
        <v/>
      </c>
      <c r="I76" s="28">
        <f>IF(Responses!AS72="","",Responses!AO72&amp;"")</f>
        <v/>
      </c>
      <c r="J76" s="28">
        <f>IF(Responses!AS72="","",Responses!AZ72&amp;"")</f>
        <v/>
      </c>
      <c r="K76" s="29">
        <f>Responses!AY72</f>
        <v/>
      </c>
      <c r="L76" s="28">
        <f>IF(Responses!AS72="","",IF(Responses!AY72="Declined","",IF(Responses!BA72=0,"Check date and times",IF(Responses!BB72&gt;0,Responses!BC72,"No clash"))))</f>
        <v/>
      </c>
    </row>
    <row r="77">
      <c r="A77" s="27">
        <f>IF(Responses!AS73="","",IF(Responses!AT73&gt;0,Responses!AT73,"Check date"))</f>
        <v/>
      </c>
      <c r="B77" s="28">
        <f>Responses!AS73</f>
        <v/>
      </c>
      <c r="C77" s="29">
        <f>IF(Responses!AS73="","",IF(Responses!AU73&gt;=0,IF(Responses!AU73="","",RIGHT("0"&amp;INT(Responses!AU73/60),2)&amp;":"&amp;RIGHT("0"&amp;MOD(Responses!AU73,60),2)),"Check"))</f>
        <v/>
      </c>
      <c r="D77" s="29">
        <f>IF(Responses!AS73="","",IF(Responses!AV73&gt;=0,IF(Responses!AV73="","",RIGHT("0"&amp;INT(Responses!AV73/60),2)&amp;":"&amp;RIGHT("0"&amp;MOD(Responses!AV73,60),2)),"Check"))</f>
        <v/>
      </c>
      <c r="E77" s="28">
        <f>Responses!AW73</f>
        <v/>
      </c>
      <c r="F77" s="29">
        <f>Responses!AX73</f>
        <v/>
      </c>
      <c r="G77" s="29">
        <f>IF(Responses!AS73="","",IF(AND(ISNUMBER(Responses!AX73),ISNUMBER(IFERROR(VALUE(INDEX(Spaces!$B$5:$B$16,MATCH(Responses!AS73,Spaces!$A$5:$A$16,0))&amp;""),""))),IF(Responses!AX73&gt;IFERROR(VALUE(INDEX(Spaces!$B$5:$B$16,MATCH(Responses!AS73,Spaces!$A$5:$A$16,0))&amp;""),""),"Over by "&amp;(Responses!AX73-IFERROR(VALUE(INDEX(Spaces!$B$5:$B$16,MATCH(Responses!AS73,Spaces!$A$5:$A$16,0))&amp;""),"")),"OK"),""))</f>
        <v/>
      </c>
      <c r="H77" s="28">
        <f>Responses!BF73</f>
        <v/>
      </c>
      <c r="I77" s="28">
        <f>IF(Responses!AS73="","",Responses!AO73&amp;"")</f>
        <v/>
      </c>
      <c r="J77" s="28">
        <f>IF(Responses!AS73="","",Responses!AZ73&amp;"")</f>
        <v/>
      </c>
      <c r="K77" s="29">
        <f>Responses!AY73</f>
        <v/>
      </c>
      <c r="L77" s="28">
        <f>IF(Responses!AS73="","",IF(Responses!AY73="Declined","",IF(Responses!BA73=0,"Check date and times",IF(Responses!BB73&gt;0,Responses!BC73,"No clash"))))</f>
        <v/>
      </c>
    </row>
    <row r="78">
      <c r="A78" s="27">
        <f>IF(Responses!AS74="","",IF(Responses!AT74&gt;0,Responses!AT74,"Check date"))</f>
        <v/>
      </c>
      <c r="B78" s="28">
        <f>Responses!AS74</f>
        <v/>
      </c>
      <c r="C78" s="29">
        <f>IF(Responses!AS74="","",IF(Responses!AU74&gt;=0,IF(Responses!AU74="","",RIGHT("0"&amp;INT(Responses!AU74/60),2)&amp;":"&amp;RIGHT("0"&amp;MOD(Responses!AU74,60),2)),"Check"))</f>
        <v/>
      </c>
      <c r="D78" s="29">
        <f>IF(Responses!AS74="","",IF(Responses!AV74&gt;=0,IF(Responses!AV74="","",RIGHT("0"&amp;INT(Responses!AV74/60),2)&amp;":"&amp;RIGHT("0"&amp;MOD(Responses!AV74,60),2)),"Check"))</f>
        <v/>
      </c>
      <c r="E78" s="28">
        <f>Responses!AW74</f>
        <v/>
      </c>
      <c r="F78" s="29">
        <f>Responses!AX74</f>
        <v/>
      </c>
      <c r="G78" s="29">
        <f>IF(Responses!AS74="","",IF(AND(ISNUMBER(Responses!AX74),ISNUMBER(IFERROR(VALUE(INDEX(Spaces!$B$5:$B$16,MATCH(Responses!AS74,Spaces!$A$5:$A$16,0))&amp;""),""))),IF(Responses!AX74&gt;IFERROR(VALUE(INDEX(Spaces!$B$5:$B$16,MATCH(Responses!AS74,Spaces!$A$5:$A$16,0))&amp;""),""),"Over by "&amp;(Responses!AX74-IFERROR(VALUE(INDEX(Spaces!$B$5:$B$16,MATCH(Responses!AS74,Spaces!$A$5:$A$16,0))&amp;""),"")),"OK"),""))</f>
        <v/>
      </c>
      <c r="H78" s="28">
        <f>Responses!BF74</f>
        <v/>
      </c>
      <c r="I78" s="28">
        <f>IF(Responses!AS74="","",Responses!AO74&amp;"")</f>
        <v/>
      </c>
      <c r="J78" s="28">
        <f>IF(Responses!AS74="","",Responses!AZ74&amp;"")</f>
        <v/>
      </c>
      <c r="K78" s="29">
        <f>Responses!AY74</f>
        <v/>
      </c>
      <c r="L78" s="28">
        <f>IF(Responses!AS74="","",IF(Responses!AY74="Declined","",IF(Responses!BA74=0,"Check date and times",IF(Responses!BB74&gt;0,Responses!BC74,"No clash"))))</f>
        <v/>
      </c>
    </row>
    <row r="79">
      <c r="A79" s="27">
        <f>IF(Responses!AS75="","",IF(Responses!AT75&gt;0,Responses!AT75,"Check date"))</f>
        <v/>
      </c>
      <c r="B79" s="28">
        <f>Responses!AS75</f>
        <v/>
      </c>
      <c r="C79" s="29">
        <f>IF(Responses!AS75="","",IF(Responses!AU75&gt;=0,IF(Responses!AU75="","",RIGHT("0"&amp;INT(Responses!AU75/60),2)&amp;":"&amp;RIGHT("0"&amp;MOD(Responses!AU75,60),2)),"Check"))</f>
        <v/>
      </c>
      <c r="D79" s="29">
        <f>IF(Responses!AS75="","",IF(Responses!AV75&gt;=0,IF(Responses!AV75="","",RIGHT("0"&amp;INT(Responses!AV75/60),2)&amp;":"&amp;RIGHT("0"&amp;MOD(Responses!AV75,60),2)),"Check"))</f>
        <v/>
      </c>
      <c r="E79" s="28">
        <f>Responses!AW75</f>
        <v/>
      </c>
      <c r="F79" s="29">
        <f>Responses!AX75</f>
        <v/>
      </c>
      <c r="G79" s="29">
        <f>IF(Responses!AS75="","",IF(AND(ISNUMBER(Responses!AX75),ISNUMBER(IFERROR(VALUE(INDEX(Spaces!$B$5:$B$16,MATCH(Responses!AS75,Spaces!$A$5:$A$16,0))&amp;""),""))),IF(Responses!AX75&gt;IFERROR(VALUE(INDEX(Spaces!$B$5:$B$16,MATCH(Responses!AS75,Spaces!$A$5:$A$16,0))&amp;""),""),"Over by "&amp;(Responses!AX75-IFERROR(VALUE(INDEX(Spaces!$B$5:$B$16,MATCH(Responses!AS75,Spaces!$A$5:$A$16,0))&amp;""),"")),"OK"),""))</f>
        <v/>
      </c>
      <c r="H79" s="28">
        <f>Responses!BF75</f>
        <v/>
      </c>
      <c r="I79" s="28">
        <f>IF(Responses!AS75="","",Responses!AO75&amp;"")</f>
        <v/>
      </c>
      <c r="J79" s="28">
        <f>IF(Responses!AS75="","",Responses!AZ75&amp;"")</f>
        <v/>
      </c>
      <c r="K79" s="29">
        <f>Responses!AY75</f>
        <v/>
      </c>
      <c r="L79" s="28">
        <f>IF(Responses!AS75="","",IF(Responses!AY75="Declined","",IF(Responses!BA75=0,"Check date and times",IF(Responses!BB75&gt;0,Responses!BC75,"No clash"))))</f>
        <v/>
      </c>
    </row>
    <row r="80">
      <c r="A80" s="27">
        <f>IF(Responses!AS76="","",IF(Responses!AT76&gt;0,Responses!AT76,"Check date"))</f>
        <v/>
      </c>
      <c r="B80" s="28">
        <f>Responses!AS76</f>
        <v/>
      </c>
      <c r="C80" s="29">
        <f>IF(Responses!AS76="","",IF(Responses!AU76&gt;=0,IF(Responses!AU76="","",RIGHT("0"&amp;INT(Responses!AU76/60),2)&amp;":"&amp;RIGHT("0"&amp;MOD(Responses!AU76,60),2)),"Check"))</f>
        <v/>
      </c>
      <c r="D80" s="29">
        <f>IF(Responses!AS76="","",IF(Responses!AV76&gt;=0,IF(Responses!AV76="","",RIGHT("0"&amp;INT(Responses!AV76/60),2)&amp;":"&amp;RIGHT("0"&amp;MOD(Responses!AV76,60),2)),"Check"))</f>
        <v/>
      </c>
      <c r="E80" s="28">
        <f>Responses!AW76</f>
        <v/>
      </c>
      <c r="F80" s="29">
        <f>Responses!AX76</f>
        <v/>
      </c>
      <c r="G80" s="29">
        <f>IF(Responses!AS76="","",IF(AND(ISNUMBER(Responses!AX76),ISNUMBER(IFERROR(VALUE(INDEX(Spaces!$B$5:$B$16,MATCH(Responses!AS76,Spaces!$A$5:$A$16,0))&amp;""),""))),IF(Responses!AX76&gt;IFERROR(VALUE(INDEX(Spaces!$B$5:$B$16,MATCH(Responses!AS76,Spaces!$A$5:$A$16,0))&amp;""),""),"Over by "&amp;(Responses!AX76-IFERROR(VALUE(INDEX(Spaces!$B$5:$B$16,MATCH(Responses!AS76,Spaces!$A$5:$A$16,0))&amp;""),"")),"OK"),""))</f>
        <v/>
      </c>
      <c r="H80" s="28">
        <f>Responses!BF76</f>
        <v/>
      </c>
      <c r="I80" s="28">
        <f>IF(Responses!AS76="","",Responses!AO76&amp;"")</f>
        <v/>
      </c>
      <c r="J80" s="28">
        <f>IF(Responses!AS76="","",Responses!AZ76&amp;"")</f>
        <v/>
      </c>
      <c r="K80" s="29">
        <f>Responses!AY76</f>
        <v/>
      </c>
      <c r="L80" s="28">
        <f>IF(Responses!AS76="","",IF(Responses!AY76="Declined","",IF(Responses!BA76=0,"Check date and times",IF(Responses!BB76&gt;0,Responses!BC76,"No clash"))))</f>
        <v/>
      </c>
    </row>
    <row r="81">
      <c r="A81" s="27">
        <f>IF(Responses!AS77="","",IF(Responses!AT77&gt;0,Responses!AT77,"Check date"))</f>
        <v/>
      </c>
      <c r="B81" s="28">
        <f>Responses!AS77</f>
        <v/>
      </c>
      <c r="C81" s="29">
        <f>IF(Responses!AS77="","",IF(Responses!AU77&gt;=0,IF(Responses!AU77="","",RIGHT("0"&amp;INT(Responses!AU77/60),2)&amp;":"&amp;RIGHT("0"&amp;MOD(Responses!AU77,60),2)),"Check"))</f>
        <v/>
      </c>
      <c r="D81" s="29">
        <f>IF(Responses!AS77="","",IF(Responses!AV77&gt;=0,IF(Responses!AV77="","",RIGHT("0"&amp;INT(Responses!AV77/60),2)&amp;":"&amp;RIGHT("0"&amp;MOD(Responses!AV77,60),2)),"Check"))</f>
        <v/>
      </c>
      <c r="E81" s="28">
        <f>Responses!AW77</f>
        <v/>
      </c>
      <c r="F81" s="29">
        <f>Responses!AX77</f>
        <v/>
      </c>
      <c r="G81" s="29">
        <f>IF(Responses!AS77="","",IF(AND(ISNUMBER(Responses!AX77),ISNUMBER(IFERROR(VALUE(INDEX(Spaces!$B$5:$B$16,MATCH(Responses!AS77,Spaces!$A$5:$A$16,0))&amp;""),""))),IF(Responses!AX77&gt;IFERROR(VALUE(INDEX(Spaces!$B$5:$B$16,MATCH(Responses!AS77,Spaces!$A$5:$A$16,0))&amp;""),""),"Over by "&amp;(Responses!AX77-IFERROR(VALUE(INDEX(Spaces!$B$5:$B$16,MATCH(Responses!AS77,Spaces!$A$5:$A$16,0))&amp;""),"")),"OK"),""))</f>
        <v/>
      </c>
      <c r="H81" s="28">
        <f>Responses!BF77</f>
        <v/>
      </c>
      <c r="I81" s="28">
        <f>IF(Responses!AS77="","",Responses!AO77&amp;"")</f>
        <v/>
      </c>
      <c r="J81" s="28">
        <f>IF(Responses!AS77="","",Responses!AZ77&amp;"")</f>
        <v/>
      </c>
      <c r="K81" s="29">
        <f>Responses!AY77</f>
        <v/>
      </c>
      <c r="L81" s="28">
        <f>IF(Responses!AS77="","",IF(Responses!AY77="Declined","",IF(Responses!BA77=0,"Check date and times",IF(Responses!BB77&gt;0,Responses!BC77,"No clash"))))</f>
        <v/>
      </c>
    </row>
    <row r="82">
      <c r="A82" s="27">
        <f>IF(Responses!AS78="","",IF(Responses!AT78&gt;0,Responses!AT78,"Check date"))</f>
        <v/>
      </c>
      <c r="B82" s="28">
        <f>Responses!AS78</f>
        <v/>
      </c>
      <c r="C82" s="29">
        <f>IF(Responses!AS78="","",IF(Responses!AU78&gt;=0,IF(Responses!AU78="","",RIGHT("0"&amp;INT(Responses!AU78/60),2)&amp;":"&amp;RIGHT("0"&amp;MOD(Responses!AU78,60),2)),"Check"))</f>
        <v/>
      </c>
      <c r="D82" s="29">
        <f>IF(Responses!AS78="","",IF(Responses!AV78&gt;=0,IF(Responses!AV78="","",RIGHT("0"&amp;INT(Responses!AV78/60),2)&amp;":"&amp;RIGHT("0"&amp;MOD(Responses!AV78,60),2)),"Check"))</f>
        <v/>
      </c>
      <c r="E82" s="28">
        <f>Responses!AW78</f>
        <v/>
      </c>
      <c r="F82" s="29">
        <f>Responses!AX78</f>
        <v/>
      </c>
      <c r="G82" s="29">
        <f>IF(Responses!AS78="","",IF(AND(ISNUMBER(Responses!AX78),ISNUMBER(IFERROR(VALUE(INDEX(Spaces!$B$5:$B$16,MATCH(Responses!AS78,Spaces!$A$5:$A$16,0))&amp;""),""))),IF(Responses!AX78&gt;IFERROR(VALUE(INDEX(Spaces!$B$5:$B$16,MATCH(Responses!AS78,Spaces!$A$5:$A$16,0))&amp;""),""),"Over by "&amp;(Responses!AX78-IFERROR(VALUE(INDEX(Spaces!$B$5:$B$16,MATCH(Responses!AS78,Spaces!$A$5:$A$16,0))&amp;""),"")),"OK"),""))</f>
        <v/>
      </c>
      <c r="H82" s="28">
        <f>Responses!BF78</f>
        <v/>
      </c>
      <c r="I82" s="28">
        <f>IF(Responses!AS78="","",Responses!AO78&amp;"")</f>
        <v/>
      </c>
      <c r="J82" s="28">
        <f>IF(Responses!AS78="","",Responses!AZ78&amp;"")</f>
        <v/>
      </c>
      <c r="K82" s="29">
        <f>Responses!AY78</f>
        <v/>
      </c>
      <c r="L82" s="28">
        <f>IF(Responses!AS78="","",IF(Responses!AY78="Declined","",IF(Responses!BA78=0,"Check date and times",IF(Responses!BB78&gt;0,Responses!BC78,"No clash"))))</f>
        <v/>
      </c>
    </row>
    <row r="83">
      <c r="A83" s="27">
        <f>IF(Responses!AS79="","",IF(Responses!AT79&gt;0,Responses!AT79,"Check date"))</f>
        <v/>
      </c>
      <c r="B83" s="28">
        <f>Responses!AS79</f>
        <v/>
      </c>
      <c r="C83" s="29">
        <f>IF(Responses!AS79="","",IF(Responses!AU79&gt;=0,IF(Responses!AU79="","",RIGHT("0"&amp;INT(Responses!AU79/60),2)&amp;":"&amp;RIGHT("0"&amp;MOD(Responses!AU79,60),2)),"Check"))</f>
        <v/>
      </c>
      <c r="D83" s="29">
        <f>IF(Responses!AS79="","",IF(Responses!AV79&gt;=0,IF(Responses!AV79="","",RIGHT("0"&amp;INT(Responses!AV79/60),2)&amp;":"&amp;RIGHT("0"&amp;MOD(Responses!AV79,60),2)),"Check"))</f>
        <v/>
      </c>
      <c r="E83" s="28">
        <f>Responses!AW79</f>
        <v/>
      </c>
      <c r="F83" s="29">
        <f>Responses!AX79</f>
        <v/>
      </c>
      <c r="G83" s="29">
        <f>IF(Responses!AS79="","",IF(AND(ISNUMBER(Responses!AX79),ISNUMBER(IFERROR(VALUE(INDEX(Spaces!$B$5:$B$16,MATCH(Responses!AS79,Spaces!$A$5:$A$16,0))&amp;""),""))),IF(Responses!AX79&gt;IFERROR(VALUE(INDEX(Spaces!$B$5:$B$16,MATCH(Responses!AS79,Spaces!$A$5:$A$16,0))&amp;""),""),"Over by "&amp;(Responses!AX79-IFERROR(VALUE(INDEX(Spaces!$B$5:$B$16,MATCH(Responses!AS79,Spaces!$A$5:$A$16,0))&amp;""),"")),"OK"),""))</f>
        <v/>
      </c>
      <c r="H83" s="28">
        <f>Responses!BF79</f>
        <v/>
      </c>
      <c r="I83" s="28">
        <f>IF(Responses!AS79="","",Responses!AO79&amp;"")</f>
        <v/>
      </c>
      <c r="J83" s="28">
        <f>IF(Responses!AS79="","",Responses!AZ79&amp;"")</f>
        <v/>
      </c>
      <c r="K83" s="29">
        <f>Responses!AY79</f>
        <v/>
      </c>
      <c r="L83" s="28">
        <f>IF(Responses!AS79="","",IF(Responses!AY79="Declined","",IF(Responses!BA79=0,"Check date and times",IF(Responses!BB79&gt;0,Responses!BC79,"No clash"))))</f>
        <v/>
      </c>
    </row>
    <row r="84">
      <c r="A84" s="27">
        <f>IF(Responses!AS80="","",IF(Responses!AT80&gt;0,Responses!AT80,"Check date"))</f>
        <v/>
      </c>
      <c r="B84" s="28">
        <f>Responses!AS80</f>
        <v/>
      </c>
      <c r="C84" s="29">
        <f>IF(Responses!AS80="","",IF(Responses!AU80&gt;=0,IF(Responses!AU80="","",RIGHT("0"&amp;INT(Responses!AU80/60),2)&amp;":"&amp;RIGHT("0"&amp;MOD(Responses!AU80,60),2)),"Check"))</f>
        <v/>
      </c>
      <c r="D84" s="29">
        <f>IF(Responses!AS80="","",IF(Responses!AV80&gt;=0,IF(Responses!AV80="","",RIGHT("0"&amp;INT(Responses!AV80/60),2)&amp;":"&amp;RIGHT("0"&amp;MOD(Responses!AV80,60),2)),"Check"))</f>
        <v/>
      </c>
      <c r="E84" s="28">
        <f>Responses!AW80</f>
        <v/>
      </c>
      <c r="F84" s="29">
        <f>Responses!AX80</f>
        <v/>
      </c>
      <c r="G84" s="29">
        <f>IF(Responses!AS80="","",IF(AND(ISNUMBER(Responses!AX80),ISNUMBER(IFERROR(VALUE(INDEX(Spaces!$B$5:$B$16,MATCH(Responses!AS80,Spaces!$A$5:$A$16,0))&amp;""),""))),IF(Responses!AX80&gt;IFERROR(VALUE(INDEX(Spaces!$B$5:$B$16,MATCH(Responses!AS80,Spaces!$A$5:$A$16,0))&amp;""),""),"Over by "&amp;(Responses!AX80-IFERROR(VALUE(INDEX(Spaces!$B$5:$B$16,MATCH(Responses!AS80,Spaces!$A$5:$A$16,0))&amp;""),"")),"OK"),""))</f>
        <v/>
      </c>
      <c r="H84" s="28">
        <f>Responses!BF80</f>
        <v/>
      </c>
      <c r="I84" s="28">
        <f>IF(Responses!AS80="","",Responses!AO80&amp;"")</f>
        <v/>
      </c>
      <c r="J84" s="28">
        <f>IF(Responses!AS80="","",Responses!AZ80&amp;"")</f>
        <v/>
      </c>
      <c r="K84" s="29">
        <f>Responses!AY80</f>
        <v/>
      </c>
      <c r="L84" s="28">
        <f>IF(Responses!AS80="","",IF(Responses!AY80="Declined","",IF(Responses!BA80=0,"Check date and times",IF(Responses!BB80&gt;0,Responses!BC80,"No clash"))))</f>
        <v/>
      </c>
    </row>
    <row r="85">
      <c r="A85" s="27">
        <f>IF(Responses!AS81="","",IF(Responses!AT81&gt;0,Responses!AT81,"Check date"))</f>
        <v/>
      </c>
      <c r="B85" s="28">
        <f>Responses!AS81</f>
        <v/>
      </c>
      <c r="C85" s="29">
        <f>IF(Responses!AS81="","",IF(Responses!AU81&gt;=0,IF(Responses!AU81="","",RIGHT("0"&amp;INT(Responses!AU81/60),2)&amp;":"&amp;RIGHT("0"&amp;MOD(Responses!AU81,60),2)),"Check"))</f>
        <v/>
      </c>
      <c r="D85" s="29">
        <f>IF(Responses!AS81="","",IF(Responses!AV81&gt;=0,IF(Responses!AV81="","",RIGHT("0"&amp;INT(Responses!AV81/60),2)&amp;":"&amp;RIGHT("0"&amp;MOD(Responses!AV81,60),2)),"Check"))</f>
        <v/>
      </c>
      <c r="E85" s="28">
        <f>Responses!AW81</f>
        <v/>
      </c>
      <c r="F85" s="29">
        <f>Responses!AX81</f>
        <v/>
      </c>
      <c r="G85" s="29">
        <f>IF(Responses!AS81="","",IF(AND(ISNUMBER(Responses!AX81),ISNUMBER(IFERROR(VALUE(INDEX(Spaces!$B$5:$B$16,MATCH(Responses!AS81,Spaces!$A$5:$A$16,0))&amp;""),""))),IF(Responses!AX81&gt;IFERROR(VALUE(INDEX(Spaces!$B$5:$B$16,MATCH(Responses!AS81,Spaces!$A$5:$A$16,0))&amp;""),""),"Over by "&amp;(Responses!AX81-IFERROR(VALUE(INDEX(Spaces!$B$5:$B$16,MATCH(Responses!AS81,Spaces!$A$5:$A$16,0))&amp;""),"")),"OK"),""))</f>
        <v/>
      </c>
      <c r="H85" s="28">
        <f>Responses!BF81</f>
        <v/>
      </c>
      <c r="I85" s="28">
        <f>IF(Responses!AS81="","",Responses!AO81&amp;"")</f>
        <v/>
      </c>
      <c r="J85" s="28">
        <f>IF(Responses!AS81="","",Responses!AZ81&amp;"")</f>
        <v/>
      </c>
      <c r="K85" s="29">
        <f>Responses!AY81</f>
        <v/>
      </c>
      <c r="L85" s="28">
        <f>IF(Responses!AS81="","",IF(Responses!AY81="Declined","",IF(Responses!BA81=0,"Check date and times",IF(Responses!BB81&gt;0,Responses!BC81,"No clash"))))</f>
        <v/>
      </c>
    </row>
    <row r="86">
      <c r="A86" s="27">
        <f>IF(Responses!AS82="","",IF(Responses!AT82&gt;0,Responses!AT82,"Check date"))</f>
        <v/>
      </c>
      <c r="B86" s="28">
        <f>Responses!AS82</f>
        <v/>
      </c>
      <c r="C86" s="29">
        <f>IF(Responses!AS82="","",IF(Responses!AU82&gt;=0,IF(Responses!AU82="","",RIGHT("0"&amp;INT(Responses!AU82/60),2)&amp;":"&amp;RIGHT("0"&amp;MOD(Responses!AU82,60),2)),"Check"))</f>
        <v/>
      </c>
      <c r="D86" s="29">
        <f>IF(Responses!AS82="","",IF(Responses!AV82&gt;=0,IF(Responses!AV82="","",RIGHT("0"&amp;INT(Responses!AV82/60),2)&amp;":"&amp;RIGHT("0"&amp;MOD(Responses!AV82,60),2)),"Check"))</f>
        <v/>
      </c>
      <c r="E86" s="28">
        <f>Responses!AW82</f>
        <v/>
      </c>
      <c r="F86" s="29">
        <f>Responses!AX82</f>
        <v/>
      </c>
      <c r="G86" s="29">
        <f>IF(Responses!AS82="","",IF(AND(ISNUMBER(Responses!AX82),ISNUMBER(IFERROR(VALUE(INDEX(Spaces!$B$5:$B$16,MATCH(Responses!AS82,Spaces!$A$5:$A$16,0))&amp;""),""))),IF(Responses!AX82&gt;IFERROR(VALUE(INDEX(Spaces!$B$5:$B$16,MATCH(Responses!AS82,Spaces!$A$5:$A$16,0))&amp;""),""),"Over by "&amp;(Responses!AX82-IFERROR(VALUE(INDEX(Spaces!$B$5:$B$16,MATCH(Responses!AS82,Spaces!$A$5:$A$16,0))&amp;""),"")),"OK"),""))</f>
        <v/>
      </c>
      <c r="H86" s="28">
        <f>Responses!BF82</f>
        <v/>
      </c>
      <c r="I86" s="28">
        <f>IF(Responses!AS82="","",Responses!AO82&amp;"")</f>
        <v/>
      </c>
      <c r="J86" s="28">
        <f>IF(Responses!AS82="","",Responses!AZ82&amp;"")</f>
        <v/>
      </c>
      <c r="K86" s="29">
        <f>Responses!AY82</f>
        <v/>
      </c>
      <c r="L86" s="28">
        <f>IF(Responses!AS82="","",IF(Responses!AY82="Declined","",IF(Responses!BA82=0,"Check date and times",IF(Responses!BB82&gt;0,Responses!BC82,"No clash"))))</f>
        <v/>
      </c>
    </row>
    <row r="87">
      <c r="A87" s="27">
        <f>IF(Responses!AS83="","",IF(Responses!AT83&gt;0,Responses!AT83,"Check date"))</f>
        <v/>
      </c>
      <c r="B87" s="28">
        <f>Responses!AS83</f>
        <v/>
      </c>
      <c r="C87" s="29">
        <f>IF(Responses!AS83="","",IF(Responses!AU83&gt;=0,IF(Responses!AU83="","",RIGHT("0"&amp;INT(Responses!AU83/60),2)&amp;":"&amp;RIGHT("0"&amp;MOD(Responses!AU83,60),2)),"Check"))</f>
        <v/>
      </c>
      <c r="D87" s="29">
        <f>IF(Responses!AS83="","",IF(Responses!AV83&gt;=0,IF(Responses!AV83="","",RIGHT("0"&amp;INT(Responses!AV83/60),2)&amp;":"&amp;RIGHT("0"&amp;MOD(Responses!AV83,60),2)),"Check"))</f>
        <v/>
      </c>
      <c r="E87" s="28">
        <f>Responses!AW83</f>
        <v/>
      </c>
      <c r="F87" s="29">
        <f>Responses!AX83</f>
        <v/>
      </c>
      <c r="G87" s="29">
        <f>IF(Responses!AS83="","",IF(AND(ISNUMBER(Responses!AX83),ISNUMBER(IFERROR(VALUE(INDEX(Spaces!$B$5:$B$16,MATCH(Responses!AS83,Spaces!$A$5:$A$16,0))&amp;""),""))),IF(Responses!AX83&gt;IFERROR(VALUE(INDEX(Spaces!$B$5:$B$16,MATCH(Responses!AS83,Spaces!$A$5:$A$16,0))&amp;""),""),"Over by "&amp;(Responses!AX83-IFERROR(VALUE(INDEX(Spaces!$B$5:$B$16,MATCH(Responses!AS83,Spaces!$A$5:$A$16,0))&amp;""),"")),"OK"),""))</f>
        <v/>
      </c>
      <c r="H87" s="28">
        <f>Responses!BF83</f>
        <v/>
      </c>
      <c r="I87" s="28">
        <f>IF(Responses!AS83="","",Responses!AO83&amp;"")</f>
        <v/>
      </c>
      <c r="J87" s="28">
        <f>IF(Responses!AS83="","",Responses!AZ83&amp;"")</f>
        <v/>
      </c>
      <c r="K87" s="29">
        <f>Responses!AY83</f>
        <v/>
      </c>
      <c r="L87" s="28">
        <f>IF(Responses!AS83="","",IF(Responses!AY83="Declined","",IF(Responses!BA83=0,"Check date and times",IF(Responses!BB83&gt;0,Responses!BC83,"No clash"))))</f>
        <v/>
      </c>
    </row>
    <row r="88">
      <c r="A88" s="27">
        <f>IF(Responses!AS84="","",IF(Responses!AT84&gt;0,Responses!AT84,"Check date"))</f>
        <v/>
      </c>
      <c r="B88" s="28">
        <f>Responses!AS84</f>
        <v/>
      </c>
      <c r="C88" s="29">
        <f>IF(Responses!AS84="","",IF(Responses!AU84&gt;=0,IF(Responses!AU84="","",RIGHT("0"&amp;INT(Responses!AU84/60),2)&amp;":"&amp;RIGHT("0"&amp;MOD(Responses!AU84,60),2)),"Check"))</f>
        <v/>
      </c>
      <c r="D88" s="29">
        <f>IF(Responses!AS84="","",IF(Responses!AV84&gt;=0,IF(Responses!AV84="","",RIGHT("0"&amp;INT(Responses!AV84/60),2)&amp;":"&amp;RIGHT("0"&amp;MOD(Responses!AV84,60),2)),"Check"))</f>
        <v/>
      </c>
      <c r="E88" s="28">
        <f>Responses!AW84</f>
        <v/>
      </c>
      <c r="F88" s="29">
        <f>Responses!AX84</f>
        <v/>
      </c>
      <c r="G88" s="29">
        <f>IF(Responses!AS84="","",IF(AND(ISNUMBER(Responses!AX84),ISNUMBER(IFERROR(VALUE(INDEX(Spaces!$B$5:$B$16,MATCH(Responses!AS84,Spaces!$A$5:$A$16,0))&amp;""),""))),IF(Responses!AX84&gt;IFERROR(VALUE(INDEX(Spaces!$B$5:$B$16,MATCH(Responses!AS84,Spaces!$A$5:$A$16,0))&amp;""),""),"Over by "&amp;(Responses!AX84-IFERROR(VALUE(INDEX(Spaces!$B$5:$B$16,MATCH(Responses!AS84,Spaces!$A$5:$A$16,0))&amp;""),"")),"OK"),""))</f>
        <v/>
      </c>
      <c r="H88" s="28">
        <f>Responses!BF84</f>
        <v/>
      </c>
      <c r="I88" s="28">
        <f>IF(Responses!AS84="","",Responses!AO84&amp;"")</f>
        <v/>
      </c>
      <c r="J88" s="28">
        <f>IF(Responses!AS84="","",Responses!AZ84&amp;"")</f>
        <v/>
      </c>
      <c r="K88" s="29">
        <f>Responses!AY84</f>
        <v/>
      </c>
      <c r="L88" s="28">
        <f>IF(Responses!AS84="","",IF(Responses!AY84="Declined","",IF(Responses!BA84=0,"Check date and times",IF(Responses!BB84&gt;0,Responses!BC84,"No clash"))))</f>
        <v/>
      </c>
    </row>
    <row r="89">
      <c r="A89" s="27">
        <f>IF(Responses!AS85="","",IF(Responses!AT85&gt;0,Responses!AT85,"Check date"))</f>
        <v/>
      </c>
      <c r="B89" s="28">
        <f>Responses!AS85</f>
        <v/>
      </c>
      <c r="C89" s="29">
        <f>IF(Responses!AS85="","",IF(Responses!AU85&gt;=0,IF(Responses!AU85="","",RIGHT("0"&amp;INT(Responses!AU85/60),2)&amp;":"&amp;RIGHT("0"&amp;MOD(Responses!AU85,60),2)),"Check"))</f>
        <v/>
      </c>
      <c r="D89" s="29">
        <f>IF(Responses!AS85="","",IF(Responses!AV85&gt;=0,IF(Responses!AV85="","",RIGHT("0"&amp;INT(Responses!AV85/60),2)&amp;":"&amp;RIGHT("0"&amp;MOD(Responses!AV85,60),2)),"Check"))</f>
        <v/>
      </c>
      <c r="E89" s="28">
        <f>Responses!AW85</f>
        <v/>
      </c>
      <c r="F89" s="29">
        <f>Responses!AX85</f>
        <v/>
      </c>
      <c r="G89" s="29">
        <f>IF(Responses!AS85="","",IF(AND(ISNUMBER(Responses!AX85),ISNUMBER(IFERROR(VALUE(INDEX(Spaces!$B$5:$B$16,MATCH(Responses!AS85,Spaces!$A$5:$A$16,0))&amp;""),""))),IF(Responses!AX85&gt;IFERROR(VALUE(INDEX(Spaces!$B$5:$B$16,MATCH(Responses!AS85,Spaces!$A$5:$A$16,0))&amp;""),""),"Over by "&amp;(Responses!AX85-IFERROR(VALUE(INDEX(Spaces!$B$5:$B$16,MATCH(Responses!AS85,Spaces!$A$5:$A$16,0))&amp;""),"")),"OK"),""))</f>
        <v/>
      </c>
      <c r="H89" s="28">
        <f>Responses!BF85</f>
        <v/>
      </c>
      <c r="I89" s="28">
        <f>IF(Responses!AS85="","",Responses!AO85&amp;"")</f>
        <v/>
      </c>
      <c r="J89" s="28">
        <f>IF(Responses!AS85="","",Responses!AZ85&amp;"")</f>
        <v/>
      </c>
      <c r="K89" s="29">
        <f>Responses!AY85</f>
        <v/>
      </c>
      <c r="L89" s="28">
        <f>IF(Responses!AS85="","",IF(Responses!AY85="Declined","",IF(Responses!BA85=0,"Check date and times",IF(Responses!BB85&gt;0,Responses!BC85,"No clash"))))</f>
        <v/>
      </c>
    </row>
    <row r="90">
      <c r="A90" s="27">
        <f>IF(Responses!AS86="","",IF(Responses!AT86&gt;0,Responses!AT86,"Check date"))</f>
        <v/>
      </c>
      <c r="B90" s="28">
        <f>Responses!AS86</f>
        <v/>
      </c>
      <c r="C90" s="29">
        <f>IF(Responses!AS86="","",IF(Responses!AU86&gt;=0,IF(Responses!AU86="","",RIGHT("0"&amp;INT(Responses!AU86/60),2)&amp;":"&amp;RIGHT("0"&amp;MOD(Responses!AU86,60),2)),"Check"))</f>
        <v/>
      </c>
      <c r="D90" s="29">
        <f>IF(Responses!AS86="","",IF(Responses!AV86&gt;=0,IF(Responses!AV86="","",RIGHT("0"&amp;INT(Responses!AV86/60),2)&amp;":"&amp;RIGHT("0"&amp;MOD(Responses!AV86,60),2)),"Check"))</f>
        <v/>
      </c>
      <c r="E90" s="28">
        <f>Responses!AW86</f>
        <v/>
      </c>
      <c r="F90" s="29">
        <f>Responses!AX86</f>
        <v/>
      </c>
      <c r="G90" s="29">
        <f>IF(Responses!AS86="","",IF(AND(ISNUMBER(Responses!AX86),ISNUMBER(IFERROR(VALUE(INDEX(Spaces!$B$5:$B$16,MATCH(Responses!AS86,Spaces!$A$5:$A$16,0))&amp;""),""))),IF(Responses!AX86&gt;IFERROR(VALUE(INDEX(Spaces!$B$5:$B$16,MATCH(Responses!AS86,Spaces!$A$5:$A$16,0))&amp;""),""),"Over by "&amp;(Responses!AX86-IFERROR(VALUE(INDEX(Spaces!$B$5:$B$16,MATCH(Responses!AS86,Spaces!$A$5:$A$16,0))&amp;""),"")),"OK"),""))</f>
        <v/>
      </c>
      <c r="H90" s="28">
        <f>Responses!BF86</f>
        <v/>
      </c>
      <c r="I90" s="28">
        <f>IF(Responses!AS86="","",Responses!AO86&amp;"")</f>
        <v/>
      </c>
      <c r="J90" s="28">
        <f>IF(Responses!AS86="","",Responses!AZ86&amp;"")</f>
        <v/>
      </c>
      <c r="K90" s="29">
        <f>Responses!AY86</f>
        <v/>
      </c>
      <c r="L90" s="28">
        <f>IF(Responses!AS86="","",IF(Responses!AY86="Declined","",IF(Responses!BA86=0,"Check date and times",IF(Responses!BB86&gt;0,Responses!BC86,"No clash"))))</f>
        <v/>
      </c>
    </row>
    <row r="91">
      <c r="A91" s="27">
        <f>IF(Responses!AS87="","",IF(Responses!AT87&gt;0,Responses!AT87,"Check date"))</f>
        <v/>
      </c>
      <c r="B91" s="28">
        <f>Responses!AS87</f>
        <v/>
      </c>
      <c r="C91" s="29">
        <f>IF(Responses!AS87="","",IF(Responses!AU87&gt;=0,IF(Responses!AU87="","",RIGHT("0"&amp;INT(Responses!AU87/60),2)&amp;":"&amp;RIGHT("0"&amp;MOD(Responses!AU87,60),2)),"Check"))</f>
        <v/>
      </c>
      <c r="D91" s="29">
        <f>IF(Responses!AS87="","",IF(Responses!AV87&gt;=0,IF(Responses!AV87="","",RIGHT("0"&amp;INT(Responses!AV87/60),2)&amp;":"&amp;RIGHT("0"&amp;MOD(Responses!AV87,60),2)),"Check"))</f>
        <v/>
      </c>
      <c r="E91" s="28">
        <f>Responses!AW87</f>
        <v/>
      </c>
      <c r="F91" s="29">
        <f>Responses!AX87</f>
        <v/>
      </c>
      <c r="G91" s="29">
        <f>IF(Responses!AS87="","",IF(AND(ISNUMBER(Responses!AX87),ISNUMBER(IFERROR(VALUE(INDEX(Spaces!$B$5:$B$16,MATCH(Responses!AS87,Spaces!$A$5:$A$16,0))&amp;""),""))),IF(Responses!AX87&gt;IFERROR(VALUE(INDEX(Spaces!$B$5:$B$16,MATCH(Responses!AS87,Spaces!$A$5:$A$16,0))&amp;""),""),"Over by "&amp;(Responses!AX87-IFERROR(VALUE(INDEX(Spaces!$B$5:$B$16,MATCH(Responses!AS87,Spaces!$A$5:$A$16,0))&amp;""),"")),"OK"),""))</f>
        <v/>
      </c>
      <c r="H91" s="28">
        <f>Responses!BF87</f>
        <v/>
      </c>
      <c r="I91" s="28">
        <f>IF(Responses!AS87="","",Responses!AO87&amp;"")</f>
        <v/>
      </c>
      <c r="J91" s="28">
        <f>IF(Responses!AS87="","",Responses!AZ87&amp;"")</f>
        <v/>
      </c>
      <c r="K91" s="29">
        <f>Responses!AY87</f>
        <v/>
      </c>
      <c r="L91" s="28">
        <f>IF(Responses!AS87="","",IF(Responses!AY87="Declined","",IF(Responses!BA87=0,"Check date and times",IF(Responses!BB87&gt;0,Responses!BC87,"No clash"))))</f>
        <v/>
      </c>
    </row>
    <row r="92">
      <c r="A92" s="27">
        <f>IF(Responses!AS88="","",IF(Responses!AT88&gt;0,Responses!AT88,"Check date"))</f>
        <v/>
      </c>
      <c r="B92" s="28">
        <f>Responses!AS88</f>
        <v/>
      </c>
      <c r="C92" s="29">
        <f>IF(Responses!AS88="","",IF(Responses!AU88&gt;=0,IF(Responses!AU88="","",RIGHT("0"&amp;INT(Responses!AU88/60),2)&amp;":"&amp;RIGHT("0"&amp;MOD(Responses!AU88,60),2)),"Check"))</f>
        <v/>
      </c>
      <c r="D92" s="29">
        <f>IF(Responses!AS88="","",IF(Responses!AV88&gt;=0,IF(Responses!AV88="","",RIGHT("0"&amp;INT(Responses!AV88/60),2)&amp;":"&amp;RIGHT("0"&amp;MOD(Responses!AV88,60),2)),"Check"))</f>
        <v/>
      </c>
      <c r="E92" s="28">
        <f>Responses!AW88</f>
        <v/>
      </c>
      <c r="F92" s="29">
        <f>Responses!AX88</f>
        <v/>
      </c>
      <c r="G92" s="29">
        <f>IF(Responses!AS88="","",IF(AND(ISNUMBER(Responses!AX88),ISNUMBER(IFERROR(VALUE(INDEX(Spaces!$B$5:$B$16,MATCH(Responses!AS88,Spaces!$A$5:$A$16,0))&amp;""),""))),IF(Responses!AX88&gt;IFERROR(VALUE(INDEX(Spaces!$B$5:$B$16,MATCH(Responses!AS88,Spaces!$A$5:$A$16,0))&amp;""),""),"Over by "&amp;(Responses!AX88-IFERROR(VALUE(INDEX(Spaces!$B$5:$B$16,MATCH(Responses!AS88,Spaces!$A$5:$A$16,0))&amp;""),"")),"OK"),""))</f>
        <v/>
      </c>
      <c r="H92" s="28">
        <f>Responses!BF88</f>
        <v/>
      </c>
      <c r="I92" s="28">
        <f>IF(Responses!AS88="","",Responses!AO88&amp;"")</f>
        <v/>
      </c>
      <c r="J92" s="28">
        <f>IF(Responses!AS88="","",Responses!AZ88&amp;"")</f>
        <v/>
      </c>
      <c r="K92" s="29">
        <f>Responses!AY88</f>
        <v/>
      </c>
      <c r="L92" s="28">
        <f>IF(Responses!AS88="","",IF(Responses!AY88="Declined","",IF(Responses!BA88=0,"Check date and times",IF(Responses!BB88&gt;0,Responses!BC88,"No clash"))))</f>
        <v/>
      </c>
    </row>
    <row r="93">
      <c r="A93" s="27">
        <f>IF(Responses!AS89="","",IF(Responses!AT89&gt;0,Responses!AT89,"Check date"))</f>
        <v/>
      </c>
      <c r="B93" s="28">
        <f>Responses!AS89</f>
        <v/>
      </c>
      <c r="C93" s="29">
        <f>IF(Responses!AS89="","",IF(Responses!AU89&gt;=0,IF(Responses!AU89="","",RIGHT("0"&amp;INT(Responses!AU89/60),2)&amp;":"&amp;RIGHT("0"&amp;MOD(Responses!AU89,60),2)),"Check"))</f>
        <v/>
      </c>
      <c r="D93" s="29">
        <f>IF(Responses!AS89="","",IF(Responses!AV89&gt;=0,IF(Responses!AV89="","",RIGHT("0"&amp;INT(Responses!AV89/60),2)&amp;":"&amp;RIGHT("0"&amp;MOD(Responses!AV89,60),2)),"Check"))</f>
        <v/>
      </c>
      <c r="E93" s="28">
        <f>Responses!AW89</f>
        <v/>
      </c>
      <c r="F93" s="29">
        <f>Responses!AX89</f>
        <v/>
      </c>
      <c r="G93" s="29">
        <f>IF(Responses!AS89="","",IF(AND(ISNUMBER(Responses!AX89),ISNUMBER(IFERROR(VALUE(INDEX(Spaces!$B$5:$B$16,MATCH(Responses!AS89,Spaces!$A$5:$A$16,0))&amp;""),""))),IF(Responses!AX89&gt;IFERROR(VALUE(INDEX(Spaces!$B$5:$B$16,MATCH(Responses!AS89,Spaces!$A$5:$A$16,0))&amp;""),""),"Over by "&amp;(Responses!AX89-IFERROR(VALUE(INDEX(Spaces!$B$5:$B$16,MATCH(Responses!AS89,Spaces!$A$5:$A$16,0))&amp;""),"")),"OK"),""))</f>
        <v/>
      </c>
      <c r="H93" s="28">
        <f>Responses!BF89</f>
        <v/>
      </c>
      <c r="I93" s="28">
        <f>IF(Responses!AS89="","",Responses!AO89&amp;"")</f>
        <v/>
      </c>
      <c r="J93" s="28">
        <f>IF(Responses!AS89="","",Responses!AZ89&amp;"")</f>
        <v/>
      </c>
      <c r="K93" s="29">
        <f>Responses!AY89</f>
        <v/>
      </c>
      <c r="L93" s="28">
        <f>IF(Responses!AS89="","",IF(Responses!AY89="Declined","",IF(Responses!BA89=0,"Check date and times",IF(Responses!BB89&gt;0,Responses!BC89,"No clash"))))</f>
        <v/>
      </c>
    </row>
    <row r="94">
      <c r="A94" s="27">
        <f>IF(Responses!AS90="","",IF(Responses!AT90&gt;0,Responses!AT90,"Check date"))</f>
        <v/>
      </c>
      <c r="B94" s="28">
        <f>Responses!AS90</f>
        <v/>
      </c>
      <c r="C94" s="29">
        <f>IF(Responses!AS90="","",IF(Responses!AU90&gt;=0,IF(Responses!AU90="","",RIGHT("0"&amp;INT(Responses!AU90/60),2)&amp;":"&amp;RIGHT("0"&amp;MOD(Responses!AU90,60),2)),"Check"))</f>
        <v/>
      </c>
      <c r="D94" s="29">
        <f>IF(Responses!AS90="","",IF(Responses!AV90&gt;=0,IF(Responses!AV90="","",RIGHT("0"&amp;INT(Responses!AV90/60),2)&amp;":"&amp;RIGHT("0"&amp;MOD(Responses!AV90,60),2)),"Check"))</f>
        <v/>
      </c>
      <c r="E94" s="28">
        <f>Responses!AW90</f>
        <v/>
      </c>
      <c r="F94" s="29">
        <f>Responses!AX90</f>
        <v/>
      </c>
      <c r="G94" s="29">
        <f>IF(Responses!AS90="","",IF(AND(ISNUMBER(Responses!AX90),ISNUMBER(IFERROR(VALUE(INDEX(Spaces!$B$5:$B$16,MATCH(Responses!AS90,Spaces!$A$5:$A$16,0))&amp;""),""))),IF(Responses!AX90&gt;IFERROR(VALUE(INDEX(Spaces!$B$5:$B$16,MATCH(Responses!AS90,Spaces!$A$5:$A$16,0))&amp;""),""),"Over by "&amp;(Responses!AX90-IFERROR(VALUE(INDEX(Spaces!$B$5:$B$16,MATCH(Responses!AS90,Spaces!$A$5:$A$16,0))&amp;""),"")),"OK"),""))</f>
        <v/>
      </c>
      <c r="H94" s="28">
        <f>Responses!BF90</f>
        <v/>
      </c>
      <c r="I94" s="28">
        <f>IF(Responses!AS90="","",Responses!AO90&amp;"")</f>
        <v/>
      </c>
      <c r="J94" s="28">
        <f>IF(Responses!AS90="","",Responses!AZ90&amp;"")</f>
        <v/>
      </c>
      <c r="K94" s="29">
        <f>Responses!AY90</f>
        <v/>
      </c>
      <c r="L94" s="28">
        <f>IF(Responses!AS90="","",IF(Responses!AY90="Declined","",IF(Responses!BA90=0,"Check date and times",IF(Responses!BB90&gt;0,Responses!BC90,"No clash"))))</f>
        <v/>
      </c>
    </row>
    <row r="95">
      <c r="A95" s="27">
        <f>IF(Responses!AS91="","",IF(Responses!AT91&gt;0,Responses!AT91,"Check date"))</f>
        <v/>
      </c>
      <c r="B95" s="28">
        <f>Responses!AS91</f>
        <v/>
      </c>
      <c r="C95" s="29">
        <f>IF(Responses!AS91="","",IF(Responses!AU91&gt;=0,IF(Responses!AU91="","",RIGHT("0"&amp;INT(Responses!AU91/60),2)&amp;":"&amp;RIGHT("0"&amp;MOD(Responses!AU91,60),2)),"Check"))</f>
        <v/>
      </c>
      <c r="D95" s="29">
        <f>IF(Responses!AS91="","",IF(Responses!AV91&gt;=0,IF(Responses!AV91="","",RIGHT("0"&amp;INT(Responses!AV91/60),2)&amp;":"&amp;RIGHT("0"&amp;MOD(Responses!AV91,60),2)),"Check"))</f>
        <v/>
      </c>
      <c r="E95" s="28">
        <f>Responses!AW91</f>
        <v/>
      </c>
      <c r="F95" s="29">
        <f>Responses!AX91</f>
        <v/>
      </c>
      <c r="G95" s="29">
        <f>IF(Responses!AS91="","",IF(AND(ISNUMBER(Responses!AX91),ISNUMBER(IFERROR(VALUE(INDEX(Spaces!$B$5:$B$16,MATCH(Responses!AS91,Spaces!$A$5:$A$16,0))&amp;""),""))),IF(Responses!AX91&gt;IFERROR(VALUE(INDEX(Spaces!$B$5:$B$16,MATCH(Responses!AS91,Spaces!$A$5:$A$16,0))&amp;""),""),"Over by "&amp;(Responses!AX91-IFERROR(VALUE(INDEX(Spaces!$B$5:$B$16,MATCH(Responses!AS91,Spaces!$A$5:$A$16,0))&amp;""),"")),"OK"),""))</f>
        <v/>
      </c>
      <c r="H95" s="28">
        <f>Responses!BF91</f>
        <v/>
      </c>
      <c r="I95" s="28">
        <f>IF(Responses!AS91="","",Responses!AO91&amp;"")</f>
        <v/>
      </c>
      <c r="J95" s="28">
        <f>IF(Responses!AS91="","",Responses!AZ91&amp;"")</f>
        <v/>
      </c>
      <c r="K95" s="29">
        <f>Responses!AY91</f>
        <v/>
      </c>
      <c r="L95" s="28">
        <f>IF(Responses!AS91="","",IF(Responses!AY91="Declined","",IF(Responses!BA91=0,"Check date and times",IF(Responses!BB91&gt;0,Responses!BC91,"No clash"))))</f>
        <v/>
      </c>
    </row>
    <row r="96">
      <c r="A96" s="27">
        <f>IF(Responses!AS92="","",IF(Responses!AT92&gt;0,Responses!AT92,"Check date"))</f>
        <v/>
      </c>
      <c r="B96" s="28">
        <f>Responses!AS92</f>
        <v/>
      </c>
      <c r="C96" s="29">
        <f>IF(Responses!AS92="","",IF(Responses!AU92&gt;=0,IF(Responses!AU92="","",RIGHT("0"&amp;INT(Responses!AU92/60),2)&amp;":"&amp;RIGHT("0"&amp;MOD(Responses!AU92,60),2)),"Check"))</f>
        <v/>
      </c>
      <c r="D96" s="29">
        <f>IF(Responses!AS92="","",IF(Responses!AV92&gt;=0,IF(Responses!AV92="","",RIGHT("0"&amp;INT(Responses!AV92/60),2)&amp;":"&amp;RIGHT("0"&amp;MOD(Responses!AV92,60),2)),"Check"))</f>
        <v/>
      </c>
      <c r="E96" s="28">
        <f>Responses!AW92</f>
        <v/>
      </c>
      <c r="F96" s="29">
        <f>Responses!AX92</f>
        <v/>
      </c>
      <c r="G96" s="29">
        <f>IF(Responses!AS92="","",IF(AND(ISNUMBER(Responses!AX92),ISNUMBER(IFERROR(VALUE(INDEX(Spaces!$B$5:$B$16,MATCH(Responses!AS92,Spaces!$A$5:$A$16,0))&amp;""),""))),IF(Responses!AX92&gt;IFERROR(VALUE(INDEX(Spaces!$B$5:$B$16,MATCH(Responses!AS92,Spaces!$A$5:$A$16,0))&amp;""),""),"Over by "&amp;(Responses!AX92-IFERROR(VALUE(INDEX(Spaces!$B$5:$B$16,MATCH(Responses!AS92,Spaces!$A$5:$A$16,0))&amp;""),"")),"OK"),""))</f>
        <v/>
      </c>
      <c r="H96" s="28">
        <f>Responses!BF92</f>
        <v/>
      </c>
      <c r="I96" s="28">
        <f>IF(Responses!AS92="","",Responses!AO92&amp;"")</f>
        <v/>
      </c>
      <c r="J96" s="28">
        <f>IF(Responses!AS92="","",Responses!AZ92&amp;"")</f>
        <v/>
      </c>
      <c r="K96" s="29">
        <f>Responses!AY92</f>
        <v/>
      </c>
      <c r="L96" s="28">
        <f>IF(Responses!AS92="","",IF(Responses!AY92="Declined","",IF(Responses!BA92=0,"Check date and times",IF(Responses!BB92&gt;0,Responses!BC92,"No clash"))))</f>
        <v/>
      </c>
    </row>
    <row r="97">
      <c r="A97" s="27">
        <f>IF(Responses!AS93="","",IF(Responses!AT93&gt;0,Responses!AT93,"Check date"))</f>
        <v/>
      </c>
      <c r="B97" s="28">
        <f>Responses!AS93</f>
        <v/>
      </c>
      <c r="C97" s="29">
        <f>IF(Responses!AS93="","",IF(Responses!AU93&gt;=0,IF(Responses!AU93="","",RIGHT("0"&amp;INT(Responses!AU93/60),2)&amp;":"&amp;RIGHT("0"&amp;MOD(Responses!AU93,60),2)),"Check"))</f>
        <v/>
      </c>
      <c r="D97" s="29">
        <f>IF(Responses!AS93="","",IF(Responses!AV93&gt;=0,IF(Responses!AV93="","",RIGHT("0"&amp;INT(Responses!AV93/60),2)&amp;":"&amp;RIGHT("0"&amp;MOD(Responses!AV93,60),2)),"Check"))</f>
        <v/>
      </c>
      <c r="E97" s="28">
        <f>Responses!AW93</f>
        <v/>
      </c>
      <c r="F97" s="29">
        <f>Responses!AX93</f>
        <v/>
      </c>
      <c r="G97" s="29">
        <f>IF(Responses!AS93="","",IF(AND(ISNUMBER(Responses!AX93),ISNUMBER(IFERROR(VALUE(INDEX(Spaces!$B$5:$B$16,MATCH(Responses!AS93,Spaces!$A$5:$A$16,0))&amp;""),""))),IF(Responses!AX93&gt;IFERROR(VALUE(INDEX(Spaces!$B$5:$B$16,MATCH(Responses!AS93,Spaces!$A$5:$A$16,0))&amp;""),""),"Over by "&amp;(Responses!AX93-IFERROR(VALUE(INDEX(Spaces!$B$5:$B$16,MATCH(Responses!AS93,Spaces!$A$5:$A$16,0))&amp;""),"")),"OK"),""))</f>
        <v/>
      </c>
      <c r="H97" s="28">
        <f>Responses!BF93</f>
        <v/>
      </c>
      <c r="I97" s="28">
        <f>IF(Responses!AS93="","",Responses!AO93&amp;"")</f>
        <v/>
      </c>
      <c r="J97" s="28">
        <f>IF(Responses!AS93="","",Responses!AZ93&amp;"")</f>
        <v/>
      </c>
      <c r="K97" s="29">
        <f>Responses!AY93</f>
        <v/>
      </c>
      <c r="L97" s="28">
        <f>IF(Responses!AS93="","",IF(Responses!AY93="Declined","",IF(Responses!BA93=0,"Check date and times",IF(Responses!BB93&gt;0,Responses!BC93,"No clash"))))</f>
        <v/>
      </c>
    </row>
    <row r="98">
      <c r="A98" s="27">
        <f>IF(Responses!AS94="","",IF(Responses!AT94&gt;0,Responses!AT94,"Check date"))</f>
        <v/>
      </c>
      <c r="B98" s="28">
        <f>Responses!AS94</f>
        <v/>
      </c>
      <c r="C98" s="29">
        <f>IF(Responses!AS94="","",IF(Responses!AU94&gt;=0,IF(Responses!AU94="","",RIGHT("0"&amp;INT(Responses!AU94/60),2)&amp;":"&amp;RIGHT("0"&amp;MOD(Responses!AU94,60),2)),"Check"))</f>
        <v/>
      </c>
      <c r="D98" s="29">
        <f>IF(Responses!AS94="","",IF(Responses!AV94&gt;=0,IF(Responses!AV94="","",RIGHT("0"&amp;INT(Responses!AV94/60),2)&amp;":"&amp;RIGHT("0"&amp;MOD(Responses!AV94,60),2)),"Check"))</f>
        <v/>
      </c>
      <c r="E98" s="28">
        <f>Responses!AW94</f>
        <v/>
      </c>
      <c r="F98" s="29">
        <f>Responses!AX94</f>
        <v/>
      </c>
      <c r="G98" s="29">
        <f>IF(Responses!AS94="","",IF(AND(ISNUMBER(Responses!AX94),ISNUMBER(IFERROR(VALUE(INDEX(Spaces!$B$5:$B$16,MATCH(Responses!AS94,Spaces!$A$5:$A$16,0))&amp;""),""))),IF(Responses!AX94&gt;IFERROR(VALUE(INDEX(Spaces!$B$5:$B$16,MATCH(Responses!AS94,Spaces!$A$5:$A$16,0))&amp;""),""),"Over by "&amp;(Responses!AX94-IFERROR(VALUE(INDEX(Spaces!$B$5:$B$16,MATCH(Responses!AS94,Spaces!$A$5:$A$16,0))&amp;""),"")),"OK"),""))</f>
        <v/>
      </c>
      <c r="H98" s="28">
        <f>Responses!BF94</f>
        <v/>
      </c>
      <c r="I98" s="28">
        <f>IF(Responses!AS94="","",Responses!AO94&amp;"")</f>
        <v/>
      </c>
      <c r="J98" s="28">
        <f>IF(Responses!AS94="","",Responses!AZ94&amp;"")</f>
        <v/>
      </c>
      <c r="K98" s="29">
        <f>Responses!AY94</f>
        <v/>
      </c>
      <c r="L98" s="28">
        <f>IF(Responses!AS94="","",IF(Responses!AY94="Declined","",IF(Responses!BA94=0,"Check date and times",IF(Responses!BB94&gt;0,Responses!BC94,"No clash"))))</f>
        <v/>
      </c>
    </row>
    <row r="99">
      <c r="A99" s="27">
        <f>IF(Responses!AS95="","",IF(Responses!AT95&gt;0,Responses!AT95,"Check date"))</f>
        <v/>
      </c>
      <c r="B99" s="28">
        <f>Responses!AS95</f>
        <v/>
      </c>
      <c r="C99" s="29">
        <f>IF(Responses!AS95="","",IF(Responses!AU95&gt;=0,IF(Responses!AU95="","",RIGHT("0"&amp;INT(Responses!AU95/60),2)&amp;":"&amp;RIGHT("0"&amp;MOD(Responses!AU95,60),2)),"Check"))</f>
        <v/>
      </c>
      <c r="D99" s="29">
        <f>IF(Responses!AS95="","",IF(Responses!AV95&gt;=0,IF(Responses!AV95="","",RIGHT("0"&amp;INT(Responses!AV95/60),2)&amp;":"&amp;RIGHT("0"&amp;MOD(Responses!AV95,60),2)),"Check"))</f>
        <v/>
      </c>
      <c r="E99" s="28">
        <f>Responses!AW95</f>
        <v/>
      </c>
      <c r="F99" s="29">
        <f>Responses!AX95</f>
        <v/>
      </c>
      <c r="G99" s="29">
        <f>IF(Responses!AS95="","",IF(AND(ISNUMBER(Responses!AX95),ISNUMBER(IFERROR(VALUE(INDEX(Spaces!$B$5:$B$16,MATCH(Responses!AS95,Spaces!$A$5:$A$16,0))&amp;""),""))),IF(Responses!AX95&gt;IFERROR(VALUE(INDEX(Spaces!$B$5:$B$16,MATCH(Responses!AS95,Spaces!$A$5:$A$16,0))&amp;""),""),"Over by "&amp;(Responses!AX95-IFERROR(VALUE(INDEX(Spaces!$B$5:$B$16,MATCH(Responses!AS95,Spaces!$A$5:$A$16,0))&amp;""),"")),"OK"),""))</f>
        <v/>
      </c>
      <c r="H99" s="28">
        <f>Responses!BF95</f>
        <v/>
      </c>
      <c r="I99" s="28">
        <f>IF(Responses!AS95="","",Responses!AO95&amp;"")</f>
        <v/>
      </c>
      <c r="J99" s="28">
        <f>IF(Responses!AS95="","",Responses!AZ95&amp;"")</f>
        <v/>
      </c>
      <c r="K99" s="29">
        <f>Responses!AY95</f>
        <v/>
      </c>
      <c r="L99" s="28">
        <f>IF(Responses!AS95="","",IF(Responses!AY95="Declined","",IF(Responses!BA95=0,"Check date and times",IF(Responses!BB95&gt;0,Responses!BC95,"No clash"))))</f>
        <v/>
      </c>
    </row>
    <row r="100">
      <c r="A100" s="27">
        <f>IF(Responses!AS96="","",IF(Responses!AT96&gt;0,Responses!AT96,"Check date"))</f>
        <v/>
      </c>
      <c r="B100" s="28">
        <f>Responses!AS96</f>
        <v/>
      </c>
      <c r="C100" s="29">
        <f>IF(Responses!AS96="","",IF(Responses!AU96&gt;=0,IF(Responses!AU96="","",RIGHT("0"&amp;INT(Responses!AU96/60),2)&amp;":"&amp;RIGHT("0"&amp;MOD(Responses!AU96,60),2)),"Check"))</f>
        <v/>
      </c>
      <c r="D100" s="29">
        <f>IF(Responses!AS96="","",IF(Responses!AV96&gt;=0,IF(Responses!AV96="","",RIGHT("0"&amp;INT(Responses!AV96/60),2)&amp;":"&amp;RIGHT("0"&amp;MOD(Responses!AV96,60),2)),"Check"))</f>
        <v/>
      </c>
      <c r="E100" s="28">
        <f>Responses!AW96</f>
        <v/>
      </c>
      <c r="F100" s="29">
        <f>Responses!AX96</f>
        <v/>
      </c>
      <c r="G100" s="29">
        <f>IF(Responses!AS96="","",IF(AND(ISNUMBER(Responses!AX96),ISNUMBER(IFERROR(VALUE(INDEX(Spaces!$B$5:$B$16,MATCH(Responses!AS96,Spaces!$A$5:$A$16,0))&amp;""),""))),IF(Responses!AX96&gt;IFERROR(VALUE(INDEX(Spaces!$B$5:$B$16,MATCH(Responses!AS96,Spaces!$A$5:$A$16,0))&amp;""),""),"Over by "&amp;(Responses!AX96-IFERROR(VALUE(INDEX(Spaces!$B$5:$B$16,MATCH(Responses!AS96,Spaces!$A$5:$A$16,0))&amp;""),"")),"OK"),""))</f>
        <v/>
      </c>
      <c r="H100" s="28">
        <f>Responses!BF96</f>
        <v/>
      </c>
      <c r="I100" s="28">
        <f>IF(Responses!AS96="","",Responses!AO96&amp;"")</f>
        <v/>
      </c>
      <c r="J100" s="28">
        <f>IF(Responses!AS96="","",Responses!AZ96&amp;"")</f>
        <v/>
      </c>
      <c r="K100" s="29">
        <f>Responses!AY96</f>
        <v/>
      </c>
      <c r="L100" s="28">
        <f>IF(Responses!AS96="","",IF(Responses!AY96="Declined","",IF(Responses!BA96=0,"Check date and times",IF(Responses!BB96&gt;0,Responses!BC96,"No clash"))))</f>
        <v/>
      </c>
    </row>
    <row r="101">
      <c r="A101" s="27">
        <f>IF(Responses!AS97="","",IF(Responses!AT97&gt;0,Responses!AT97,"Check date"))</f>
        <v/>
      </c>
      <c r="B101" s="28">
        <f>Responses!AS97</f>
        <v/>
      </c>
      <c r="C101" s="29">
        <f>IF(Responses!AS97="","",IF(Responses!AU97&gt;=0,IF(Responses!AU97="","",RIGHT("0"&amp;INT(Responses!AU97/60),2)&amp;":"&amp;RIGHT("0"&amp;MOD(Responses!AU97,60),2)),"Check"))</f>
        <v/>
      </c>
      <c r="D101" s="29">
        <f>IF(Responses!AS97="","",IF(Responses!AV97&gt;=0,IF(Responses!AV97="","",RIGHT("0"&amp;INT(Responses!AV97/60),2)&amp;":"&amp;RIGHT("0"&amp;MOD(Responses!AV97,60),2)),"Check"))</f>
        <v/>
      </c>
      <c r="E101" s="28">
        <f>Responses!AW97</f>
        <v/>
      </c>
      <c r="F101" s="29">
        <f>Responses!AX97</f>
        <v/>
      </c>
      <c r="G101" s="29">
        <f>IF(Responses!AS97="","",IF(AND(ISNUMBER(Responses!AX97),ISNUMBER(IFERROR(VALUE(INDEX(Spaces!$B$5:$B$16,MATCH(Responses!AS97,Spaces!$A$5:$A$16,0))&amp;""),""))),IF(Responses!AX97&gt;IFERROR(VALUE(INDEX(Spaces!$B$5:$B$16,MATCH(Responses!AS97,Spaces!$A$5:$A$16,0))&amp;""),""),"Over by "&amp;(Responses!AX97-IFERROR(VALUE(INDEX(Spaces!$B$5:$B$16,MATCH(Responses!AS97,Spaces!$A$5:$A$16,0))&amp;""),"")),"OK"),""))</f>
        <v/>
      </c>
      <c r="H101" s="28">
        <f>Responses!BF97</f>
        <v/>
      </c>
      <c r="I101" s="28">
        <f>IF(Responses!AS97="","",Responses!AO97&amp;"")</f>
        <v/>
      </c>
      <c r="J101" s="28">
        <f>IF(Responses!AS97="","",Responses!AZ97&amp;"")</f>
        <v/>
      </c>
      <c r="K101" s="29">
        <f>Responses!AY97</f>
        <v/>
      </c>
      <c r="L101" s="28">
        <f>IF(Responses!AS97="","",IF(Responses!AY97="Declined","",IF(Responses!BA97=0,"Check date and times",IF(Responses!BB97&gt;0,Responses!BC97,"No clash"))))</f>
        <v/>
      </c>
    </row>
    <row r="102">
      <c r="A102" s="27">
        <f>IF(Responses!AS98="","",IF(Responses!AT98&gt;0,Responses!AT98,"Check date"))</f>
        <v/>
      </c>
      <c r="B102" s="28">
        <f>Responses!AS98</f>
        <v/>
      </c>
      <c r="C102" s="29">
        <f>IF(Responses!AS98="","",IF(Responses!AU98&gt;=0,IF(Responses!AU98="","",RIGHT("0"&amp;INT(Responses!AU98/60),2)&amp;":"&amp;RIGHT("0"&amp;MOD(Responses!AU98,60),2)),"Check"))</f>
        <v/>
      </c>
      <c r="D102" s="29">
        <f>IF(Responses!AS98="","",IF(Responses!AV98&gt;=0,IF(Responses!AV98="","",RIGHT("0"&amp;INT(Responses!AV98/60),2)&amp;":"&amp;RIGHT("0"&amp;MOD(Responses!AV98,60),2)),"Check"))</f>
        <v/>
      </c>
      <c r="E102" s="28">
        <f>Responses!AW98</f>
        <v/>
      </c>
      <c r="F102" s="29">
        <f>Responses!AX98</f>
        <v/>
      </c>
      <c r="G102" s="29">
        <f>IF(Responses!AS98="","",IF(AND(ISNUMBER(Responses!AX98),ISNUMBER(IFERROR(VALUE(INDEX(Spaces!$B$5:$B$16,MATCH(Responses!AS98,Spaces!$A$5:$A$16,0))&amp;""),""))),IF(Responses!AX98&gt;IFERROR(VALUE(INDEX(Spaces!$B$5:$B$16,MATCH(Responses!AS98,Spaces!$A$5:$A$16,0))&amp;""),""),"Over by "&amp;(Responses!AX98-IFERROR(VALUE(INDEX(Spaces!$B$5:$B$16,MATCH(Responses!AS98,Spaces!$A$5:$A$16,0))&amp;""),"")),"OK"),""))</f>
        <v/>
      </c>
      <c r="H102" s="28">
        <f>Responses!BF98</f>
        <v/>
      </c>
      <c r="I102" s="28">
        <f>IF(Responses!AS98="","",Responses!AO98&amp;"")</f>
        <v/>
      </c>
      <c r="J102" s="28">
        <f>IF(Responses!AS98="","",Responses!AZ98&amp;"")</f>
        <v/>
      </c>
      <c r="K102" s="29">
        <f>Responses!AY98</f>
        <v/>
      </c>
      <c r="L102" s="28">
        <f>IF(Responses!AS98="","",IF(Responses!AY98="Declined","",IF(Responses!BA98=0,"Check date and times",IF(Responses!BB98&gt;0,Responses!BC98,"No clash"))))</f>
        <v/>
      </c>
    </row>
    <row r="103">
      <c r="A103" s="27">
        <f>IF(Responses!AS99="","",IF(Responses!AT99&gt;0,Responses!AT99,"Check date"))</f>
        <v/>
      </c>
      <c r="B103" s="28">
        <f>Responses!AS99</f>
        <v/>
      </c>
      <c r="C103" s="29">
        <f>IF(Responses!AS99="","",IF(Responses!AU99&gt;=0,IF(Responses!AU99="","",RIGHT("0"&amp;INT(Responses!AU99/60),2)&amp;":"&amp;RIGHT("0"&amp;MOD(Responses!AU99,60),2)),"Check"))</f>
        <v/>
      </c>
      <c r="D103" s="29">
        <f>IF(Responses!AS99="","",IF(Responses!AV99&gt;=0,IF(Responses!AV99="","",RIGHT("0"&amp;INT(Responses!AV99/60),2)&amp;":"&amp;RIGHT("0"&amp;MOD(Responses!AV99,60),2)),"Check"))</f>
        <v/>
      </c>
      <c r="E103" s="28">
        <f>Responses!AW99</f>
        <v/>
      </c>
      <c r="F103" s="29">
        <f>Responses!AX99</f>
        <v/>
      </c>
      <c r="G103" s="29">
        <f>IF(Responses!AS99="","",IF(AND(ISNUMBER(Responses!AX99),ISNUMBER(IFERROR(VALUE(INDEX(Spaces!$B$5:$B$16,MATCH(Responses!AS99,Spaces!$A$5:$A$16,0))&amp;""),""))),IF(Responses!AX99&gt;IFERROR(VALUE(INDEX(Spaces!$B$5:$B$16,MATCH(Responses!AS99,Spaces!$A$5:$A$16,0))&amp;""),""),"Over by "&amp;(Responses!AX99-IFERROR(VALUE(INDEX(Spaces!$B$5:$B$16,MATCH(Responses!AS99,Spaces!$A$5:$A$16,0))&amp;""),"")),"OK"),""))</f>
        <v/>
      </c>
      <c r="H103" s="28">
        <f>Responses!BF99</f>
        <v/>
      </c>
      <c r="I103" s="28">
        <f>IF(Responses!AS99="","",Responses!AO99&amp;"")</f>
        <v/>
      </c>
      <c r="J103" s="28">
        <f>IF(Responses!AS99="","",Responses!AZ99&amp;"")</f>
        <v/>
      </c>
      <c r="K103" s="29">
        <f>Responses!AY99</f>
        <v/>
      </c>
      <c r="L103" s="28">
        <f>IF(Responses!AS99="","",IF(Responses!AY99="Declined","",IF(Responses!BA99=0,"Check date and times",IF(Responses!BB99&gt;0,Responses!BC99,"No clash"))))</f>
        <v/>
      </c>
    </row>
    <row r="104">
      <c r="A104" s="27">
        <f>IF(Responses!AS100="","",IF(Responses!AT100&gt;0,Responses!AT100,"Check date"))</f>
        <v/>
      </c>
      <c r="B104" s="28">
        <f>Responses!AS100</f>
        <v/>
      </c>
      <c r="C104" s="29">
        <f>IF(Responses!AS100="","",IF(Responses!AU100&gt;=0,IF(Responses!AU100="","",RIGHT("0"&amp;INT(Responses!AU100/60),2)&amp;":"&amp;RIGHT("0"&amp;MOD(Responses!AU100,60),2)),"Check"))</f>
        <v/>
      </c>
      <c r="D104" s="29">
        <f>IF(Responses!AS100="","",IF(Responses!AV100&gt;=0,IF(Responses!AV100="","",RIGHT("0"&amp;INT(Responses!AV100/60),2)&amp;":"&amp;RIGHT("0"&amp;MOD(Responses!AV100,60),2)),"Check"))</f>
        <v/>
      </c>
      <c r="E104" s="28">
        <f>Responses!AW100</f>
        <v/>
      </c>
      <c r="F104" s="29">
        <f>Responses!AX100</f>
        <v/>
      </c>
      <c r="G104" s="29">
        <f>IF(Responses!AS100="","",IF(AND(ISNUMBER(Responses!AX100),ISNUMBER(IFERROR(VALUE(INDEX(Spaces!$B$5:$B$16,MATCH(Responses!AS100,Spaces!$A$5:$A$16,0))&amp;""),""))),IF(Responses!AX100&gt;IFERROR(VALUE(INDEX(Spaces!$B$5:$B$16,MATCH(Responses!AS100,Spaces!$A$5:$A$16,0))&amp;""),""),"Over by "&amp;(Responses!AX100-IFERROR(VALUE(INDEX(Spaces!$B$5:$B$16,MATCH(Responses!AS100,Spaces!$A$5:$A$16,0))&amp;""),"")),"OK"),""))</f>
        <v/>
      </c>
      <c r="H104" s="28">
        <f>Responses!BF100</f>
        <v/>
      </c>
      <c r="I104" s="28">
        <f>IF(Responses!AS100="","",Responses!AO100&amp;"")</f>
        <v/>
      </c>
      <c r="J104" s="28">
        <f>IF(Responses!AS100="","",Responses!AZ100&amp;"")</f>
        <v/>
      </c>
      <c r="K104" s="29">
        <f>Responses!AY100</f>
        <v/>
      </c>
      <c r="L104" s="28">
        <f>IF(Responses!AS100="","",IF(Responses!AY100="Declined","",IF(Responses!BA100=0,"Check date and times",IF(Responses!BB100&gt;0,Responses!BC100,"No clash"))))</f>
        <v/>
      </c>
    </row>
    <row r="105">
      <c r="A105" s="27">
        <f>IF(Responses!AS101="","",IF(Responses!AT101&gt;0,Responses!AT101,"Check date"))</f>
        <v/>
      </c>
      <c r="B105" s="28">
        <f>Responses!AS101</f>
        <v/>
      </c>
      <c r="C105" s="29">
        <f>IF(Responses!AS101="","",IF(Responses!AU101&gt;=0,IF(Responses!AU101="","",RIGHT("0"&amp;INT(Responses!AU101/60),2)&amp;":"&amp;RIGHT("0"&amp;MOD(Responses!AU101,60),2)),"Check"))</f>
        <v/>
      </c>
      <c r="D105" s="29">
        <f>IF(Responses!AS101="","",IF(Responses!AV101&gt;=0,IF(Responses!AV101="","",RIGHT("0"&amp;INT(Responses!AV101/60),2)&amp;":"&amp;RIGHT("0"&amp;MOD(Responses!AV101,60),2)),"Check"))</f>
        <v/>
      </c>
      <c r="E105" s="28">
        <f>Responses!AW101</f>
        <v/>
      </c>
      <c r="F105" s="29">
        <f>Responses!AX101</f>
        <v/>
      </c>
      <c r="G105" s="29">
        <f>IF(Responses!AS101="","",IF(AND(ISNUMBER(Responses!AX101),ISNUMBER(IFERROR(VALUE(INDEX(Spaces!$B$5:$B$16,MATCH(Responses!AS101,Spaces!$A$5:$A$16,0))&amp;""),""))),IF(Responses!AX101&gt;IFERROR(VALUE(INDEX(Spaces!$B$5:$B$16,MATCH(Responses!AS101,Spaces!$A$5:$A$16,0))&amp;""),""),"Over by "&amp;(Responses!AX101-IFERROR(VALUE(INDEX(Spaces!$B$5:$B$16,MATCH(Responses!AS101,Spaces!$A$5:$A$16,0))&amp;""),"")),"OK"),""))</f>
        <v/>
      </c>
      <c r="H105" s="28">
        <f>Responses!BF101</f>
        <v/>
      </c>
      <c r="I105" s="28">
        <f>IF(Responses!AS101="","",Responses!AO101&amp;"")</f>
        <v/>
      </c>
      <c r="J105" s="28">
        <f>IF(Responses!AS101="","",Responses!AZ101&amp;"")</f>
        <v/>
      </c>
      <c r="K105" s="29">
        <f>Responses!AY101</f>
        <v/>
      </c>
      <c r="L105" s="28">
        <f>IF(Responses!AS101="","",IF(Responses!AY101="Declined","",IF(Responses!BA101=0,"Check date and times",IF(Responses!BB101&gt;0,Responses!BC101,"No clash"))))</f>
        <v/>
      </c>
    </row>
    <row r="106">
      <c r="A106" s="27">
        <f>IF(Responses!AS102="","",IF(Responses!AT102&gt;0,Responses!AT102,"Check date"))</f>
        <v/>
      </c>
      <c r="B106" s="28">
        <f>Responses!AS102</f>
        <v/>
      </c>
      <c r="C106" s="29">
        <f>IF(Responses!AS102="","",IF(Responses!AU102&gt;=0,IF(Responses!AU102="","",RIGHT("0"&amp;INT(Responses!AU102/60),2)&amp;":"&amp;RIGHT("0"&amp;MOD(Responses!AU102,60),2)),"Check"))</f>
        <v/>
      </c>
      <c r="D106" s="29">
        <f>IF(Responses!AS102="","",IF(Responses!AV102&gt;=0,IF(Responses!AV102="","",RIGHT("0"&amp;INT(Responses!AV102/60),2)&amp;":"&amp;RIGHT("0"&amp;MOD(Responses!AV102,60),2)),"Check"))</f>
        <v/>
      </c>
      <c r="E106" s="28">
        <f>Responses!AW102</f>
        <v/>
      </c>
      <c r="F106" s="29">
        <f>Responses!AX102</f>
        <v/>
      </c>
      <c r="G106" s="29">
        <f>IF(Responses!AS102="","",IF(AND(ISNUMBER(Responses!AX102),ISNUMBER(IFERROR(VALUE(INDEX(Spaces!$B$5:$B$16,MATCH(Responses!AS102,Spaces!$A$5:$A$16,0))&amp;""),""))),IF(Responses!AX102&gt;IFERROR(VALUE(INDEX(Spaces!$B$5:$B$16,MATCH(Responses!AS102,Spaces!$A$5:$A$16,0))&amp;""),""),"Over by "&amp;(Responses!AX102-IFERROR(VALUE(INDEX(Spaces!$B$5:$B$16,MATCH(Responses!AS102,Spaces!$A$5:$A$16,0))&amp;""),"")),"OK"),""))</f>
        <v/>
      </c>
      <c r="H106" s="28">
        <f>Responses!BF102</f>
        <v/>
      </c>
      <c r="I106" s="28">
        <f>IF(Responses!AS102="","",Responses!AO102&amp;"")</f>
        <v/>
      </c>
      <c r="J106" s="28">
        <f>IF(Responses!AS102="","",Responses!AZ102&amp;"")</f>
        <v/>
      </c>
      <c r="K106" s="29">
        <f>Responses!AY102</f>
        <v/>
      </c>
      <c r="L106" s="28">
        <f>IF(Responses!AS102="","",IF(Responses!AY102="Declined","",IF(Responses!BA102=0,"Check date and times",IF(Responses!BB102&gt;0,Responses!BC102,"No clash"))))</f>
        <v/>
      </c>
    </row>
    <row r="107">
      <c r="A107" s="27">
        <f>IF(Responses!AS103="","",IF(Responses!AT103&gt;0,Responses!AT103,"Check date"))</f>
        <v/>
      </c>
      <c r="B107" s="28">
        <f>Responses!AS103</f>
        <v/>
      </c>
      <c r="C107" s="29">
        <f>IF(Responses!AS103="","",IF(Responses!AU103&gt;=0,IF(Responses!AU103="","",RIGHT("0"&amp;INT(Responses!AU103/60),2)&amp;":"&amp;RIGHT("0"&amp;MOD(Responses!AU103,60),2)),"Check"))</f>
        <v/>
      </c>
      <c r="D107" s="29">
        <f>IF(Responses!AS103="","",IF(Responses!AV103&gt;=0,IF(Responses!AV103="","",RIGHT("0"&amp;INT(Responses!AV103/60),2)&amp;":"&amp;RIGHT("0"&amp;MOD(Responses!AV103,60),2)),"Check"))</f>
        <v/>
      </c>
      <c r="E107" s="28">
        <f>Responses!AW103</f>
        <v/>
      </c>
      <c r="F107" s="29">
        <f>Responses!AX103</f>
        <v/>
      </c>
      <c r="G107" s="29">
        <f>IF(Responses!AS103="","",IF(AND(ISNUMBER(Responses!AX103),ISNUMBER(IFERROR(VALUE(INDEX(Spaces!$B$5:$B$16,MATCH(Responses!AS103,Spaces!$A$5:$A$16,0))&amp;""),""))),IF(Responses!AX103&gt;IFERROR(VALUE(INDEX(Spaces!$B$5:$B$16,MATCH(Responses!AS103,Spaces!$A$5:$A$16,0))&amp;""),""),"Over by "&amp;(Responses!AX103-IFERROR(VALUE(INDEX(Spaces!$B$5:$B$16,MATCH(Responses!AS103,Spaces!$A$5:$A$16,0))&amp;""),"")),"OK"),""))</f>
        <v/>
      </c>
      <c r="H107" s="28">
        <f>Responses!BF103</f>
        <v/>
      </c>
      <c r="I107" s="28">
        <f>IF(Responses!AS103="","",Responses!AO103&amp;"")</f>
        <v/>
      </c>
      <c r="J107" s="28">
        <f>IF(Responses!AS103="","",Responses!AZ103&amp;"")</f>
        <v/>
      </c>
      <c r="K107" s="29">
        <f>Responses!AY103</f>
        <v/>
      </c>
      <c r="L107" s="28">
        <f>IF(Responses!AS103="","",IF(Responses!AY103="Declined","",IF(Responses!BA103=0,"Check date and times",IF(Responses!BB103&gt;0,Responses!BC103,"No clash"))))</f>
        <v/>
      </c>
    </row>
    <row r="108">
      <c r="A108" s="27">
        <f>IF(Responses!AS104="","",IF(Responses!AT104&gt;0,Responses!AT104,"Check date"))</f>
        <v/>
      </c>
      <c r="B108" s="28">
        <f>Responses!AS104</f>
        <v/>
      </c>
      <c r="C108" s="29">
        <f>IF(Responses!AS104="","",IF(Responses!AU104&gt;=0,IF(Responses!AU104="","",RIGHT("0"&amp;INT(Responses!AU104/60),2)&amp;":"&amp;RIGHT("0"&amp;MOD(Responses!AU104,60),2)),"Check"))</f>
        <v/>
      </c>
      <c r="D108" s="29">
        <f>IF(Responses!AS104="","",IF(Responses!AV104&gt;=0,IF(Responses!AV104="","",RIGHT("0"&amp;INT(Responses!AV104/60),2)&amp;":"&amp;RIGHT("0"&amp;MOD(Responses!AV104,60),2)),"Check"))</f>
        <v/>
      </c>
      <c r="E108" s="28">
        <f>Responses!AW104</f>
        <v/>
      </c>
      <c r="F108" s="29">
        <f>Responses!AX104</f>
        <v/>
      </c>
      <c r="G108" s="29">
        <f>IF(Responses!AS104="","",IF(AND(ISNUMBER(Responses!AX104),ISNUMBER(IFERROR(VALUE(INDEX(Spaces!$B$5:$B$16,MATCH(Responses!AS104,Spaces!$A$5:$A$16,0))&amp;""),""))),IF(Responses!AX104&gt;IFERROR(VALUE(INDEX(Spaces!$B$5:$B$16,MATCH(Responses!AS104,Spaces!$A$5:$A$16,0))&amp;""),""),"Over by "&amp;(Responses!AX104-IFERROR(VALUE(INDEX(Spaces!$B$5:$B$16,MATCH(Responses!AS104,Spaces!$A$5:$A$16,0))&amp;""),"")),"OK"),""))</f>
        <v/>
      </c>
      <c r="H108" s="28">
        <f>Responses!BF104</f>
        <v/>
      </c>
      <c r="I108" s="28">
        <f>IF(Responses!AS104="","",Responses!AO104&amp;"")</f>
        <v/>
      </c>
      <c r="J108" s="28">
        <f>IF(Responses!AS104="","",Responses!AZ104&amp;"")</f>
        <v/>
      </c>
      <c r="K108" s="29">
        <f>Responses!AY104</f>
        <v/>
      </c>
      <c r="L108" s="28">
        <f>IF(Responses!AS104="","",IF(Responses!AY104="Declined","",IF(Responses!BA104=0,"Check date and times",IF(Responses!BB104&gt;0,Responses!BC104,"No clash"))))</f>
        <v/>
      </c>
    </row>
    <row r="109">
      <c r="A109" s="27">
        <f>IF(Responses!AS105="","",IF(Responses!AT105&gt;0,Responses!AT105,"Check date"))</f>
        <v/>
      </c>
      <c r="B109" s="28">
        <f>Responses!AS105</f>
        <v/>
      </c>
      <c r="C109" s="29">
        <f>IF(Responses!AS105="","",IF(Responses!AU105&gt;=0,IF(Responses!AU105="","",RIGHT("0"&amp;INT(Responses!AU105/60),2)&amp;":"&amp;RIGHT("0"&amp;MOD(Responses!AU105,60),2)),"Check"))</f>
        <v/>
      </c>
      <c r="D109" s="29">
        <f>IF(Responses!AS105="","",IF(Responses!AV105&gt;=0,IF(Responses!AV105="","",RIGHT("0"&amp;INT(Responses!AV105/60),2)&amp;":"&amp;RIGHT("0"&amp;MOD(Responses!AV105,60),2)),"Check"))</f>
        <v/>
      </c>
      <c r="E109" s="28">
        <f>Responses!AW105</f>
        <v/>
      </c>
      <c r="F109" s="29">
        <f>Responses!AX105</f>
        <v/>
      </c>
      <c r="G109" s="29">
        <f>IF(Responses!AS105="","",IF(AND(ISNUMBER(Responses!AX105),ISNUMBER(IFERROR(VALUE(INDEX(Spaces!$B$5:$B$16,MATCH(Responses!AS105,Spaces!$A$5:$A$16,0))&amp;""),""))),IF(Responses!AX105&gt;IFERROR(VALUE(INDEX(Spaces!$B$5:$B$16,MATCH(Responses!AS105,Spaces!$A$5:$A$16,0))&amp;""),""),"Over by "&amp;(Responses!AX105-IFERROR(VALUE(INDEX(Spaces!$B$5:$B$16,MATCH(Responses!AS105,Spaces!$A$5:$A$16,0))&amp;""),"")),"OK"),""))</f>
        <v/>
      </c>
      <c r="H109" s="28">
        <f>Responses!BF105</f>
        <v/>
      </c>
      <c r="I109" s="28">
        <f>IF(Responses!AS105="","",Responses!AO105&amp;"")</f>
        <v/>
      </c>
      <c r="J109" s="28">
        <f>IF(Responses!AS105="","",Responses!AZ105&amp;"")</f>
        <v/>
      </c>
      <c r="K109" s="29">
        <f>Responses!AY105</f>
        <v/>
      </c>
      <c r="L109" s="28">
        <f>IF(Responses!AS105="","",IF(Responses!AY105="Declined","",IF(Responses!BA105=0,"Check date and times",IF(Responses!BB105&gt;0,Responses!BC105,"No clash"))))</f>
        <v/>
      </c>
    </row>
    <row r="110">
      <c r="A110" s="27">
        <f>IF(Responses!AS106="","",IF(Responses!AT106&gt;0,Responses!AT106,"Check date"))</f>
        <v/>
      </c>
      <c r="B110" s="28">
        <f>Responses!AS106</f>
        <v/>
      </c>
      <c r="C110" s="29">
        <f>IF(Responses!AS106="","",IF(Responses!AU106&gt;=0,IF(Responses!AU106="","",RIGHT("0"&amp;INT(Responses!AU106/60),2)&amp;":"&amp;RIGHT("0"&amp;MOD(Responses!AU106,60),2)),"Check"))</f>
        <v/>
      </c>
      <c r="D110" s="29">
        <f>IF(Responses!AS106="","",IF(Responses!AV106&gt;=0,IF(Responses!AV106="","",RIGHT("0"&amp;INT(Responses!AV106/60),2)&amp;":"&amp;RIGHT("0"&amp;MOD(Responses!AV106,60),2)),"Check"))</f>
        <v/>
      </c>
      <c r="E110" s="28">
        <f>Responses!AW106</f>
        <v/>
      </c>
      <c r="F110" s="29">
        <f>Responses!AX106</f>
        <v/>
      </c>
      <c r="G110" s="29">
        <f>IF(Responses!AS106="","",IF(AND(ISNUMBER(Responses!AX106),ISNUMBER(IFERROR(VALUE(INDEX(Spaces!$B$5:$B$16,MATCH(Responses!AS106,Spaces!$A$5:$A$16,0))&amp;""),""))),IF(Responses!AX106&gt;IFERROR(VALUE(INDEX(Spaces!$B$5:$B$16,MATCH(Responses!AS106,Spaces!$A$5:$A$16,0))&amp;""),""),"Over by "&amp;(Responses!AX106-IFERROR(VALUE(INDEX(Spaces!$B$5:$B$16,MATCH(Responses!AS106,Spaces!$A$5:$A$16,0))&amp;""),"")),"OK"),""))</f>
        <v/>
      </c>
      <c r="H110" s="28">
        <f>Responses!BF106</f>
        <v/>
      </c>
      <c r="I110" s="28">
        <f>IF(Responses!AS106="","",Responses!AO106&amp;"")</f>
        <v/>
      </c>
      <c r="J110" s="28">
        <f>IF(Responses!AS106="","",Responses!AZ106&amp;"")</f>
        <v/>
      </c>
      <c r="K110" s="29">
        <f>Responses!AY106</f>
        <v/>
      </c>
      <c r="L110" s="28">
        <f>IF(Responses!AS106="","",IF(Responses!AY106="Declined","",IF(Responses!BA106=0,"Check date and times",IF(Responses!BB106&gt;0,Responses!BC106,"No clash"))))</f>
        <v/>
      </c>
    </row>
    <row r="111">
      <c r="A111" s="27">
        <f>IF(Responses!AS107="","",IF(Responses!AT107&gt;0,Responses!AT107,"Check date"))</f>
        <v/>
      </c>
      <c r="B111" s="28">
        <f>Responses!AS107</f>
        <v/>
      </c>
      <c r="C111" s="29">
        <f>IF(Responses!AS107="","",IF(Responses!AU107&gt;=0,IF(Responses!AU107="","",RIGHT("0"&amp;INT(Responses!AU107/60),2)&amp;":"&amp;RIGHT("0"&amp;MOD(Responses!AU107,60),2)),"Check"))</f>
        <v/>
      </c>
      <c r="D111" s="29">
        <f>IF(Responses!AS107="","",IF(Responses!AV107&gt;=0,IF(Responses!AV107="","",RIGHT("0"&amp;INT(Responses!AV107/60),2)&amp;":"&amp;RIGHT("0"&amp;MOD(Responses!AV107,60),2)),"Check"))</f>
        <v/>
      </c>
      <c r="E111" s="28">
        <f>Responses!AW107</f>
        <v/>
      </c>
      <c r="F111" s="29">
        <f>Responses!AX107</f>
        <v/>
      </c>
      <c r="G111" s="29">
        <f>IF(Responses!AS107="","",IF(AND(ISNUMBER(Responses!AX107),ISNUMBER(IFERROR(VALUE(INDEX(Spaces!$B$5:$B$16,MATCH(Responses!AS107,Spaces!$A$5:$A$16,0))&amp;""),""))),IF(Responses!AX107&gt;IFERROR(VALUE(INDEX(Spaces!$B$5:$B$16,MATCH(Responses!AS107,Spaces!$A$5:$A$16,0))&amp;""),""),"Over by "&amp;(Responses!AX107-IFERROR(VALUE(INDEX(Spaces!$B$5:$B$16,MATCH(Responses!AS107,Spaces!$A$5:$A$16,0))&amp;""),"")),"OK"),""))</f>
        <v/>
      </c>
      <c r="H111" s="28">
        <f>Responses!BF107</f>
        <v/>
      </c>
      <c r="I111" s="28">
        <f>IF(Responses!AS107="","",Responses!AO107&amp;"")</f>
        <v/>
      </c>
      <c r="J111" s="28">
        <f>IF(Responses!AS107="","",Responses!AZ107&amp;"")</f>
        <v/>
      </c>
      <c r="K111" s="29">
        <f>Responses!AY107</f>
        <v/>
      </c>
      <c r="L111" s="28">
        <f>IF(Responses!AS107="","",IF(Responses!AY107="Declined","",IF(Responses!BA107=0,"Check date and times",IF(Responses!BB107&gt;0,Responses!BC107,"No clash"))))</f>
        <v/>
      </c>
    </row>
    <row r="112">
      <c r="A112" s="27">
        <f>IF(Responses!AS108="","",IF(Responses!AT108&gt;0,Responses!AT108,"Check date"))</f>
        <v/>
      </c>
      <c r="B112" s="28">
        <f>Responses!AS108</f>
        <v/>
      </c>
      <c r="C112" s="29">
        <f>IF(Responses!AS108="","",IF(Responses!AU108&gt;=0,IF(Responses!AU108="","",RIGHT("0"&amp;INT(Responses!AU108/60),2)&amp;":"&amp;RIGHT("0"&amp;MOD(Responses!AU108,60),2)),"Check"))</f>
        <v/>
      </c>
      <c r="D112" s="29">
        <f>IF(Responses!AS108="","",IF(Responses!AV108&gt;=0,IF(Responses!AV108="","",RIGHT("0"&amp;INT(Responses!AV108/60),2)&amp;":"&amp;RIGHT("0"&amp;MOD(Responses!AV108,60),2)),"Check"))</f>
        <v/>
      </c>
      <c r="E112" s="28">
        <f>Responses!AW108</f>
        <v/>
      </c>
      <c r="F112" s="29">
        <f>Responses!AX108</f>
        <v/>
      </c>
      <c r="G112" s="29">
        <f>IF(Responses!AS108="","",IF(AND(ISNUMBER(Responses!AX108),ISNUMBER(IFERROR(VALUE(INDEX(Spaces!$B$5:$B$16,MATCH(Responses!AS108,Spaces!$A$5:$A$16,0))&amp;""),""))),IF(Responses!AX108&gt;IFERROR(VALUE(INDEX(Spaces!$B$5:$B$16,MATCH(Responses!AS108,Spaces!$A$5:$A$16,0))&amp;""),""),"Over by "&amp;(Responses!AX108-IFERROR(VALUE(INDEX(Spaces!$B$5:$B$16,MATCH(Responses!AS108,Spaces!$A$5:$A$16,0))&amp;""),"")),"OK"),""))</f>
        <v/>
      </c>
      <c r="H112" s="28">
        <f>Responses!BF108</f>
        <v/>
      </c>
      <c r="I112" s="28">
        <f>IF(Responses!AS108="","",Responses!AO108&amp;"")</f>
        <v/>
      </c>
      <c r="J112" s="28">
        <f>IF(Responses!AS108="","",Responses!AZ108&amp;"")</f>
        <v/>
      </c>
      <c r="K112" s="29">
        <f>Responses!AY108</f>
        <v/>
      </c>
      <c r="L112" s="28">
        <f>IF(Responses!AS108="","",IF(Responses!AY108="Declined","",IF(Responses!BA108=0,"Check date and times",IF(Responses!BB108&gt;0,Responses!BC108,"No clash"))))</f>
        <v/>
      </c>
    </row>
    <row r="113">
      <c r="A113" s="27">
        <f>IF(Responses!AS109="","",IF(Responses!AT109&gt;0,Responses!AT109,"Check date"))</f>
        <v/>
      </c>
      <c r="B113" s="28">
        <f>Responses!AS109</f>
        <v/>
      </c>
      <c r="C113" s="29">
        <f>IF(Responses!AS109="","",IF(Responses!AU109&gt;=0,IF(Responses!AU109="","",RIGHT("0"&amp;INT(Responses!AU109/60),2)&amp;":"&amp;RIGHT("0"&amp;MOD(Responses!AU109,60),2)),"Check"))</f>
        <v/>
      </c>
      <c r="D113" s="29">
        <f>IF(Responses!AS109="","",IF(Responses!AV109&gt;=0,IF(Responses!AV109="","",RIGHT("0"&amp;INT(Responses!AV109/60),2)&amp;":"&amp;RIGHT("0"&amp;MOD(Responses!AV109,60),2)),"Check"))</f>
        <v/>
      </c>
      <c r="E113" s="28">
        <f>Responses!AW109</f>
        <v/>
      </c>
      <c r="F113" s="29">
        <f>Responses!AX109</f>
        <v/>
      </c>
      <c r="G113" s="29">
        <f>IF(Responses!AS109="","",IF(AND(ISNUMBER(Responses!AX109),ISNUMBER(IFERROR(VALUE(INDEX(Spaces!$B$5:$B$16,MATCH(Responses!AS109,Spaces!$A$5:$A$16,0))&amp;""),""))),IF(Responses!AX109&gt;IFERROR(VALUE(INDEX(Spaces!$B$5:$B$16,MATCH(Responses!AS109,Spaces!$A$5:$A$16,0))&amp;""),""),"Over by "&amp;(Responses!AX109-IFERROR(VALUE(INDEX(Spaces!$B$5:$B$16,MATCH(Responses!AS109,Spaces!$A$5:$A$16,0))&amp;""),"")),"OK"),""))</f>
        <v/>
      </c>
      <c r="H113" s="28">
        <f>Responses!BF109</f>
        <v/>
      </c>
      <c r="I113" s="28">
        <f>IF(Responses!AS109="","",Responses!AO109&amp;"")</f>
        <v/>
      </c>
      <c r="J113" s="28">
        <f>IF(Responses!AS109="","",Responses!AZ109&amp;"")</f>
        <v/>
      </c>
      <c r="K113" s="29">
        <f>Responses!AY109</f>
        <v/>
      </c>
      <c r="L113" s="28">
        <f>IF(Responses!AS109="","",IF(Responses!AY109="Declined","",IF(Responses!BA109=0,"Check date and times",IF(Responses!BB109&gt;0,Responses!BC109,"No clash"))))</f>
        <v/>
      </c>
    </row>
    <row r="114">
      <c r="A114" s="27">
        <f>IF(Responses!AS110="","",IF(Responses!AT110&gt;0,Responses!AT110,"Check date"))</f>
        <v/>
      </c>
      <c r="B114" s="28">
        <f>Responses!AS110</f>
        <v/>
      </c>
      <c r="C114" s="29">
        <f>IF(Responses!AS110="","",IF(Responses!AU110&gt;=0,IF(Responses!AU110="","",RIGHT("0"&amp;INT(Responses!AU110/60),2)&amp;":"&amp;RIGHT("0"&amp;MOD(Responses!AU110,60),2)),"Check"))</f>
        <v/>
      </c>
      <c r="D114" s="29">
        <f>IF(Responses!AS110="","",IF(Responses!AV110&gt;=0,IF(Responses!AV110="","",RIGHT("0"&amp;INT(Responses!AV110/60),2)&amp;":"&amp;RIGHT("0"&amp;MOD(Responses!AV110,60),2)),"Check"))</f>
        <v/>
      </c>
      <c r="E114" s="28">
        <f>Responses!AW110</f>
        <v/>
      </c>
      <c r="F114" s="29">
        <f>Responses!AX110</f>
        <v/>
      </c>
      <c r="G114" s="29">
        <f>IF(Responses!AS110="","",IF(AND(ISNUMBER(Responses!AX110),ISNUMBER(IFERROR(VALUE(INDEX(Spaces!$B$5:$B$16,MATCH(Responses!AS110,Spaces!$A$5:$A$16,0))&amp;""),""))),IF(Responses!AX110&gt;IFERROR(VALUE(INDEX(Spaces!$B$5:$B$16,MATCH(Responses!AS110,Spaces!$A$5:$A$16,0))&amp;""),""),"Over by "&amp;(Responses!AX110-IFERROR(VALUE(INDEX(Spaces!$B$5:$B$16,MATCH(Responses!AS110,Spaces!$A$5:$A$16,0))&amp;""),"")),"OK"),""))</f>
        <v/>
      </c>
      <c r="H114" s="28">
        <f>Responses!BF110</f>
        <v/>
      </c>
      <c r="I114" s="28">
        <f>IF(Responses!AS110="","",Responses!AO110&amp;"")</f>
        <v/>
      </c>
      <c r="J114" s="28">
        <f>IF(Responses!AS110="","",Responses!AZ110&amp;"")</f>
        <v/>
      </c>
      <c r="K114" s="29">
        <f>Responses!AY110</f>
        <v/>
      </c>
      <c r="L114" s="28">
        <f>IF(Responses!AS110="","",IF(Responses!AY110="Declined","",IF(Responses!BA110=0,"Check date and times",IF(Responses!BB110&gt;0,Responses!BC110,"No clash"))))</f>
        <v/>
      </c>
    </row>
    <row r="115">
      <c r="A115" s="27">
        <f>IF(Responses!AS111="","",IF(Responses!AT111&gt;0,Responses!AT111,"Check date"))</f>
        <v/>
      </c>
      <c r="B115" s="28">
        <f>Responses!AS111</f>
        <v/>
      </c>
      <c r="C115" s="29">
        <f>IF(Responses!AS111="","",IF(Responses!AU111&gt;=0,IF(Responses!AU111="","",RIGHT("0"&amp;INT(Responses!AU111/60),2)&amp;":"&amp;RIGHT("0"&amp;MOD(Responses!AU111,60),2)),"Check"))</f>
        <v/>
      </c>
      <c r="D115" s="29">
        <f>IF(Responses!AS111="","",IF(Responses!AV111&gt;=0,IF(Responses!AV111="","",RIGHT("0"&amp;INT(Responses!AV111/60),2)&amp;":"&amp;RIGHT("0"&amp;MOD(Responses!AV111,60),2)),"Check"))</f>
        <v/>
      </c>
      <c r="E115" s="28">
        <f>Responses!AW111</f>
        <v/>
      </c>
      <c r="F115" s="29">
        <f>Responses!AX111</f>
        <v/>
      </c>
      <c r="G115" s="29">
        <f>IF(Responses!AS111="","",IF(AND(ISNUMBER(Responses!AX111),ISNUMBER(IFERROR(VALUE(INDEX(Spaces!$B$5:$B$16,MATCH(Responses!AS111,Spaces!$A$5:$A$16,0))&amp;""),""))),IF(Responses!AX111&gt;IFERROR(VALUE(INDEX(Spaces!$B$5:$B$16,MATCH(Responses!AS111,Spaces!$A$5:$A$16,0))&amp;""),""),"Over by "&amp;(Responses!AX111-IFERROR(VALUE(INDEX(Spaces!$B$5:$B$16,MATCH(Responses!AS111,Spaces!$A$5:$A$16,0))&amp;""),"")),"OK"),""))</f>
        <v/>
      </c>
      <c r="H115" s="28">
        <f>Responses!BF111</f>
        <v/>
      </c>
      <c r="I115" s="28">
        <f>IF(Responses!AS111="","",Responses!AO111&amp;"")</f>
        <v/>
      </c>
      <c r="J115" s="28">
        <f>IF(Responses!AS111="","",Responses!AZ111&amp;"")</f>
        <v/>
      </c>
      <c r="K115" s="29">
        <f>Responses!AY111</f>
        <v/>
      </c>
      <c r="L115" s="28">
        <f>IF(Responses!AS111="","",IF(Responses!AY111="Declined","",IF(Responses!BA111=0,"Check date and times",IF(Responses!BB111&gt;0,Responses!BC111,"No clash"))))</f>
        <v/>
      </c>
    </row>
    <row r="116">
      <c r="A116" s="27">
        <f>IF(Responses!AS112="","",IF(Responses!AT112&gt;0,Responses!AT112,"Check date"))</f>
        <v/>
      </c>
      <c r="B116" s="28">
        <f>Responses!AS112</f>
        <v/>
      </c>
      <c r="C116" s="29">
        <f>IF(Responses!AS112="","",IF(Responses!AU112&gt;=0,IF(Responses!AU112="","",RIGHT("0"&amp;INT(Responses!AU112/60),2)&amp;":"&amp;RIGHT("0"&amp;MOD(Responses!AU112,60),2)),"Check"))</f>
        <v/>
      </c>
      <c r="D116" s="29">
        <f>IF(Responses!AS112="","",IF(Responses!AV112&gt;=0,IF(Responses!AV112="","",RIGHT("0"&amp;INT(Responses!AV112/60),2)&amp;":"&amp;RIGHT("0"&amp;MOD(Responses!AV112,60),2)),"Check"))</f>
        <v/>
      </c>
      <c r="E116" s="28">
        <f>Responses!AW112</f>
        <v/>
      </c>
      <c r="F116" s="29">
        <f>Responses!AX112</f>
        <v/>
      </c>
      <c r="G116" s="29">
        <f>IF(Responses!AS112="","",IF(AND(ISNUMBER(Responses!AX112),ISNUMBER(IFERROR(VALUE(INDEX(Spaces!$B$5:$B$16,MATCH(Responses!AS112,Spaces!$A$5:$A$16,0))&amp;""),""))),IF(Responses!AX112&gt;IFERROR(VALUE(INDEX(Spaces!$B$5:$B$16,MATCH(Responses!AS112,Spaces!$A$5:$A$16,0))&amp;""),""),"Over by "&amp;(Responses!AX112-IFERROR(VALUE(INDEX(Spaces!$B$5:$B$16,MATCH(Responses!AS112,Spaces!$A$5:$A$16,0))&amp;""),"")),"OK"),""))</f>
        <v/>
      </c>
      <c r="H116" s="28">
        <f>Responses!BF112</f>
        <v/>
      </c>
      <c r="I116" s="28">
        <f>IF(Responses!AS112="","",Responses!AO112&amp;"")</f>
        <v/>
      </c>
      <c r="J116" s="28">
        <f>IF(Responses!AS112="","",Responses!AZ112&amp;"")</f>
        <v/>
      </c>
      <c r="K116" s="29">
        <f>Responses!AY112</f>
        <v/>
      </c>
      <c r="L116" s="28">
        <f>IF(Responses!AS112="","",IF(Responses!AY112="Declined","",IF(Responses!BA112=0,"Check date and times",IF(Responses!BB112&gt;0,Responses!BC112,"No clash"))))</f>
        <v/>
      </c>
    </row>
    <row r="117">
      <c r="A117" s="27">
        <f>IF(Responses!AS113="","",IF(Responses!AT113&gt;0,Responses!AT113,"Check date"))</f>
        <v/>
      </c>
      <c r="B117" s="28">
        <f>Responses!AS113</f>
        <v/>
      </c>
      <c r="C117" s="29">
        <f>IF(Responses!AS113="","",IF(Responses!AU113&gt;=0,IF(Responses!AU113="","",RIGHT("0"&amp;INT(Responses!AU113/60),2)&amp;":"&amp;RIGHT("0"&amp;MOD(Responses!AU113,60),2)),"Check"))</f>
        <v/>
      </c>
      <c r="D117" s="29">
        <f>IF(Responses!AS113="","",IF(Responses!AV113&gt;=0,IF(Responses!AV113="","",RIGHT("0"&amp;INT(Responses!AV113/60),2)&amp;":"&amp;RIGHT("0"&amp;MOD(Responses!AV113,60),2)),"Check"))</f>
        <v/>
      </c>
      <c r="E117" s="28">
        <f>Responses!AW113</f>
        <v/>
      </c>
      <c r="F117" s="29">
        <f>Responses!AX113</f>
        <v/>
      </c>
      <c r="G117" s="29">
        <f>IF(Responses!AS113="","",IF(AND(ISNUMBER(Responses!AX113),ISNUMBER(IFERROR(VALUE(INDEX(Spaces!$B$5:$B$16,MATCH(Responses!AS113,Spaces!$A$5:$A$16,0))&amp;""),""))),IF(Responses!AX113&gt;IFERROR(VALUE(INDEX(Spaces!$B$5:$B$16,MATCH(Responses!AS113,Spaces!$A$5:$A$16,0))&amp;""),""),"Over by "&amp;(Responses!AX113-IFERROR(VALUE(INDEX(Spaces!$B$5:$B$16,MATCH(Responses!AS113,Spaces!$A$5:$A$16,0))&amp;""),"")),"OK"),""))</f>
        <v/>
      </c>
      <c r="H117" s="28">
        <f>Responses!BF113</f>
        <v/>
      </c>
      <c r="I117" s="28">
        <f>IF(Responses!AS113="","",Responses!AO113&amp;"")</f>
        <v/>
      </c>
      <c r="J117" s="28">
        <f>IF(Responses!AS113="","",Responses!AZ113&amp;"")</f>
        <v/>
      </c>
      <c r="K117" s="29">
        <f>Responses!AY113</f>
        <v/>
      </c>
      <c r="L117" s="28">
        <f>IF(Responses!AS113="","",IF(Responses!AY113="Declined","",IF(Responses!BA113=0,"Check date and times",IF(Responses!BB113&gt;0,Responses!BC113,"No clash"))))</f>
        <v/>
      </c>
    </row>
    <row r="118">
      <c r="A118" s="27">
        <f>IF(Responses!AS114="","",IF(Responses!AT114&gt;0,Responses!AT114,"Check date"))</f>
        <v/>
      </c>
      <c r="B118" s="28">
        <f>Responses!AS114</f>
        <v/>
      </c>
      <c r="C118" s="29">
        <f>IF(Responses!AS114="","",IF(Responses!AU114&gt;=0,IF(Responses!AU114="","",RIGHT("0"&amp;INT(Responses!AU114/60),2)&amp;":"&amp;RIGHT("0"&amp;MOD(Responses!AU114,60),2)),"Check"))</f>
        <v/>
      </c>
      <c r="D118" s="29">
        <f>IF(Responses!AS114="","",IF(Responses!AV114&gt;=0,IF(Responses!AV114="","",RIGHT("0"&amp;INT(Responses!AV114/60),2)&amp;":"&amp;RIGHT("0"&amp;MOD(Responses!AV114,60),2)),"Check"))</f>
        <v/>
      </c>
      <c r="E118" s="28">
        <f>Responses!AW114</f>
        <v/>
      </c>
      <c r="F118" s="29">
        <f>Responses!AX114</f>
        <v/>
      </c>
      <c r="G118" s="29">
        <f>IF(Responses!AS114="","",IF(AND(ISNUMBER(Responses!AX114),ISNUMBER(IFERROR(VALUE(INDEX(Spaces!$B$5:$B$16,MATCH(Responses!AS114,Spaces!$A$5:$A$16,0))&amp;""),""))),IF(Responses!AX114&gt;IFERROR(VALUE(INDEX(Spaces!$B$5:$B$16,MATCH(Responses!AS114,Spaces!$A$5:$A$16,0))&amp;""),""),"Over by "&amp;(Responses!AX114-IFERROR(VALUE(INDEX(Spaces!$B$5:$B$16,MATCH(Responses!AS114,Spaces!$A$5:$A$16,0))&amp;""),"")),"OK"),""))</f>
        <v/>
      </c>
      <c r="H118" s="28">
        <f>Responses!BF114</f>
        <v/>
      </c>
      <c r="I118" s="28">
        <f>IF(Responses!AS114="","",Responses!AO114&amp;"")</f>
        <v/>
      </c>
      <c r="J118" s="28">
        <f>IF(Responses!AS114="","",Responses!AZ114&amp;"")</f>
        <v/>
      </c>
      <c r="K118" s="29">
        <f>Responses!AY114</f>
        <v/>
      </c>
      <c r="L118" s="28">
        <f>IF(Responses!AS114="","",IF(Responses!AY114="Declined","",IF(Responses!BA114=0,"Check date and times",IF(Responses!BB114&gt;0,Responses!BC114,"No clash"))))</f>
        <v/>
      </c>
    </row>
    <row r="119">
      <c r="A119" s="27">
        <f>IF(Responses!AS115="","",IF(Responses!AT115&gt;0,Responses!AT115,"Check date"))</f>
        <v/>
      </c>
      <c r="B119" s="28">
        <f>Responses!AS115</f>
        <v/>
      </c>
      <c r="C119" s="29">
        <f>IF(Responses!AS115="","",IF(Responses!AU115&gt;=0,IF(Responses!AU115="","",RIGHT("0"&amp;INT(Responses!AU115/60),2)&amp;":"&amp;RIGHT("0"&amp;MOD(Responses!AU115,60),2)),"Check"))</f>
        <v/>
      </c>
      <c r="D119" s="29">
        <f>IF(Responses!AS115="","",IF(Responses!AV115&gt;=0,IF(Responses!AV115="","",RIGHT("0"&amp;INT(Responses!AV115/60),2)&amp;":"&amp;RIGHT("0"&amp;MOD(Responses!AV115,60),2)),"Check"))</f>
        <v/>
      </c>
      <c r="E119" s="28">
        <f>Responses!AW115</f>
        <v/>
      </c>
      <c r="F119" s="29">
        <f>Responses!AX115</f>
        <v/>
      </c>
      <c r="G119" s="29">
        <f>IF(Responses!AS115="","",IF(AND(ISNUMBER(Responses!AX115),ISNUMBER(IFERROR(VALUE(INDEX(Spaces!$B$5:$B$16,MATCH(Responses!AS115,Spaces!$A$5:$A$16,0))&amp;""),""))),IF(Responses!AX115&gt;IFERROR(VALUE(INDEX(Spaces!$B$5:$B$16,MATCH(Responses!AS115,Spaces!$A$5:$A$16,0))&amp;""),""),"Over by "&amp;(Responses!AX115-IFERROR(VALUE(INDEX(Spaces!$B$5:$B$16,MATCH(Responses!AS115,Spaces!$A$5:$A$16,0))&amp;""),"")),"OK"),""))</f>
        <v/>
      </c>
      <c r="H119" s="28">
        <f>Responses!BF115</f>
        <v/>
      </c>
      <c r="I119" s="28">
        <f>IF(Responses!AS115="","",Responses!AO115&amp;"")</f>
        <v/>
      </c>
      <c r="J119" s="28">
        <f>IF(Responses!AS115="","",Responses!AZ115&amp;"")</f>
        <v/>
      </c>
      <c r="K119" s="29">
        <f>Responses!AY115</f>
        <v/>
      </c>
      <c r="L119" s="28">
        <f>IF(Responses!AS115="","",IF(Responses!AY115="Declined","",IF(Responses!BA115=0,"Check date and times",IF(Responses!BB115&gt;0,Responses!BC115,"No clash"))))</f>
        <v/>
      </c>
    </row>
    <row r="120">
      <c r="A120" s="27">
        <f>IF(Responses!AS116="","",IF(Responses!AT116&gt;0,Responses!AT116,"Check date"))</f>
        <v/>
      </c>
      <c r="B120" s="28">
        <f>Responses!AS116</f>
        <v/>
      </c>
      <c r="C120" s="29">
        <f>IF(Responses!AS116="","",IF(Responses!AU116&gt;=0,IF(Responses!AU116="","",RIGHT("0"&amp;INT(Responses!AU116/60),2)&amp;":"&amp;RIGHT("0"&amp;MOD(Responses!AU116,60),2)),"Check"))</f>
        <v/>
      </c>
      <c r="D120" s="29">
        <f>IF(Responses!AS116="","",IF(Responses!AV116&gt;=0,IF(Responses!AV116="","",RIGHT("0"&amp;INT(Responses!AV116/60),2)&amp;":"&amp;RIGHT("0"&amp;MOD(Responses!AV116,60),2)),"Check"))</f>
        <v/>
      </c>
      <c r="E120" s="28">
        <f>Responses!AW116</f>
        <v/>
      </c>
      <c r="F120" s="29">
        <f>Responses!AX116</f>
        <v/>
      </c>
      <c r="G120" s="29">
        <f>IF(Responses!AS116="","",IF(AND(ISNUMBER(Responses!AX116),ISNUMBER(IFERROR(VALUE(INDEX(Spaces!$B$5:$B$16,MATCH(Responses!AS116,Spaces!$A$5:$A$16,0))&amp;""),""))),IF(Responses!AX116&gt;IFERROR(VALUE(INDEX(Spaces!$B$5:$B$16,MATCH(Responses!AS116,Spaces!$A$5:$A$16,0))&amp;""),""),"Over by "&amp;(Responses!AX116-IFERROR(VALUE(INDEX(Spaces!$B$5:$B$16,MATCH(Responses!AS116,Spaces!$A$5:$A$16,0))&amp;""),"")),"OK"),""))</f>
        <v/>
      </c>
      <c r="H120" s="28">
        <f>Responses!BF116</f>
        <v/>
      </c>
      <c r="I120" s="28">
        <f>IF(Responses!AS116="","",Responses!AO116&amp;"")</f>
        <v/>
      </c>
      <c r="J120" s="28">
        <f>IF(Responses!AS116="","",Responses!AZ116&amp;"")</f>
        <v/>
      </c>
      <c r="K120" s="29">
        <f>Responses!AY116</f>
        <v/>
      </c>
      <c r="L120" s="28">
        <f>IF(Responses!AS116="","",IF(Responses!AY116="Declined","",IF(Responses!BA116=0,"Check date and times",IF(Responses!BB116&gt;0,Responses!BC116,"No clash"))))</f>
        <v/>
      </c>
    </row>
    <row r="121">
      <c r="A121" s="27">
        <f>IF(Responses!AS117="","",IF(Responses!AT117&gt;0,Responses!AT117,"Check date"))</f>
        <v/>
      </c>
      <c r="B121" s="28">
        <f>Responses!AS117</f>
        <v/>
      </c>
      <c r="C121" s="29">
        <f>IF(Responses!AS117="","",IF(Responses!AU117&gt;=0,IF(Responses!AU117="","",RIGHT("0"&amp;INT(Responses!AU117/60),2)&amp;":"&amp;RIGHT("0"&amp;MOD(Responses!AU117,60),2)),"Check"))</f>
        <v/>
      </c>
      <c r="D121" s="29">
        <f>IF(Responses!AS117="","",IF(Responses!AV117&gt;=0,IF(Responses!AV117="","",RIGHT("0"&amp;INT(Responses!AV117/60),2)&amp;":"&amp;RIGHT("0"&amp;MOD(Responses!AV117,60),2)),"Check"))</f>
        <v/>
      </c>
      <c r="E121" s="28">
        <f>Responses!AW117</f>
        <v/>
      </c>
      <c r="F121" s="29">
        <f>Responses!AX117</f>
        <v/>
      </c>
      <c r="G121" s="29">
        <f>IF(Responses!AS117="","",IF(AND(ISNUMBER(Responses!AX117),ISNUMBER(IFERROR(VALUE(INDEX(Spaces!$B$5:$B$16,MATCH(Responses!AS117,Spaces!$A$5:$A$16,0))&amp;""),""))),IF(Responses!AX117&gt;IFERROR(VALUE(INDEX(Spaces!$B$5:$B$16,MATCH(Responses!AS117,Spaces!$A$5:$A$16,0))&amp;""),""),"Over by "&amp;(Responses!AX117-IFERROR(VALUE(INDEX(Spaces!$B$5:$B$16,MATCH(Responses!AS117,Spaces!$A$5:$A$16,0))&amp;""),"")),"OK"),""))</f>
        <v/>
      </c>
      <c r="H121" s="28">
        <f>Responses!BF117</f>
        <v/>
      </c>
      <c r="I121" s="28">
        <f>IF(Responses!AS117="","",Responses!AO117&amp;"")</f>
        <v/>
      </c>
      <c r="J121" s="28">
        <f>IF(Responses!AS117="","",Responses!AZ117&amp;"")</f>
        <v/>
      </c>
      <c r="K121" s="29">
        <f>Responses!AY117</f>
        <v/>
      </c>
      <c r="L121" s="28">
        <f>IF(Responses!AS117="","",IF(Responses!AY117="Declined","",IF(Responses!BA117=0,"Check date and times",IF(Responses!BB117&gt;0,Responses!BC117,"No clash"))))</f>
        <v/>
      </c>
    </row>
    <row r="122">
      <c r="A122" s="27">
        <f>IF(Responses!AS118="","",IF(Responses!AT118&gt;0,Responses!AT118,"Check date"))</f>
        <v/>
      </c>
      <c r="B122" s="28">
        <f>Responses!AS118</f>
        <v/>
      </c>
      <c r="C122" s="29">
        <f>IF(Responses!AS118="","",IF(Responses!AU118&gt;=0,IF(Responses!AU118="","",RIGHT("0"&amp;INT(Responses!AU118/60),2)&amp;":"&amp;RIGHT("0"&amp;MOD(Responses!AU118,60),2)),"Check"))</f>
        <v/>
      </c>
      <c r="D122" s="29">
        <f>IF(Responses!AS118="","",IF(Responses!AV118&gt;=0,IF(Responses!AV118="","",RIGHT("0"&amp;INT(Responses!AV118/60),2)&amp;":"&amp;RIGHT("0"&amp;MOD(Responses!AV118,60),2)),"Check"))</f>
        <v/>
      </c>
      <c r="E122" s="28">
        <f>Responses!AW118</f>
        <v/>
      </c>
      <c r="F122" s="29">
        <f>Responses!AX118</f>
        <v/>
      </c>
      <c r="G122" s="29">
        <f>IF(Responses!AS118="","",IF(AND(ISNUMBER(Responses!AX118),ISNUMBER(IFERROR(VALUE(INDEX(Spaces!$B$5:$B$16,MATCH(Responses!AS118,Spaces!$A$5:$A$16,0))&amp;""),""))),IF(Responses!AX118&gt;IFERROR(VALUE(INDEX(Spaces!$B$5:$B$16,MATCH(Responses!AS118,Spaces!$A$5:$A$16,0))&amp;""),""),"Over by "&amp;(Responses!AX118-IFERROR(VALUE(INDEX(Spaces!$B$5:$B$16,MATCH(Responses!AS118,Spaces!$A$5:$A$16,0))&amp;""),"")),"OK"),""))</f>
        <v/>
      </c>
      <c r="H122" s="28">
        <f>Responses!BF118</f>
        <v/>
      </c>
      <c r="I122" s="28">
        <f>IF(Responses!AS118="","",Responses!AO118&amp;"")</f>
        <v/>
      </c>
      <c r="J122" s="28">
        <f>IF(Responses!AS118="","",Responses!AZ118&amp;"")</f>
        <v/>
      </c>
      <c r="K122" s="29">
        <f>Responses!AY118</f>
        <v/>
      </c>
      <c r="L122" s="28">
        <f>IF(Responses!AS118="","",IF(Responses!AY118="Declined","",IF(Responses!BA118=0,"Check date and times",IF(Responses!BB118&gt;0,Responses!BC118,"No clash"))))</f>
        <v/>
      </c>
    </row>
    <row r="123">
      <c r="A123" s="27">
        <f>IF(Responses!AS119="","",IF(Responses!AT119&gt;0,Responses!AT119,"Check date"))</f>
        <v/>
      </c>
      <c r="B123" s="28">
        <f>Responses!AS119</f>
        <v/>
      </c>
      <c r="C123" s="29">
        <f>IF(Responses!AS119="","",IF(Responses!AU119&gt;=0,IF(Responses!AU119="","",RIGHT("0"&amp;INT(Responses!AU119/60),2)&amp;":"&amp;RIGHT("0"&amp;MOD(Responses!AU119,60),2)),"Check"))</f>
        <v/>
      </c>
      <c r="D123" s="29">
        <f>IF(Responses!AS119="","",IF(Responses!AV119&gt;=0,IF(Responses!AV119="","",RIGHT("0"&amp;INT(Responses!AV119/60),2)&amp;":"&amp;RIGHT("0"&amp;MOD(Responses!AV119,60),2)),"Check"))</f>
        <v/>
      </c>
      <c r="E123" s="28">
        <f>Responses!AW119</f>
        <v/>
      </c>
      <c r="F123" s="29">
        <f>Responses!AX119</f>
        <v/>
      </c>
      <c r="G123" s="29">
        <f>IF(Responses!AS119="","",IF(AND(ISNUMBER(Responses!AX119),ISNUMBER(IFERROR(VALUE(INDEX(Spaces!$B$5:$B$16,MATCH(Responses!AS119,Spaces!$A$5:$A$16,0))&amp;""),""))),IF(Responses!AX119&gt;IFERROR(VALUE(INDEX(Spaces!$B$5:$B$16,MATCH(Responses!AS119,Spaces!$A$5:$A$16,0))&amp;""),""),"Over by "&amp;(Responses!AX119-IFERROR(VALUE(INDEX(Spaces!$B$5:$B$16,MATCH(Responses!AS119,Spaces!$A$5:$A$16,0))&amp;""),"")),"OK"),""))</f>
        <v/>
      </c>
      <c r="H123" s="28">
        <f>Responses!BF119</f>
        <v/>
      </c>
      <c r="I123" s="28">
        <f>IF(Responses!AS119="","",Responses!AO119&amp;"")</f>
        <v/>
      </c>
      <c r="J123" s="28">
        <f>IF(Responses!AS119="","",Responses!AZ119&amp;"")</f>
        <v/>
      </c>
      <c r="K123" s="29">
        <f>Responses!AY119</f>
        <v/>
      </c>
      <c r="L123" s="28">
        <f>IF(Responses!AS119="","",IF(Responses!AY119="Declined","",IF(Responses!BA119=0,"Check date and times",IF(Responses!BB119&gt;0,Responses!BC119,"No clash"))))</f>
        <v/>
      </c>
    </row>
    <row r="124">
      <c r="A124" s="27">
        <f>IF(Responses!AS120="","",IF(Responses!AT120&gt;0,Responses!AT120,"Check date"))</f>
        <v/>
      </c>
      <c r="B124" s="28">
        <f>Responses!AS120</f>
        <v/>
      </c>
      <c r="C124" s="29">
        <f>IF(Responses!AS120="","",IF(Responses!AU120&gt;=0,IF(Responses!AU120="","",RIGHT("0"&amp;INT(Responses!AU120/60),2)&amp;":"&amp;RIGHT("0"&amp;MOD(Responses!AU120,60),2)),"Check"))</f>
        <v/>
      </c>
      <c r="D124" s="29">
        <f>IF(Responses!AS120="","",IF(Responses!AV120&gt;=0,IF(Responses!AV120="","",RIGHT("0"&amp;INT(Responses!AV120/60),2)&amp;":"&amp;RIGHT("0"&amp;MOD(Responses!AV120,60),2)),"Check"))</f>
        <v/>
      </c>
      <c r="E124" s="28">
        <f>Responses!AW120</f>
        <v/>
      </c>
      <c r="F124" s="29">
        <f>Responses!AX120</f>
        <v/>
      </c>
      <c r="G124" s="29">
        <f>IF(Responses!AS120="","",IF(AND(ISNUMBER(Responses!AX120),ISNUMBER(IFERROR(VALUE(INDEX(Spaces!$B$5:$B$16,MATCH(Responses!AS120,Spaces!$A$5:$A$16,0))&amp;""),""))),IF(Responses!AX120&gt;IFERROR(VALUE(INDEX(Spaces!$B$5:$B$16,MATCH(Responses!AS120,Spaces!$A$5:$A$16,0))&amp;""),""),"Over by "&amp;(Responses!AX120-IFERROR(VALUE(INDEX(Spaces!$B$5:$B$16,MATCH(Responses!AS120,Spaces!$A$5:$A$16,0))&amp;""),"")),"OK"),""))</f>
        <v/>
      </c>
      <c r="H124" s="28">
        <f>Responses!BF120</f>
        <v/>
      </c>
      <c r="I124" s="28">
        <f>IF(Responses!AS120="","",Responses!AO120&amp;"")</f>
        <v/>
      </c>
      <c r="J124" s="28">
        <f>IF(Responses!AS120="","",Responses!AZ120&amp;"")</f>
        <v/>
      </c>
      <c r="K124" s="29">
        <f>Responses!AY120</f>
        <v/>
      </c>
      <c r="L124" s="28">
        <f>IF(Responses!AS120="","",IF(Responses!AY120="Declined","",IF(Responses!BA120=0,"Check date and times",IF(Responses!BB120&gt;0,Responses!BC120,"No clash"))))</f>
        <v/>
      </c>
    </row>
    <row r="125">
      <c r="A125" s="27">
        <f>IF(Responses!AS121="","",IF(Responses!AT121&gt;0,Responses!AT121,"Check date"))</f>
        <v/>
      </c>
      <c r="B125" s="28">
        <f>Responses!AS121</f>
        <v/>
      </c>
      <c r="C125" s="29">
        <f>IF(Responses!AS121="","",IF(Responses!AU121&gt;=0,IF(Responses!AU121="","",RIGHT("0"&amp;INT(Responses!AU121/60),2)&amp;":"&amp;RIGHT("0"&amp;MOD(Responses!AU121,60),2)),"Check"))</f>
        <v/>
      </c>
      <c r="D125" s="29">
        <f>IF(Responses!AS121="","",IF(Responses!AV121&gt;=0,IF(Responses!AV121="","",RIGHT("0"&amp;INT(Responses!AV121/60),2)&amp;":"&amp;RIGHT("0"&amp;MOD(Responses!AV121,60),2)),"Check"))</f>
        <v/>
      </c>
      <c r="E125" s="28">
        <f>Responses!AW121</f>
        <v/>
      </c>
      <c r="F125" s="29">
        <f>Responses!AX121</f>
        <v/>
      </c>
      <c r="G125" s="29">
        <f>IF(Responses!AS121="","",IF(AND(ISNUMBER(Responses!AX121),ISNUMBER(IFERROR(VALUE(INDEX(Spaces!$B$5:$B$16,MATCH(Responses!AS121,Spaces!$A$5:$A$16,0))&amp;""),""))),IF(Responses!AX121&gt;IFERROR(VALUE(INDEX(Spaces!$B$5:$B$16,MATCH(Responses!AS121,Spaces!$A$5:$A$16,0))&amp;""),""),"Over by "&amp;(Responses!AX121-IFERROR(VALUE(INDEX(Spaces!$B$5:$B$16,MATCH(Responses!AS121,Spaces!$A$5:$A$16,0))&amp;""),"")),"OK"),""))</f>
        <v/>
      </c>
      <c r="H125" s="28">
        <f>Responses!BF121</f>
        <v/>
      </c>
      <c r="I125" s="28">
        <f>IF(Responses!AS121="","",Responses!AO121&amp;"")</f>
        <v/>
      </c>
      <c r="J125" s="28">
        <f>IF(Responses!AS121="","",Responses!AZ121&amp;"")</f>
        <v/>
      </c>
      <c r="K125" s="29">
        <f>Responses!AY121</f>
        <v/>
      </c>
      <c r="L125" s="28">
        <f>IF(Responses!AS121="","",IF(Responses!AY121="Declined","",IF(Responses!BA121=0,"Check date and times",IF(Responses!BB121&gt;0,Responses!BC121,"No clash"))))</f>
        <v/>
      </c>
    </row>
    <row r="126">
      <c r="A126" s="27">
        <f>IF(Responses!AS122="","",IF(Responses!AT122&gt;0,Responses!AT122,"Check date"))</f>
        <v/>
      </c>
      <c r="B126" s="28">
        <f>Responses!AS122</f>
        <v/>
      </c>
      <c r="C126" s="29">
        <f>IF(Responses!AS122="","",IF(Responses!AU122&gt;=0,IF(Responses!AU122="","",RIGHT("0"&amp;INT(Responses!AU122/60),2)&amp;":"&amp;RIGHT("0"&amp;MOD(Responses!AU122,60),2)),"Check"))</f>
        <v/>
      </c>
      <c r="D126" s="29">
        <f>IF(Responses!AS122="","",IF(Responses!AV122&gt;=0,IF(Responses!AV122="","",RIGHT("0"&amp;INT(Responses!AV122/60),2)&amp;":"&amp;RIGHT("0"&amp;MOD(Responses!AV122,60),2)),"Check"))</f>
        <v/>
      </c>
      <c r="E126" s="28">
        <f>Responses!AW122</f>
        <v/>
      </c>
      <c r="F126" s="29">
        <f>Responses!AX122</f>
        <v/>
      </c>
      <c r="G126" s="29">
        <f>IF(Responses!AS122="","",IF(AND(ISNUMBER(Responses!AX122),ISNUMBER(IFERROR(VALUE(INDEX(Spaces!$B$5:$B$16,MATCH(Responses!AS122,Spaces!$A$5:$A$16,0))&amp;""),""))),IF(Responses!AX122&gt;IFERROR(VALUE(INDEX(Spaces!$B$5:$B$16,MATCH(Responses!AS122,Spaces!$A$5:$A$16,0))&amp;""),""),"Over by "&amp;(Responses!AX122-IFERROR(VALUE(INDEX(Spaces!$B$5:$B$16,MATCH(Responses!AS122,Spaces!$A$5:$A$16,0))&amp;""),"")),"OK"),""))</f>
        <v/>
      </c>
      <c r="H126" s="28">
        <f>Responses!BF122</f>
        <v/>
      </c>
      <c r="I126" s="28">
        <f>IF(Responses!AS122="","",Responses!AO122&amp;"")</f>
        <v/>
      </c>
      <c r="J126" s="28">
        <f>IF(Responses!AS122="","",Responses!AZ122&amp;"")</f>
        <v/>
      </c>
      <c r="K126" s="29">
        <f>Responses!AY122</f>
        <v/>
      </c>
      <c r="L126" s="28">
        <f>IF(Responses!AS122="","",IF(Responses!AY122="Declined","",IF(Responses!BA122=0,"Check date and times",IF(Responses!BB122&gt;0,Responses!BC122,"No clash"))))</f>
        <v/>
      </c>
    </row>
    <row r="127">
      <c r="A127" s="27">
        <f>IF(Responses!AS123="","",IF(Responses!AT123&gt;0,Responses!AT123,"Check date"))</f>
        <v/>
      </c>
      <c r="B127" s="28">
        <f>Responses!AS123</f>
        <v/>
      </c>
      <c r="C127" s="29">
        <f>IF(Responses!AS123="","",IF(Responses!AU123&gt;=0,IF(Responses!AU123="","",RIGHT("0"&amp;INT(Responses!AU123/60),2)&amp;":"&amp;RIGHT("0"&amp;MOD(Responses!AU123,60),2)),"Check"))</f>
        <v/>
      </c>
      <c r="D127" s="29">
        <f>IF(Responses!AS123="","",IF(Responses!AV123&gt;=0,IF(Responses!AV123="","",RIGHT("0"&amp;INT(Responses!AV123/60),2)&amp;":"&amp;RIGHT("0"&amp;MOD(Responses!AV123,60),2)),"Check"))</f>
        <v/>
      </c>
      <c r="E127" s="28">
        <f>Responses!AW123</f>
        <v/>
      </c>
      <c r="F127" s="29">
        <f>Responses!AX123</f>
        <v/>
      </c>
      <c r="G127" s="29">
        <f>IF(Responses!AS123="","",IF(AND(ISNUMBER(Responses!AX123),ISNUMBER(IFERROR(VALUE(INDEX(Spaces!$B$5:$B$16,MATCH(Responses!AS123,Spaces!$A$5:$A$16,0))&amp;""),""))),IF(Responses!AX123&gt;IFERROR(VALUE(INDEX(Spaces!$B$5:$B$16,MATCH(Responses!AS123,Spaces!$A$5:$A$16,0))&amp;""),""),"Over by "&amp;(Responses!AX123-IFERROR(VALUE(INDEX(Spaces!$B$5:$B$16,MATCH(Responses!AS123,Spaces!$A$5:$A$16,0))&amp;""),"")),"OK"),""))</f>
        <v/>
      </c>
      <c r="H127" s="28">
        <f>Responses!BF123</f>
        <v/>
      </c>
      <c r="I127" s="28">
        <f>IF(Responses!AS123="","",Responses!AO123&amp;"")</f>
        <v/>
      </c>
      <c r="J127" s="28">
        <f>IF(Responses!AS123="","",Responses!AZ123&amp;"")</f>
        <v/>
      </c>
      <c r="K127" s="29">
        <f>Responses!AY123</f>
        <v/>
      </c>
      <c r="L127" s="28">
        <f>IF(Responses!AS123="","",IF(Responses!AY123="Declined","",IF(Responses!BA123=0,"Check date and times",IF(Responses!BB123&gt;0,Responses!BC123,"No clash"))))</f>
        <v/>
      </c>
    </row>
    <row r="128">
      <c r="A128" s="27">
        <f>IF(Responses!AS124="","",IF(Responses!AT124&gt;0,Responses!AT124,"Check date"))</f>
        <v/>
      </c>
      <c r="B128" s="28">
        <f>Responses!AS124</f>
        <v/>
      </c>
      <c r="C128" s="29">
        <f>IF(Responses!AS124="","",IF(Responses!AU124&gt;=0,IF(Responses!AU124="","",RIGHT("0"&amp;INT(Responses!AU124/60),2)&amp;":"&amp;RIGHT("0"&amp;MOD(Responses!AU124,60),2)),"Check"))</f>
        <v/>
      </c>
      <c r="D128" s="29">
        <f>IF(Responses!AS124="","",IF(Responses!AV124&gt;=0,IF(Responses!AV124="","",RIGHT("0"&amp;INT(Responses!AV124/60),2)&amp;":"&amp;RIGHT("0"&amp;MOD(Responses!AV124,60),2)),"Check"))</f>
        <v/>
      </c>
      <c r="E128" s="28">
        <f>Responses!AW124</f>
        <v/>
      </c>
      <c r="F128" s="29">
        <f>Responses!AX124</f>
        <v/>
      </c>
      <c r="G128" s="29">
        <f>IF(Responses!AS124="","",IF(AND(ISNUMBER(Responses!AX124),ISNUMBER(IFERROR(VALUE(INDEX(Spaces!$B$5:$B$16,MATCH(Responses!AS124,Spaces!$A$5:$A$16,0))&amp;""),""))),IF(Responses!AX124&gt;IFERROR(VALUE(INDEX(Spaces!$B$5:$B$16,MATCH(Responses!AS124,Spaces!$A$5:$A$16,0))&amp;""),""),"Over by "&amp;(Responses!AX124-IFERROR(VALUE(INDEX(Spaces!$B$5:$B$16,MATCH(Responses!AS124,Spaces!$A$5:$A$16,0))&amp;""),"")),"OK"),""))</f>
        <v/>
      </c>
      <c r="H128" s="28">
        <f>Responses!BF124</f>
        <v/>
      </c>
      <c r="I128" s="28">
        <f>IF(Responses!AS124="","",Responses!AO124&amp;"")</f>
        <v/>
      </c>
      <c r="J128" s="28">
        <f>IF(Responses!AS124="","",Responses!AZ124&amp;"")</f>
        <v/>
      </c>
      <c r="K128" s="29">
        <f>Responses!AY124</f>
        <v/>
      </c>
      <c r="L128" s="28">
        <f>IF(Responses!AS124="","",IF(Responses!AY124="Declined","",IF(Responses!BA124=0,"Check date and times",IF(Responses!BB124&gt;0,Responses!BC124,"No clash"))))</f>
        <v/>
      </c>
    </row>
    <row r="129">
      <c r="A129" s="27">
        <f>IF(Responses!AS125="","",IF(Responses!AT125&gt;0,Responses!AT125,"Check date"))</f>
        <v/>
      </c>
      <c r="B129" s="28">
        <f>Responses!AS125</f>
        <v/>
      </c>
      <c r="C129" s="29">
        <f>IF(Responses!AS125="","",IF(Responses!AU125&gt;=0,IF(Responses!AU125="","",RIGHT("0"&amp;INT(Responses!AU125/60),2)&amp;":"&amp;RIGHT("0"&amp;MOD(Responses!AU125,60),2)),"Check"))</f>
        <v/>
      </c>
      <c r="D129" s="29">
        <f>IF(Responses!AS125="","",IF(Responses!AV125&gt;=0,IF(Responses!AV125="","",RIGHT("0"&amp;INT(Responses!AV125/60),2)&amp;":"&amp;RIGHT("0"&amp;MOD(Responses!AV125,60),2)),"Check"))</f>
        <v/>
      </c>
      <c r="E129" s="28">
        <f>Responses!AW125</f>
        <v/>
      </c>
      <c r="F129" s="29">
        <f>Responses!AX125</f>
        <v/>
      </c>
      <c r="G129" s="29">
        <f>IF(Responses!AS125="","",IF(AND(ISNUMBER(Responses!AX125),ISNUMBER(IFERROR(VALUE(INDEX(Spaces!$B$5:$B$16,MATCH(Responses!AS125,Spaces!$A$5:$A$16,0))&amp;""),""))),IF(Responses!AX125&gt;IFERROR(VALUE(INDEX(Spaces!$B$5:$B$16,MATCH(Responses!AS125,Spaces!$A$5:$A$16,0))&amp;""),""),"Over by "&amp;(Responses!AX125-IFERROR(VALUE(INDEX(Spaces!$B$5:$B$16,MATCH(Responses!AS125,Spaces!$A$5:$A$16,0))&amp;""),"")),"OK"),""))</f>
        <v/>
      </c>
      <c r="H129" s="28">
        <f>Responses!BF125</f>
        <v/>
      </c>
      <c r="I129" s="28">
        <f>IF(Responses!AS125="","",Responses!AO125&amp;"")</f>
        <v/>
      </c>
      <c r="J129" s="28">
        <f>IF(Responses!AS125="","",Responses!AZ125&amp;"")</f>
        <v/>
      </c>
      <c r="K129" s="29">
        <f>Responses!AY125</f>
        <v/>
      </c>
      <c r="L129" s="28">
        <f>IF(Responses!AS125="","",IF(Responses!AY125="Declined","",IF(Responses!BA125=0,"Check date and times",IF(Responses!BB125&gt;0,Responses!BC125,"No clash"))))</f>
        <v/>
      </c>
    </row>
    <row r="130">
      <c r="A130" s="27">
        <f>IF(Responses!AS126="","",IF(Responses!AT126&gt;0,Responses!AT126,"Check date"))</f>
        <v/>
      </c>
      <c r="B130" s="28">
        <f>Responses!AS126</f>
        <v/>
      </c>
      <c r="C130" s="29">
        <f>IF(Responses!AS126="","",IF(Responses!AU126&gt;=0,IF(Responses!AU126="","",RIGHT("0"&amp;INT(Responses!AU126/60),2)&amp;":"&amp;RIGHT("0"&amp;MOD(Responses!AU126,60),2)),"Check"))</f>
        <v/>
      </c>
      <c r="D130" s="29">
        <f>IF(Responses!AS126="","",IF(Responses!AV126&gt;=0,IF(Responses!AV126="","",RIGHT("0"&amp;INT(Responses!AV126/60),2)&amp;":"&amp;RIGHT("0"&amp;MOD(Responses!AV126,60),2)),"Check"))</f>
        <v/>
      </c>
      <c r="E130" s="28">
        <f>Responses!AW126</f>
        <v/>
      </c>
      <c r="F130" s="29">
        <f>Responses!AX126</f>
        <v/>
      </c>
      <c r="G130" s="29">
        <f>IF(Responses!AS126="","",IF(AND(ISNUMBER(Responses!AX126),ISNUMBER(IFERROR(VALUE(INDEX(Spaces!$B$5:$B$16,MATCH(Responses!AS126,Spaces!$A$5:$A$16,0))&amp;""),""))),IF(Responses!AX126&gt;IFERROR(VALUE(INDEX(Spaces!$B$5:$B$16,MATCH(Responses!AS126,Spaces!$A$5:$A$16,0))&amp;""),""),"Over by "&amp;(Responses!AX126-IFERROR(VALUE(INDEX(Spaces!$B$5:$B$16,MATCH(Responses!AS126,Spaces!$A$5:$A$16,0))&amp;""),"")),"OK"),""))</f>
        <v/>
      </c>
      <c r="H130" s="28">
        <f>Responses!BF126</f>
        <v/>
      </c>
      <c r="I130" s="28">
        <f>IF(Responses!AS126="","",Responses!AO126&amp;"")</f>
        <v/>
      </c>
      <c r="J130" s="28">
        <f>IF(Responses!AS126="","",Responses!AZ126&amp;"")</f>
        <v/>
      </c>
      <c r="K130" s="29">
        <f>Responses!AY126</f>
        <v/>
      </c>
      <c r="L130" s="28">
        <f>IF(Responses!AS126="","",IF(Responses!AY126="Declined","",IF(Responses!BA126=0,"Check date and times",IF(Responses!BB126&gt;0,Responses!BC126,"No clash"))))</f>
        <v/>
      </c>
    </row>
    <row r="131">
      <c r="A131" s="27">
        <f>IF(Responses!AS127="","",IF(Responses!AT127&gt;0,Responses!AT127,"Check date"))</f>
        <v/>
      </c>
      <c r="B131" s="28">
        <f>Responses!AS127</f>
        <v/>
      </c>
      <c r="C131" s="29">
        <f>IF(Responses!AS127="","",IF(Responses!AU127&gt;=0,IF(Responses!AU127="","",RIGHT("0"&amp;INT(Responses!AU127/60),2)&amp;":"&amp;RIGHT("0"&amp;MOD(Responses!AU127,60),2)),"Check"))</f>
        <v/>
      </c>
      <c r="D131" s="29">
        <f>IF(Responses!AS127="","",IF(Responses!AV127&gt;=0,IF(Responses!AV127="","",RIGHT("0"&amp;INT(Responses!AV127/60),2)&amp;":"&amp;RIGHT("0"&amp;MOD(Responses!AV127,60),2)),"Check"))</f>
        <v/>
      </c>
      <c r="E131" s="28">
        <f>Responses!AW127</f>
        <v/>
      </c>
      <c r="F131" s="29">
        <f>Responses!AX127</f>
        <v/>
      </c>
      <c r="G131" s="29">
        <f>IF(Responses!AS127="","",IF(AND(ISNUMBER(Responses!AX127),ISNUMBER(IFERROR(VALUE(INDEX(Spaces!$B$5:$B$16,MATCH(Responses!AS127,Spaces!$A$5:$A$16,0))&amp;""),""))),IF(Responses!AX127&gt;IFERROR(VALUE(INDEX(Spaces!$B$5:$B$16,MATCH(Responses!AS127,Spaces!$A$5:$A$16,0))&amp;""),""),"Over by "&amp;(Responses!AX127-IFERROR(VALUE(INDEX(Spaces!$B$5:$B$16,MATCH(Responses!AS127,Spaces!$A$5:$A$16,0))&amp;""),"")),"OK"),""))</f>
        <v/>
      </c>
      <c r="H131" s="28">
        <f>Responses!BF127</f>
        <v/>
      </c>
      <c r="I131" s="28">
        <f>IF(Responses!AS127="","",Responses!AO127&amp;"")</f>
        <v/>
      </c>
      <c r="J131" s="28">
        <f>IF(Responses!AS127="","",Responses!AZ127&amp;"")</f>
        <v/>
      </c>
      <c r="K131" s="29">
        <f>Responses!AY127</f>
        <v/>
      </c>
      <c r="L131" s="28">
        <f>IF(Responses!AS127="","",IF(Responses!AY127="Declined","",IF(Responses!BA127=0,"Check date and times",IF(Responses!BB127&gt;0,Responses!BC127,"No clash"))))</f>
        <v/>
      </c>
    </row>
    <row r="132">
      <c r="A132" s="27">
        <f>IF(Responses!AS128="","",IF(Responses!AT128&gt;0,Responses!AT128,"Check date"))</f>
        <v/>
      </c>
      <c r="B132" s="28">
        <f>Responses!AS128</f>
        <v/>
      </c>
      <c r="C132" s="29">
        <f>IF(Responses!AS128="","",IF(Responses!AU128&gt;=0,IF(Responses!AU128="","",RIGHT("0"&amp;INT(Responses!AU128/60),2)&amp;":"&amp;RIGHT("0"&amp;MOD(Responses!AU128,60),2)),"Check"))</f>
        <v/>
      </c>
      <c r="D132" s="29">
        <f>IF(Responses!AS128="","",IF(Responses!AV128&gt;=0,IF(Responses!AV128="","",RIGHT("0"&amp;INT(Responses!AV128/60),2)&amp;":"&amp;RIGHT("0"&amp;MOD(Responses!AV128,60),2)),"Check"))</f>
        <v/>
      </c>
      <c r="E132" s="28">
        <f>Responses!AW128</f>
        <v/>
      </c>
      <c r="F132" s="29">
        <f>Responses!AX128</f>
        <v/>
      </c>
      <c r="G132" s="29">
        <f>IF(Responses!AS128="","",IF(AND(ISNUMBER(Responses!AX128),ISNUMBER(IFERROR(VALUE(INDEX(Spaces!$B$5:$B$16,MATCH(Responses!AS128,Spaces!$A$5:$A$16,0))&amp;""),""))),IF(Responses!AX128&gt;IFERROR(VALUE(INDEX(Spaces!$B$5:$B$16,MATCH(Responses!AS128,Spaces!$A$5:$A$16,0))&amp;""),""),"Over by "&amp;(Responses!AX128-IFERROR(VALUE(INDEX(Spaces!$B$5:$B$16,MATCH(Responses!AS128,Spaces!$A$5:$A$16,0))&amp;""),"")),"OK"),""))</f>
        <v/>
      </c>
      <c r="H132" s="28">
        <f>Responses!BF128</f>
        <v/>
      </c>
      <c r="I132" s="28">
        <f>IF(Responses!AS128="","",Responses!AO128&amp;"")</f>
        <v/>
      </c>
      <c r="J132" s="28">
        <f>IF(Responses!AS128="","",Responses!AZ128&amp;"")</f>
        <v/>
      </c>
      <c r="K132" s="29">
        <f>Responses!AY128</f>
        <v/>
      </c>
      <c r="L132" s="28">
        <f>IF(Responses!AS128="","",IF(Responses!AY128="Declined","",IF(Responses!BA128=0,"Check date and times",IF(Responses!BB128&gt;0,Responses!BC128,"No clash"))))</f>
        <v/>
      </c>
    </row>
    <row r="133">
      <c r="A133" s="27">
        <f>IF(Responses!AS129="","",IF(Responses!AT129&gt;0,Responses!AT129,"Check date"))</f>
        <v/>
      </c>
      <c r="B133" s="28">
        <f>Responses!AS129</f>
        <v/>
      </c>
      <c r="C133" s="29">
        <f>IF(Responses!AS129="","",IF(Responses!AU129&gt;=0,IF(Responses!AU129="","",RIGHT("0"&amp;INT(Responses!AU129/60),2)&amp;":"&amp;RIGHT("0"&amp;MOD(Responses!AU129,60),2)),"Check"))</f>
        <v/>
      </c>
      <c r="D133" s="29">
        <f>IF(Responses!AS129="","",IF(Responses!AV129&gt;=0,IF(Responses!AV129="","",RIGHT("0"&amp;INT(Responses!AV129/60),2)&amp;":"&amp;RIGHT("0"&amp;MOD(Responses!AV129,60),2)),"Check"))</f>
        <v/>
      </c>
      <c r="E133" s="28">
        <f>Responses!AW129</f>
        <v/>
      </c>
      <c r="F133" s="29">
        <f>Responses!AX129</f>
        <v/>
      </c>
      <c r="G133" s="29">
        <f>IF(Responses!AS129="","",IF(AND(ISNUMBER(Responses!AX129),ISNUMBER(IFERROR(VALUE(INDEX(Spaces!$B$5:$B$16,MATCH(Responses!AS129,Spaces!$A$5:$A$16,0))&amp;""),""))),IF(Responses!AX129&gt;IFERROR(VALUE(INDEX(Spaces!$B$5:$B$16,MATCH(Responses!AS129,Spaces!$A$5:$A$16,0))&amp;""),""),"Over by "&amp;(Responses!AX129-IFERROR(VALUE(INDEX(Spaces!$B$5:$B$16,MATCH(Responses!AS129,Spaces!$A$5:$A$16,0))&amp;""),"")),"OK"),""))</f>
        <v/>
      </c>
      <c r="H133" s="28">
        <f>Responses!BF129</f>
        <v/>
      </c>
      <c r="I133" s="28">
        <f>IF(Responses!AS129="","",Responses!AO129&amp;"")</f>
        <v/>
      </c>
      <c r="J133" s="28">
        <f>IF(Responses!AS129="","",Responses!AZ129&amp;"")</f>
        <v/>
      </c>
      <c r="K133" s="29">
        <f>Responses!AY129</f>
        <v/>
      </c>
      <c r="L133" s="28">
        <f>IF(Responses!AS129="","",IF(Responses!AY129="Declined","",IF(Responses!BA129=0,"Check date and times",IF(Responses!BB129&gt;0,Responses!BC129,"No clash"))))</f>
        <v/>
      </c>
    </row>
    <row r="134">
      <c r="A134" s="27">
        <f>IF(Responses!AS130="","",IF(Responses!AT130&gt;0,Responses!AT130,"Check date"))</f>
        <v/>
      </c>
      <c r="B134" s="28">
        <f>Responses!AS130</f>
        <v/>
      </c>
      <c r="C134" s="29">
        <f>IF(Responses!AS130="","",IF(Responses!AU130&gt;=0,IF(Responses!AU130="","",RIGHT("0"&amp;INT(Responses!AU130/60),2)&amp;":"&amp;RIGHT("0"&amp;MOD(Responses!AU130,60),2)),"Check"))</f>
        <v/>
      </c>
      <c r="D134" s="29">
        <f>IF(Responses!AS130="","",IF(Responses!AV130&gt;=0,IF(Responses!AV130="","",RIGHT("0"&amp;INT(Responses!AV130/60),2)&amp;":"&amp;RIGHT("0"&amp;MOD(Responses!AV130,60),2)),"Check"))</f>
        <v/>
      </c>
      <c r="E134" s="28">
        <f>Responses!AW130</f>
        <v/>
      </c>
      <c r="F134" s="29">
        <f>Responses!AX130</f>
        <v/>
      </c>
      <c r="G134" s="29">
        <f>IF(Responses!AS130="","",IF(AND(ISNUMBER(Responses!AX130),ISNUMBER(IFERROR(VALUE(INDEX(Spaces!$B$5:$B$16,MATCH(Responses!AS130,Spaces!$A$5:$A$16,0))&amp;""),""))),IF(Responses!AX130&gt;IFERROR(VALUE(INDEX(Spaces!$B$5:$B$16,MATCH(Responses!AS130,Spaces!$A$5:$A$16,0))&amp;""),""),"Over by "&amp;(Responses!AX130-IFERROR(VALUE(INDEX(Spaces!$B$5:$B$16,MATCH(Responses!AS130,Spaces!$A$5:$A$16,0))&amp;""),"")),"OK"),""))</f>
        <v/>
      </c>
      <c r="H134" s="28">
        <f>Responses!BF130</f>
        <v/>
      </c>
      <c r="I134" s="28">
        <f>IF(Responses!AS130="","",Responses!AO130&amp;"")</f>
        <v/>
      </c>
      <c r="J134" s="28">
        <f>IF(Responses!AS130="","",Responses!AZ130&amp;"")</f>
        <v/>
      </c>
      <c r="K134" s="29">
        <f>Responses!AY130</f>
        <v/>
      </c>
      <c r="L134" s="28">
        <f>IF(Responses!AS130="","",IF(Responses!AY130="Declined","",IF(Responses!BA130=0,"Check date and times",IF(Responses!BB130&gt;0,Responses!BC130,"No clash"))))</f>
        <v/>
      </c>
    </row>
    <row r="135">
      <c r="A135" s="27">
        <f>IF(Responses!AS131="","",IF(Responses!AT131&gt;0,Responses!AT131,"Check date"))</f>
        <v/>
      </c>
      <c r="B135" s="28">
        <f>Responses!AS131</f>
        <v/>
      </c>
      <c r="C135" s="29">
        <f>IF(Responses!AS131="","",IF(Responses!AU131&gt;=0,IF(Responses!AU131="","",RIGHT("0"&amp;INT(Responses!AU131/60),2)&amp;":"&amp;RIGHT("0"&amp;MOD(Responses!AU131,60),2)),"Check"))</f>
        <v/>
      </c>
      <c r="D135" s="29">
        <f>IF(Responses!AS131="","",IF(Responses!AV131&gt;=0,IF(Responses!AV131="","",RIGHT("0"&amp;INT(Responses!AV131/60),2)&amp;":"&amp;RIGHT("0"&amp;MOD(Responses!AV131,60),2)),"Check"))</f>
        <v/>
      </c>
      <c r="E135" s="28">
        <f>Responses!AW131</f>
        <v/>
      </c>
      <c r="F135" s="29">
        <f>Responses!AX131</f>
        <v/>
      </c>
      <c r="G135" s="29">
        <f>IF(Responses!AS131="","",IF(AND(ISNUMBER(Responses!AX131),ISNUMBER(IFERROR(VALUE(INDEX(Spaces!$B$5:$B$16,MATCH(Responses!AS131,Spaces!$A$5:$A$16,0))&amp;""),""))),IF(Responses!AX131&gt;IFERROR(VALUE(INDEX(Spaces!$B$5:$B$16,MATCH(Responses!AS131,Spaces!$A$5:$A$16,0))&amp;""),""),"Over by "&amp;(Responses!AX131-IFERROR(VALUE(INDEX(Spaces!$B$5:$B$16,MATCH(Responses!AS131,Spaces!$A$5:$A$16,0))&amp;""),"")),"OK"),""))</f>
        <v/>
      </c>
      <c r="H135" s="28">
        <f>Responses!BF131</f>
        <v/>
      </c>
      <c r="I135" s="28">
        <f>IF(Responses!AS131="","",Responses!AO131&amp;"")</f>
        <v/>
      </c>
      <c r="J135" s="28">
        <f>IF(Responses!AS131="","",Responses!AZ131&amp;"")</f>
        <v/>
      </c>
      <c r="K135" s="29">
        <f>Responses!AY131</f>
        <v/>
      </c>
      <c r="L135" s="28">
        <f>IF(Responses!AS131="","",IF(Responses!AY131="Declined","",IF(Responses!BA131=0,"Check date and times",IF(Responses!BB131&gt;0,Responses!BC131,"No clash"))))</f>
        <v/>
      </c>
    </row>
    <row r="136">
      <c r="A136" s="27">
        <f>IF(Responses!AS132="","",IF(Responses!AT132&gt;0,Responses!AT132,"Check date"))</f>
        <v/>
      </c>
      <c r="B136" s="28">
        <f>Responses!AS132</f>
        <v/>
      </c>
      <c r="C136" s="29">
        <f>IF(Responses!AS132="","",IF(Responses!AU132&gt;=0,IF(Responses!AU132="","",RIGHT("0"&amp;INT(Responses!AU132/60),2)&amp;":"&amp;RIGHT("0"&amp;MOD(Responses!AU132,60),2)),"Check"))</f>
        <v/>
      </c>
      <c r="D136" s="29">
        <f>IF(Responses!AS132="","",IF(Responses!AV132&gt;=0,IF(Responses!AV132="","",RIGHT("0"&amp;INT(Responses!AV132/60),2)&amp;":"&amp;RIGHT("0"&amp;MOD(Responses!AV132,60),2)),"Check"))</f>
        <v/>
      </c>
      <c r="E136" s="28">
        <f>Responses!AW132</f>
        <v/>
      </c>
      <c r="F136" s="29">
        <f>Responses!AX132</f>
        <v/>
      </c>
      <c r="G136" s="29">
        <f>IF(Responses!AS132="","",IF(AND(ISNUMBER(Responses!AX132),ISNUMBER(IFERROR(VALUE(INDEX(Spaces!$B$5:$B$16,MATCH(Responses!AS132,Spaces!$A$5:$A$16,0))&amp;""),""))),IF(Responses!AX132&gt;IFERROR(VALUE(INDEX(Spaces!$B$5:$B$16,MATCH(Responses!AS132,Spaces!$A$5:$A$16,0))&amp;""),""),"Over by "&amp;(Responses!AX132-IFERROR(VALUE(INDEX(Spaces!$B$5:$B$16,MATCH(Responses!AS132,Spaces!$A$5:$A$16,0))&amp;""),"")),"OK"),""))</f>
        <v/>
      </c>
      <c r="H136" s="28">
        <f>Responses!BF132</f>
        <v/>
      </c>
      <c r="I136" s="28">
        <f>IF(Responses!AS132="","",Responses!AO132&amp;"")</f>
        <v/>
      </c>
      <c r="J136" s="28">
        <f>IF(Responses!AS132="","",Responses!AZ132&amp;"")</f>
        <v/>
      </c>
      <c r="K136" s="29">
        <f>Responses!AY132</f>
        <v/>
      </c>
      <c r="L136" s="28">
        <f>IF(Responses!AS132="","",IF(Responses!AY132="Declined","",IF(Responses!BA132=0,"Check date and times",IF(Responses!BB132&gt;0,Responses!BC132,"No clash"))))</f>
        <v/>
      </c>
    </row>
    <row r="137">
      <c r="A137" s="27">
        <f>IF(Responses!AS133="","",IF(Responses!AT133&gt;0,Responses!AT133,"Check date"))</f>
        <v/>
      </c>
      <c r="B137" s="28">
        <f>Responses!AS133</f>
        <v/>
      </c>
      <c r="C137" s="29">
        <f>IF(Responses!AS133="","",IF(Responses!AU133&gt;=0,IF(Responses!AU133="","",RIGHT("0"&amp;INT(Responses!AU133/60),2)&amp;":"&amp;RIGHT("0"&amp;MOD(Responses!AU133,60),2)),"Check"))</f>
        <v/>
      </c>
      <c r="D137" s="29">
        <f>IF(Responses!AS133="","",IF(Responses!AV133&gt;=0,IF(Responses!AV133="","",RIGHT("0"&amp;INT(Responses!AV133/60),2)&amp;":"&amp;RIGHT("0"&amp;MOD(Responses!AV133,60),2)),"Check"))</f>
        <v/>
      </c>
      <c r="E137" s="28">
        <f>Responses!AW133</f>
        <v/>
      </c>
      <c r="F137" s="29">
        <f>Responses!AX133</f>
        <v/>
      </c>
      <c r="G137" s="29">
        <f>IF(Responses!AS133="","",IF(AND(ISNUMBER(Responses!AX133),ISNUMBER(IFERROR(VALUE(INDEX(Spaces!$B$5:$B$16,MATCH(Responses!AS133,Spaces!$A$5:$A$16,0))&amp;""),""))),IF(Responses!AX133&gt;IFERROR(VALUE(INDEX(Spaces!$B$5:$B$16,MATCH(Responses!AS133,Spaces!$A$5:$A$16,0))&amp;""),""),"Over by "&amp;(Responses!AX133-IFERROR(VALUE(INDEX(Spaces!$B$5:$B$16,MATCH(Responses!AS133,Spaces!$A$5:$A$16,0))&amp;""),"")),"OK"),""))</f>
        <v/>
      </c>
      <c r="H137" s="28">
        <f>Responses!BF133</f>
        <v/>
      </c>
      <c r="I137" s="28">
        <f>IF(Responses!AS133="","",Responses!AO133&amp;"")</f>
        <v/>
      </c>
      <c r="J137" s="28">
        <f>IF(Responses!AS133="","",Responses!AZ133&amp;"")</f>
        <v/>
      </c>
      <c r="K137" s="29">
        <f>Responses!AY133</f>
        <v/>
      </c>
      <c r="L137" s="28">
        <f>IF(Responses!AS133="","",IF(Responses!AY133="Declined","",IF(Responses!BA133=0,"Check date and times",IF(Responses!BB133&gt;0,Responses!BC133,"No clash"))))</f>
        <v/>
      </c>
    </row>
    <row r="138">
      <c r="A138" s="27">
        <f>IF(Responses!AS134="","",IF(Responses!AT134&gt;0,Responses!AT134,"Check date"))</f>
        <v/>
      </c>
      <c r="B138" s="28">
        <f>Responses!AS134</f>
        <v/>
      </c>
      <c r="C138" s="29">
        <f>IF(Responses!AS134="","",IF(Responses!AU134&gt;=0,IF(Responses!AU134="","",RIGHT("0"&amp;INT(Responses!AU134/60),2)&amp;":"&amp;RIGHT("0"&amp;MOD(Responses!AU134,60),2)),"Check"))</f>
        <v/>
      </c>
      <c r="D138" s="29">
        <f>IF(Responses!AS134="","",IF(Responses!AV134&gt;=0,IF(Responses!AV134="","",RIGHT("0"&amp;INT(Responses!AV134/60),2)&amp;":"&amp;RIGHT("0"&amp;MOD(Responses!AV134,60),2)),"Check"))</f>
        <v/>
      </c>
      <c r="E138" s="28">
        <f>Responses!AW134</f>
        <v/>
      </c>
      <c r="F138" s="29">
        <f>Responses!AX134</f>
        <v/>
      </c>
      <c r="G138" s="29">
        <f>IF(Responses!AS134="","",IF(AND(ISNUMBER(Responses!AX134),ISNUMBER(IFERROR(VALUE(INDEX(Spaces!$B$5:$B$16,MATCH(Responses!AS134,Spaces!$A$5:$A$16,0))&amp;""),""))),IF(Responses!AX134&gt;IFERROR(VALUE(INDEX(Spaces!$B$5:$B$16,MATCH(Responses!AS134,Spaces!$A$5:$A$16,0))&amp;""),""),"Over by "&amp;(Responses!AX134-IFERROR(VALUE(INDEX(Spaces!$B$5:$B$16,MATCH(Responses!AS134,Spaces!$A$5:$A$16,0))&amp;""),"")),"OK"),""))</f>
        <v/>
      </c>
      <c r="H138" s="28">
        <f>Responses!BF134</f>
        <v/>
      </c>
      <c r="I138" s="28">
        <f>IF(Responses!AS134="","",Responses!AO134&amp;"")</f>
        <v/>
      </c>
      <c r="J138" s="28">
        <f>IF(Responses!AS134="","",Responses!AZ134&amp;"")</f>
        <v/>
      </c>
      <c r="K138" s="29">
        <f>Responses!AY134</f>
        <v/>
      </c>
      <c r="L138" s="28">
        <f>IF(Responses!AS134="","",IF(Responses!AY134="Declined","",IF(Responses!BA134=0,"Check date and times",IF(Responses!BB134&gt;0,Responses!BC134,"No clash"))))</f>
        <v/>
      </c>
    </row>
    <row r="139">
      <c r="A139" s="27">
        <f>IF(Responses!AS135="","",IF(Responses!AT135&gt;0,Responses!AT135,"Check date"))</f>
        <v/>
      </c>
      <c r="B139" s="28">
        <f>Responses!AS135</f>
        <v/>
      </c>
      <c r="C139" s="29">
        <f>IF(Responses!AS135="","",IF(Responses!AU135&gt;=0,IF(Responses!AU135="","",RIGHT("0"&amp;INT(Responses!AU135/60),2)&amp;":"&amp;RIGHT("0"&amp;MOD(Responses!AU135,60),2)),"Check"))</f>
        <v/>
      </c>
      <c r="D139" s="29">
        <f>IF(Responses!AS135="","",IF(Responses!AV135&gt;=0,IF(Responses!AV135="","",RIGHT("0"&amp;INT(Responses!AV135/60),2)&amp;":"&amp;RIGHT("0"&amp;MOD(Responses!AV135,60),2)),"Check"))</f>
        <v/>
      </c>
      <c r="E139" s="28">
        <f>Responses!AW135</f>
        <v/>
      </c>
      <c r="F139" s="29">
        <f>Responses!AX135</f>
        <v/>
      </c>
      <c r="G139" s="29">
        <f>IF(Responses!AS135="","",IF(AND(ISNUMBER(Responses!AX135),ISNUMBER(IFERROR(VALUE(INDEX(Spaces!$B$5:$B$16,MATCH(Responses!AS135,Spaces!$A$5:$A$16,0))&amp;""),""))),IF(Responses!AX135&gt;IFERROR(VALUE(INDEX(Spaces!$B$5:$B$16,MATCH(Responses!AS135,Spaces!$A$5:$A$16,0))&amp;""),""),"Over by "&amp;(Responses!AX135-IFERROR(VALUE(INDEX(Spaces!$B$5:$B$16,MATCH(Responses!AS135,Spaces!$A$5:$A$16,0))&amp;""),"")),"OK"),""))</f>
        <v/>
      </c>
      <c r="H139" s="28">
        <f>Responses!BF135</f>
        <v/>
      </c>
      <c r="I139" s="28">
        <f>IF(Responses!AS135="","",Responses!AO135&amp;"")</f>
        <v/>
      </c>
      <c r="J139" s="28">
        <f>IF(Responses!AS135="","",Responses!AZ135&amp;"")</f>
        <v/>
      </c>
      <c r="K139" s="29">
        <f>Responses!AY135</f>
        <v/>
      </c>
      <c r="L139" s="28">
        <f>IF(Responses!AS135="","",IF(Responses!AY135="Declined","",IF(Responses!BA135=0,"Check date and times",IF(Responses!BB135&gt;0,Responses!BC135,"No clash"))))</f>
        <v/>
      </c>
    </row>
    <row r="140">
      <c r="A140" s="27">
        <f>IF(Responses!AS136="","",IF(Responses!AT136&gt;0,Responses!AT136,"Check date"))</f>
        <v/>
      </c>
      <c r="B140" s="28">
        <f>Responses!AS136</f>
        <v/>
      </c>
      <c r="C140" s="29">
        <f>IF(Responses!AS136="","",IF(Responses!AU136&gt;=0,IF(Responses!AU136="","",RIGHT("0"&amp;INT(Responses!AU136/60),2)&amp;":"&amp;RIGHT("0"&amp;MOD(Responses!AU136,60),2)),"Check"))</f>
        <v/>
      </c>
      <c r="D140" s="29">
        <f>IF(Responses!AS136="","",IF(Responses!AV136&gt;=0,IF(Responses!AV136="","",RIGHT("0"&amp;INT(Responses!AV136/60),2)&amp;":"&amp;RIGHT("0"&amp;MOD(Responses!AV136,60),2)),"Check"))</f>
        <v/>
      </c>
      <c r="E140" s="28">
        <f>Responses!AW136</f>
        <v/>
      </c>
      <c r="F140" s="29">
        <f>Responses!AX136</f>
        <v/>
      </c>
      <c r="G140" s="29">
        <f>IF(Responses!AS136="","",IF(AND(ISNUMBER(Responses!AX136),ISNUMBER(IFERROR(VALUE(INDEX(Spaces!$B$5:$B$16,MATCH(Responses!AS136,Spaces!$A$5:$A$16,0))&amp;""),""))),IF(Responses!AX136&gt;IFERROR(VALUE(INDEX(Spaces!$B$5:$B$16,MATCH(Responses!AS136,Spaces!$A$5:$A$16,0))&amp;""),""),"Over by "&amp;(Responses!AX136-IFERROR(VALUE(INDEX(Spaces!$B$5:$B$16,MATCH(Responses!AS136,Spaces!$A$5:$A$16,0))&amp;""),"")),"OK"),""))</f>
        <v/>
      </c>
      <c r="H140" s="28">
        <f>Responses!BF136</f>
        <v/>
      </c>
      <c r="I140" s="28">
        <f>IF(Responses!AS136="","",Responses!AO136&amp;"")</f>
        <v/>
      </c>
      <c r="J140" s="28">
        <f>IF(Responses!AS136="","",Responses!AZ136&amp;"")</f>
        <v/>
      </c>
      <c r="K140" s="29">
        <f>Responses!AY136</f>
        <v/>
      </c>
      <c r="L140" s="28">
        <f>IF(Responses!AS136="","",IF(Responses!AY136="Declined","",IF(Responses!BA136=0,"Check date and times",IF(Responses!BB136&gt;0,Responses!BC136,"No clash"))))</f>
        <v/>
      </c>
    </row>
    <row r="141">
      <c r="A141" s="27">
        <f>IF(Responses!AS137="","",IF(Responses!AT137&gt;0,Responses!AT137,"Check date"))</f>
        <v/>
      </c>
      <c r="B141" s="28">
        <f>Responses!AS137</f>
        <v/>
      </c>
      <c r="C141" s="29">
        <f>IF(Responses!AS137="","",IF(Responses!AU137&gt;=0,IF(Responses!AU137="","",RIGHT("0"&amp;INT(Responses!AU137/60),2)&amp;":"&amp;RIGHT("0"&amp;MOD(Responses!AU137,60),2)),"Check"))</f>
        <v/>
      </c>
      <c r="D141" s="29">
        <f>IF(Responses!AS137="","",IF(Responses!AV137&gt;=0,IF(Responses!AV137="","",RIGHT("0"&amp;INT(Responses!AV137/60),2)&amp;":"&amp;RIGHT("0"&amp;MOD(Responses!AV137,60),2)),"Check"))</f>
        <v/>
      </c>
      <c r="E141" s="28">
        <f>Responses!AW137</f>
        <v/>
      </c>
      <c r="F141" s="29">
        <f>Responses!AX137</f>
        <v/>
      </c>
      <c r="G141" s="29">
        <f>IF(Responses!AS137="","",IF(AND(ISNUMBER(Responses!AX137),ISNUMBER(IFERROR(VALUE(INDEX(Spaces!$B$5:$B$16,MATCH(Responses!AS137,Spaces!$A$5:$A$16,0))&amp;""),""))),IF(Responses!AX137&gt;IFERROR(VALUE(INDEX(Spaces!$B$5:$B$16,MATCH(Responses!AS137,Spaces!$A$5:$A$16,0))&amp;""),""),"Over by "&amp;(Responses!AX137-IFERROR(VALUE(INDEX(Spaces!$B$5:$B$16,MATCH(Responses!AS137,Spaces!$A$5:$A$16,0))&amp;""),"")),"OK"),""))</f>
        <v/>
      </c>
      <c r="H141" s="28">
        <f>Responses!BF137</f>
        <v/>
      </c>
      <c r="I141" s="28">
        <f>IF(Responses!AS137="","",Responses!AO137&amp;"")</f>
        <v/>
      </c>
      <c r="J141" s="28">
        <f>IF(Responses!AS137="","",Responses!AZ137&amp;"")</f>
        <v/>
      </c>
      <c r="K141" s="29">
        <f>Responses!AY137</f>
        <v/>
      </c>
      <c r="L141" s="28">
        <f>IF(Responses!AS137="","",IF(Responses!AY137="Declined","",IF(Responses!BA137=0,"Check date and times",IF(Responses!BB137&gt;0,Responses!BC137,"No clash"))))</f>
        <v/>
      </c>
    </row>
    <row r="142">
      <c r="A142" s="27">
        <f>IF(Responses!AS138="","",IF(Responses!AT138&gt;0,Responses!AT138,"Check date"))</f>
        <v/>
      </c>
      <c r="B142" s="28">
        <f>Responses!AS138</f>
        <v/>
      </c>
      <c r="C142" s="29">
        <f>IF(Responses!AS138="","",IF(Responses!AU138&gt;=0,IF(Responses!AU138="","",RIGHT("0"&amp;INT(Responses!AU138/60),2)&amp;":"&amp;RIGHT("0"&amp;MOD(Responses!AU138,60),2)),"Check"))</f>
        <v/>
      </c>
      <c r="D142" s="29">
        <f>IF(Responses!AS138="","",IF(Responses!AV138&gt;=0,IF(Responses!AV138="","",RIGHT("0"&amp;INT(Responses!AV138/60),2)&amp;":"&amp;RIGHT("0"&amp;MOD(Responses!AV138,60),2)),"Check"))</f>
        <v/>
      </c>
      <c r="E142" s="28">
        <f>Responses!AW138</f>
        <v/>
      </c>
      <c r="F142" s="29">
        <f>Responses!AX138</f>
        <v/>
      </c>
      <c r="G142" s="29">
        <f>IF(Responses!AS138="","",IF(AND(ISNUMBER(Responses!AX138),ISNUMBER(IFERROR(VALUE(INDEX(Spaces!$B$5:$B$16,MATCH(Responses!AS138,Spaces!$A$5:$A$16,0))&amp;""),""))),IF(Responses!AX138&gt;IFERROR(VALUE(INDEX(Spaces!$B$5:$B$16,MATCH(Responses!AS138,Spaces!$A$5:$A$16,0))&amp;""),""),"Over by "&amp;(Responses!AX138-IFERROR(VALUE(INDEX(Spaces!$B$5:$B$16,MATCH(Responses!AS138,Spaces!$A$5:$A$16,0))&amp;""),"")),"OK"),""))</f>
        <v/>
      </c>
      <c r="H142" s="28">
        <f>Responses!BF138</f>
        <v/>
      </c>
      <c r="I142" s="28">
        <f>IF(Responses!AS138="","",Responses!AO138&amp;"")</f>
        <v/>
      </c>
      <c r="J142" s="28">
        <f>IF(Responses!AS138="","",Responses!AZ138&amp;"")</f>
        <v/>
      </c>
      <c r="K142" s="29">
        <f>Responses!AY138</f>
        <v/>
      </c>
      <c r="L142" s="28">
        <f>IF(Responses!AS138="","",IF(Responses!AY138="Declined","",IF(Responses!BA138=0,"Check date and times",IF(Responses!BB138&gt;0,Responses!BC138,"No clash"))))</f>
        <v/>
      </c>
    </row>
    <row r="143">
      <c r="A143" s="27">
        <f>IF(Responses!AS139="","",IF(Responses!AT139&gt;0,Responses!AT139,"Check date"))</f>
        <v/>
      </c>
      <c r="B143" s="28">
        <f>Responses!AS139</f>
        <v/>
      </c>
      <c r="C143" s="29">
        <f>IF(Responses!AS139="","",IF(Responses!AU139&gt;=0,IF(Responses!AU139="","",RIGHT("0"&amp;INT(Responses!AU139/60),2)&amp;":"&amp;RIGHT("0"&amp;MOD(Responses!AU139,60),2)),"Check"))</f>
        <v/>
      </c>
      <c r="D143" s="29">
        <f>IF(Responses!AS139="","",IF(Responses!AV139&gt;=0,IF(Responses!AV139="","",RIGHT("0"&amp;INT(Responses!AV139/60),2)&amp;":"&amp;RIGHT("0"&amp;MOD(Responses!AV139,60),2)),"Check"))</f>
        <v/>
      </c>
      <c r="E143" s="28">
        <f>Responses!AW139</f>
        <v/>
      </c>
      <c r="F143" s="29">
        <f>Responses!AX139</f>
        <v/>
      </c>
      <c r="G143" s="29">
        <f>IF(Responses!AS139="","",IF(AND(ISNUMBER(Responses!AX139),ISNUMBER(IFERROR(VALUE(INDEX(Spaces!$B$5:$B$16,MATCH(Responses!AS139,Spaces!$A$5:$A$16,0))&amp;""),""))),IF(Responses!AX139&gt;IFERROR(VALUE(INDEX(Spaces!$B$5:$B$16,MATCH(Responses!AS139,Spaces!$A$5:$A$16,0))&amp;""),""),"Over by "&amp;(Responses!AX139-IFERROR(VALUE(INDEX(Spaces!$B$5:$B$16,MATCH(Responses!AS139,Spaces!$A$5:$A$16,0))&amp;""),"")),"OK"),""))</f>
        <v/>
      </c>
      <c r="H143" s="28">
        <f>Responses!BF139</f>
        <v/>
      </c>
      <c r="I143" s="28">
        <f>IF(Responses!AS139="","",Responses!AO139&amp;"")</f>
        <v/>
      </c>
      <c r="J143" s="28">
        <f>IF(Responses!AS139="","",Responses!AZ139&amp;"")</f>
        <v/>
      </c>
      <c r="K143" s="29">
        <f>Responses!AY139</f>
        <v/>
      </c>
      <c r="L143" s="28">
        <f>IF(Responses!AS139="","",IF(Responses!AY139="Declined","",IF(Responses!BA139=0,"Check date and times",IF(Responses!BB139&gt;0,Responses!BC139,"No clash"))))</f>
        <v/>
      </c>
    </row>
    <row r="144">
      <c r="A144" s="27">
        <f>IF(Responses!AS140="","",IF(Responses!AT140&gt;0,Responses!AT140,"Check date"))</f>
        <v/>
      </c>
      <c r="B144" s="28">
        <f>Responses!AS140</f>
        <v/>
      </c>
      <c r="C144" s="29">
        <f>IF(Responses!AS140="","",IF(Responses!AU140&gt;=0,IF(Responses!AU140="","",RIGHT("0"&amp;INT(Responses!AU140/60),2)&amp;":"&amp;RIGHT("0"&amp;MOD(Responses!AU140,60),2)),"Check"))</f>
        <v/>
      </c>
      <c r="D144" s="29">
        <f>IF(Responses!AS140="","",IF(Responses!AV140&gt;=0,IF(Responses!AV140="","",RIGHT("0"&amp;INT(Responses!AV140/60),2)&amp;":"&amp;RIGHT("0"&amp;MOD(Responses!AV140,60),2)),"Check"))</f>
        <v/>
      </c>
      <c r="E144" s="28">
        <f>Responses!AW140</f>
        <v/>
      </c>
      <c r="F144" s="29">
        <f>Responses!AX140</f>
        <v/>
      </c>
      <c r="G144" s="29">
        <f>IF(Responses!AS140="","",IF(AND(ISNUMBER(Responses!AX140),ISNUMBER(IFERROR(VALUE(INDEX(Spaces!$B$5:$B$16,MATCH(Responses!AS140,Spaces!$A$5:$A$16,0))&amp;""),""))),IF(Responses!AX140&gt;IFERROR(VALUE(INDEX(Spaces!$B$5:$B$16,MATCH(Responses!AS140,Spaces!$A$5:$A$16,0))&amp;""),""),"Over by "&amp;(Responses!AX140-IFERROR(VALUE(INDEX(Spaces!$B$5:$B$16,MATCH(Responses!AS140,Spaces!$A$5:$A$16,0))&amp;""),"")),"OK"),""))</f>
        <v/>
      </c>
      <c r="H144" s="28">
        <f>Responses!BF140</f>
        <v/>
      </c>
      <c r="I144" s="28">
        <f>IF(Responses!AS140="","",Responses!AO140&amp;"")</f>
        <v/>
      </c>
      <c r="J144" s="28">
        <f>IF(Responses!AS140="","",Responses!AZ140&amp;"")</f>
        <v/>
      </c>
      <c r="K144" s="29">
        <f>Responses!AY140</f>
        <v/>
      </c>
      <c r="L144" s="28">
        <f>IF(Responses!AS140="","",IF(Responses!AY140="Declined","",IF(Responses!BA140=0,"Check date and times",IF(Responses!BB140&gt;0,Responses!BC140,"No clash"))))</f>
        <v/>
      </c>
    </row>
    <row r="145">
      <c r="A145" s="27">
        <f>IF(Responses!AS141="","",IF(Responses!AT141&gt;0,Responses!AT141,"Check date"))</f>
        <v/>
      </c>
      <c r="B145" s="28">
        <f>Responses!AS141</f>
        <v/>
      </c>
      <c r="C145" s="29">
        <f>IF(Responses!AS141="","",IF(Responses!AU141&gt;=0,IF(Responses!AU141="","",RIGHT("0"&amp;INT(Responses!AU141/60),2)&amp;":"&amp;RIGHT("0"&amp;MOD(Responses!AU141,60),2)),"Check"))</f>
        <v/>
      </c>
      <c r="D145" s="29">
        <f>IF(Responses!AS141="","",IF(Responses!AV141&gt;=0,IF(Responses!AV141="","",RIGHT("0"&amp;INT(Responses!AV141/60),2)&amp;":"&amp;RIGHT("0"&amp;MOD(Responses!AV141,60),2)),"Check"))</f>
        <v/>
      </c>
      <c r="E145" s="28">
        <f>Responses!AW141</f>
        <v/>
      </c>
      <c r="F145" s="29">
        <f>Responses!AX141</f>
        <v/>
      </c>
      <c r="G145" s="29">
        <f>IF(Responses!AS141="","",IF(AND(ISNUMBER(Responses!AX141),ISNUMBER(IFERROR(VALUE(INDEX(Spaces!$B$5:$B$16,MATCH(Responses!AS141,Spaces!$A$5:$A$16,0))&amp;""),""))),IF(Responses!AX141&gt;IFERROR(VALUE(INDEX(Spaces!$B$5:$B$16,MATCH(Responses!AS141,Spaces!$A$5:$A$16,0))&amp;""),""),"Over by "&amp;(Responses!AX141-IFERROR(VALUE(INDEX(Spaces!$B$5:$B$16,MATCH(Responses!AS141,Spaces!$A$5:$A$16,0))&amp;""),"")),"OK"),""))</f>
        <v/>
      </c>
      <c r="H145" s="28">
        <f>Responses!BF141</f>
        <v/>
      </c>
      <c r="I145" s="28">
        <f>IF(Responses!AS141="","",Responses!AO141&amp;"")</f>
        <v/>
      </c>
      <c r="J145" s="28">
        <f>IF(Responses!AS141="","",Responses!AZ141&amp;"")</f>
        <v/>
      </c>
      <c r="K145" s="29">
        <f>Responses!AY141</f>
        <v/>
      </c>
      <c r="L145" s="28">
        <f>IF(Responses!AS141="","",IF(Responses!AY141="Declined","",IF(Responses!BA141=0,"Check date and times",IF(Responses!BB141&gt;0,Responses!BC141,"No clash"))))</f>
        <v/>
      </c>
    </row>
    <row r="146">
      <c r="A146" s="27">
        <f>IF(Responses!AS142="","",IF(Responses!AT142&gt;0,Responses!AT142,"Check date"))</f>
        <v/>
      </c>
      <c r="B146" s="28">
        <f>Responses!AS142</f>
        <v/>
      </c>
      <c r="C146" s="29">
        <f>IF(Responses!AS142="","",IF(Responses!AU142&gt;=0,IF(Responses!AU142="","",RIGHT("0"&amp;INT(Responses!AU142/60),2)&amp;":"&amp;RIGHT("0"&amp;MOD(Responses!AU142,60),2)),"Check"))</f>
        <v/>
      </c>
      <c r="D146" s="29">
        <f>IF(Responses!AS142="","",IF(Responses!AV142&gt;=0,IF(Responses!AV142="","",RIGHT("0"&amp;INT(Responses!AV142/60),2)&amp;":"&amp;RIGHT("0"&amp;MOD(Responses!AV142,60),2)),"Check"))</f>
        <v/>
      </c>
      <c r="E146" s="28">
        <f>Responses!AW142</f>
        <v/>
      </c>
      <c r="F146" s="29">
        <f>Responses!AX142</f>
        <v/>
      </c>
      <c r="G146" s="29">
        <f>IF(Responses!AS142="","",IF(AND(ISNUMBER(Responses!AX142),ISNUMBER(IFERROR(VALUE(INDEX(Spaces!$B$5:$B$16,MATCH(Responses!AS142,Spaces!$A$5:$A$16,0))&amp;""),""))),IF(Responses!AX142&gt;IFERROR(VALUE(INDEX(Spaces!$B$5:$B$16,MATCH(Responses!AS142,Spaces!$A$5:$A$16,0))&amp;""),""),"Over by "&amp;(Responses!AX142-IFERROR(VALUE(INDEX(Spaces!$B$5:$B$16,MATCH(Responses!AS142,Spaces!$A$5:$A$16,0))&amp;""),"")),"OK"),""))</f>
        <v/>
      </c>
      <c r="H146" s="28">
        <f>Responses!BF142</f>
        <v/>
      </c>
      <c r="I146" s="28">
        <f>IF(Responses!AS142="","",Responses!AO142&amp;"")</f>
        <v/>
      </c>
      <c r="J146" s="28">
        <f>IF(Responses!AS142="","",Responses!AZ142&amp;"")</f>
        <v/>
      </c>
      <c r="K146" s="29">
        <f>Responses!AY142</f>
        <v/>
      </c>
      <c r="L146" s="28">
        <f>IF(Responses!AS142="","",IF(Responses!AY142="Declined","",IF(Responses!BA142=0,"Check date and times",IF(Responses!BB142&gt;0,Responses!BC142,"No clash"))))</f>
        <v/>
      </c>
    </row>
    <row r="147">
      <c r="A147" s="27">
        <f>IF(Responses!AS143="","",IF(Responses!AT143&gt;0,Responses!AT143,"Check date"))</f>
        <v/>
      </c>
      <c r="B147" s="28">
        <f>Responses!AS143</f>
        <v/>
      </c>
      <c r="C147" s="29">
        <f>IF(Responses!AS143="","",IF(Responses!AU143&gt;=0,IF(Responses!AU143="","",RIGHT("0"&amp;INT(Responses!AU143/60),2)&amp;":"&amp;RIGHT("0"&amp;MOD(Responses!AU143,60),2)),"Check"))</f>
        <v/>
      </c>
      <c r="D147" s="29">
        <f>IF(Responses!AS143="","",IF(Responses!AV143&gt;=0,IF(Responses!AV143="","",RIGHT("0"&amp;INT(Responses!AV143/60),2)&amp;":"&amp;RIGHT("0"&amp;MOD(Responses!AV143,60),2)),"Check"))</f>
        <v/>
      </c>
      <c r="E147" s="28">
        <f>Responses!AW143</f>
        <v/>
      </c>
      <c r="F147" s="29">
        <f>Responses!AX143</f>
        <v/>
      </c>
      <c r="G147" s="29">
        <f>IF(Responses!AS143="","",IF(AND(ISNUMBER(Responses!AX143),ISNUMBER(IFERROR(VALUE(INDEX(Spaces!$B$5:$B$16,MATCH(Responses!AS143,Spaces!$A$5:$A$16,0))&amp;""),""))),IF(Responses!AX143&gt;IFERROR(VALUE(INDEX(Spaces!$B$5:$B$16,MATCH(Responses!AS143,Spaces!$A$5:$A$16,0))&amp;""),""),"Over by "&amp;(Responses!AX143-IFERROR(VALUE(INDEX(Spaces!$B$5:$B$16,MATCH(Responses!AS143,Spaces!$A$5:$A$16,0))&amp;""),"")),"OK"),""))</f>
        <v/>
      </c>
      <c r="H147" s="28">
        <f>Responses!BF143</f>
        <v/>
      </c>
      <c r="I147" s="28">
        <f>IF(Responses!AS143="","",Responses!AO143&amp;"")</f>
        <v/>
      </c>
      <c r="J147" s="28">
        <f>IF(Responses!AS143="","",Responses!AZ143&amp;"")</f>
        <v/>
      </c>
      <c r="K147" s="29">
        <f>Responses!AY143</f>
        <v/>
      </c>
      <c r="L147" s="28">
        <f>IF(Responses!AS143="","",IF(Responses!AY143="Declined","",IF(Responses!BA143=0,"Check date and times",IF(Responses!BB143&gt;0,Responses!BC143,"No clash"))))</f>
        <v/>
      </c>
    </row>
    <row r="148">
      <c r="A148" s="27">
        <f>IF(Responses!AS144="","",IF(Responses!AT144&gt;0,Responses!AT144,"Check date"))</f>
        <v/>
      </c>
      <c r="B148" s="28">
        <f>Responses!AS144</f>
        <v/>
      </c>
      <c r="C148" s="29">
        <f>IF(Responses!AS144="","",IF(Responses!AU144&gt;=0,IF(Responses!AU144="","",RIGHT("0"&amp;INT(Responses!AU144/60),2)&amp;":"&amp;RIGHT("0"&amp;MOD(Responses!AU144,60),2)),"Check"))</f>
        <v/>
      </c>
      <c r="D148" s="29">
        <f>IF(Responses!AS144="","",IF(Responses!AV144&gt;=0,IF(Responses!AV144="","",RIGHT("0"&amp;INT(Responses!AV144/60),2)&amp;":"&amp;RIGHT("0"&amp;MOD(Responses!AV144,60),2)),"Check"))</f>
        <v/>
      </c>
      <c r="E148" s="28">
        <f>Responses!AW144</f>
        <v/>
      </c>
      <c r="F148" s="29">
        <f>Responses!AX144</f>
        <v/>
      </c>
      <c r="G148" s="29">
        <f>IF(Responses!AS144="","",IF(AND(ISNUMBER(Responses!AX144),ISNUMBER(IFERROR(VALUE(INDEX(Spaces!$B$5:$B$16,MATCH(Responses!AS144,Spaces!$A$5:$A$16,0))&amp;""),""))),IF(Responses!AX144&gt;IFERROR(VALUE(INDEX(Spaces!$B$5:$B$16,MATCH(Responses!AS144,Spaces!$A$5:$A$16,0))&amp;""),""),"Over by "&amp;(Responses!AX144-IFERROR(VALUE(INDEX(Spaces!$B$5:$B$16,MATCH(Responses!AS144,Spaces!$A$5:$A$16,0))&amp;""),"")),"OK"),""))</f>
        <v/>
      </c>
      <c r="H148" s="28">
        <f>Responses!BF144</f>
        <v/>
      </c>
      <c r="I148" s="28">
        <f>IF(Responses!AS144="","",Responses!AO144&amp;"")</f>
        <v/>
      </c>
      <c r="J148" s="28">
        <f>IF(Responses!AS144="","",Responses!AZ144&amp;"")</f>
        <v/>
      </c>
      <c r="K148" s="29">
        <f>Responses!AY144</f>
        <v/>
      </c>
      <c r="L148" s="28">
        <f>IF(Responses!AS144="","",IF(Responses!AY144="Declined","",IF(Responses!BA144=0,"Check date and times",IF(Responses!BB144&gt;0,Responses!BC144,"No clash"))))</f>
        <v/>
      </c>
    </row>
    <row r="149">
      <c r="A149" s="27">
        <f>IF(Responses!AS145="","",IF(Responses!AT145&gt;0,Responses!AT145,"Check date"))</f>
        <v/>
      </c>
      <c r="B149" s="28">
        <f>Responses!AS145</f>
        <v/>
      </c>
      <c r="C149" s="29">
        <f>IF(Responses!AS145="","",IF(Responses!AU145&gt;=0,IF(Responses!AU145="","",RIGHT("0"&amp;INT(Responses!AU145/60),2)&amp;":"&amp;RIGHT("0"&amp;MOD(Responses!AU145,60),2)),"Check"))</f>
        <v/>
      </c>
      <c r="D149" s="29">
        <f>IF(Responses!AS145="","",IF(Responses!AV145&gt;=0,IF(Responses!AV145="","",RIGHT("0"&amp;INT(Responses!AV145/60),2)&amp;":"&amp;RIGHT("0"&amp;MOD(Responses!AV145,60),2)),"Check"))</f>
        <v/>
      </c>
      <c r="E149" s="28">
        <f>Responses!AW145</f>
        <v/>
      </c>
      <c r="F149" s="29">
        <f>Responses!AX145</f>
        <v/>
      </c>
      <c r="G149" s="29">
        <f>IF(Responses!AS145="","",IF(AND(ISNUMBER(Responses!AX145),ISNUMBER(IFERROR(VALUE(INDEX(Spaces!$B$5:$B$16,MATCH(Responses!AS145,Spaces!$A$5:$A$16,0))&amp;""),""))),IF(Responses!AX145&gt;IFERROR(VALUE(INDEX(Spaces!$B$5:$B$16,MATCH(Responses!AS145,Spaces!$A$5:$A$16,0))&amp;""),""),"Over by "&amp;(Responses!AX145-IFERROR(VALUE(INDEX(Spaces!$B$5:$B$16,MATCH(Responses!AS145,Spaces!$A$5:$A$16,0))&amp;""),"")),"OK"),""))</f>
        <v/>
      </c>
      <c r="H149" s="28">
        <f>Responses!BF145</f>
        <v/>
      </c>
      <c r="I149" s="28">
        <f>IF(Responses!AS145="","",Responses!AO145&amp;"")</f>
        <v/>
      </c>
      <c r="J149" s="28">
        <f>IF(Responses!AS145="","",Responses!AZ145&amp;"")</f>
        <v/>
      </c>
      <c r="K149" s="29">
        <f>Responses!AY145</f>
        <v/>
      </c>
      <c r="L149" s="28">
        <f>IF(Responses!AS145="","",IF(Responses!AY145="Declined","",IF(Responses!BA145=0,"Check date and times",IF(Responses!BB145&gt;0,Responses!BC145,"No clash"))))</f>
        <v/>
      </c>
    </row>
    <row r="150">
      <c r="A150" s="27">
        <f>IF(Responses!AS146="","",IF(Responses!AT146&gt;0,Responses!AT146,"Check date"))</f>
        <v/>
      </c>
      <c r="B150" s="28">
        <f>Responses!AS146</f>
        <v/>
      </c>
      <c r="C150" s="29">
        <f>IF(Responses!AS146="","",IF(Responses!AU146&gt;=0,IF(Responses!AU146="","",RIGHT("0"&amp;INT(Responses!AU146/60),2)&amp;":"&amp;RIGHT("0"&amp;MOD(Responses!AU146,60),2)),"Check"))</f>
        <v/>
      </c>
      <c r="D150" s="29">
        <f>IF(Responses!AS146="","",IF(Responses!AV146&gt;=0,IF(Responses!AV146="","",RIGHT("0"&amp;INT(Responses!AV146/60),2)&amp;":"&amp;RIGHT("0"&amp;MOD(Responses!AV146,60),2)),"Check"))</f>
        <v/>
      </c>
      <c r="E150" s="28">
        <f>Responses!AW146</f>
        <v/>
      </c>
      <c r="F150" s="29">
        <f>Responses!AX146</f>
        <v/>
      </c>
      <c r="G150" s="29">
        <f>IF(Responses!AS146="","",IF(AND(ISNUMBER(Responses!AX146),ISNUMBER(IFERROR(VALUE(INDEX(Spaces!$B$5:$B$16,MATCH(Responses!AS146,Spaces!$A$5:$A$16,0))&amp;""),""))),IF(Responses!AX146&gt;IFERROR(VALUE(INDEX(Spaces!$B$5:$B$16,MATCH(Responses!AS146,Spaces!$A$5:$A$16,0))&amp;""),""),"Over by "&amp;(Responses!AX146-IFERROR(VALUE(INDEX(Spaces!$B$5:$B$16,MATCH(Responses!AS146,Spaces!$A$5:$A$16,0))&amp;""),"")),"OK"),""))</f>
        <v/>
      </c>
      <c r="H150" s="28">
        <f>Responses!BF146</f>
        <v/>
      </c>
      <c r="I150" s="28">
        <f>IF(Responses!AS146="","",Responses!AO146&amp;"")</f>
        <v/>
      </c>
      <c r="J150" s="28">
        <f>IF(Responses!AS146="","",Responses!AZ146&amp;"")</f>
        <v/>
      </c>
      <c r="K150" s="29">
        <f>Responses!AY146</f>
        <v/>
      </c>
      <c r="L150" s="28">
        <f>IF(Responses!AS146="","",IF(Responses!AY146="Declined","",IF(Responses!BA146=0,"Check date and times",IF(Responses!BB146&gt;0,Responses!BC146,"No clash"))))</f>
        <v/>
      </c>
    </row>
    <row r="151">
      <c r="A151" s="27">
        <f>IF(Responses!AS147="","",IF(Responses!AT147&gt;0,Responses!AT147,"Check date"))</f>
        <v/>
      </c>
      <c r="B151" s="28">
        <f>Responses!AS147</f>
        <v/>
      </c>
      <c r="C151" s="29">
        <f>IF(Responses!AS147="","",IF(Responses!AU147&gt;=0,IF(Responses!AU147="","",RIGHT("0"&amp;INT(Responses!AU147/60),2)&amp;":"&amp;RIGHT("0"&amp;MOD(Responses!AU147,60),2)),"Check"))</f>
        <v/>
      </c>
      <c r="D151" s="29">
        <f>IF(Responses!AS147="","",IF(Responses!AV147&gt;=0,IF(Responses!AV147="","",RIGHT("0"&amp;INT(Responses!AV147/60),2)&amp;":"&amp;RIGHT("0"&amp;MOD(Responses!AV147,60),2)),"Check"))</f>
        <v/>
      </c>
      <c r="E151" s="28">
        <f>Responses!AW147</f>
        <v/>
      </c>
      <c r="F151" s="29">
        <f>Responses!AX147</f>
        <v/>
      </c>
      <c r="G151" s="29">
        <f>IF(Responses!AS147="","",IF(AND(ISNUMBER(Responses!AX147),ISNUMBER(IFERROR(VALUE(INDEX(Spaces!$B$5:$B$16,MATCH(Responses!AS147,Spaces!$A$5:$A$16,0))&amp;""),""))),IF(Responses!AX147&gt;IFERROR(VALUE(INDEX(Spaces!$B$5:$B$16,MATCH(Responses!AS147,Spaces!$A$5:$A$16,0))&amp;""),""),"Over by "&amp;(Responses!AX147-IFERROR(VALUE(INDEX(Spaces!$B$5:$B$16,MATCH(Responses!AS147,Spaces!$A$5:$A$16,0))&amp;""),"")),"OK"),""))</f>
        <v/>
      </c>
      <c r="H151" s="28">
        <f>Responses!BF147</f>
        <v/>
      </c>
      <c r="I151" s="28">
        <f>IF(Responses!AS147="","",Responses!AO147&amp;"")</f>
        <v/>
      </c>
      <c r="J151" s="28">
        <f>IF(Responses!AS147="","",Responses!AZ147&amp;"")</f>
        <v/>
      </c>
      <c r="K151" s="29">
        <f>Responses!AY147</f>
        <v/>
      </c>
      <c r="L151" s="28">
        <f>IF(Responses!AS147="","",IF(Responses!AY147="Declined","",IF(Responses!BA147=0,"Check date and times",IF(Responses!BB147&gt;0,Responses!BC147,"No clash"))))</f>
        <v/>
      </c>
    </row>
    <row r="152">
      <c r="A152" s="27">
        <f>IF(Responses!AS148="","",IF(Responses!AT148&gt;0,Responses!AT148,"Check date"))</f>
        <v/>
      </c>
      <c r="B152" s="28">
        <f>Responses!AS148</f>
        <v/>
      </c>
      <c r="C152" s="29">
        <f>IF(Responses!AS148="","",IF(Responses!AU148&gt;=0,IF(Responses!AU148="","",RIGHT("0"&amp;INT(Responses!AU148/60),2)&amp;":"&amp;RIGHT("0"&amp;MOD(Responses!AU148,60),2)),"Check"))</f>
        <v/>
      </c>
      <c r="D152" s="29">
        <f>IF(Responses!AS148="","",IF(Responses!AV148&gt;=0,IF(Responses!AV148="","",RIGHT("0"&amp;INT(Responses!AV148/60),2)&amp;":"&amp;RIGHT("0"&amp;MOD(Responses!AV148,60),2)),"Check"))</f>
        <v/>
      </c>
      <c r="E152" s="28">
        <f>Responses!AW148</f>
        <v/>
      </c>
      <c r="F152" s="29">
        <f>Responses!AX148</f>
        <v/>
      </c>
      <c r="G152" s="29">
        <f>IF(Responses!AS148="","",IF(AND(ISNUMBER(Responses!AX148),ISNUMBER(IFERROR(VALUE(INDEX(Spaces!$B$5:$B$16,MATCH(Responses!AS148,Spaces!$A$5:$A$16,0))&amp;""),""))),IF(Responses!AX148&gt;IFERROR(VALUE(INDEX(Spaces!$B$5:$B$16,MATCH(Responses!AS148,Spaces!$A$5:$A$16,0))&amp;""),""),"Over by "&amp;(Responses!AX148-IFERROR(VALUE(INDEX(Spaces!$B$5:$B$16,MATCH(Responses!AS148,Spaces!$A$5:$A$16,0))&amp;""),"")),"OK"),""))</f>
        <v/>
      </c>
      <c r="H152" s="28">
        <f>Responses!BF148</f>
        <v/>
      </c>
      <c r="I152" s="28">
        <f>IF(Responses!AS148="","",Responses!AO148&amp;"")</f>
        <v/>
      </c>
      <c r="J152" s="28">
        <f>IF(Responses!AS148="","",Responses!AZ148&amp;"")</f>
        <v/>
      </c>
      <c r="K152" s="29">
        <f>Responses!AY148</f>
        <v/>
      </c>
      <c r="L152" s="28">
        <f>IF(Responses!AS148="","",IF(Responses!AY148="Declined","",IF(Responses!BA148=0,"Check date and times",IF(Responses!BB148&gt;0,Responses!BC148,"No clash"))))</f>
        <v/>
      </c>
    </row>
    <row r="153">
      <c r="A153" s="27">
        <f>IF(Responses!AS149="","",IF(Responses!AT149&gt;0,Responses!AT149,"Check date"))</f>
        <v/>
      </c>
      <c r="B153" s="28">
        <f>Responses!AS149</f>
        <v/>
      </c>
      <c r="C153" s="29">
        <f>IF(Responses!AS149="","",IF(Responses!AU149&gt;=0,IF(Responses!AU149="","",RIGHT("0"&amp;INT(Responses!AU149/60),2)&amp;":"&amp;RIGHT("0"&amp;MOD(Responses!AU149,60),2)),"Check"))</f>
        <v/>
      </c>
      <c r="D153" s="29">
        <f>IF(Responses!AS149="","",IF(Responses!AV149&gt;=0,IF(Responses!AV149="","",RIGHT("0"&amp;INT(Responses!AV149/60),2)&amp;":"&amp;RIGHT("0"&amp;MOD(Responses!AV149,60),2)),"Check"))</f>
        <v/>
      </c>
      <c r="E153" s="28">
        <f>Responses!AW149</f>
        <v/>
      </c>
      <c r="F153" s="29">
        <f>Responses!AX149</f>
        <v/>
      </c>
      <c r="G153" s="29">
        <f>IF(Responses!AS149="","",IF(AND(ISNUMBER(Responses!AX149),ISNUMBER(IFERROR(VALUE(INDEX(Spaces!$B$5:$B$16,MATCH(Responses!AS149,Spaces!$A$5:$A$16,0))&amp;""),""))),IF(Responses!AX149&gt;IFERROR(VALUE(INDEX(Spaces!$B$5:$B$16,MATCH(Responses!AS149,Spaces!$A$5:$A$16,0))&amp;""),""),"Over by "&amp;(Responses!AX149-IFERROR(VALUE(INDEX(Spaces!$B$5:$B$16,MATCH(Responses!AS149,Spaces!$A$5:$A$16,0))&amp;""),"")),"OK"),""))</f>
        <v/>
      </c>
      <c r="H153" s="28">
        <f>Responses!BF149</f>
        <v/>
      </c>
      <c r="I153" s="28">
        <f>IF(Responses!AS149="","",Responses!AO149&amp;"")</f>
        <v/>
      </c>
      <c r="J153" s="28">
        <f>IF(Responses!AS149="","",Responses!AZ149&amp;"")</f>
        <v/>
      </c>
      <c r="K153" s="29">
        <f>Responses!AY149</f>
        <v/>
      </c>
      <c r="L153" s="28">
        <f>IF(Responses!AS149="","",IF(Responses!AY149="Declined","",IF(Responses!BA149=0,"Check date and times",IF(Responses!BB149&gt;0,Responses!BC149,"No clash"))))</f>
        <v/>
      </c>
    </row>
    <row r="154">
      <c r="A154" s="27">
        <f>IF(Responses!AS150="","",IF(Responses!AT150&gt;0,Responses!AT150,"Check date"))</f>
        <v/>
      </c>
      <c r="B154" s="28">
        <f>Responses!AS150</f>
        <v/>
      </c>
      <c r="C154" s="29">
        <f>IF(Responses!AS150="","",IF(Responses!AU150&gt;=0,IF(Responses!AU150="","",RIGHT("0"&amp;INT(Responses!AU150/60),2)&amp;":"&amp;RIGHT("0"&amp;MOD(Responses!AU150,60),2)),"Check"))</f>
        <v/>
      </c>
      <c r="D154" s="29">
        <f>IF(Responses!AS150="","",IF(Responses!AV150&gt;=0,IF(Responses!AV150="","",RIGHT("0"&amp;INT(Responses!AV150/60),2)&amp;":"&amp;RIGHT("0"&amp;MOD(Responses!AV150,60),2)),"Check"))</f>
        <v/>
      </c>
      <c r="E154" s="28">
        <f>Responses!AW150</f>
        <v/>
      </c>
      <c r="F154" s="29">
        <f>Responses!AX150</f>
        <v/>
      </c>
      <c r="G154" s="29">
        <f>IF(Responses!AS150="","",IF(AND(ISNUMBER(Responses!AX150),ISNUMBER(IFERROR(VALUE(INDEX(Spaces!$B$5:$B$16,MATCH(Responses!AS150,Spaces!$A$5:$A$16,0))&amp;""),""))),IF(Responses!AX150&gt;IFERROR(VALUE(INDEX(Spaces!$B$5:$B$16,MATCH(Responses!AS150,Spaces!$A$5:$A$16,0))&amp;""),""),"Over by "&amp;(Responses!AX150-IFERROR(VALUE(INDEX(Spaces!$B$5:$B$16,MATCH(Responses!AS150,Spaces!$A$5:$A$16,0))&amp;""),"")),"OK"),""))</f>
        <v/>
      </c>
      <c r="H154" s="28">
        <f>Responses!BF150</f>
        <v/>
      </c>
      <c r="I154" s="28">
        <f>IF(Responses!AS150="","",Responses!AO150&amp;"")</f>
        <v/>
      </c>
      <c r="J154" s="28">
        <f>IF(Responses!AS150="","",Responses!AZ150&amp;"")</f>
        <v/>
      </c>
      <c r="K154" s="29">
        <f>Responses!AY150</f>
        <v/>
      </c>
      <c r="L154" s="28">
        <f>IF(Responses!AS150="","",IF(Responses!AY150="Declined","",IF(Responses!BA150=0,"Check date and times",IF(Responses!BB150&gt;0,Responses!BC150,"No clash"))))</f>
        <v/>
      </c>
    </row>
    <row r="155">
      <c r="A155" s="27">
        <f>IF(Responses!AS151="","",IF(Responses!AT151&gt;0,Responses!AT151,"Check date"))</f>
        <v/>
      </c>
      <c r="B155" s="28">
        <f>Responses!AS151</f>
        <v/>
      </c>
      <c r="C155" s="29">
        <f>IF(Responses!AS151="","",IF(Responses!AU151&gt;=0,IF(Responses!AU151="","",RIGHT("0"&amp;INT(Responses!AU151/60),2)&amp;":"&amp;RIGHT("0"&amp;MOD(Responses!AU151,60),2)),"Check"))</f>
        <v/>
      </c>
      <c r="D155" s="29">
        <f>IF(Responses!AS151="","",IF(Responses!AV151&gt;=0,IF(Responses!AV151="","",RIGHT("0"&amp;INT(Responses!AV151/60),2)&amp;":"&amp;RIGHT("0"&amp;MOD(Responses!AV151,60),2)),"Check"))</f>
        <v/>
      </c>
      <c r="E155" s="28">
        <f>Responses!AW151</f>
        <v/>
      </c>
      <c r="F155" s="29">
        <f>Responses!AX151</f>
        <v/>
      </c>
      <c r="G155" s="29">
        <f>IF(Responses!AS151="","",IF(AND(ISNUMBER(Responses!AX151),ISNUMBER(IFERROR(VALUE(INDEX(Spaces!$B$5:$B$16,MATCH(Responses!AS151,Spaces!$A$5:$A$16,0))&amp;""),""))),IF(Responses!AX151&gt;IFERROR(VALUE(INDEX(Spaces!$B$5:$B$16,MATCH(Responses!AS151,Spaces!$A$5:$A$16,0))&amp;""),""),"Over by "&amp;(Responses!AX151-IFERROR(VALUE(INDEX(Spaces!$B$5:$B$16,MATCH(Responses!AS151,Spaces!$A$5:$A$16,0))&amp;""),"")),"OK"),""))</f>
        <v/>
      </c>
      <c r="H155" s="28">
        <f>Responses!BF151</f>
        <v/>
      </c>
      <c r="I155" s="28">
        <f>IF(Responses!AS151="","",Responses!AO151&amp;"")</f>
        <v/>
      </c>
      <c r="J155" s="28">
        <f>IF(Responses!AS151="","",Responses!AZ151&amp;"")</f>
        <v/>
      </c>
      <c r="K155" s="29">
        <f>Responses!AY151</f>
        <v/>
      </c>
      <c r="L155" s="28">
        <f>IF(Responses!AS151="","",IF(Responses!AY151="Declined","",IF(Responses!BA151=0,"Check date and times",IF(Responses!BB151&gt;0,Responses!BC151,"No clash"))))</f>
        <v/>
      </c>
    </row>
    <row r="156">
      <c r="A156" s="27">
        <f>IF(Responses!AS152="","",IF(Responses!AT152&gt;0,Responses!AT152,"Check date"))</f>
        <v/>
      </c>
      <c r="B156" s="28">
        <f>Responses!AS152</f>
        <v/>
      </c>
      <c r="C156" s="29">
        <f>IF(Responses!AS152="","",IF(Responses!AU152&gt;=0,IF(Responses!AU152="","",RIGHT("0"&amp;INT(Responses!AU152/60),2)&amp;":"&amp;RIGHT("0"&amp;MOD(Responses!AU152,60),2)),"Check"))</f>
        <v/>
      </c>
      <c r="D156" s="29">
        <f>IF(Responses!AS152="","",IF(Responses!AV152&gt;=0,IF(Responses!AV152="","",RIGHT("0"&amp;INT(Responses!AV152/60),2)&amp;":"&amp;RIGHT("0"&amp;MOD(Responses!AV152,60),2)),"Check"))</f>
        <v/>
      </c>
      <c r="E156" s="28">
        <f>Responses!AW152</f>
        <v/>
      </c>
      <c r="F156" s="29">
        <f>Responses!AX152</f>
        <v/>
      </c>
      <c r="G156" s="29">
        <f>IF(Responses!AS152="","",IF(AND(ISNUMBER(Responses!AX152),ISNUMBER(IFERROR(VALUE(INDEX(Spaces!$B$5:$B$16,MATCH(Responses!AS152,Spaces!$A$5:$A$16,0))&amp;""),""))),IF(Responses!AX152&gt;IFERROR(VALUE(INDEX(Spaces!$B$5:$B$16,MATCH(Responses!AS152,Spaces!$A$5:$A$16,0))&amp;""),""),"Over by "&amp;(Responses!AX152-IFERROR(VALUE(INDEX(Spaces!$B$5:$B$16,MATCH(Responses!AS152,Spaces!$A$5:$A$16,0))&amp;""),"")),"OK"),""))</f>
        <v/>
      </c>
      <c r="H156" s="28">
        <f>Responses!BF152</f>
        <v/>
      </c>
      <c r="I156" s="28">
        <f>IF(Responses!AS152="","",Responses!AO152&amp;"")</f>
        <v/>
      </c>
      <c r="J156" s="28">
        <f>IF(Responses!AS152="","",Responses!AZ152&amp;"")</f>
        <v/>
      </c>
      <c r="K156" s="29">
        <f>Responses!AY152</f>
        <v/>
      </c>
      <c r="L156" s="28">
        <f>IF(Responses!AS152="","",IF(Responses!AY152="Declined","",IF(Responses!BA152=0,"Check date and times",IF(Responses!BB152&gt;0,Responses!BC152,"No clash"))))</f>
        <v/>
      </c>
    </row>
    <row r="157">
      <c r="A157" s="27">
        <f>IF(Responses!AS153="","",IF(Responses!AT153&gt;0,Responses!AT153,"Check date"))</f>
        <v/>
      </c>
      <c r="B157" s="28">
        <f>Responses!AS153</f>
        <v/>
      </c>
      <c r="C157" s="29">
        <f>IF(Responses!AS153="","",IF(Responses!AU153&gt;=0,IF(Responses!AU153="","",RIGHT("0"&amp;INT(Responses!AU153/60),2)&amp;":"&amp;RIGHT("0"&amp;MOD(Responses!AU153,60),2)),"Check"))</f>
        <v/>
      </c>
      <c r="D157" s="29">
        <f>IF(Responses!AS153="","",IF(Responses!AV153&gt;=0,IF(Responses!AV153="","",RIGHT("0"&amp;INT(Responses!AV153/60),2)&amp;":"&amp;RIGHT("0"&amp;MOD(Responses!AV153,60),2)),"Check"))</f>
        <v/>
      </c>
      <c r="E157" s="28">
        <f>Responses!AW153</f>
        <v/>
      </c>
      <c r="F157" s="29">
        <f>Responses!AX153</f>
        <v/>
      </c>
      <c r="G157" s="29">
        <f>IF(Responses!AS153="","",IF(AND(ISNUMBER(Responses!AX153),ISNUMBER(IFERROR(VALUE(INDEX(Spaces!$B$5:$B$16,MATCH(Responses!AS153,Spaces!$A$5:$A$16,0))&amp;""),""))),IF(Responses!AX153&gt;IFERROR(VALUE(INDEX(Spaces!$B$5:$B$16,MATCH(Responses!AS153,Spaces!$A$5:$A$16,0))&amp;""),""),"Over by "&amp;(Responses!AX153-IFERROR(VALUE(INDEX(Spaces!$B$5:$B$16,MATCH(Responses!AS153,Spaces!$A$5:$A$16,0))&amp;""),"")),"OK"),""))</f>
        <v/>
      </c>
      <c r="H157" s="28">
        <f>Responses!BF153</f>
        <v/>
      </c>
      <c r="I157" s="28">
        <f>IF(Responses!AS153="","",Responses!AO153&amp;"")</f>
        <v/>
      </c>
      <c r="J157" s="28">
        <f>IF(Responses!AS153="","",Responses!AZ153&amp;"")</f>
        <v/>
      </c>
      <c r="K157" s="29">
        <f>Responses!AY153</f>
        <v/>
      </c>
      <c r="L157" s="28">
        <f>IF(Responses!AS153="","",IF(Responses!AY153="Declined","",IF(Responses!BA153=0,"Check date and times",IF(Responses!BB153&gt;0,Responses!BC153,"No clash"))))</f>
        <v/>
      </c>
    </row>
    <row r="158">
      <c r="A158" s="27">
        <f>IF(Responses!AS154="","",IF(Responses!AT154&gt;0,Responses!AT154,"Check date"))</f>
        <v/>
      </c>
      <c r="B158" s="28">
        <f>Responses!AS154</f>
        <v/>
      </c>
      <c r="C158" s="29">
        <f>IF(Responses!AS154="","",IF(Responses!AU154&gt;=0,IF(Responses!AU154="","",RIGHT("0"&amp;INT(Responses!AU154/60),2)&amp;":"&amp;RIGHT("0"&amp;MOD(Responses!AU154,60),2)),"Check"))</f>
        <v/>
      </c>
      <c r="D158" s="29">
        <f>IF(Responses!AS154="","",IF(Responses!AV154&gt;=0,IF(Responses!AV154="","",RIGHT("0"&amp;INT(Responses!AV154/60),2)&amp;":"&amp;RIGHT("0"&amp;MOD(Responses!AV154,60),2)),"Check"))</f>
        <v/>
      </c>
      <c r="E158" s="28">
        <f>Responses!AW154</f>
        <v/>
      </c>
      <c r="F158" s="29">
        <f>Responses!AX154</f>
        <v/>
      </c>
      <c r="G158" s="29">
        <f>IF(Responses!AS154="","",IF(AND(ISNUMBER(Responses!AX154),ISNUMBER(IFERROR(VALUE(INDEX(Spaces!$B$5:$B$16,MATCH(Responses!AS154,Spaces!$A$5:$A$16,0))&amp;""),""))),IF(Responses!AX154&gt;IFERROR(VALUE(INDEX(Spaces!$B$5:$B$16,MATCH(Responses!AS154,Spaces!$A$5:$A$16,0))&amp;""),""),"Over by "&amp;(Responses!AX154-IFERROR(VALUE(INDEX(Spaces!$B$5:$B$16,MATCH(Responses!AS154,Spaces!$A$5:$A$16,0))&amp;""),"")),"OK"),""))</f>
        <v/>
      </c>
      <c r="H158" s="28">
        <f>Responses!BF154</f>
        <v/>
      </c>
      <c r="I158" s="28">
        <f>IF(Responses!AS154="","",Responses!AO154&amp;"")</f>
        <v/>
      </c>
      <c r="J158" s="28">
        <f>IF(Responses!AS154="","",Responses!AZ154&amp;"")</f>
        <v/>
      </c>
      <c r="K158" s="29">
        <f>Responses!AY154</f>
        <v/>
      </c>
      <c r="L158" s="28">
        <f>IF(Responses!AS154="","",IF(Responses!AY154="Declined","",IF(Responses!BA154=0,"Check date and times",IF(Responses!BB154&gt;0,Responses!BC154,"No clash"))))</f>
        <v/>
      </c>
    </row>
    <row r="159">
      <c r="A159" s="27">
        <f>IF(Responses!AS155="","",IF(Responses!AT155&gt;0,Responses!AT155,"Check date"))</f>
        <v/>
      </c>
      <c r="B159" s="28">
        <f>Responses!AS155</f>
        <v/>
      </c>
      <c r="C159" s="29">
        <f>IF(Responses!AS155="","",IF(Responses!AU155&gt;=0,IF(Responses!AU155="","",RIGHT("0"&amp;INT(Responses!AU155/60),2)&amp;":"&amp;RIGHT("0"&amp;MOD(Responses!AU155,60),2)),"Check"))</f>
        <v/>
      </c>
      <c r="D159" s="29">
        <f>IF(Responses!AS155="","",IF(Responses!AV155&gt;=0,IF(Responses!AV155="","",RIGHT("0"&amp;INT(Responses!AV155/60),2)&amp;":"&amp;RIGHT("0"&amp;MOD(Responses!AV155,60),2)),"Check"))</f>
        <v/>
      </c>
      <c r="E159" s="28">
        <f>Responses!AW155</f>
        <v/>
      </c>
      <c r="F159" s="29">
        <f>Responses!AX155</f>
        <v/>
      </c>
      <c r="G159" s="29">
        <f>IF(Responses!AS155="","",IF(AND(ISNUMBER(Responses!AX155),ISNUMBER(IFERROR(VALUE(INDEX(Spaces!$B$5:$B$16,MATCH(Responses!AS155,Spaces!$A$5:$A$16,0))&amp;""),""))),IF(Responses!AX155&gt;IFERROR(VALUE(INDEX(Spaces!$B$5:$B$16,MATCH(Responses!AS155,Spaces!$A$5:$A$16,0))&amp;""),""),"Over by "&amp;(Responses!AX155-IFERROR(VALUE(INDEX(Spaces!$B$5:$B$16,MATCH(Responses!AS155,Spaces!$A$5:$A$16,0))&amp;""),"")),"OK"),""))</f>
        <v/>
      </c>
      <c r="H159" s="28">
        <f>Responses!BF155</f>
        <v/>
      </c>
      <c r="I159" s="28">
        <f>IF(Responses!AS155="","",Responses!AO155&amp;"")</f>
        <v/>
      </c>
      <c r="J159" s="28">
        <f>IF(Responses!AS155="","",Responses!AZ155&amp;"")</f>
        <v/>
      </c>
      <c r="K159" s="29">
        <f>Responses!AY155</f>
        <v/>
      </c>
      <c r="L159" s="28">
        <f>IF(Responses!AS155="","",IF(Responses!AY155="Declined","",IF(Responses!BA155=0,"Check date and times",IF(Responses!BB155&gt;0,Responses!BC155,"No clash"))))</f>
        <v/>
      </c>
    </row>
    <row r="160">
      <c r="A160" s="27">
        <f>IF(Responses!AS156="","",IF(Responses!AT156&gt;0,Responses!AT156,"Check date"))</f>
        <v/>
      </c>
      <c r="B160" s="28">
        <f>Responses!AS156</f>
        <v/>
      </c>
      <c r="C160" s="29">
        <f>IF(Responses!AS156="","",IF(Responses!AU156&gt;=0,IF(Responses!AU156="","",RIGHT("0"&amp;INT(Responses!AU156/60),2)&amp;":"&amp;RIGHT("0"&amp;MOD(Responses!AU156,60),2)),"Check"))</f>
        <v/>
      </c>
      <c r="D160" s="29">
        <f>IF(Responses!AS156="","",IF(Responses!AV156&gt;=0,IF(Responses!AV156="","",RIGHT("0"&amp;INT(Responses!AV156/60),2)&amp;":"&amp;RIGHT("0"&amp;MOD(Responses!AV156,60),2)),"Check"))</f>
        <v/>
      </c>
      <c r="E160" s="28">
        <f>Responses!AW156</f>
        <v/>
      </c>
      <c r="F160" s="29">
        <f>Responses!AX156</f>
        <v/>
      </c>
      <c r="G160" s="29">
        <f>IF(Responses!AS156="","",IF(AND(ISNUMBER(Responses!AX156),ISNUMBER(IFERROR(VALUE(INDEX(Spaces!$B$5:$B$16,MATCH(Responses!AS156,Spaces!$A$5:$A$16,0))&amp;""),""))),IF(Responses!AX156&gt;IFERROR(VALUE(INDEX(Spaces!$B$5:$B$16,MATCH(Responses!AS156,Spaces!$A$5:$A$16,0))&amp;""),""),"Over by "&amp;(Responses!AX156-IFERROR(VALUE(INDEX(Spaces!$B$5:$B$16,MATCH(Responses!AS156,Spaces!$A$5:$A$16,0))&amp;""),"")),"OK"),""))</f>
        <v/>
      </c>
      <c r="H160" s="28">
        <f>Responses!BF156</f>
        <v/>
      </c>
      <c r="I160" s="28">
        <f>IF(Responses!AS156="","",Responses!AO156&amp;"")</f>
        <v/>
      </c>
      <c r="J160" s="28">
        <f>IF(Responses!AS156="","",Responses!AZ156&amp;"")</f>
        <v/>
      </c>
      <c r="K160" s="29">
        <f>Responses!AY156</f>
        <v/>
      </c>
      <c r="L160" s="28">
        <f>IF(Responses!AS156="","",IF(Responses!AY156="Declined","",IF(Responses!BA156=0,"Check date and times",IF(Responses!BB156&gt;0,Responses!BC156,"No clash"))))</f>
        <v/>
      </c>
    </row>
    <row r="161">
      <c r="A161" s="27">
        <f>IF(Responses!AS157="","",IF(Responses!AT157&gt;0,Responses!AT157,"Check date"))</f>
        <v/>
      </c>
      <c r="B161" s="28">
        <f>Responses!AS157</f>
        <v/>
      </c>
      <c r="C161" s="29">
        <f>IF(Responses!AS157="","",IF(Responses!AU157&gt;=0,IF(Responses!AU157="","",RIGHT("0"&amp;INT(Responses!AU157/60),2)&amp;":"&amp;RIGHT("0"&amp;MOD(Responses!AU157,60),2)),"Check"))</f>
        <v/>
      </c>
      <c r="D161" s="29">
        <f>IF(Responses!AS157="","",IF(Responses!AV157&gt;=0,IF(Responses!AV157="","",RIGHT("0"&amp;INT(Responses!AV157/60),2)&amp;":"&amp;RIGHT("0"&amp;MOD(Responses!AV157,60),2)),"Check"))</f>
        <v/>
      </c>
      <c r="E161" s="28">
        <f>Responses!AW157</f>
        <v/>
      </c>
      <c r="F161" s="29">
        <f>Responses!AX157</f>
        <v/>
      </c>
      <c r="G161" s="29">
        <f>IF(Responses!AS157="","",IF(AND(ISNUMBER(Responses!AX157),ISNUMBER(IFERROR(VALUE(INDEX(Spaces!$B$5:$B$16,MATCH(Responses!AS157,Spaces!$A$5:$A$16,0))&amp;""),""))),IF(Responses!AX157&gt;IFERROR(VALUE(INDEX(Spaces!$B$5:$B$16,MATCH(Responses!AS157,Spaces!$A$5:$A$16,0))&amp;""),""),"Over by "&amp;(Responses!AX157-IFERROR(VALUE(INDEX(Spaces!$B$5:$B$16,MATCH(Responses!AS157,Spaces!$A$5:$A$16,0))&amp;""),"")),"OK"),""))</f>
        <v/>
      </c>
      <c r="H161" s="28">
        <f>Responses!BF157</f>
        <v/>
      </c>
      <c r="I161" s="28">
        <f>IF(Responses!AS157="","",Responses!AO157&amp;"")</f>
        <v/>
      </c>
      <c r="J161" s="28">
        <f>IF(Responses!AS157="","",Responses!AZ157&amp;"")</f>
        <v/>
      </c>
      <c r="K161" s="29">
        <f>Responses!AY157</f>
        <v/>
      </c>
      <c r="L161" s="28">
        <f>IF(Responses!AS157="","",IF(Responses!AY157="Declined","",IF(Responses!BA157=0,"Check date and times",IF(Responses!BB157&gt;0,Responses!BC157,"No clash"))))</f>
        <v/>
      </c>
    </row>
    <row r="162">
      <c r="A162" s="27">
        <f>IF(Responses!AS158="","",IF(Responses!AT158&gt;0,Responses!AT158,"Check date"))</f>
        <v/>
      </c>
      <c r="B162" s="28">
        <f>Responses!AS158</f>
        <v/>
      </c>
      <c r="C162" s="29">
        <f>IF(Responses!AS158="","",IF(Responses!AU158&gt;=0,IF(Responses!AU158="","",RIGHT("0"&amp;INT(Responses!AU158/60),2)&amp;":"&amp;RIGHT("0"&amp;MOD(Responses!AU158,60),2)),"Check"))</f>
        <v/>
      </c>
      <c r="D162" s="29">
        <f>IF(Responses!AS158="","",IF(Responses!AV158&gt;=0,IF(Responses!AV158="","",RIGHT("0"&amp;INT(Responses!AV158/60),2)&amp;":"&amp;RIGHT("0"&amp;MOD(Responses!AV158,60),2)),"Check"))</f>
        <v/>
      </c>
      <c r="E162" s="28">
        <f>Responses!AW158</f>
        <v/>
      </c>
      <c r="F162" s="29">
        <f>Responses!AX158</f>
        <v/>
      </c>
      <c r="G162" s="29">
        <f>IF(Responses!AS158="","",IF(AND(ISNUMBER(Responses!AX158),ISNUMBER(IFERROR(VALUE(INDEX(Spaces!$B$5:$B$16,MATCH(Responses!AS158,Spaces!$A$5:$A$16,0))&amp;""),""))),IF(Responses!AX158&gt;IFERROR(VALUE(INDEX(Spaces!$B$5:$B$16,MATCH(Responses!AS158,Spaces!$A$5:$A$16,0))&amp;""),""),"Over by "&amp;(Responses!AX158-IFERROR(VALUE(INDEX(Spaces!$B$5:$B$16,MATCH(Responses!AS158,Spaces!$A$5:$A$16,0))&amp;""),"")),"OK"),""))</f>
        <v/>
      </c>
      <c r="H162" s="28">
        <f>Responses!BF158</f>
        <v/>
      </c>
      <c r="I162" s="28">
        <f>IF(Responses!AS158="","",Responses!AO158&amp;"")</f>
        <v/>
      </c>
      <c r="J162" s="28">
        <f>IF(Responses!AS158="","",Responses!AZ158&amp;"")</f>
        <v/>
      </c>
      <c r="K162" s="29">
        <f>Responses!AY158</f>
        <v/>
      </c>
      <c r="L162" s="28">
        <f>IF(Responses!AS158="","",IF(Responses!AY158="Declined","",IF(Responses!BA158=0,"Check date and times",IF(Responses!BB158&gt;0,Responses!BC158,"No clash"))))</f>
        <v/>
      </c>
    </row>
    <row r="163">
      <c r="A163" s="27">
        <f>IF(Responses!AS159="","",IF(Responses!AT159&gt;0,Responses!AT159,"Check date"))</f>
        <v/>
      </c>
      <c r="B163" s="28">
        <f>Responses!AS159</f>
        <v/>
      </c>
      <c r="C163" s="29">
        <f>IF(Responses!AS159="","",IF(Responses!AU159&gt;=0,IF(Responses!AU159="","",RIGHT("0"&amp;INT(Responses!AU159/60),2)&amp;":"&amp;RIGHT("0"&amp;MOD(Responses!AU159,60),2)),"Check"))</f>
        <v/>
      </c>
      <c r="D163" s="29">
        <f>IF(Responses!AS159="","",IF(Responses!AV159&gt;=0,IF(Responses!AV159="","",RIGHT("0"&amp;INT(Responses!AV159/60),2)&amp;":"&amp;RIGHT("0"&amp;MOD(Responses!AV159,60),2)),"Check"))</f>
        <v/>
      </c>
      <c r="E163" s="28">
        <f>Responses!AW159</f>
        <v/>
      </c>
      <c r="F163" s="29">
        <f>Responses!AX159</f>
        <v/>
      </c>
      <c r="G163" s="29">
        <f>IF(Responses!AS159="","",IF(AND(ISNUMBER(Responses!AX159),ISNUMBER(IFERROR(VALUE(INDEX(Spaces!$B$5:$B$16,MATCH(Responses!AS159,Spaces!$A$5:$A$16,0))&amp;""),""))),IF(Responses!AX159&gt;IFERROR(VALUE(INDEX(Spaces!$B$5:$B$16,MATCH(Responses!AS159,Spaces!$A$5:$A$16,0))&amp;""),""),"Over by "&amp;(Responses!AX159-IFERROR(VALUE(INDEX(Spaces!$B$5:$B$16,MATCH(Responses!AS159,Spaces!$A$5:$A$16,0))&amp;""),"")),"OK"),""))</f>
        <v/>
      </c>
      <c r="H163" s="28">
        <f>Responses!BF159</f>
        <v/>
      </c>
      <c r="I163" s="28">
        <f>IF(Responses!AS159="","",Responses!AO159&amp;"")</f>
        <v/>
      </c>
      <c r="J163" s="28">
        <f>IF(Responses!AS159="","",Responses!AZ159&amp;"")</f>
        <v/>
      </c>
      <c r="K163" s="29">
        <f>Responses!AY159</f>
        <v/>
      </c>
      <c r="L163" s="28">
        <f>IF(Responses!AS159="","",IF(Responses!AY159="Declined","",IF(Responses!BA159=0,"Check date and times",IF(Responses!BB159&gt;0,Responses!BC159,"No clash"))))</f>
        <v/>
      </c>
    </row>
    <row r="164">
      <c r="A164" s="27">
        <f>IF(Responses!AS160="","",IF(Responses!AT160&gt;0,Responses!AT160,"Check date"))</f>
        <v/>
      </c>
      <c r="B164" s="28">
        <f>Responses!AS160</f>
        <v/>
      </c>
      <c r="C164" s="29">
        <f>IF(Responses!AS160="","",IF(Responses!AU160&gt;=0,IF(Responses!AU160="","",RIGHT("0"&amp;INT(Responses!AU160/60),2)&amp;":"&amp;RIGHT("0"&amp;MOD(Responses!AU160,60),2)),"Check"))</f>
        <v/>
      </c>
      <c r="D164" s="29">
        <f>IF(Responses!AS160="","",IF(Responses!AV160&gt;=0,IF(Responses!AV160="","",RIGHT("0"&amp;INT(Responses!AV160/60),2)&amp;":"&amp;RIGHT("0"&amp;MOD(Responses!AV160,60),2)),"Check"))</f>
        <v/>
      </c>
      <c r="E164" s="28">
        <f>Responses!AW160</f>
        <v/>
      </c>
      <c r="F164" s="29">
        <f>Responses!AX160</f>
        <v/>
      </c>
      <c r="G164" s="29">
        <f>IF(Responses!AS160="","",IF(AND(ISNUMBER(Responses!AX160),ISNUMBER(IFERROR(VALUE(INDEX(Spaces!$B$5:$B$16,MATCH(Responses!AS160,Spaces!$A$5:$A$16,0))&amp;""),""))),IF(Responses!AX160&gt;IFERROR(VALUE(INDEX(Spaces!$B$5:$B$16,MATCH(Responses!AS160,Spaces!$A$5:$A$16,0))&amp;""),""),"Over by "&amp;(Responses!AX160-IFERROR(VALUE(INDEX(Spaces!$B$5:$B$16,MATCH(Responses!AS160,Spaces!$A$5:$A$16,0))&amp;""),"")),"OK"),""))</f>
        <v/>
      </c>
      <c r="H164" s="28">
        <f>Responses!BF160</f>
        <v/>
      </c>
      <c r="I164" s="28">
        <f>IF(Responses!AS160="","",Responses!AO160&amp;"")</f>
        <v/>
      </c>
      <c r="J164" s="28">
        <f>IF(Responses!AS160="","",Responses!AZ160&amp;"")</f>
        <v/>
      </c>
      <c r="K164" s="29">
        <f>Responses!AY160</f>
        <v/>
      </c>
      <c r="L164" s="28">
        <f>IF(Responses!AS160="","",IF(Responses!AY160="Declined","",IF(Responses!BA160=0,"Check date and times",IF(Responses!BB160&gt;0,Responses!BC160,"No clash"))))</f>
        <v/>
      </c>
    </row>
    <row r="165">
      <c r="A165" s="27">
        <f>IF(Responses!AS161="","",IF(Responses!AT161&gt;0,Responses!AT161,"Check date"))</f>
        <v/>
      </c>
      <c r="B165" s="28">
        <f>Responses!AS161</f>
        <v/>
      </c>
      <c r="C165" s="29">
        <f>IF(Responses!AS161="","",IF(Responses!AU161&gt;=0,IF(Responses!AU161="","",RIGHT("0"&amp;INT(Responses!AU161/60),2)&amp;":"&amp;RIGHT("0"&amp;MOD(Responses!AU161,60),2)),"Check"))</f>
        <v/>
      </c>
      <c r="D165" s="29">
        <f>IF(Responses!AS161="","",IF(Responses!AV161&gt;=0,IF(Responses!AV161="","",RIGHT("0"&amp;INT(Responses!AV161/60),2)&amp;":"&amp;RIGHT("0"&amp;MOD(Responses!AV161,60),2)),"Check"))</f>
        <v/>
      </c>
      <c r="E165" s="28">
        <f>Responses!AW161</f>
        <v/>
      </c>
      <c r="F165" s="29">
        <f>Responses!AX161</f>
        <v/>
      </c>
      <c r="G165" s="29">
        <f>IF(Responses!AS161="","",IF(AND(ISNUMBER(Responses!AX161),ISNUMBER(IFERROR(VALUE(INDEX(Spaces!$B$5:$B$16,MATCH(Responses!AS161,Spaces!$A$5:$A$16,0))&amp;""),""))),IF(Responses!AX161&gt;IFERROR(VALUE(INDEX(Spaces!$B$5:$B$16,MATCH(Responses!AS161,Spaces!$A$5:$A$16,0))&amp;""),""),"Over by "&amp;(Responses!AX161-IFERROR(VALUE(INDEX(Spaces!$B$5:$B$16,MATCH(Responses!AS161,Spaces!$A$5:$A$16,0))&amp;""),"")),"OK"),""))</f>
        <v/>
      </c>
      <c r="H165" s="28">
        <f>Responses!BF161</f>
        <v/>
      </c>
      <c r="I165" s="28">
        <f>IF(Responses!AS161="","",Responses!AO161&amp;"")</f>
        <v/>
      </c>
      <c r="J165" s="28">
        <f>IF(Responses!AS161="","",Responses!AZ161&amp;"")</f>
        <v/>
      </c>
      <c r="K165" s="29">
        <f>Responses!AY161</f>
        <v/>
      </c>
      <c r="L165" s="28">
        <f>IF(Responses!AS161="","",IF(Responses!AY161="Declined","",IF(Responses!BA161=0,"Check date and times",IF(Responses!BB161&gt;0,Responses!BC161,"No clash"))))</f>
        <v/>
      </c>
    </row>
    <row r="166">
      <c r="A166" s="27">
        <f>IF(Responses!AS162="","",IF(Responses!AT162&gt;0,Responses!AT162,"Check date"))</f>
        <v/>
      </c>
      <c r="B166" s="28">
        <f>Responses!AS162</f>
        <v/>
      </c>
      <c r="C166" s="29">
        <f>IF(Responses!AS162="","",IF(Responses!AU162&gt;=0,IF(Responses!AU162="","",RIGHT("0"&amp;INT(Responses!AU162/60),2)&amp;":"&amp;RIGHT("0"&amp;MOD(Responses!AU162,60),2)),"Check"))</f>
        <v/>
      </c>
      <c r="D166" s="29">
        <f>IF(Responses!AS162="","",IF(Responses!AV162&gt;=0,IF(Responses!AV162="","",RIGHT("0"&amp;INT(Responses!AV162/60),2)&amp;":"&amp;RIGHT("0"&amp;MOD(Responses!AV162,60),2)),"Check"))</f>
        <v/>
      </c>
      <c r="E166" s="28">
        <f>Responses!AW162</f>
        <v/>
      </c>
      <c r="F166" s="29">
        <f>Responses!AX162</f>
        <v/>
      </c>
      <c r="G166" s="29">
        <f>IF(Responses!AS162="","",IF(AND(ISNUMBER(Responses!AX162),ISNUMBER(IFERROR(VALUE(INDEX(Spaces!$B$5:$B$16,MATCH(Responses!AS162,Spaces!$A$5:$A$16,0))&amp;""),""))),IF(Responses!AX162&gt;IFERROR(VALUE(INDEX(Spaces!$B$5:$B$16,MATCH(Responses!AS162,Spaces!$A$5:$A$16,0))&amp;""),""),"Over by "&amp;(Responses!AX162-IFERROR(VALUE(INDEX(Spaces!$B$5:$B$16,MATCH(Responses!AS162,Spaces!$A$5:$A$16,0))&amp;""),"")),"OK"),""))</f>
        <v/>
      </c>
      <c r="H166" s="28">
        <f>Responses!BF162</f>
        <v/>
      </c>
      <c r="I166" s="28">
        <f>IF(Responses!AS162="","",Responses!AO162&amp;"")</f>
        <v/>
      </c>
      <c r="J166" s="28">
        <f>IF(Responses!AS162="","",Responses!AZ162&amp;"")</f>
        <v/>
      </c>
      <c r="K166" s="29">
        <f>Responses!AY162</f>
        <v/>
      </c>
      <c r="L166" s="28">
        <f>IF(Responses!AS162="","",IF(Responses!AY162="Declined","",IF(Responses!BA162=0,"Check date and times",IF(Responses!BB162&gt;0,Responses!BC162,"No clash"))))</f>
        <v/>
      </c>
    </row>
    <row r="167">
      <c r="A167" s="27">
        <f>IF(Responses!AS163="","",IF(Responses!AT163&gt;0,Responses!AT163,"Check date"))</f>
        <v/>
      </c>
      <c r="B167" s="28">
        <f>Responses!AS163</f>
        <v/>
      </c>
      <c r="C167" s="29">
        <f>IF(Responses!AS163="","",IF(Responses!AU163&gt;=0,IF(Responses!AU163="","",RIGHT("0"&amp;INT(Responses!AU163/60),2)&amp;":"&amp;RIGHT("0"&amp;MOD(Responses!AU163,60),2)),"Check"))</f>
        <v/>
      </c>
      <c r="D167" s="29">
        <f>IF(Responses!AS163="","",IF(Responses!AV163&gt;=0,IF(Responses!AV163="","",RIGHT("0"&amp;INT(Responses!AV163/60),2)&amp;":"&amp;RIGHT("0"&amp;MOD(Responses!AV163,60),2)),"Check"))</f>
        <v/>
      </c>
      <c r="E167" s="28">
        <f>Responses!AW163</f>
        <v/>
      </c>
      <c r="F167" s="29">
        <f>Responses!AX163</f>
        <v/>
      </c>
      <c r="G167" s="29">
        <f>IF(Responses!AS163="","",IF(AND(ISNUMBER(Responses!AX163),ISNUMBER(IFERROR(VALUE(INDEX(Spaces!$B$5:$B$16,MATCH(Responses!AS163,Spaces!$A$5:$A$16,0))&amp;""),""))),IF(Responses!AX163&gt;IFERROR(VALUE(INDEX(Spaces!$B$5:$B$16,MATCH(Responses!AS163,Spaces!$A$5:$A$16,0))&amp;""),""),"Over by "&amp;(Responses!AX163-IFERROR(VALUE(INDEX(Spaces!$B$5:$B$16,MATCH(Responses!AS163,Spaces!$A$5:$A$16,0))&amp;""),"")),"OK"),""))</f>
        <v/>
      </c>
      <c r="H167" s="28">
        <f>Responses!BF163</f>
        <v/>
      </c>
      <c r="I167" s="28">
        <f>IF(Responses!AS163="","",Responses!AO163&amp;"")</f>
        <v/>
      </c>
      <c r="J167" s="28">
        <f>IF(Responses!AS163="","",Responses!AZ163&amp;"")</f>
        <v/>
      </c>
      <c r="K167" s="29">
        <f>Responses!AY163</f>
        <v/>
      </c>
      <c r="L167" s="28">
        <f>IF(Responses!AS163="","",IF(Responses!AY163="Declined","",IF(Responses!BA163=0,"Check date and times",IF(Responses!BB163&gt;0,Responses!BC163,"No clash"))))</f>
        <v/>
      </c>
    </row>
    <row r="168">
      <c r="A168" s="27">
        <f>IF(Responses!AS164="","",IF(Responses!AT164&gt;0,Responses!AT164,"Check date"))</f>
        <v/>
      </c>
      <c r="B168" s="28">
        <f>Responses!AS164</f>
        <v/>
      </c>
      <c r="C168" s="29">
        <f>IF(Responses!AS164="","",IF(Responses!AU164&gt;=0,IF(Responses!AU164="","",RIGHT("0"&amp;INT(Responses!AU164/60),2)&amp;":"&amp;RIGHT("0"&amp;MOD(Responses!AU164,60),2)),"Check"))</f>
        <v/>
      </c>
      <c r="D168" s="29">
        <f>IF(Responses!AS164="","",IF(Responses!AV164&gt;=0,IF(Responses!AV164="","",RIGHT("0"&amp;INT(Responses!AV164/60),2)&amp;":"&amp;RIGHT("0"&amp;MOD(Responses!AV164,60),2)),"Check"))</f>
        <v/>
      </c>
      <c r="E168" s="28">
        <f>Responses!AW164</f>
        <v/>
      </c>
      <c r="F168" s="29">
        <f>Responses!AX164</f>
        <v/>
      </c>
      <c r="G168" s="29">
        <f>IF(Responses!AS164="","",IF(AND(ISNUMBER(Responses!AX164),ISNUMBER(IFERROR(VALUE(INDEX(Spaces!$B$5:$B$16,MATCH(Responses!AS164,Spaces!$A$5:$A$16,0))&amp;""),""))),IF(Responses!AX164&gt;IFERROR(VALUE(INDEX(Spaces!$B$5:$B$16,MATCH(Responses!AS164,Spaces!$A$5:$A$16,0))&amp;""),""),"Over by "&amp;(Responses!AX164-IFERROR(VALUE(INDEX(Spaces!$B$5:$B$16,MATCH(Responses!AS164,Spaces!$A$5:$A$16,0))&amp;""),"")),"OK"),""))</f>
        <v/>
      </c>
      <c r="H168" s="28">
        <f>Responses!BF164</f>
        <v/>
      </c>
      <c r="I168" s="28">
        <f>IF(Responses!AS164="","",Responses!AO164&amp;"")</f>
        <v/>
      </c>
      <c r="J168" s="28">
        <f>IF(Responses!AS164="","",Responses!AZ164&amp;"")</f>
        <v/>
      </c>
      <c r="K168" s="29">
        <f>Responses!AY164</f>
        <v/>
      </c>
      <c r="L168" s="28">
        <f>IF(Responses!AS164="","",IF(Responses!AY164="Declined","",IF(Responses!BA164=0,"Check date and times",IF(Responses!BB164&gt;0,Responses!BC164,"No clash"))))</f>
        <v/>
      </c>
    </row>
    <row r="169">
      <c r="A169" s="27">
        <f>IF(Responses!AS165="","",IF(Responses!AT165&gt;0,Responses!AT165,"Check date"))</f>
        <v/>
      </c>
      <c r="B169" s="28">
        <f>Responses!AS165</f>
        <v/>
      </c>
      <c r="C169" s="29">
        <f>IF(Responses!AS165="","",IF(Responses!AU165&gt;=0,IF(Responses!AU165="","",RIGHT("0"&amp;INT(Responses!AU165/60),2)&amp;":"&amp;RIGHT("0"&amp;MOD(Responses!AU165,60),2)),"Check"))</f>
        <v/>
      </c>
      <c r="D169" s="29">
        <f>IF(Responses!AS165="","",IF(Responses!AV165&gt;=0,IF(Responses!AV165="","",RIGHT("0"&amp;INT(Responses!AV165/60),2)&amp;":"&amp;RIGHT("0"&amp;MOD(Responses!AV165,60),2)),"Check"))</f>
        <v/>
      </c>
      <c r="E169" s="28">
        <f>Responses!AW165</f>
        <v/>
      </c>
      <c r="F169" s="29">
        <f>Responses!AX165</f>
        <v/>
      </c>
      <c r="G169" s="29">
        <f>IF(Responses!AS165="","",IF(AND(ISNUMBER(Responses!AX165),ISNUMBER(IFERROR(VALUE(INDEX(Spaces!$B$5:$B$16,MATCH(Responses!AS165,Spaces!$A$5:$A$16,0))&amp;""),""))),IF(Responses!AX165&gt;IFERROR(VALUE(INDEX(Spaces!$B$5:$B$16,MATCH(Responses!AS165,Spaces!$A$5:$A$16,0))&amp;""),""),"Over by "&amp;(Responses!AX165-IFERROR(VALUE(INDEX(Spaces!$B$5:$B$16,MATCH(Responses!AS165,Spaces!$A$5:$A$16,0))&amp;""),"")),"OK"),""))</f>
        <v/>
      </c>
      <c r="H169" s="28">
        <f>Responses!BF165</f>
        <v/>
      </c>
      <c r="I169" s="28">
        <f>IF(Responses!AS165="","",Responses!AO165&amp;"")</f>
        <v/>
      </c>
      <c r="J169" s="28">
        <f>IF(Responses!AS165="","",Responses!AZ165&amp;"")</f>
        <v/>
      </c>
      <c r="K169" s="29">
        <f>Responses!AY165</f>
        <v/>
      </c>
      <c r="L169" s="28">
        <f>IF(Responses!AS165="","",IF(Responses!AY165="Declined","",IF(Responses!BA165=0,"Check date and times",IF(Responses!BB165&gt;0,Responses!BC165,"No clash"))))</f>
        <v/>
      </c>
    </row>
    <row r="170">
      <c r="A170" s="27">
        <f>IF(Responses!AS166="","",IF(Responses!AT166&gt;0,Responses!AT166,"Check date"))</f>
        <v/>
      </c>
      <c r="B170" s="28">
        <f>Responses!AS166</f>
        <v/>
      </c>
      <c r="C170" s="29">
        <f>IF(Responses!AS166="","",IF(Responses!AU166&gt;=0,IF(Responses!AU166="","",RIGHT("0"&amp;INT(Responses!AU166/60),2)&amp;":"&amp;RIGHT("0"&amp;MOD(Responses!AU166,60),2)),"Check"))</f>
        <v/>
      </c>
      <c r="D170" s="29">
        <f>IF(Responses!AS166="","",IF(Responses!AV166&gt;=0,IF(Responses!AV166="","",RIGHT("0"&amp;INT(Responses!AV166/60),2)&amp;":"&amp;RIGHT("0"&amp;MOD(Responses!AV166,60),2)),"Check"))</f>
        <v/>
      </c>
      <c r="E170" s="28">
        <f>Responses!AW166</f>
        <v/>
      </c>
      <c r="F170" s="29">
        <f>Responses!AX166</f>
        <v/>
      </c>
      <c r="G170" s="29">
        <f>IF(Responses!AS166="","",IF(AND(ISNUMBER(Responses!AX166),ISNUMBER(IFERROR(VALUE(INDEX(Spaces!$B$5:$B$16,MATCH(Responses!AS166,Spaces!$A$5:$A$16,0))&amp;""),""))),IF(Responses!AX166&gt;IFERROR(VALUE(INDEX(Spaces!$B$5:$B$16,MATCH(Responses!AS166,Spaces!$A$5:$A$16,0))&amp;""),""),"Over by "&amp;(Responses!AX166-IFERROR(VALUE(INDEX(Spaces!$B$5:$B$16,MATCH(Responses!AS166,Spaces!$A$5:$A$16,0))&amp;""),"")),"OK"),""))</f>
        <v/>
      </c>
      <c r="H170" s="28">
        <f>Responses!BF166</f>
        <v/>
      </c>
      <c r="I170" s="28">
        <f>IF(Responses!AS166="","",Responses!AO166&amp;"")</f>
        <v/>
      </c>
      <c r="J170" s="28">
        <f>IF(Responses!AS166="","",Responses!AZ166&amp;"")</f>
        <v/>
      </c>
      <c r="K170" s="29">
        <f>Responses!AY166</f>
        <v/>
      </c>
      <c r="L170" s="28">
        <f>IF(Responses!AS166="","",IF(Responses!AY166="Declined","",IF(Responses!BA166=0,"Check date and times",IF(Responses!BB166&gt;0,Responses!BC166,"No clash"))))</f>
        <v/>
      </c>
    </row>
    <row r="171">
      <c r="A171" s="27">
        <f>IF(Responses!AS167="","",IF(Responses!AT167&gt;0,Responses!AT167,"Check date"))</f>
        <v/>
      </c>
      <c r="B171" s="28">
        <f>Responses!AS167</f>
        <v/>
      </c>
      <c r="C171" s="29">
        <f>IF(Responses!AS167="","",IF(Responses!AU167&gt;=0,IF(Responses!AU167="","",RIGHT("0"&amp;INT(Responses!AU167/60),2)&amp;":"&amp;RIGHT("0"&amp;MOD(Responses!AU167,60),2)),"Check"))</f>
        <v/>
      </c>
      <c r="D171" s="29">
        <f>IF(Responses!AS167="","",IF(Responses!AV167&gt;=0,IF(Responses!AV167="","",RIGHT("0"&amp;INT(Responses!AV167/60),2)&amp;":"&amp;RIGHT("0"&amp;MOD(Responses!AV167,60),2)),"Check"))</f>
        <v/>
      </c>
      <c r="E171" s="28">
        <f>Responses!AW167</f>
        <v/>
      </c>
      <c r="F171" s="29">
        <f>Responses!AX167</f>
        <v/>
      </c>
      <c r="G171" s="29">
        <f>IF(Responses!AS167="","",IF(AND(ISNUMBER(Responses!AX167),ISNUMBER(IFERROR(VALUE(INDEX(Spaces!$B$5:$B$16,MATCH(Responses!AS167,Spaces!$A$5:$A$16,0))&amp;""),""))),IF(Responses!AX167&gt;IFERROR(VALUE(INDEX(Spaces!$B$5:$B$16,MATCH(Responses!AS167,Spaces!$A$5:$A$16,0))&amp;""),""),"Over by "&amp;(Responses!AX167-IFERROR(VALUE(INDEX(Spaces!$B$5:$B$16,MATCH(Responses!AS167,Spaces!$A$5:$A$16,0))&amp;""),"")),"OK"),""))</f>
        <v/>
      </c>
      <c r="H171" s="28">
        <f>Responses!BF167</f>
        <v/>
      </c>
      <c r="I171" s="28">
        <f>IF(Responses!AS167="","",Responses!AO167&amp;"")</f>
        <v/>
      </c>
      <c r="J171" s="28">
        <f>IF(Responses!AS167="","",Responses!AZ167&amp;"")</f>
        <v/>
      </c>
      <c r="K171" s="29">
        <f>Responses!AY167</f>
        <v/>
      </c>
      <c r="L171" s="28">
        <f>IF(Responses!AS167="","",IF(Responses!AY167="Declined","",IF(Responses!BA167=0,"Check date and times",IF(Responses!BB167&gt;0,Responses!BC167,"No clash"))))</f>
        <v/>
      </c>
    </row>
    <row r="172">
      <c r="A172" s="27">
        <f>IF(Responses!AS168="","",IF(Responses!AT168&gt;0,Responses!AT168,"Check date"))</f>
        <v/>
      </c>
      <c r="B172" s="28">
        <f>Responses!AS168</f>
        <v/>
      </c>
      <c r="C172" s="29">
        <f>IF(Responses!AS168="","",IF(Responses!AU168&gt;=0,IF(Responses!AU168="","",RIGHT("0"&amp;INT(Responses!AU168/60),2)&amp;":"&amp;RIGHT("0"&amp;MOD(Responses!AU168,60),2)),"Check"))</f>
        <v/>
      </c>
      <c r="D172" s="29">
        <f>IF(Responses!AS168="","",IF(Responses!AV168&gt;=0,IF(Responses!AV168="","",RIGHT("0"&amp;INT(Responses!AV168/60),2)&amp;":"&amp;RIGHT("0"&amp;MOD(Responses!AV168,60),2)),"Check"))</f>
        <v/>
      </c>
      <c r="E172" s="28">
        <f>Responses!AW168</f>
        <v/>
      </c>
      <c r="F172" s="29">
        <f>Responses!AX168</f>
        <v/>
      </c>
      <c r="G172" s="29">
        <f>IF(Responses!AS168="","",IF(AND(ISNUMBER(Responses!AX168),ISNUMBER(IFERROR(VALUE(INDEX(Spaces!$B$5:$B$16,MATCH(Responses!AS168,Spaces!$A$5:$A$16,0))&amp;""),""))),IF(Responses!AX168&gt;IFERROR(VALUE(INDEX(Spaces!$B$5:$B$16,MATCH(Responses!AS168,Spaces!$A$5:$A$16,0))&amp;""),""),"Over by "&amp;(Responses!AX168-IFERROR(VALUE(INDEX(Spaces!$B$5:$B$16,MATCH(Responses!AS168,Spaces!$A$5:$A$16,0))&amp;""),"")),"OK"),""))</f>
        <v/>
      </c>
      <c r="H172" s="28">
        <f>Responses!BF168</f>
        <v/>
      </c>
      <c r="I172" s="28">
        <f>IF(Responses!AS168="","",Responses!AO168&amp;"")</f>
        <v/>
      </c>
      <c r="J172" s="28">
        <f>IF(Responses!AS168="","",Responses!AZ168&amp;"")</f>
        <v/>
      </c>
      <c r="K172" s="29">
        <f>Responses!AY168</f>
        <v/>
      </c>
      <c r="L172" s="28">
        <f>IF(Responses!AS168="","",IF(Responses!AY168="Declined","",IF(Responses!BA168=0,"Check date and times",IF(Responses!BB168&gt;0,Responses!BC168,"No clash"))))</f>
        <v/>
      </c>
    </row>
    <row r="173">
      <c r="A173" s="27">
        <f>IF(Responses!AS169="","",IF(Responses!AT169&gt;0,Responses!AT169,"Check date"))</f>
        <v/>
      </c>
      <c r="B173" s="28">
        <f>Responses!AS169</f>
        <v/>
      </c>
      <c r="C173" s="29">
        <f>IF(Responses!AS169="","",IF(Responses!AU169&gt;=0,IF(Responses!AU169="","",RIGHT("0"&amp;INT(Responses!AU169/60),2)&amp;":"&amp;RIGHT("0"&amp;MOD(Responses!AU169,60),2)),"Check"))</f>
        <v/>
      </c>
      <c r="D173" s="29">
        <f>IF(Responses!AS169="","",IF(Responses!AV169&gt;=0,IF(Responses!AV169="","",RIGHT("0"&amp;INT(Responses!AV169/60),2)&amp;":"&amp;RIGHT("0"&amp;MOD(Responses!AV169,60),2)),"Check"))</f>
        <v/>
      </c>
      <c r="E173" s="28">
        <f>Responses!AW169</f>
        <v/>
      </c>
      <c r="F173" s="29">
        <f>Responses!AX169</f>
        <v/>
      </c>
      <c r="G173" s="29">
        <f>IF(Responses!AS169="","",IF(AND(ISNUMBER(Responses!AX169),ISNUMBER(IFERROR(VALUE(INDEX(Spaces!$B$5:$B$16,MATCH(Responses!AS169,Spaces!$A$5:$A$16,0))&amp;""),""))),IF(Responses!AX169&gt;IFERROR(VALUE(INDEX(Spaces!$B$5:$B$16,MATCH(Responses!AS169,Spaces!$A$5:$A$16,0))&amp;""),""),"Over by "&amp;(Responses!AX169-IFERROR(VALUE(INDEX(Spaces!$B$5:$B$16,MATCH(Responses!AS169,Spaces!$A$5:$A$16,0))&amp;""),"")),"OK"),""))</f>
        <v/>
      </c>
      <c r="H173" s="28">
        <f>Responses!BF169</f>
        <v/>
      </c>
      <c r="I173" s="28">
        <f>IF(Responses!AS169="","",Responses!AO169&amp;"")</f>
        <v/>
      </c>
      <c r="J173" s="28">
        <f>IF(Responses!AS169="","",Responses!AZ169&amp;"")</f>
        <v/>
      </c>
      <c r="K173" s="29">
        <f>Responses!AY169</f>
        <v/>
      </c>
      <c r="L173" s="28">
        <f>IF(Responses!AS169="","",IF(Responses!AY169="Declined","",IF(Responses!BA169=0,"Check date and times",IF(Responses!BB169&gt;0,Responses!BC169,"No clash"))))</f>
        <v/>
      </c>
    </row>
    <row r="174">
      <c r="A174" s="27">
        <f>IF(Responses!AS170="","",IF(Responses!AT170&gt;0,Responses!AT170,"Check date"))</f>
        <v/>
      </c>
      <c r="B174" s="28">
        <f>Responses!AS170</f>
        <v/>
      </c>
      <c r="C174" s="29">
        <f>IF(Responses!AS170="","",IF(Responses!AU170&gt;=0,IF(Responses!AU170="","",RIGHT("0"&amp;INT(Responses!AU170/60),2)&amp;":"&amp;RIGHT("0"&amp;MOD(Responses!AU170,60),2)),"Check"))</f>
        <v/>
      </c>
      <c r="D174" s="29">
        <f>IF(Responses!AS170="","",IF(Responses!AV170&gt;=0,IF(Responses!AV170="","",RIGHT("0"&amp;INT(Responses!AV170/60),2)&amp;":"&amp;RIGHT("0"&amp;MOD(Responses!AV170,60),2)),"Check"))</f>
        <v/>
      </c>
      <c r="E174" s="28">
        <f>Responses!AW170</f>
        <v/>
      </c>
      <c r="F174" s="29">
        <f>Responses!AX170</f>
        <v/>
      </c>
      <c r="G174" s="29">
        <f>IF(Responses!AS170="","",IF(AND(ISNUMBER(Responses!AX170),ISNUMBER(IFERROR(VALUE(INDEX(Spaces!$B$5:$B$16,MATCH(Responses!AS170,Spaces!$A$5:$A$16,0))&amp;""),""))),IF(Responses!AX170&gt;IFERROR(VALUE(INDEX(Spaces!$B$5:$B$16,MATCH(Responses!AS170,Spaces!$A$5:$A$16,0))&amp;""),""),"Over by "&amp;(Responses!AX170-IFERROR(VALUE(INDEX(Spaces!$B$5:$B$16,MATCH(Responses!AS170,Spaces!$A$5:$A$16,0))&amp;""),"")),"OK"),""))</f>
        <v/>
      </c>
      <c r="H174" s="28">
        <f>Responses!BF170</f>
        <v/>
      </c>
      <c r="I174" s="28">
        <f>IF(Responses!AS170="","",Responses!AO170&amp;"")</f>
        <v/>
      </c>
      <c r="J174" s="28">
        <f>IF(Responses!AS170="","",Responses!AZ170&amp;"")</f>
        <v/>
      </c>
      <c r="K174" s="29">
        <f>Responses!AY170</f>
        <v/>
      </c>
      <c r="L174" s="28">
        <f>IF(Responses!AS170="","",IF(Responses!AY170="Declined","",IF(Responses!BA170=0,"Check date and times",IF(Responses!BB170&gt;0,Responses!BC170,"No clash"))))</f>
        <v/>
      </c>
    </row>
    <row r="175">
      <c r="A175" s="27">
        <f>IF(Responses!AS171="","",IF(Responses!AT171&gt;0,Responses!AT171,"Check date"))</f>
        <v/>
      </c>
      <c r="B175" s="28">
        <f>Responses!AS171</f>
        <v/>
      </c>
      <c r="C175" s="29">
        <f>IF(Responses!AS171="","",IF(Responses!AU171&gt;=0,IF(Responses!AU171="","",RIGHT("0"&amp;INT(Responses!AU171/60),2)&amp;":"&amp;RIGHT("0"&amp;MOD(Responses!AU171,60),2)),"Check"))</f>
        <v/>
      </c>
      <c r="D175" s="29">
        <f>IF(Responses!AS171="","",IF(Responses!AV171&gt;=0,IF(Responses!AV171="","",RIGHT("0"&amp;INT(Responses!AV171/60),2)&amp;":"&amp;RIGHT("0"&amp;MOD(Responses!AV171,60),2)),"Check"))</f>
        <v/>
      </c>
      <c r="E175" s="28">
        <f>Responses!AW171</f>
        <v/>
      </c>
      <c r="F175" s="29">
        <f>Responses!AX171</f>
        <v/>
      </c>
      <c r="G175" s="29">
        <f>IF(Responses!AS171="","",IF(AND(ISNUMBER(Responses!AX171),ISNUMBER(IFERROR(VALUE(INDEX(Spaces!$B$5:$B$16,MATCH(Responses!AS171,Spaces!$A$5:$A$16,0))&amp;""),""))),IF(Responses!AX171&gt;IFERROR(VALUE(INDEX(Spaces!$B$5:$B$16,MATCH(Responses!AS171,Spaces!$A$5:$A$16,0))&amp;""),""),"Over by "&amp;(Responses!AX171-IFERROR(VALUE(INDEX(Spaces!$B$5:$B$16,MATCH(Responses!AS171,Spaces!$A$5:$A$16,0))&amp;""),"")),"OK"),""))</f>
        <v/>
      </c>
      <c r="H175" s="28">
        <f>Responses!BF171</f>
        <v/>
      </c>
      <c r="I175" s="28">
        <f>IF(Responses!AS171="","",Responses!AO171&amp;"")</f>
        <v/>
      </c>
      <c r="J175" s="28">
        <f>IF(Responses!AS171="","",Responses!AZ171&amp;"")</f>
        <v/>
      </c>
      <c r="K175" s="29">
        <f>Responses!AY171</f>
        <v/>
      </c>
      <c r="L175" s="28">
        <f>IF(Responses!AS171="","",IF(Responses!AY171="Declined","",IF(Responses!BA171=0,"Check date and times",IF(Responses!BB171&gt;0,Responses!BC171,"No clash"))))</f>
        <v/>
      </c>
    </row>
    <row r="176">
      <c r="A176" s="27">
        <f>IF(Responses!AS172="","",IF(Responses!AT172&gt;0,Responses!AT172,"Check date"))</f>
        <v/>
      </c>
      <c r="B176" s="28">
        <f>Responses!AS172</f>
        <v/>
      </c>
      <c r="C176" s="29">
        <f>IF(Responses!AS172="","",IF(Responses!AU172&gt;=0,IF(Responses!AU172="","",RIGHT("0"&amp;INT(Responses!AU172/60),2)&amp;":"&amp;RIGHT("0"&amp;MOD(Responses!AU172,60),2)),"Check"))</f>
        <v/>
      </c>
      <c r="D176" s="29">
        <f>IF(Responses!AS172="","",IF(Responses!AV172&gt;=0,IF(Responses!AV172="","",RIGHT("0"&amp;INT(Responses!AV172/60),2)&amp;":"&amp;RIGHT("0"&amp;MOD(Responses!AV172,60),2)),"Check"))</f>
        <v/>
      </c>
      <c r="E176" s="28">
        <f>Responses!AW172</f>
        <v/>
      </c>
      <c r="F176" s="29">
        <f>Responses!AX172</f>
        <v/>
      </c>
      <c r="G176" s="29">
        <f>IF(Responses!AS172="","",IF(AND(ISNUMBER(Responses!AX172),ISNUMBER(IFERROR(VALUE(INDEX(Spaces!$B$5:$B$16,MATCH(Responses!AS172,Spaces!$A$5:$A$16,0))&amp;""),""))),IF(Responses!AX172&gt;IFERROR(VALUE(INDEX(Spaces!$B$5:$B$16,MATCH(Responses!AS172,Spaces!$A$5:$A$16,0))&amp;""),""),"Over by "&amp;(Responses!AX172-IFERROR(VALUE(INDEX(Spaces!$B$5:$B$16,MATCH(Responses!AS172,Spaces!$A$5:$A$16,0))&amp;""),"")),"OK"),""))</f>
        <v/>
      </c>
      <c r="H176" s="28">
        <f>Responses!BF172</f>
        <v/>
      </c>
      <c r="I176" s="28">
        <f>IF(Responses!AS172="","",Responses!AO172&amp;"")</f>
        <v/>
      </c>
      <c r="J176" s="28">
        <f>IF(Responses!AS172="","",Responses!AZ172&amp;"")</f>
        <v/>
      </c>
      <c r="K176" s="29">
        <f>Responses!AY172</f>
        <v/>
      </c>
      <c r="L176" s="28">
        <f>IF(Responses!AS172="","",IF(Responses!AY172="Declined","",IF(Responses!BA172=0,"Check date and times",IF(Responses!BB172&gt;0,Responses!BC172,"No clash"))))</f>
        <v/>
      </c>
    </row>
    <row r="177">
      <c r="A177" s="27">
        <f>IF(Responses!AS173="","",IF(Responses!AT173&gt;0,Responses!AT173,"Check date"))</f>
        <v/>
      </c>
      <c r="B177" s="28">
        <f>Responses!AS173</f>
        <v/>
      </c>
      <c r="C177" s="29">
        <f>IF(Responses!AS173="","",IF(Responses!AU173&gt;=0,IF(Responses!AU173="","",RIGHT("0"&amp;INT(Responses!AU173/60),2)&amp;":"&amp;RIGHT("0"&amp;MOD(Responses!AU173,60),2)),"Check"))</f>
        <v/>
      </c>
      <c r="D177" s="29">
        <f>IF(Responses!AS173="","",IF(Responses!AV173&gt;=0,IF(Responses!AV173="","",RIGHT("0"&amp;INT(Responses!AV173/60),2)&amp;":"&amp;RIGHT("0"&amp;MOD(Responses!AV173,60),2)),"Check"))</f>
        <v/>
      </c>
      <c r="E177" s="28">
        <f>Responses!AW173</f>
        <v/>
      </c>
      <c r="F177" s="29">
        <f>Responses!AX173</f>
        <v/>
      </c>
      <c r="G177" s="29">
        <f>IF(Responses!AS173="","",IF(AND(ISNUMBER(Responses!AX173),ISNUMBER(IFERROR(VALUE(INDEX(Spaces!$B$5:$B$16,MATCH(Responses!AS173,Spaces!$A$5:$A$16,0))&amp;""),""))),IF(Responses!AX173&gt;IFERROR(VALUE(INDEX(Spaces!$B$5:$B$16,MATCH(Responses!AS173,Spaces!$A$5:$A$16,0))&amp;""),""),"Over by "&amp;(Responses!AX173-IFERROR(VALUE(INDEX(Spaces!$B$5:$B$16,MATCH(Responses!AS173,Spaces!$A$5:$A$16,0))&amp;""),"")),"OK"),""))</f>
        <v/>
      </c>
      <c r="H177" s="28">
        <f>Responses!BF173</f>
        <v/>
      </c>
      <c r="I177" s="28">
        <f>IF(Responses!AS173="","",Responses!AO173&amp;"")</f>
        <v/>
      </c>
      <c r="J177" s="28">
        <f>IF(Responses!AS173="","",Responses!AZ173&amp;"")</f>
        <v/>
      </c>
      <c r="K177" s="29">
        <f>Responses!AY173</f>
        <v/>
      </c>
      <c r="L177" s="28">
        <f>IF(Responses!AS173="","",IF(Responses!AY173="Declined","",IF(Responses!BA173=0,"Check date and times",IF(Responses!BB173&gt;0,Responses!BC173,"No clash"))))</f>
        <v/>
      </c>
    </row>
    <row r="178">
      <c r="A178" s="27">
        <f>IF(Responses!AS174="","",IF(Responses!AT174&gt;0,Responses!AT174,"Check date"))</f>
        <v/>
      </c>
      <c r="B178" s="28">
        <f>Responses!AS174</f>
        <v/>
      </c>
      <c r="C178" s="29">
        <f>IF(Responses!AS174="","",IF(Responses!AU174&gt;=0,IF(Responses!AU174="","",RIGHT("0"&amp;INT(Responses!AU174/60),2)&amp;":"&amp;RIGHT("0"&amp;MOD(Responses!AU174,60),2)),"Check"))</f>
        <v/>
      </c>
      <c r="D178" s="29">
        <f>IF(Responses!AS174="","",IF(Responses!AV174&gt;=0,IF(Responses!AV174="","",RIGHT("0"&amp;INT(Responses!AV174/60),2)&amp;":"&amp;RIGHT("0"&amp;MOD(Responses!AV174,60),2)),"Check"))</f>
        <v/>
      </c>
      <c r="E178" s="28">
        <f>Responses!AW174</f>
        <v/>
      </c>
      <c r="F178" s="29">
        <f>Responses!AX174</f>
        <v/>
      </c>
      <c r="G178" s="29">
        <f>IF(Responses!AS174="","",IF(AND(ISNUMBER(Responses!AX174),ISNUMBER(IFERROR(VALUE(INDEX(Spaces!$B$5:$B$16,MATCH(Responses!AS174,Spaces!$A$5:$A$16,0))&amp;""),""))),IF(Responses!AX174&gt;IFERROR(VALUE(INDEX(Spaces!$B$5:$B$16,MATCH(Responses!AS174,Spaces!$A$5:$A$16,0))&amp;""),""),"Over by "&amp;(Responses!AX174-IFERROR(VALUE(INDEX(Spaces!$B$5:$B$16,MATCH(Responses!AS174,Spaces!$A$5:$A$16,0))&amp;""),"")),"OK"),""))</f>
        <v/>
      </c>
      <c r="H178" s="28">
        <f>Responses!BF174</f>
        <v/>
      </c>
      <c r="I178" s="28">
        <f>IF(Responses!AS174="","",Responses!AO174&amp;"")</f>
        <v/>
      </c>
      <c r="J178" s="28">
        <f>IF(Responses!AS174="","",Responses!AZ174&amp;"")</f>
        <v/>
      </c>
      <c r="K178" s="29">
        <f>Responses!AY174</f>
        <v/>
      </c>
      <c r="L178" s="28">
        <f>IF(Responses!AS174="","",IF(Responses!AY174="Declined","",IF(Responses!BA174=0,"Check date and times",IF(Responses!BB174&gt;0,Responses!BC174,"No clash"))))</f>
        <v/>
      </c>
    </row>
    <row r="179">
      <c r="A179" s="27">
        <f>IF(Responses!AS175="","",IF(Responses!AT175&gt;0,Responses!AT175,"Check date"))</f>
        <v/>
      </c>
      <c r="B179" s="28">
        <f>Responses!AS175</f>
        <v/>
      </c>
      <c r="C179" s="29">
        <f>IF(Responses!AS175="","",IF(Responses!AU175&gt;=0,IF(Responses!AU175="","",RIGHT("0"&amp;INT(Responses!AU175/60),2)&amp;":"&amp;RIGHT("0"&amp;MOD(Responses!AU175,60),2)),"Check"))</f>
        <v/>
      </c>
      <c r="D179" s="29">
        <f>IF(Responses!AS175="","",IF(Responses!AV175&gt;=0,IF(Responses!AV175="","",RIGHT("0"&amp;INT(Responses!AV175/60),2)&amp;":"&amp;RIGHT("0"&amp;MOD(Responses!AV175,60),2)),"Check"))</f>
        <v/>
      </c>
      <c r="E179" s="28">
        <f>Responses!AW175</f>
        <v/>
      </c>
      <c r="F179" s="29">
        <f>Responses!AX175</f>
        <v/>
      </c>
      <c r="G179" s="29">
        <f>IF(Responses!AS175="","",IF(AND(ISNUMBER(Responses!AX175),ISNUMBER(IFERROR(VALUE(INDEX(Spaces!$B$5:$B$16,MATCH(Responses!AS175,Spaces!$A$5:$A$16,0))&amp;""),""))),IF(Responses!AX175&gt;IFERROR(VALUE(INDEX(Spaces!$B$5:$B$16,MATCH(Responses!AS175,Spaces!$A$5:$A$16,0))&amp;""),""),"Over by "&amp;(Responses!AX175-IFERROR(VALUE(INDEX(Spaces!$B$5:$B$16,MATCH(Responses!AS175,Spaces!$A$5:$A$16,0))&amp;""),"")),"OK"),""))</f>
        <v/>
      </c>
      <c r="H179" s="28">
        <f>Responses!BF175</f>
        <v/>
      </c>
      <c r="I179" s="28">
        <f>IF(Responses!AS175="","",Responses!AO175&amp;"")</f>
        <v/>
      </c>
      <c r="J179" s="28">
        <f>IF(Responses!AS175="","",Responses!AZ175&amp;"")</f>
        <v/>
      </c>
      <c r="K179" s="29">
        <f>Responses!AY175</f>
        <v/>
      </c>
      <c r="L179" s="28">
        <f>IF(Responses!AS175="","",IF(Responses!AY175="Declined","",IF(Responses!BA175=0,"Check date and times",IF(Responses!BB175&gt;0,Responses!BC175,"No clash"))))</f>
        <v/>
      </c>
    </row>
    <row r="180">
      <c r="A180" s="27">
        <f>IF(Responses!AS176="","",IF(Responses!AT176&gt;0,Responses!AT176,"Check date"))</f>
        <v/>
      </c>
      <c r="B180" s="28">
        <f>Responses!AS176</f>
        <v/>
      </c>
      <c r="C180" s="29">
        <f>IF(Responses!AS176="","",IF(Responses!AU176&gt;=0,IF(Responses!AU176="","",RIGHT("0"&amp;INT(Responses!AU176/60),2)&amp;":"&amp;RIGHT("0"&amp;MOD(Responses!AU176,60),2)),"Check"))</f>
        <v/>
      </c>
      <c r="D180" s="29">
        <f>IF(Responses!AS176="","",IF(Responses!AV176&gt;=0,IF(Responses!AV176="","",RIGHT("0"&amp;INT(Responses!AV176/60),2)&amp;":"&amp;RIGHT("0"&amp;MOD(Responses!AV176,60),2)),"Check"))</f>
        <v/>
      </c>
      <c r="E180" s="28">
        <f>Responses!AW176</f>
        <v/>
      </c>
      <c r="F180" s="29">
        <f>Responses!AX176</f>
        <v/>
      </c>
      <c r="G180" s="29">
        <f>IF(Responses!AS176="","",IF(AND(ISNUMBER(Responses!AX176),ISNUMBER(IFERROR(VALUE(INDEX(Spaces!$B$5:$B$16,MATCH(Responses!AS176,Spaces!$A$5:$A$16,0))&amp;""),""))),IF(Responses!AX176&gt;IFERROR(VALUE(INDEX(Spaces!$B$5:$B$16,MATCH(Responses!AS176,Spaces!$A$5:$A$16,0))&amp;""),""),"Over by "&amp;(Responses!AX176-IFERROR(VALUE(INDEX(Spaces!$B$5:$B$16,MATCH(Responses!AS176,Spaces!$A$5:$A$16,0))&amp;""),"")),"OK"),""))</f>
        <v/>
      </c>
      <c r="H180" s="28">
        <f>Responses!BF176</f>
        <v/>
      </c>
      <c r="I180" s="28">
        <f>IF(Responses!AS176="","",Responses!AO176&amp;"")</f>
        <v/>
      </c>
      <c r="J180" s="28">
        <f>IF(Responses!AS176="","",Responses!AZ176&amp;"")</f>
        <v/>
      </c>
      <c r="K180" s="29">
        <f>Responses!AY176</f>
        <v/>
      </c>
      <c r="L180" s="28">
        <f>IF(Responses!AS176="","",IF(Responses!AY176="Declined","",IF(Responses!BA176=0,"Check date and times",IF(Responses!BB176&gt;0,Responses!BC176,"No clash"))))</f>
        <v/>
      </c>
    </row>
    <row r="181">
      <c r="A181" s="27">
        <f>IF(Responses!AS177="","",IF(Responses!AT177&gt;0,Responses!AT177,"Check date"))</f>
        <v/>
      </c>
      <c r="B181" s="28">
        <f>Responses!AS177</f>
        <v/>
      </c>
      <c r="C181" s="29">
        <f>IF(Responses!AS177="","",IF(Responses!AU177&gt;=0,IF(Responses!AU177="","",RIGHT("0"&amp;INT(Responses!AU177/60),2)&amp;":"&amp;RIGHT("0"&amp;MOD(Responses!AU177,60),2)),"Check"))</f>
        <v/>
      </c>
      <c r="D181" s="29">
        <f>IF(Responses!AS177="","",IF(Responses!AV177&gt;=0,IF(Responses!AV177="","",RIGHT("0"&amp;INT(Responses!AV177/60),2)&amp;":"&amp;RIGHT("0"&amp;MOD(Responses!AV177,60),2)),"Check"))</f>
        <v/>
      </c>
      <c r="E181" s="28">
        <f>Responses!AW177</f>
        <v/>
      </c>
      <c r="F181" s="29">
        <f>Responses!AX177</f>
        <v/>
      </c>
      <c r="G181" s="29">
        <f>IF(Responses!AS177="","",IF(AND(ISNUMBER(Responses!AX177),ISNUMBER(IFERROR(VALUE(INDEX(Spaces!$B$5:$B$16,MATCH(Responses!AS177,Spaces!$A$5:$A$16,0))&amp;""),""))),IF(Responses!AX177&gt;IFERROR(VALUE(INDEX(Spaces!$B$5:$B$16,MATCH(Responses!AS177,Spaces!$A$5:$A$16,0))&amp;""),""),"Over by "&amp;(Responses!AX177-IFERROR(VALUE(INDEX(Spaces!$B$5:$B$16,MATCH(Responses!AS177,Spaces!$A$5:$A$16,0))&amp;""),"")),"OK"),""))</f>
        <v/>
      </c>
      <c r="H181" s="28">
        <f>Responses!BF177</f>
        <v/>
      </c>
      <c r="I181" s="28">
        <f>IF(Responses!AS177="","",Responses!AO177&amp;"")</f>
        <v/>
      </c>
      <c r="J181" s="28">
        <f>IF(Responses!AS177="","",Responses!AZ177&amp;"")</f>
        <v/>
      </c>
      <c r="K181" s="29">
        <f>Responses!AY177</f>
        <v/>
      </c>
      <c r="L181" s="28">
        <f>IF(Responses!AS177="","",IF(Responses!AY177="Declined","",IF(Responses!BA177=0,"Check date and times",IF(Responses!BB177&gt;0,Responses!BC177,"No clash"))))</f>
        <v/>
      </c>
    </row>
    <row r="182">
      <c r="A182" s="27">
        <f>IF(Responses!AS178="","",IF(Responses!AT178&gt;0,Responses!AT178,"Check date"))</f>
        <v/>
      </c>
      <c r="B182" s="28">
        <f>Responses!AS178</f>
        <v/>
      </c>
      <c r="C182" s="29">
        <f>IF(Responses!AS178="","",IF(Responses!AU178&gt;=0,IF(Responses!AU178="","",RIGHT("0"&amp;INT(Responses!AU178/60),2)&amp;":"&amp;RIGHT("0"&amp;MOD(Responses!AU178,60),2)),"Check"))</f>
        <v/>
      </c>
      <c r="D182" s="29">
        <f>IF(Responses!AS178="","",IF(Responses!AV178&gt;=0,IF(Responses!AV178="","",RIGHT("0"&amp;INT(Responses!AV178/60),2)&amp;":"&amp;RIGHT("0"&amp;MOD(Responses!AV178,60),2)),"Check"))</f>
        <v/>
      </c>
      <c r="E182" s="28">
        <f>Responses!AW178</f>
        <v/>
      </c>
      <c r="F182" s="29">
        <f>Responses!AX178</f>
        <v/>
      </c>
      <c r="G182" s="29">
        <f>IF(Responses!AS178="","",IF(AND(ISNUMBER(Responses!AX178),ISNUMBER(IFERROR(VALUE(INDEX(Spaces!$B$5:$B$16,MATCH(Responses!AS178,Spaces!$A$5:$A$16,0))&amp;""),""))),IF(Responses!AX178&gt;IFERROR(VALUE(INDEX(Spaces!$B$5:$B$16,MATCH(Responses!AS178,Spaces!$A$5:$A$16,0))&amp;""),""),"Over by "&amp;(Responses!AX178-IFERROR(VALUE(INDEX(Spaces!$B$5:$B$16,MATCH(Responses!AS178,Spaces!$A$5:$A$16,0))&amp;""),"")),"OK"),""))</f>
        <v/>
      </c>
      <c r="H182" s="28">
        <f>Responses!BF178</f>
        <v/>
      </c>
      <c r="I182" s="28">
        <f>IF(Responses!AS178="","",Responses!AO178&amp;"")</f>
        <v/>
      </c>
      <c r="J182" s="28">
        <f>IF(Responses!AS178="","",Responses!AZ178&amp;"")</f>
        <v/>
      </c>
      <c r="K182" s="29">
        <f>Responses!AY178</f>
        <v/>
      </c>
      <c r="L182" s="28">
        <f>IF(Responses!AS178="","",IF(Responses!AY178="Declined","",IF(Responses!BA178=0,"Check date and times",IF(Responses!BB178&gt;0,Responses!BC178,"No clash"))))</f>
        <v/>
      </c>
    </row>
    <row r="183">
      <c r="A183" s="27">
        <f>IF(Responses!AS179="","",IF(Responses!AT179&gt;0,Responses!AT179,"Check date"))</f>
        <v/>
      </c>
      <c r="B183" s="28">
        <f>Responses!AS179</f>
        <v/>
      </c>
      <c r="C183" s="29">
        <f>IF(Responses!AS179="","",IF(Responses!AU179&gt;=0,IF(Responses!AU179="","",RIGHT("0"&amp;INT(Responses!AU179/60),2)&amp;":"&amp;RIGHT("0"&amp;MOD(Responses!AU179,60),2)),"Check"))</f>
        <v/>
      </c>
      <c r="D183" s="29">
        <f>IF(Responses!AS179="","",IF(Responses!AV179&gt;=0,IF(Responses!AV179="","",RIGHT("0"&amp;INT(Responses!AV179/60),2)&amp;":"&amp;RIGHT("0"&amp;MOD(Responses!AV179,60),2)),"Check"))</f>
        <v/>
      </c>
      <c r="E183" s="28">
        <f>Responses!AW179</f>
        <v/>
      </c>
      <c r="F183" s="29">
        <f>Responses!AX179</f>
        <v/>
      </c>
      <c r="G183" s="29">
        <f>IF(Responses!AS179="","",IF(AND(ISNUMBER(Responses!AX179),ISNUMBER(IFERROR(VALUE(INDEX(Spaces!$B$5:$B$16,MATCH(Responses!AS179,Spaces!$A$5:$A$16,0))&amp;""),""))),IF(Responses!AX179&gt;IFERROR(VALUE(INDEX(Spaces!$B$5:$B$16,MATCH(Responses!AS179,Spaces!$A$5:$A$16,0))&amp;""),""),"Over by "&amp;(Responses!AX179-IFERROR(VALUE(INDEX(Spaces!$B$5:$B$16,MATCH(Responses!AS179,Spaces!$A$5:$A$16,0))&amp;""),"")),"OK"),""))</f>
        <v/>
      </c>
      <c r="H183" s="28">
        <f>Responses!BF179</f>
        <v/>
      </c>
      <c r="I183" s="28">
        <f>IF(Responses!AS179="","",Responses!AO179&amp;"")</f>
        <v/>
      </c>
      <c r="J183" s="28">
        <f>IF(Responses!AS179="","",Responses!AZ179&amp;"")</f>
        <v/>
      </c>
      <c r="K183" s="29">
        <f>Responses!AY179</f>
        <v/>
      </c>
      <c r="L183" s="28">
        <f>IF(Responses!AS179="","",IF(Responses!AY179="Declined","",IF(Responses!BA179=0,"Check date and times",IF(Responses!BB179&gt;0,Responses!BC179,"No clash"))))</f>
        <v/>
      </c>
    </row>
    <row r="184">
      <c r="A184" s="27">
        <f>IF(Responses!AS180="","",IF(Responses!AT180&gt;0,Responses!AT180,"Check date"))</f>
        <v/>
      </c>
      <c r="B184" s="28">
        <f>Responses!AS180</f>
        <v/>
      </c>
      <c r="C184" s="29">
        <f>IF(Responses!AS180="","",IF(Responses!AU180&gt;=0,IF(Responses!AU180="","",RIGHT("0"&amp;INT(Responses!AU180/60),2)&amp;":"&amp;RIGHT("0"&amp;MOD(Responses!AU180,60),2)),"Check"))</f>
        <v/>
      </c>
      <c r="D184" s="29">
        <f>IF(Responses!AS180="","",IF(Responses!AV180&gt;=0,IF(Responses!AV180="","",RIGHT("0"&amp;INT(Responses!AV180/60),2)&amp;":"&amp;RIGHT("0"&amp;MOD(Responses!AV180,60),2)),"Check"))</f>
        <v/>
      </c>
      <c r="E184" s="28">
        <f>Responses!AW180</f>
        <v/>
      </c>
      <c r="F184" s="29">
        <f>Responses!AX180</f>
        <v/>
      </c>
      <c r="G184" s="29">
        <f>IF(Responses!AS180="","",IF(AND(ISNUMBER(Responses!AX180),ISNUMBER(IFERROR(VALUE(INDEX(Spaces!$B$5:$B$16,MATCH(Responses!AS180,Spaces!$A$5:$A$16,0))&amp;""),""))),IF(Responses!AX180&gt;IFERROR(VALUE(INDEX(Spaces!$B$5:$B$16,MATCH(Responses!AS180,Spaces!$A$5:$A$16,0))&amp;""),""),"Over by "&amp;(Responses!AX180-IFERROR(VALUE(INDEX(Spaces!$B$5:$B$16,MATCH(Responses!AS180,Spaces!$A$5:$A$16,0))&amp;""),"")),"OK"),""))</f>
        <v/>
      </c>
      <c r="H184" s="28">
        <f>Responses!BF180</f>
        <v/>
      </c>
      <c r="I184" s="28">
        <f>IF(Responses!AS180="","",Responses!AO180&amp;"")</f>
        <v/>
      </c>
      <c r="J184" s="28">
        <f>IF(Responses!AS180="","",Responses!AZ180&amp;"")</f>
        <v/>
      </c>
      <c r="K184" s="29">
        <f>Responses!AY180</f>
        <v/>
      </c>
      <c r="L184" s="28">
        <f>IF(Responses!AS180="","",IF(Responses!AY180="Declined","",IF(Responses!BA180=0,"Check date and times",IF(Responses!BB180&gt;0,Responses!BC180,"No clash"))))</f>
        <v/>
      </c>
    </row>
    <row r="185">
      <c r="A185" s="27">
        <f>IF(Responses!AS181="","",IF(Responses!AT181&gt;0,Responses!AT181,"Check date"))</f>
        <v/>
      </c>
      <c r="B185" s="28">
        <f>Responses!AS181</f>
        <v/>
      </c>
      <c r="C185" s="29">
        <f>IF(Responses!AS181="","",IF(Responses!AU181&gt;=0,IF(Responses!AU181="","",RIGHT("0"&amp;INT(Responses!AU181/60),2)&amp;":"&amp;RIGHT("0"&amp;MOD(Responses!AU181,60),2)),"Check"))</f>
        <v/>
      </c>
      <c r="D185" s="29">
        <f>IF(Responses!AS181="","",IF(Responses!AV181&gt;=0,IF(Responses!AV181="","",RIGHT("0"&amp;INT(Responses!AV181/60),2)&amp;":"&amp;RIGHT("0"&amp;MOD(Responses!AV181,60),2)),"Check"))</f>
        <v/>
      </c>
      <c r="E185" s="28">
        <f>Responses!AW181</f>
        <v/>
      </c>
      <c r="F185" s="29">
        <f>Responses!AX181</f>
        <v/>
      </c>
      <c r="G185" s="29">
        <f>IF(Responses!AS181="","",IF(AND(ISNUMBER(Responses!AX181),ISNUMBER(IFERROR(VALUE(INDEX(Spaces!$B$5:$B$16,MATCH(Responses!AS181,Spaces!$A$5:$A$16,0))&amp;""),""))),IF(Responses!AX181&gt;IFERROR(VALUE(INDEX(Spaces!$B$5:$B$16,MATCH(Responses!AS181,Spaces!$A$5:$A$16,0))&amp;""),""),"Over by "&amp;(Responses!AX181-IFERROR(VALUE(INDEX(Spaces!$B$5:$B$16,MATCH(Responses!AS181,Spaces!$A$5:$A$16,0))&amp;""),"")),"OK"),""))</f>
        <v/>
      </c>
      <c r="H185" s="28">
        <f>Responses!BF181</f>
        <v/>
      </c>
      <c r="I185" s="28">
        <f>IF(Responses!AS181="","",Responses!AO181&amp;"")</f>
        <v/>
      </c>
      <c r="J185" s="28">
        <f>IF(Responses!AS181="","",Responses!AZ181&amp;"")</f>
        <v/>
      </c>
      <c r="K185" s="29">
        <f>Responses!AY181</f>
        <v/>
      </c>
      <c r="L185" s="28">
        <f>IF(Responses!AS181="","",IF(Responses!AY181="Declined","",IF(Responses!BA181=0,"Check date and times",IF(Responses!BB181&gt;0,Responses!BC181,"No clash"))))</f>
        <v/>
      </c>
    </row>
    <row r="186">
      <c r="A186" s="27">
        <f>IF(Responses!AS182="","",IF(Responses!AT182&gt;0,Responses!AT182,"Check date"))</f>
        <v/>
      </c>
      <c r="B186" s="28">
        <f>Responses!AS182</f>
        <v/>
      </c>
      <c r="C186" s="29">
        <f>IF(Responses!AS182="","",IF(Responses!AU182&gt;=0,IF(Responses!AU182="","",RIGHT("0"&amp;INT(Responses!AU182/60),2)&amp;":"&amp;RIGHT("0"&amp;MOD(Responses!AU182,60),2)),"Check"))</f>
        <v/>
      </c>
      <c r="D186" s="29">
        <f>IF(Responses!AS182="","",IF(Responses!AV182&gt;=0,IF(Responses!AV182="","",RIGHT("0"&amp;INT(Responses!AV182/60),2)&amp;":"&amp;RIGHT("0"&amp;MOD(Responses!AV182,60),2)),"Check"))</f>
        <v/>
      </c>
      <c r="E186" s="28">
        <f>Responses!AW182</f>
        <v/>
      </c>
      <c r="F186" s="29">
        <f>Responses!AX182</f>
        <v/>
      </c>
      <c r="G186" s="29">
        <f>IF(Responses!AS182="","",IF(AND(ISNUMBER(Responses!AX182),ISNUMBER(IFERROR(VALUE(INDEX(Spaces!$B$5:$B$16,MATCH(Responses!AS182,Spaces!$A$5:$A$16,0))&amp;""),""))),IF(Responses!AX182&gt;IFERROR(VALUE(INDEX(Spaces!$B$5:$B$16,MATCH(Responses!AS182,Spaces!$A$5:$A$16,0))&amp;""),""),"Over by "&amp;(Responses!AX182-IFERROR(VALUE(INDEX(Spaces!$B$5:$B$16,MATCH(Responses!AS182,Spaces!$A$5:$A$16,0))&amp;""),"")),"OK"),""))</f>
        <v/>
      </c>
      <c r="H186" s="28">
        <f>Responses!BF182</f>
        <v/>
      </c>
      <c r="I186" s="28">
        <f>IF(Responses!AS182="","",Responses!AO182&amp;"")</f>
        <v/>
      </c>
      <c r="J186" s="28">
        <f>IF(Responses!AS182="","",Responses!AZ182&amp;"")</f>
        <v/>
      </c>
      <c r="K186" s="29">
        <f>Responses!AY182</f>
        <v/>
      </c>
      <c r="L186" s="28">
        <f>IF(Responses!AS182="","",IF(Responses!AY182="Declined","",IF(Responses!BA182=0,"Check date and times",IF(Responses!BB182&gt;0,Responses!BC182,"No clash"))))</f>
        <v/>
      </c>
    </row>
    <row r="187">
      <c r="A187" s="27">
        <f>IF(Responses!AS183="","",IF(Responses!AT183&gt;0,Responses!AT183,"Check date"))</f>
        <v/>
      </c>
      <c r="B187" s="28">
        <f>Responses!AS183</f>
        <v/>
      </c>
      <c r="C187" s="29">
        <f>IF(Responses!AS183="","",IF(Responses!AU183&gt;=0,IF(Responses!AU183="","",RIGHT("0"&amp;INT(Responses!AU183/60),2)&amp;":"&amp;RIGHT("0"&amp;MOD(Responses!AU183,60),2)),"Check"))</f>
        <v/>
      </c>
      <c r="D187" s="29">
        <f>IF(Responses!AS183="","",IF(Responses!AV183&gt;=0,IF(Responses!AV183="","",RIGHT("0"&amp;INT(Responses!AV183/60),2)&amp;":"&amp;RIGHT("0"&amp;MOD(Responses!AV183,60),2)),"Check"))</f>
        <v/>
      </c>
      <c r="E187" s="28">
        <f>Responses!AW183</f>
        <v/>
      </c>
      <c r="F187" s="29">
        <f>Responses!AX183</f>
        <v/>
      </c>
      <c r="G187" s="29">
        <f>IF(Responses!AS183="","",IF(AND(ISNUMBER(Responses!AX183),ISNUMBER(IFERROR(VALUE(INDEX(Spaces!$B$5:$B$16,MATCH(Responses!AS183,Spaces!$A$5:$A$16,0))&amp;""),""))),IF(Responses!AX183&gt;IFERROR(VALUE(INDEX(Spaces!$B$5:$B$16,MATCH(Responses!AS183,Spaces!$A$5:$A$16,0))&amp;""),""),"Over by "&amp;(Responses!AX183-IFERROR(VALUE(INDEX(Spaces!$B$5:$B$16,MATCH(Responses!AS183,Spaces!$A$5:$A$16,0))&amp;""),"")),"OK"),""))</f>
        <v/>
      </c>
      <c r="H187" s="28">
        <f>Responses!BF183</f>
        <v/>
      </c>
      <c r="I187" s="28">
        <f>IF(Responses!AS183="","",Responses!AO183&amp;"")</f>
        <v/>
      </c>
      <c r="J187" s="28">
        <f>IF(Responses!AS183="","",Responses!AZ183&amp;"")</f>
        <v/>
      </c>
      <c r="K187" s="29">
        <f>Responses!AY183</f>
        <v/>
      </c>
      <c r="L187" s="28">
        <f>IF(Responses!AS183="","",IF(Responses!AY183="Declined","",IF(Responses!BA183=0,"Check date and times",IF(Responses!BB183&gt;0,Responses!BC183,"No clash"))))</f>
        <v/>
      </c>
    </row>
    <row r="188">
      <c r="A188" s="27">
        <f>IF(Responses!AS184="","",IF(Responses!AT184&gt;0,Responses!AT184,"Check date"))</f>
        <v/>
      </c>
      <c r="B188" s="28">
        <f>Responses!AS184</f>
        <v/>
      </c>
      <c r="C188" s="29">
        <f>IF(Responses!AS184="","",IF(Responses!AU184&gt;=0,IF(Responses!AU184="","",RIGHT("0"&amp;INT(Responses!AU184/60),2)&amp;":"&amp;RIGHT("0"&amp;MOD(Responses!AU184,60),2)),"Check"))</f>
        <v/>
      </c>
      <c r="D188" s="29">
        <f>IF(Responses!AS184="","",IF(Responses!AV184&gt;=0,IF(Responses!AV184="","",RIGHT("0"&amp;INT(Responses!AV184/60),2)&amp;":"&amp;RIGHT("0"&amp;MOD(Responses!AV184,60),2)),"Check"))</f>
        <v/>
      </c>
      <c r="E188" s="28">
        <f>Responses!AW184</f>
        <v/>
      </c>
      <c r="F188" s="29">
        <f>Responses!AX184</f>
        <v/>
      </c>
      <c r="G188" s="29">
        <f>IF(Responses!AS184="","",IF(AND(ISNUMBER(Responses!AX184),ISNUMBER(IFERROR(VALUE(INDEX(Spaces!$B$5:$B$16,MATCH(Responses!AS184,Spaces!$A$5:$A$16,0))&amp;""),""))),IF(Responses!AX184&gt;IFERROR(VALUE(INDEX(Spaces!$B$5:$B$16,MATCH(Responses!AS184,Spaces!$A$5:$A$16,0))&amp;""),""),"Over by "&amp;(Responses!AX184-IFERROR(VALUE(INDEX(Spaces!$B$5:$B$16,MATCH(Responses!AS184,Spaces!$A$5:$A$16,0))&amp;""),"")),"OK"),""))</f>
        <v/>
      </c>
      <c r="H188" s="28">
        <f>Responses!BF184</f>
        <v/>
      </c>
      <c r="I188" s="28">
        <f>IF(Responses!AS184="","",Responses!AO184&amp;"")</f>
        <v/>
      </c>
      <c r="J188" s="28">
        <f>IF(Responses!AS184="","",Responses!AZ184&amp;"")</f>
        <v/>
      </c>
      <c r="K188" s="29">
        <f>Responses!AY184</f>
        <v/>
      </c>
      <c r="L188" s="28">
        <f>IF(Responses!AS184="","",IF(Responses!AY184="Declined","",IF(Responses!BA184=0,"Check date and times",IF(Responses!BB184&gt;0,Responses!BC184,"No clash"))))</f>
        <v/>
      </c>
    </row>
    <row r="189">
      <c r="A189" s="27">
        <f>IF(Responses!AS185="","",IF(Responses!AT185&gt;0,Responses!AT185,"Check date"))</f>
        <v/>
      </c>
      <c r="B189" s="28">
        <f>Responses!AS185</f>
        <v/>
      </c>
      <c r="C189" s="29">
        <f>IF(Responses!AS185="","",IF(Responses!AU185&gt;=0,IF(Responses!AU185="","",RIGHT("0"&amp;INT(Responses!AU185/60),2)&amp;":"&amp;RIGHT("0"&amp;MOD(Responses!AU185,60),2)),"Check"))</f>
        <v/>
      </c>
      <c r="D189" s="29">
        <f>IF(Responses!AS185="","",IF(Responses!AV185&gt;=0,IF(Responses!AV185="","",RIGHT("0"&amp;INT(Responses!AV185/60),2)&amp;":"&amp;RIGHT("0"&amp;MOD(Responses!AV185,60),2)),"Check"))</f>
        <v/>
      </c>
      <c r="E189" s="28">
        <f>Responses!AW185</f>
        <v/>
      </c>
      <c r="F189" s="29">
        <f>Responses!AX185</f>
        <v/>
      </c>
      <c r="G189" s="29">
        <f>IF(Responses!AS185="","",IF(AND(ISNUMBER(Responses!AX185),ISNUMBER(IFERROR(VALUE(INDEX(Spaces!$B$5:$B$16,MATCH(Responses!AS185,Spaces!$A$5:$A$16,0))&amp;""),""))),IF(Responses!AX185&gt;IFERROR(VALUE(INDEX(Spaces!$B$5:$B$16,MATCH(Responses!AS185,Spaces!$A$5:$A$16,0))&amp;""),""),"Over by "&amp;(Responses!AX185-IFERROR(VALUE(INDEX(Spaces!$B$5:$B$16,MATCH(Responses!AS185,Spaces!$A$5:$A$16,0))&amp;""),"")),"OK"),""))</f>
        <v/>
      </c>
      <c r="H189" s="28">
        <f>Responses!BF185</f>
        <v/>
      </c>
      <c r="I189" s="28">
        <f>IF(Responses!AS185="","",Responses!AO185&amp;"")</f>
        <v/>
      </c>
      <c r="J189" s="28">
        <f>IF(Responses!AS185="","",Responses!AZ185&amp;"")</f>
        <v/>
      </c>
      <c r="K189" s="29">
        <f>Responses!AY185</f>
        <v/>
      </c>
      <c r="L189" s="28">
        <f>IF(Responses!AS185="","",IF(Responses!AY185="Declined","",IF(Responses!BA185=0,"Check date and times",IF(Responses!BB185&gt;0,Responses!BC185,"No clash"))))</f>
        <v/>
      </c>
    </row>
    <row r="190">
      <c r="A190" s="27">
        <f>IF(Responses!AS186="","",IF(Responses!AT186&gt;0,Responses!AT186,"Check date"))</f>
        <v/>
      </c>
      <c r="B190" s="28">
        <f>Responses!AS186</f>
        <v/>
      </c>
      <c r="C190" s="29">
        <f>IF(Responses!AS186="","",IF(Responses!AU186&gt;=0,IF(Responses!AU186="","",RIGHT("0"&amp;INT(Responses!AU186/60),2)&amp;":"&amp;RIGHT("0"&amp;MOD(Responses!AU186,60),2)),"Check"))</f>
        <v/>
      </c>
      <c r="D190" s="29">
        <f>IF(Responses!AS186="","",IF(Responses!AV186&gt;=0,IF(Responses!AV186="","",RIGHT("0"&amp;INT(Responses!AV186/60),2)&amp;":"&amp;RIGHT("0"&amp;MOD(Responses!AV186,60),2)),"Check"))</f>
        <v/>
      </c>
      <c r="E190" s="28">
        <f>Responses!AW186</f>
        <v/>
      </c>
      <c r="F190" s="29">
        <f>Responses!AX186</f>
        <v/>
      </c>
      <c r="G190" s="29">
        <f>IF(Responses!AS186="","",IF(AND(ISNUMBER(Responses!AX186),ISNUMBER(IFERROR(VALUE(INDEX(Spaces!$B$5:$B$16,MATCH(Responses!AS186,Spaces!$A$5:$A$16,0))&amp;""),""))),IF(Responses!AX186&gt;IFERROR(VALUE(INDEX(Spaces!$B$5:$B$16,MATCH(Responses!AS186,Spaces!$A$5:$A$16,0))&amp;""),""),"Over by "&amp;(Responses!AX186-IFERROR(VALUE(INDEX(Spaces!$B$5:$B$16,MATCH(Responses!AS186,Spaces!$A$5:$A$16,0))&amp;""),"")),"OK"),""))</f>
        <v/>
      </c>
      <c r="H190" s="28">
        <f>Responses!BF186</f>
        <v/>
      </c>
      <c r="I190" s="28">
        <f>IF(Responses!AS186="","",Responses!AO186&amp;"")</f>
        <v/>
      </c>
      <c r="J190" s="28">
        <f>IF(Responses!AS186="","",Responses!AZ186&amp;"")</f>
        <v/>
      </c>
      <c r="K190" s="29">
        <f>Responses!AY186</f>
        <v/>
      </c>
      <c r="L190" s="28">
        <f>IF(Responses!AS186="","",IF(Responses!AY186="Declined","",IF(Responses!BA186=0,"Check date and times",IF(Responses!BB186&gt;0,Responses!BC186,"No clash"))))</f>
        <v/>
      </c>
    </row>
    <row r="191">
      <c r="A191" s="27">
        <f>IF(Responses!AS187="","",IF(Responses!AT187&gt;0,Responses!AT187,"Check date"))</f>
        <v/>
      </c>
      <c r="B191" s="28">
        <f>Responses!AS187</f>
        <v/>
      </c>
      <c r="C191" s="29">
        <f>IF(Responses!AS187="","",IF(Responses!AU187&gt;=0,IF(Responses!AU187="","",RIGHT("0"&amp;INT(Responses!AU187/60),2)&amp;":"&amp;RIGHT("0"&amp;MOD(Responses!AU187,60),2)),"Check"))</f>
        <v/>
      </c>
      <c r="D191" s="29">
        <f>IF(Responses!AS187="","",IF(Responses!AV187&gt;=0,IF(Responses!AV187="","",RIGHT("0"&amp;INT(Responses!AV187/60),2)&amp;":"&amp;RIGHT("0"&amp;MOD(Responses!AV187,60),2)),"Check"))</f>
        <v/>
      </c>
      <c r="E191" s="28">
        <f>Responses!AW187</f>
        <v/>
      </c>
      <c r="F191" s="29">
        <f>Responses!AX187</f>
        <v/>
      </c>
      <c r="G191" s="29">
        <f>IF(Responses!AS187="","",IF(AND(ISNUMBER(Responses!AX187),ISNUMBER(IFERROR(VALUE(INDEX(Spaces!$B$5:$B$16,MATCH(Responses!AS187,Spaces!$A$5:$A$16,0))&amp;""),""))),IF(Responses!AX187&gt;IFERROR(VALUE(INDEX(Spaces!$B$5:$B$16,MATCH(Responses!AS187,Spaces!$A$5:$A$16,0))&amp;""),""),"Over by "&amp;(Responses!AX187-IFERROR(VALUE(INDEX(Spaces!$B$5:$B$16,MATCH(Responses!AS187,Spaces!$A$5:$A$16,0))&amp;""),"")),"OK"),""))</f>
        <v/>
      </c>
      <c r="H191" s="28">
        <f>Responses!BF187</f>
        <v/>
      </c>
      <c r="I191" s="28">
        <f>IF(Responses!AS187="","",Responses!AO187&amp;"")</f>
        <v/>
      </c>
      <c r="J191" s="28">
        <f>IF(Responses!AS187="","",Responses!AZ187&amp;"")</f>
        <v/>
      </c>
      <c r="K191" s="29">
        <f>Responses!AY187</f>
        <v/>
      </c>
      <c r="L191" s="28">
        <f>IF(Responses!AS187="","",IF(Responses!AY187="Declined","",IF(Responses!BA187=0,"Check date and times",IF(Responses!BB187&gt;0,Responses!BC187,"No clash"))))</f>
        <v/>
      </c>
    </row>
    <row r="192">
      <c r="A192" s="27">
        <f>IF(Responses!AS188="","",IF(Responses!AT188&gt;0,Responses!AT188,"Check date"))</f>
        <v/>
      </c>
      <c r="B192" s="28">
        <f>Responses!AS188</f>
        <v/>
      </c>
      <c r="C192" s="29">
        <f>IF(Responses!AS188="","",IF(Responses!AU188&gt;=0,IF(Responses!AU188="","",RIGHT("0"&amp;INT(Responses!AU188/60),2)&amp;":"&amp;RIGHT("0"&amp;MOD(Responses!AU188,60),2)),"Check"))</f>
        <v/>
      </c>
      <c r="D192" s="29">
        <f>IF(Responses!AS188="","",IF(Responses!AV188&gt;=0,IF(Responses!AV188="","",RIGHT("0"&amp;INT(Responses!AV188/60),2)&amp;":"&amp;RIGHT("0"&amp;MOD(Responses!AV188,60),2)),"Check"))</f>
        <v/>
      </c>
      <c r="E192" s="28">
        <f>Responses!AW188</f>
        <v/>
      </c>
      <c r="F192" s="29">
        <f>Responses!AX188</f>
        <v/>
      </c>
      <c r="G192" s="29">
        <f>IF(Responses!AS188="","",IF(AND(ISNUMBER(Responses!AX188),ISNUMBER(IFERROR(VALUE(INDEX(Spaces!$B$5:$B$16,MATCH(Responses!AS188,Spaces!$A$5:$A$16,0))&amp;""),""))),IF(Responses!AX188&gt;IFERROR(VALUE(INDEX(Spaces!$B$5:$B$16,MATCH(Responses!AS188,Spaces!$A$5:$A$16,0))&amp;""),""),"Over by "&amp;(Responses!AX188-IFERROR(VALUE(INDEX(Spaces!$B$5:$B$16,MATCH(Responses!AS188,Spaces!$A$5:$A$16,0))&amp;""),"")),"OK"),""))</f>
        <v/>
      </c>
      <c r="H192" s="28">
        <f>Responses!BF188</f>
        <v/>
      </c>
      <c r="I192" s="28">
        <f>IF(Responses!AS188="","",Responses!AO188&amp;"")</f>
        <v/>
      </c>
      <c r="J192" s="28">
        <f>IF(Responses!AS188="","",Responses!AZ188&amp;"")</f>
        <v/>
      </c>
      <c r="K192" s="29">
        <f>Responses!AY188</f>
        <v/>
      </c>
      <c r="L192" s="28">
        <f>IF(Responses!AS188="","",IF(Responses!AY188="Declined","",IF(Responses!BA188=0,"Check date and times",IF(Responses!BB188&gt;0,Responses!BC188,"No clash"))))</f>
        <v/>
      </c>
    </row>
    <row r="193">
      <c r="A193" s="27">
        <f>IF(Responses!AS189="","",IF(Responses!AT189&gt;0,Responses!AT189,"Check date"))</f>
        <v/>
      </c>
      <c r="B193" s="28">
        <f>Responses!AS189</f>
        <v/>
      </c>
      <c r="C193" s="29">
        <f>IF(Responses!AS189="","",IF(Responses!AU189&gt;=0,IF(Responses!AU189="","",RIGHT("0"&amp;INT(Responses!AU189/60),2)&amp;":"&amp;RIGHT("0"&amp;MOD(Responses!AU189,60),2)),"Check"))</f>
        <v/>
      </c>
      <c r="D193" s="29">
        <f>IF(Responses!AS189="","",IF(Responses!AV189&gt;=0,IF(Responses!AV189="","",RIGHT("0"&amp;INT(Responses!AV189/60),2)&amp;":"&amp;RIGHT("0"&amp;MOD(Responses!AV189,60),2)),"Check"))</f>
        <v/>
      </c>
      <c r="E193" s="28">
        <f>Responses!AW189</f>
        <v/>
      </c>
      <c r="F193" s="29">
        <f>Responses!AX189</f>
        <v/>
      </c>
      <c r="G193" s="29">
        <f>IF(Responses!AS189="","",IF(AND(ISNUMBER(Responses!AX189),ISNUMBER(IFERROR(VALUE(INDEX(Spaces!$B$5:$B$16,MATCH(Responses!AS189,Spaces!$A$5:$A$16,0))&amp;""),""))),IF(Responses!AX189&gt;IFERROR(VALUE(INDEX(Spaces!$B$5:$B$16,MATCH(Responses!AS189,Spaces!$A$5:$A$16,0))&amp;""),""),"Over by "&amp;(Responses!AX189-IFERROR(VALUE(INDEX(Spaces!$B$5:$B$16,MATCH(Responses!AS189,Spaces!$A$5:$A$16,0))&amp;""),"")),"OK"),""))</f>
        <v/>
      </c>
      <c r="H193" s="28">
        <f>Responses!BF189</f>
        <v/>
      </c>
      <c r="I193" s="28">
        <f>IF(Responses!AS189="","",Responses!AO189&amp;"")</f>
        <v/>
      </c>
      <c r="J193" s="28">
        <f>IF(Responses!AS189="","",Responses!AZ189&amp;"")</f>
        <v/>
      </c>
      <c r="K193" s="29">
        <f>Responses!AY189</f>
        <v/>
      </c>
      <c r="L193" s="28">
        <f>IF(Responses!AS189="","",IF(Responses!AY189="Declined","",IF(Responses!BA189=0,"Check date and times",IF(Responses!BB189&gt;0,Responses!BC189,"No clash"))))</f>
        <v/>
      </c>
    </row>
    <row r="194">
      <c r="A194" s="27">
        <f>IF(Responses!AS190="","",IF(Responses!AT190&gt;0,Responses!AT190,"Check date"))</f>
        <v/>
      </c>
      <c r="B194" s="28">
        <f>Responses!AS190</f>
        <v/>
      </c>
      <c r="C194" s="29">
        <f>IF(Responses!AS190="","",IF(Responses!AU190&gt;=0,IF(Responses!AU190="","",RIGHT("0"&amp;INT(Responses!AU190/60),2)&amp;":"&amp;RIGHT("0"&amp;MOD(Responses!AU190,60),2)),"Check"))</f>
        <v/>
      </c>
      <c r="D194" s="29">
        <f>IF(Responses!AS190="","",IF(Responses!AV190&gt;=0,IF(Responses!AV190="","",RIGHT("0"&amp;INT(Responses!AV190/60),2)&amp;":"&amp;RIGHT("0"&amp;MOD(Responses!AV190,60),2)),"Check"))</f>
        <v/>
      </c>
      <c r="E194" s="28">
        <f>Responses!AW190</f>
        <v/>
      </c>
      <c r="F194" s="29">
        <f>Responses!AX190</f>
        <v/>
      </c>
      <c r="G194" s="29">
        <f>IF(Responses!AS190="","",IF(AND(ISNUMBER(Responses!AX190),ISNUMBER(IFERROR(VALUE(INDEX(Spaces!$B$5:$B$16,MATCH(Responses!AS190,Spaces!$A$5:$A$16,0))&amp;""),""))),IF(Responses!AX190&gt;IFERROR(VALUE(INDEX(Spaces!$B$5:$B$16,MATCH(Responses!AS190,Spaces!$A$5:$A$16,0))&amp;""),""),"Over by "&amp;(Responses!AX190-IFERROR(VALUE(INDEX(Spaces!$B$5:$B$16,MATCH(Responses!AS190,Spaces!$A$5:$A$16,0))&amp;""),"")),"OK"),""))</f>
        <v/>
      </c>
      <c r="H194" s="28">
        <f>Responses!BF190</f>
        <v/>
      </c>
      <c r="I194" s="28">
        <f>IF(Responses!AS190="","",Responses!AO190&amp;"")</f>
        <v/>
      </c>
      <c r="J194" s="28">
        <f>IF(Responses!AS190="","",Responses!AZ190&amp;"")</f>
        <v/>
      </c>
      <c r="K194" s="29">
        <f>Responses!AY190</f>
        <v/>
      </c>
      <c r="L194" s="28">
        <f>IF(Responses!AS190="","",IF(Responses!AY190="Declined","",IF(Responses!BA190=0,"Check date and times",IF(Responses!BB190&gt;0,Responses!BC190,"No clash"))))</f>
        <v/>
      </c>
    </row>
    <row r="195">
      <c r="A195" s="27">
        <f>IF(Responses!AS191="","",IF(Responses!AT191&gt;0,Responses!AT191,"Check date"))</f>
        <v/>
      </c>
      <c r="B195" s="28">
        <f>Responses!AS191</f>
        <v/>
      </c>
      <c r="C195" s="29">
        <f>IF(Responses!AS191="","",IF(Responses!AU191&gt;=0,IF(Responses!AU191="","",RIGHT("0"&amp;INT(Responses!AU191/60),2)&amp;":"&amp;RIGHT("0"&amp;MOD(Responses!AU191,60),2)),"Check"))</f>
        <v/>
      </c>
      <c r="D195" s="29">
        <f>IF(Responses!AS191="","",IF(Responses!AV191&gt;=0,IF(Responses!AV191="","",RIGHT("0"&amp;INT(Responses!AV191/60),2)&amp;":"&amp;RIGHT("0"&amp;MOD(Responses!AV191,60),2)),"Check"))</f>
        <v/>
      </c>
      <c r="E195" s="28">
        <f>Responses!AW191</f>
        <v/>
      </c>
      <c r="F195" s="29">
        <f>Responses!AX191</f>
        <v/>
      </c>
      <c r="G195" s="29">
        <f>IF(Responses!AS191="","",IF(AND(ISNUMBER(Responses!AX191),ISNUMBER(IFERROR(VALUE(INDEX(Spaces!$B$5:$B$16,MATCH(Responses!AS191,Spaces!$A$5:$A$16,0))&amp;""),""))),IF(Responses!AX191&gt;IFERROR(VALUE(INDEX(Spaces!$B$5:$B$16,MATCH(Responses!AS191,Spaces!$A$5:$A$16,0))&amp;""),""),"Over by "&amp;(Responses!AX191-IFERROR(VALUE(INDEX(Spaces!$B$5:$B$16,MATCH(Responses!AS191,Spaces!$A$5:$A$16,0))&amp;""),"")),"OK"),""))</f>
        <v/>
      </c>
      <c r="H195" s="28">
        <f>Responses!BF191</f>
        <v/>
      </c>
      <c r="I195" s="28">
        <f>IF(Responses!AS191="","",Responses!AO191&amp;"")</f>
        <v/>
      </c>
      <c r="J195" s="28">
        <f>IF(Responses!AS191="","",Responses!AZ191&amp;"")</f>
        <v/>
      </c>
      <c r="K195" s="29">
        <f>Responses!AY191</f>
        <v/>
      </c>
      <c r="L195" s="28">
        <f>IF(Responses!AS191="","",IF(Responses!AY191="Declined","",IF(Responses!BA191=0,"Check date and times",IF(Responses!BB191&gt;0,Responses!BC191,"No clash"))))</f>
        <v/>
      </c>
    </row>
    <row r="196">
      <c r="A196" s="27">
        <f>IF(Responses!AS192="","",IF(Responses!AT192&gt;0,Responses!AT192,"Check date"))</f>
        <v/>
      </c>
      <c r="B196" s="28">
        <f>Responses!AS192</f>
        <v/>
      </c>
      <c r="C196" s="29">
        <f>IF(Responses!AS192="","",IF(Responses!AU192&gt;=0,IF(Responses!AU192="","",RIGHT("0"&amp;INT(Responses!AU192/60),2)&amp;":"&amp;RIGHT("0"&amp;MOD(Responses!AU192,60),2)),"Check"))</f>
        <v/>
      </c>
      <c r="D196" s="29">
        <f>IF(Responses!AS192="","",IF(Responses!AV192&gt;=0,IF(Responses!AV192="","",RIGHT("0"&amp;INT(Responses!AV192/60),2)&amp;":"&amp;RIGHT("0"&amp;MOD(Responses!AV192,60),2)),"Check"))</f>
        <v/>
      </c>
      <c r="E196" s="28">
        <f>Responses!AW192</f>
        <v/>
      </c>
      <c r="F196" s="29">
        <f>Responses!AX192</f>
        <v/>
      </c>
      <c r="G196" s="29">
        <f>IF(Responses!AS192="","",IF(AND(ISNUMBER(Responses!AX192),ISNUMBER(IFERROR(VALUE(INDEX(Spaces!$B$5:$B$16,MATCH(Responses!AS192,Spaces!$A$5:$A$16,0))&amp;""),""))),IF(Responses!AX192&gt;IFERROR(VALUE(INDEX(Spaces!$B$5:$B$16,MATCH(Responses!AS192,Spaces!$A$5:$A$16,0))&amp;""),""),"Over by "&amp;(Responses!AX192-IFERROR(VALUE(INDEX(Spaces!$B$5:$B$16,MATCH(Responses!AS192,Spaces!$A$5:$A$16,0))&amp;""),"")),"OK"),""))</f>
        <v/>
      </c>
      <c r="H196" s="28">
        <f>Responses!BF192</f>
        <v/>
      </c>
      <c r="I196" s="28">
        <f>IF(Responses!AS192="","",Responses!AO192&amp;"")</f>
        <v/>
      </c>
      <c r="J196" s="28">
        <f>IF(Responses!AS192="","",Responses!AZ192&amp;"")</f>
        <v/>
      </c>
      <c r="K196" s="29">
        <f>Responses!AY192</f>
        <v/>
      </c>
      <c r="L196" s="28">
        <f>IF(Responses!AS192="","",IF(Responses!AY192="Declined","",IF(Responses!BA192=0,"Check date and times",IF(Responses!BB192&gt;0,Responses!BC192,"No clash"))))</f>
        <v/>
      </c>
    </row>
    <row r="197">
      <c r="A197" s="27">
        <f>IF(Responses!AS193="","",IF(Responses!AT193&gt;0,Responses!AT193,"Check date"))</f>
        <v/>
      </c>
      <c r="B197" s="28">
        <f>Responses!AS193</f>
        <v/>
      </c>
      <c r="C197" s="29">
        <f>IF(Responses!AS193="","",IF(Responses!AU193&gt;=0,IF(Responses!AU193="","",RIGHT("0"&amp;INT(Responses!AU193/60),2)&amp;":"&amp;RIGHT("0"&amp;MOD(Responses!AU193,60),2)),"Check"))</f>
        <v/>
      </c>
      <c r="D197" s="29">
        <f>IF(Responses!AS193="","",IF(Responses!AV193&gt;=0,IF(Responses!AV193="","",RIGHT("0"&amp;INT(Responses!AV193/60),2)&amp;":"&amp;RIGHT("0"&amp;MOD(Responses!AV193,60),2)),"Check"))</f>
        <v/>
      </c>
      <c r="E197" s="28">
        <f>Responses!AW193</f>
        <v/>
      </c>
      <c r="F197" s="29">
        <f>Responses!AX193</f>
        <v/>
      </c>
      <c r="G197" s="29">
        <f>IF(Responses!AS193="","",IF(AND(ISNUMBER(Responses!AX193),ISNUMBER(IFERROR(VALUE(INDEX(Spaces!$B$5:$B$16,MATCH(Responses!AS193,Spaces!$A$5:$A$16,0))&amp;""),""))),IF(Responses!AX193&gt;IFERROR(VALUE(INDEX(Spaces!$B$5:$B$16,MATCH(Responses!AS193,Spaces!$A$5:$A$16,0))&amp;""),""),"Over by "&amp;(Responses!AX193-IFERROR(VALUE(INDEX(Spaces!$B$5:$B$16,MATCH(Responses!AS193,Spaces!$A$5:$A$16,0))&amp;""),"")),"OK"),""))</f>
        <v/>
      </c>
      <c r="H197" s="28">
        <f>Responses!BF193</f>
        <v/>
      </c>
      <c r="I197" s="28">
        <f>IF(Responses!AS193="","",Responses!AO193&amp;"")</f>
        <v/>
      </c>
      <c r="J197" s="28">
        <f>IF(Responses!AS193="","",Responses!AZ193&amp;"")</f>
        <v/>
      </c>
      <c r="K197" s="29">
        <f>Responses!AY193</f>
        <v/>
      </c>
      <c r="L197" s="28">
        <f>IF(Responses!AS193="","",IF(Responses!AY193="Declined","",IF(Responses!BA193=0,"Check date and times",IF(Responses!BB193&gt;0,Responses!BC193,"No clash"))))</f>
        <v/>
      </c>
    </row>
    <row r="198">
      <c r="A198" s="27">
        <f>IF(Responses!AS194="","",IF(Responses!AT194&gt;0,Responses!AT194,"Check date"))</f>
        <v/>
      </c>
      <c r="B198" s="28">
        <f>Responses!AS194</f>
        <v/>
      </c>
      <c r="C198" s="29">
        <f>IF(Responses!AS194="","",IF(Responses!AU194&gt;=0,IF(Responses!AU194="","",RIGHT("0"&amp;INT(Responses!AU194/60),2)&amp;":"&amp;RIGHT("0"&amp;MOD(Responses!AU194,60),2)),"Check"))</f>
        <v/>
      </c>
      <c r="D198" s="29">
        <f>IF(Responses!AS194="","",IF(Responses!AV194&gt;=0,IF(Responses!AV194="","",RIGHT("0"&amp;INT(Responses!AV194/60),2)&amp;":"&amp;RIGHT("0"&amp;MOD(Responses!AV194,60),2)),"Check"))</f>
        <v/>
      </c>
      <c r="E198" s="28">
        <f>Responses!AW194</f>
        <v/>
      </c>
      <c r="F198" s="29">
        <f>Responses!AX194</f>
        <v/>
      </c>
      <c r="G198" s="29">
        <f>IF(Responses!AS194="","",IF(AND(ISNUMBER(Responses!AX194),ISNUMBER(IFERROR(VALUE(INDEX(Spaces!$B$5:$B$16,MATCH(Responses!AS194,Spaces!$A$5:$A$16,0))&amp;""),""))),IF(Responses!AX194&gt;IFERROR(VALUE(INDEX(Spaces!$B$5:$B$16,MATCH(Responses!AS194,Spaces!$A$5:$A$16,0))&amp;""),""),"Over by "&amp;(Responses!AX194-IFERROR(VALUE(INDEX(Spaces!$B$5:$B$16,MATCH(Responses!AS194,Spaces!$A$5:$A$16,0))&amp;""),"")),"OK"),""))</f>
        <v/>
      </c>
      <c r="H198" s="28">
        <f>Responses!BF194</f>
        <v/>
      </c>
      <c r="I198" s="28">
        <f>IF(Responses!AS194="","",Responses!AO194&amp;"")</f>
        <v/>
      </c>
      <c r="J198" s="28">
        <f>IF(Responses!AS194="","",Responses!AZ194&amp;"")</f>
        <v/>
      </c>
      <c r="K198" s="29">
        <f>Responses!AY194</f>
        <v/>
      </c>
      <c r="L198" s="28">
        <f>IF(Responses!AS194="","",IF(Responses!AY194="Declined","",IF(Responses!BA194=0,"Check date and times",IF(Responses!BB194&gt;0,Responses!BC194,"No clash"))))</f>
        <v/>
      </c>
    </row>
    <row r="199">
      <c r="A199" s="27">
        <f>IF(Responses!AS195="","",IF(Responses!AT195&gt;0,Responses!AT195,"Check date"))</f>
        <v/>
      </c>
      <c r="B199" s="28">
        <f>Responses!AS195</f>
        <v/>
      </c>
      <c r="C199" s="29">
        <f>IF(Responses!AS195="","",IF(Responses!AU195&gt;=0,IF(Responses!AU195="","",RIGHT("0"&amp;INT(Responses!AU195/60),2)&amp;":"&amp;RIGHT("0"&amp;MOD(Responses!AU195,60),2)),"Check"))</f>
        <v/>
      </c>
      <c r="D199" s="29">
        <f>IF(Responses!AS195="","",IF(Responses!AV195&gt;=0,IF(Responses!AV195="","",RIGHT("0"&amp;INT(Responses!AV195/60),2)&amp;":"&amp;RIGHT("0"&amp;MOD(Responses!AV195,60),2)),"Check"))</f>
        <v/>
      </c>
      <c r="E199" s="28">
        <f>Responses!AW195</f>
        <v/>
      </c>
      <c r="F199" s="29">
        <f>Responses!AX195</f>
        <v/>
      </c>
      <c r="G199" s="29">
        <f>IF(Responses!AS195="","",IF(AND(ISNUMBER(Responses!AX195),ISNUMBER(IFERROR(VALUE(INDEX(Spaces!$B$5:$B$16,MATCH(Responses!AS195,Spaces!$A$5:$A$16,0))&amp;""),""))),IF(Responses!AX195&gt;IFERROR(VALUE(INDEX(Spaces!$B$5:$B$16,MATCH(Responses!AS195,Spaces!$A$5:$A$16,0))&amp;""),""),"Over by "&amp;(Responses!AX195-IFERROR(VALUE(INDEX(Spaces!$B$5:$B$16,MATCH(Responses!AS195,Spaces!$A$5:$A$16,0))&amp;""),"")),"OK"),""))</f>
        <v/>
      </c>
      <c r="H199" s="28">
        <f>Responses!BF195</f>
        <v/>
      </c>
      <c r="I199" s="28">
        <f>IF(Responses!AS195="","",Responses!AO195&amp;"")</f>
        <v/>
      </c>
      <c r="J199" s="28">
        <f>IF(Responses!AS195="","",Responses!AZ195&amp;"")</f>
        <v/>
      </c>
      <c r="K199" s="29">
        <f>Responses!AY195</f>
        <v/>
      </c>
      <c r="L199" s="28">
        <f>IF(Responses!AS195="","",IF(Responses!AY195="Declined","",IF(Responses!BA195=0,"Check date and times",IF(Responses!BB195&gt;0,Responses!BC195,"No clash"))))</f>
        <v/>
      </c>
    </row>
    <row r="200">
      <c r="A200" s="27">
        <f>IF(Responses!AS196="","",IF(Responses!AT196&gt;0,Responses!AT196,"Check date"))</f>
        <v/>
      </c>
      <c r="B200" s="28">
        <f>Responses!AS196</f>
        <v/>
      </c>
      <c r="C200" s="29">
        <f>IF(Responses!AS196="","",IF(Responses!AU196&gt;=0,IF(Responses!AU196="","",RIGHT("0"&amp;INT(Responses!AU196/60),2)&amp;":"&amp;RIGHT("0"&amp;MOD(Responses!AU196,60),2)),"Check"))</f>
        <v/>
      </c>
      <c r="D200" s="29">
        <f>IF(Responses!AS196="","",IF(Responses!AV196&gt;=0,IF(Responses!AV196="","",RIGHT("0"&amp;INT(Responses!AV196/60),2)&amp;":"&amp;RIGHT("0"&amp;MOD(Responses!AV196,60),2)),"Check"))</f>
        <v/>
      </c>
      <c r="E200" s="28">
        <f>Responses!AW196</f>
        <v/>
      </c>
      <c r="F200" s="29">
        <f>Responses!AX196</f>
        <v/>
      </c>
      <c r="G200" s="29">
        <f>IF(Responses!AS196="","",IF(AND(ISNUMBER(Responses!AX196),ISNUMBER(IFERROR(VALUE(INDEX(Spaces!$B$5:$B$16,MATCH(Responses!AS196,Spaces!$A$5:$A$16,0))&amp;""),""))),IF(Responses!AX196&gt;IFERROR(VALUE(INDEX(Spaces!$B$5:$B$16,MATCH(Responses!AS196,Spaces!$A$5:$A$16,0))&amp;""),""),"Over by "&amp;(Responses!AX196-IFERROR(VALUE(INDEX(Spaces!$B$5:$B$16,MATCH(Responses!AS196,Spaces!$A$5:$A$16,0))&amp;""),"")),"OK"),""))</f>
        <v/>
      </c>
      <c r="H200" s="28">
        <f>Responses!BF196</f>
        <v/>
      </c>
      <c r="I200" s="28">
        <f>IF(Responses!AS196="","",Responses!AO196&amp;"")</f>
        <v/>
      </c>
      <c r="J200" s="28">
        <f>IF(Responses!AS196="","",Responses!AZ196&amp;"")</f>
        <v/>
      </c>
      <c r="K200" s="29">
        <f>Responses!AY196</f>
        <v/>
      </c>
      <c r="L200" s="28">
        <f>IF(Responses!AS196="","",IF(Responses!AY196="Declined","",IF(Responses!BA196=0,"Check date and times",IF(Responses!BB196&gt;0,Responses!BC196,"No clash"))))</f>
        <v/>
      </c>
    </row>
    <row r="201">
      <c r="A201" s="27">
        <f>IF(Responses!AS197="","",IF(Responses!AT197&gt;0,Responses!AT197,"Check date"))</f>
        <v/>
      </c>
      <c r="B201" s="28">
        <f>Responses!AS197</f>
        <v/>
      </c>
      <c r="C201" s="29">
        <f>IF(Responses!AS197="","",IF(Responses!AU197&gt;=0,IF(Responses!AU197="","",RIGHT("0"&amp;INT(Responses!AU197/60),2)&amp;":"&amp;RIGHT("0"&amp;MOD(Responses!AU197,60),2)),"Check"))</f>
        <v/>
      </c>
      <c r="D201" s="29">
        <f>IF(Responses!AS197="","",IF(Responses!AV197&gt;=0,IF(Responses!AV197="","",RIGHT("0"&amp;INT(Responses!AV197/60),2)&amp;":"&amp;RIGHT("0"&amp;MOD(Responses!AV197,60),2)),"Check"))</f>
        <v/>
      </c>
      <c r="E201" s="28">
        <f>Responses!AW197</f>
        <v/>
      </c>
      <c r="F201" s="29">
        <f>Responses!AX197</f>
        <v/>
      </c>
      <c r="G201" s="29">
        <f>IF(Responses!AS197="","",IF(AND(ISNUMBER(Responses!AX197),ISNUMBER(IFERROR(VALUE(INDEX(Spaces!$B$5:$B$16,MATCH(Responses!AS197,Spaces!$A$5:$A$16,0))&amp;""),""))),IF(Responses!AX197&gt;IFERROR(VALUE(INDEX(Spaces!$B$5:$B$16,MATCH(Responses!AS197,Spaces!$A$5:$A$16,0))&amp;""),""),"Over by "&amp;(Responses!AX197-IFERROR(VALUE(INDEX(Spaces!$B$5:$B$16,MATCH(Responses!AS197,Spaces!$A$5:$A$16,0))&amp;""),"")),"OK"),""))</f>
        <v/>
      </c>
      <c r="H201" s="28">
        <f>Responses!BF197</f>
        <v/>
      </c>
      <c r="I201" s="28">
        <f>IF(Responses!AS197="","",Responses!AO197&amp;"")</f>
        <v/>
      </c>
      <c r="J201" s="28">
        <f>IF(Responses!AS197="","",Responses!AZ197&amp;"")</f>
        <v/>
      </c>
      <c r="K201" s="29">
        <f>Responses!AY197</f>
        <v/>
      </c>
      <c r="L201" s="28">
        <f>IF(Responses!AS197="","",IF(Responses!AY197="Declined","",IF(Responses!BA197=0,"Check date and times",IF(Responses!BB197&gt;0,Responses!BC197,"No clash"))))</f>
        <v/>
      </c>
    </row>
    <row r="202">
      <c r="A202" s="27">
        <f>IF(Responses!AS198="","",IF(Responses!AT198&gt;0,Responses!AT198,"Check date"))</f>
        <v/>
      </c>
      <c r="B202" s="28">
        <f>Responses!AS198</f>
        <v/>
      </c>
      <c r="C202" s="29">
        <f>IF(Responses!AS198="","",IF(Responses!AU198&gt;=0,IF(Responses!AU198="","",RIGHT("0"&amp;INT(Responses!AU198/60),2)&amp;":"&amp;RIGHT("0"&amp;MOD(Responses!AU198,60),2)),"Check"))</f>
        <v/>
      </c>
      <c r="D202" s="29">
        <f>IF(Responses!AS198="","",IF(Responses!AV198&gt;=0,IF(Responses!AV198="","",RIGHT("0"&amp;INT(Responses!AV198/60),2)&amp;":"&amp;RIGHT("0"&amp;MOD(Responses!AV198,60),2)),"Check"))</f>
        <v/>
      </c>
      <c r="E202" s="28">
        <f>Responses!AW198</f>
        <v/>
      </c>
      <c r="F202" s="29">
        <f>Responses!AX198</f>
        <v/>
      </c>
      <c r="G202" s="29">
        <f>IF(Responses!AS198="","",IF(AND(ISNUMBER(Responses!AX198),ISNUMBER(IFERROR(VALUE(INDEX(Spaces!$B$5:$B$16,MATCH(Responses!AS198,Spaces!$A$5:$A$16,0))&amp;""),""))),IF(Responses!AX198&gt;IFERROR(VALUE(INDEX(Spaces!$B$5:$B$16,MATCH(Responses!AS198,Spaces!$A$5:$A$16,0))&amp;""),""),"Over by "&amp;(Responses!AX198-IFERROR(VALUE(INDEX(Spaces!$B$5:$B$16,MATCH(Responses!AS198,Spaces!$A$5:$A$16,0))&amp;""),"")),"OK"),""))</f>
        <v/>
      </c>
      <c r="H202" s="28">
        <f>Responses!BF198</f>
        <v/>
      </c>
      <c r="I202" s="28">
        <f>IF(Responses!AS198="","",Responses!AO198&amp;"")</f>
        <v/>
      </c>
      <c r="J202" s="28">
        <f>IF(Responses!AS198="","",Responses!AZ198&amp;"")</f>
        <v/>
      </c>
      <c r="K202" s="29">
        <f>Responses!AY198</f>
        <v/>
      </c>
      <c r="L202" s="28">
        <f>IF(Responses!AS198="","",IF(Responses!AY198="Declined","",IF(Responses!BA198=0,"Check date and times",IF(Responses!BB198&gt;0,Responses!BC198,"No clash"))))</f>
        <v/>
      </c>
    </row>
    <row r="203">
      <c r="A203" s="27">
        <f>IF(Responses!AS199="","",IF(Responses!AT199&gt;0,Responses!AT199,"Check date"))</f>
        <v/>
      </c>
      <c r="B203" s="28">
        <f>Responses!AS199</f>
        <v/>
      </c>
      <c r="C203" s="29">
        <f>IF(Responses!AS199="","",IF(Responses!AU199&gt;=0,IF(Responses!AU199="","",RIGHT("0"&amp;INT(Responses!AU199/60),2)&amp;":"&amp;RIGHT("0"&amp;MOD(Responses!AU199,60),2)),"Check"))</f>
        <v/>
      </c>
      <c r="D203" s="29">
        <f>IF(Responses!AS199="","",IF(Responses!AV199&gt;=0,IF(Responses!AV199="","",RIGHT("0"&amp;INT(Responses!AV199/60),2)&amp;":"&amp;RIGHT("0"&amp;MOD(Responses!AV199,60),2)),"Check"))</f>
        <v/>
      </c>
      <c r="E203" s="28">
        <f>Responses!AW199</f>
        <v/>
      </c>
      <c r="F203" s="29">
        <f>Responses!AX199</f>
        <v/>
      </c>
      <c r="G203" s="29">
        <f>IF(Responses!AS199="","",IF(AND(ISNUMBER(Responses!AX199),ISNUMBER(IFERROR(VALUE(INDEX(Spaces!$B$5:$B$16,MATCH(Responses!AS199,Spaces!$A$5:$A$16,0))&amp;""),""))),IF(Responses!AX199&gt;IFERROR(VALUE(INDEX(Spaces!$B$5:$B$16,MATCH(Responses!AS199,Spaces!$A$5:$A$16,0))&amp;""),""),"Over by "&amp;(Responses!AX199-IFERROR(VALUE(INDEX(Spaces!$B$5:$B$16,MATCH(Responses!AS199,Spaces!$A$5:$A$16,0))&amp;""),"")),"OK"),""))</f>
        <v/>
      </c>
      <c r="H203" s="28">
        <f>Responses!BF199</f>
        <v/>
      </c>
      <c r="I203" s="28">
        <f>IF(Responses!AS199="","",Responses!AO199&amp;"")</f>
        <v/>
      </c>
      <c r="J203" s="28">
        <f>IF(Responses!AS199="","",Responses!AZ199&amp;"")</f>
        <v/>
      </c>
      <c r="K203" s="29">
        <f>Responses!AY199</f>
        <v/>
      </c>
      <c r="L203" s="28">
        <f>IF(Responses!AS199="","",IF(Responses!AY199="Declined","",IF(Responses!BA199=0,"Check date and times",IF(Responses!BB199&gt;0,Responses!BC199,"No clash"))))</f>
        <v/>
      </c>
    </row>
    <row r="204">
      <c r="A204" s="27">
        <f>IF(Responses!AS200="","",IF(Responses!AT200&gt;0,Responses!AT200,"Check date"))</f>
        <v/>
      </c>
      <c r="B204" s="28">
        <f>Responses!AS200</f>
        <v/>
      </c>
      <c r="C204" s="29">
        <f>IF(Responses!AS200="","",IF(Responses!AU200&gt;=0,IF(Responses!AU200="","",RIGHT("0"&amp;INT(Responses!AU200/60),2)&amp;":"&amp;RIGHT("0"&amp;MOD(Responses!AU200,60),2)),"Check"))</f>
        <v/>
      </c>
      <c r="D204" s="29">
        <f>IF(Responses!AS200="","",IF(Responses!AV200&gt;=0,IF(Responses!AV200="","",RIGHT("0"&amp;INT(Responses!AV200/60),2)&amp;":"&amp;RIGHT("0"&amp;MOD(Responses!AV200,60),2)),"Check"))</f>
        <v/>
      </c>
      <c r="E204" s="28">
        <f>Responses!AW200</f>
        <v/>
      </c>
      <c r="F204" s="29">
        <f>Responses!AX200</f>
        <v/>
      </c>
      <c r="G204" s="29">
        <f>IF(Responses!AS200="","",IF(AND(ISNUMBER(Responses!AX200),ISNUMBER(IFERROR(VALUE(INDEX(Spaces!$B$5:$B$16,MATCH(Responses!AS200,Spaces!$A$5:$A$16,0))&amp;""),""))),IF(Responses!AX200&gt;IFERROR(VALUE(INDEX(Spaces!$B$5:$B$16,MATCH(Responses!AS200,Spaces!$A$5:$A$16,0))&amp;""),""),"Over by "&amp;(Responses!AX200-IFERROR(VALUE(INDEX(Spaces!$B$5:$B$16,MATCH(Responses!AS200,Spaces!$A$5:$A$16,0))&amp;""),"")),"OK"),""))</f>
        <v/>
      </c>
      <c r="H204" s="28">
        <f>Responses!BF200</f>
        <v/>
      </c>
      <c r="I204" s="28">
        <f>IF(Responses!AS200="","",Responses!AO200&amp;"")</f>
        <v/>
      </c>
      <c r="J204" s="28">
        <f>IF(Responses!AS200="","",Responses!AZ200&amp;"")</f>
        <v/>
      </c>
      <c r="K204" s="29">
        <f>Responses!AY200</f>
        <v/>
      </c>
      <c r="L204" s="28">
        <f>IF(Responses!AS200="","",IF(Responses!AY200="Declined","",IF(Responses!BA200=0,"Check date and times",IF(Responses!BB200&gt;0,Responses!BC200,"No clash"))))</f>
        <v/>
      </c>
    </row>
    <row r="205">
      <c r="A205" s="27">
        <f>IF(Responses!AS201="","",IF(Responses!AT201&gt;0,Responses!AT201,"Check date"))</f>
        <v/>
      </c>
      <c r="B205" s="28">
        <f>Responses!AS201</f>
        <v/>
      </c>
      <c r="C205" s="29">
        <f>IF(Responses!AS201="","",IF(Responses!AU201&gt;=0,IF(Responses!AU201="","",RIGHT("0"&amp;INT(Responses!AU201/60),2)&amp;":"&amp;RIGHT("0"&amp;MOD(Responses!AU201,60),2)),"Check"))</f>
        <v/>
      </c>
      <c r="D205" s="29">
        <f>IF(Responses!AS201="","",IF(Responses!AV201&gt;=0,IF(Responses!AV201="","",RIGHT("0"&amp;INT(Responses!AV201/60),2)&amp;":"&amp;RIGHT("0"&amp;MOD(Responses!AV201,60),2)),"Check"))</f>
        <v/>
      </c>
      <c r="E205" s="28">
        <f>Responses!AW201</f>
        <v/>
      </c>
      <c r="F205" s="29">
        <f>Responses!AX201</f>
        <v/>
      </c>
      <c r="G205" s="29">
        <f>IF(Responses!AS201="","",IF(AND(ISNUMBER(Responses!AX201),ISNUMBER(IFERROR(VALUE(INDEX(Spaces!$B$5:$B$16,MATCH(Responses!AS201,Spaces!$A$5:$A$16,0))&amp;""),""))),IF(Responses!AX201&gt;IFERROR(VALUE(INDEX(Spaces!$B$5:$B$16,MATCH(Responses!AS201,Spaces!$A$5:$A$16,0))&amp;""),""),"Over by "&amp;(Responses!AX201-IFERROR(VALUE(INDEX(Spaces!$B$5:$B$16,MATCH(Responses!AS201,Spaces!$A$5:$A$16,0))&amp;""),"")),"OK"),""))</f>
        <v/>
      </c>
      <c r="H205" s="28">
        <f>Responses!BF201</f>
        <v/>
      </c>
      <c r="I205" s="28">
        <f>IF(Responses!AS201="","",Responses!AO201&amp;"")</f>
        <v/>
      </c>
      <c r="J205" s="28">
        <f>IF(Responses!AS201="","",Responses!AZ201&amp;"")</f>
        <v/>
      </c>
      <c r="K205" s="29">
        <f>Responses!AY201</f>
        <v/>
      </c>
      <c r="L205" s="28">
        <f>IF(Responses!AS201="","",IF(Responses!AY201="Declined","",IF(Responses!BA201=0,"Check date and times",IF(Responses!BB201&gt;0,Responses!BC201,"No clash"))))</f>
        <v/>
      </c>
    </row>
    <row r="206">
      <c r="A206" s="27">
        <f>IF(Responses!AS202="","",IF(Responses!AT202&gt;0,Responses!AT202,"Check date"))</f>
        <v/>
      </c>
      <c r="B206" s="28">
        <f>Responses!AS202</f>
        <v/>
      </c>
      <c r="C206" s="29">
        <f>IF(Responses!AS202="","",IF(Responses!AU202&gt;=0,IF(Responses!AU202="","",RIGHT("0"&amp;INT(Responses!AU202/60),2)&amp;":"&amp;RIGHT("0"&amp;MOD(Responses!AU202,60),2)),"Check"))</f>
        <v/>
      </c>
      <c r="D206" s="29">
        <f>IF(Responses!AS202="","",IF(Responses!AV202&gt;=0,IF(Responses!AV202="","",RIGHT("0"&amp;INT(Responses!AV202/60),2)&amp;":"&amp;RIGHT("0"&amp;MOD(Responses!AV202,60),2)),"Check"))</f>
        <v/>
      </c>
      <c r="E206" s="28">
        <f>Responses!AW202</f>
        <v/>
      </c>
      <c r="F206" s="29">
        <f>Responses!AX202</f>
        <v/>
      </c>
      <c r="G206" s="29">
        <f>IF(Responses!AS202="","",IF(AND(ISNUMBER(Responses!AX202),ISNUMBER(IFERROR(VALUE(INDEX(Spaces!$B$5:$B$16,MATCH(Responses!AS202,Spaces!$A$5:$A$16,0))&amp;""),""))),IF(Responses!AX202&gt;IFERROR(VALUE(INDEX(Spaces!$B$5:$B$16,MATCH(Responses!AS202,Spaces!$A$5:$A$16,0))&amp;""),""),"Over by "&amp;(Responses!AX202-IFERROR(VALUE(INDEX(Spaces!$B$5:$B$16,MATCH(Responses!AS202,Spaces!$A$5:$A$16,0))&amp;""),"")),"OK"),""))</f>
        <v/>
      </c>
      <c r="H206" s="28">
        <f>Responses!BF202</f>
        <v/>
      </c>
      <c r="I206" s="28">
        <f>IF(Responses!AS202="","",Responses!AO202&amp;"")</f>
        <v/>
      </c>
      <c r="J206" s="28">
        <f>IF(Responses!AS202="","",Responses!AZ202&amp;"")</f>
        <v/>
      </c>
      <c r="K206" s="29">
        <f>Responses!AY202</f>
        <v/>
      </c>
      <c r="L206" s="28">
        <f>IF(Responses!AS202="","",IF(Responses!AY202="Declined","",IF(Responses!BA202=0,"Check date and times",IF(Responses!BB202&gt;0,Responses!BC202,"No clash"))))</f>
        <v/>
      </c>
    </row>
    <row r="207">
      <c r="A207" s="27">
        <f>IF(Responses!AS203="","",IF(Responses!AT203&gt;0,Responses!AT203,"Check date"))</f>
        <v/>
      </c>
      <c r="B207" s="28">
        <f>Responses!AS203</f>
        <v/>
      </c>
      <c r="C207" s="29">
        <f>IF(Responses!AS203="","",IF(Responses!AU203&gt;=0,IF(Responses!AU203="","",RIGHT("0"&amp;INT(Responses!AU203/60),2)&amp;":"&amp;RIGHT("0"&amp;MOD(Responses!AU203,60),2)),"Check"))</f>
        <v/>
      </c>
      <c r="D207" s="29">
        <f>IF(Responses!AS203="","",IF(Responses!AV203&gt;=0,IF(Responses!AV203="","",RIGHT("0"&amp;INT(Responses!AV203/60),2)&amp;":"&amp;RIGHT("0"&amp;MOD(Responses!AV203,60),2)),"Check"))</f>
        <v/>
      </c>
      <c r="E207" s="28">
        <f>Responses!AW203</f>
        <v/>
      </c>
      <c r="F207" s="29">
        <f>Responses!AX203</f>
        <v/>
      </c>
      <c r="G207" s="29">
        <f>IF(Responses!AS203="","",IF(AND(ISNUMBER(Responses!AX203),ISNUMBER(IFERROR(VALUE(INDEX(Spaces!$B$5:$B$16,MATCH(Responses!AS203,Spaces!$A$5:$A$16,0))&amp;""),""))),IF(Responses!AX203&gt;IFERROR(VALUE(INDEX(Spaces!$B$5:$B$16,MATCH(Responses!AS203,Spaces!$A$5:$A$16,0))&amp;""),""),"Over by "&amp;(Responses!AX203-IFERROR(VALUE(INDEX(Spaces!$B$5:$B$16,MATCH(Responses!AS203,Spaces!$A$5:$A$16,0))&amp;""),"")),"OK"),""))</f>
        <v/>
      </c>
      <c r="H207" s="28">
        <f>Responses!BF203</f>
        <v/>
      </c>
      <c r="I207" s="28">
        <f>IF(Responses!AS203="","",Responses!AO203&amp;"")</f>
        <v/>
      </c>
      <c r="J207" s="28">
        <f>IF(Responses!AS203="","",Responses!AZ203&amp;"")</f>
        <v/>
      </c>
      <c r="K207" s="29">
        <f>Responses!AY203</f>
        <v/>
      </c>
      <c r="L207" s="28">
        <f>IF(Responses!AS203="","",IF(Responses!AY203="Declined","",IF(Responses!BA203=0,"Check date and times",IF(Responses!BB203&gt;0,Responses!BC203,"No clash"))))</f>
        <v/>
      </c>
    </row>
    <row r="208">
      <c r="A208" s="27">
        <f>IF(Responses!AS204="","",IF(Responses!AT204&gt;0,Responses!AT204,"Check date"))</f>
        <v/>
      </c>
      <c r="B208" s="28">
        <f>Responses!AS204</f>
        <v/>
      </c>
      <c r="C208" s="29">
        <f>IF(Responses!AS204="","",IF(Responses!AU204&gt;=0,IF(Responses!AU204="","",RIGHT("0"&amp;INT(Responses!AU204/60),2)&amp;":"&amp;RIGHT("0"&amp;MOD(Responses!AU204,60),2)),"Check"))</f>
        <v/>
      </c>
      <c r="D208" s="29">
        <f>IF(Responses!AS204="","",IF(Responses!AV204&gt;=0,IF(Responses!AV204="","",RIGHT("0"&amp;INT(Responses!AV204/60),2)&amp;":"&amp;RIGHT("0"&amp;MOD(Responses!AV204,60),2)),"Check"))</f>
        <v/>
      </c>
      <c r="E208" s="28">
        <f>Responses!AW204</f>
        <v/>
      </c>
      <c r="F208" s="29">
        <f>Responses!AX204</f>
        <v/>
      </c>
      <c r="G208" s="29">
        <f>IF(Responses!AS204="","",IF(AND(ISNUMBER(Responses!AX204),ISNUMBER(IFERROR(VALUE(INDEX(Spaces!$B$5:$B$16,MATCH(Responses!AS204,Spaces!$A$5:$A$16,0))&amp;""),""))),IF(Responses!AX204&gt;IFERROR(VALUE(INDEX(Spaces!$B$5:$B$16,MATCH(Responses!AS204,Spaces!$A$5:$A$16,0))&amp;""),""),"Over by "&amp;(Responses!AX204-IFERROR(VALUE(INDEX(Spaces!$B$5:$B$16,MATCH(Responses!AS204,Spaces!$A$5:$A$16,0))&amp;""),"")),"OK"),""))</f>
        <v/>
      </c>
      <c r="H208" s="28">
        <f>Responses!BF204</f>
        <v/>
      </c>
      <c r="I208" s="28">
        <f>IF(Responses!AS204="","",Responses!AO204&amp;"")</f>
        <v/>
      </c>
      <c r="J208" s="28">
        <f>IF(Responses!AS204="","",Responses!AZ204&amp;"")</f>
        <v/>
      </c>
      <c r="K208" s="29">
        <f>Responses!AY204</f>
        <v/>
      </c>
      <c r="L208" s="28">
        <f>IF(Responses!AS204="","",IF(Responses!AY204="Declined","",IF(Responses!BA204=0,"Check date and times",IF(Responses!BB204&gt;0,Responses!BC204,"No clash"))))</f>
        <v/>
      </c>
    </row>
    <row r="209">
      <c r="A209" s="27">
        <f>IF(Responses!AS205="","",IF(Responses!AT205&gt;0,Responses!AT205,"Check date"))</f>
        <v/>
      </c>
      <c r="B209" s="28">
        <f>Responses!AS205</f>
        <v/>
      </c>
      <c r="C209" s="29">
        <f>IF(Responses!AS205="","",IF(Responses!AU205&gt;=0,IF(Responses!AU205="","",RIGHT("0"&amp;INT(Responses!AU205/60),2)&amp;":"&amp;RIGHT("0"&amp;MOD(Responses!AU205,60),2)),"Check"))</f>
        <v/>
      </c>
      <c r="D209" s="29">
        <f>IF(Responses!AS205="","",IF(Responses!AV205&gt;=0,IF(Responses!AV205="","",RIGHT("0"&amp;INT(Responses!AV205/60),2)&amp;":"&amp;RIGHT("0"&amp;MOD(Responses!AV205,60),2)),"Check"))</f>
        <v/>
      </c>
      <c r="E209" s="28">
        <f>Responses!AW205</f>
        <v/>
      </c>
      <c r="F209" s="29">
        <f>Responses!AX205</f>
        <v/>
      </c>
      <c r="G209" s="29">
        <f>IF(Responses!AS205="","",IF(AND(ISNUMBER(Responses!AX205),ISNUMBER(IFERROR(VALUE(INDEX(Spaces!$B$5:$B$16,MATCH(Responses!AS205,Spaces!$A$5:$A$16,0))&amp;""),""))),IF(Responses!AX205&gt;IFERROR(VALUE(INDEX(Spaces!$B$5:$B$16,MATCH(Responses!AS205,Spaces!$A$5:$A$16,0))&amp;""),""),"Over by "&amp;(Responses!AX205-IFERROR(VALUE(INDEX(Spaces!$B$5:$B$16,MATCH(Responses!AS205,Spaces!$A$5:$A$16,0))&amp;""),"")),"OK"),""))</f>
        <v/>
      </c>
      <c r="H209" s="28">
        <f>Responses!BF205</f>
        <v/>
      </c>
      <c r="I209" s="28">
        <f>IF(Responses!AS205="","",Responses!AO205&amp;"")</f>
        <v/>
      </c>
      <c r="J209" s="28">
        <f>IF(Responses!AS205="","",Responses!AZ205&amp;"")</f>
        <v/>
      </c>
      <c r="K209" s="29">
        <f>Responses!AY205</f>
        <v/>
      </c>
      <c r="L209" s="28">
        <f>IF(Responses!AS205="","",IF(Responses!AY205="Declined","",IF(Responses!BA205=0,"Check date and times",IF(Responses!BB205&gt;0,Responses!BC205,"No clash"))))</f>
        <v/>
      </c>
    </row>
    <row r="210">
      <c r="A210" s="27">
        <f>IF(Responses!AS206="","",IF(Responses!AT206&gt;0,Responses!AT206,"Check date"))</f>
        <v/>
      </c>
      <c r="B210" s="28">
        <f>Responses!AS206</f>
        <v/>
      </c>
      <c r="C210" s="29">
        <f>IF(Responses!AS206="","",IF(Responses!AU206&gt;=0,IF(Responses!AU206="","",RIGHT("0"&amp;INT(Responses!AU206/60),2)&amp;":"&amp;RIGHT("0"&amp;MOD(Responses!AU206,60),2)),"Check"))</f>
        <v/>
      </c>
      <c r="D210" s="29">
        <f>IF(Responses!AS206="","",IF(Responses!AV206&gt;=0,IF(Responses!AV206="","",RIGHT("0"&amp;INT(Responses!AV206/60),2)&amp;":"&amp;RIGHT("0"&amp;MOD(Responses!AV206,60),2)),"Check"))</f>
        <v/>
      </c>
      <c r="E210" s="28">
        <f>Responses!AW206</f>
        <v/>
      </c>
      <c r="F210" s="29">
        <f>Responses!AX206</f>
        <v/>
      </c>
      <c r="G210" s="29">
        <f>IF(Responses!AS206="","",IF(AND(ISNUMBER(Responses!AX206),ISNUMBER(IFERROR(VALUE(INDEX(Spaces!$B$5:$B$16,MATCH(Responses!AS206,Spaces!$A$5:$A$16,0))&amp;""),""))),IF(Responses!AX206&gt;IFERROR(VALUE(INDEX(Spaces!$B$5:$B$16,MATCH(Responses!AS206,Spaces!$A$5:$A$16,0))&amp;""),""),"Over by "&amp;(Responses!AX206-IFERROR(VALUE(INDEX(Spaces!$B$5:$B$16,MATCH(Responses!AS206,Spaces!$A$5:$A$16,0))&amp;""),"")),"OK"),""))</f>
        <v/>
      </c>
      <c r="H210" s="28">
        <f>Responses!BF206</f>
        <v/>
      </c>
      <c r="I210" s="28">
        <f>IF(Responses!AS206="","",Responses!AO206&amp;"")</f>
        <v/>
      </c>
      <c r="J210" s="28">
        <f>IF(Responses!AS206="","",Responses!AZ206&amp;"")</f>
        <v/>
      </c>
      <c r="K210" s="29">
        <f>Responses!AY206</f>
        <v/>
      </c>
      <c r="L210" s="28">
        <f>IF(Responses!AS206="","",IF(Responses!AY206="Declined","",IF(Responses!BA206=0,"Check date and times",IF(Responses!BB206&gt;0,Responses!BC206,"No clash"))))</f>
        <v/>
      </c>
    </row>
    <row r="211">
      <c r="A211" s="27">
        <f>IF(Responses!AS207="","",IF(Responses!AT207&gt;0,Responses!AT207,"Check date"))</f>
        <v/>
      </c>
      <c r="B211" s="28">
        <f>Responses!AS207</f>
        <v/>
      </c>
      <c r="C211" s="29">
        <f>IF(Responses!AS207="","",IF(Responses!AU207&gt;=0,IF(Responses!AU207="","",RIGHT("0"&amp;INT(Responses!AU207/60),2)&amp;":"&amp;RIGHT("0"&amp;MOD(Responses!AU207,60),2)),"Check"))</f>
        <v/>
      </c>
      <c r="D211" s="29">
        <f>IF(Responses!AS207="","",IF(Responses!AV207&gt;=0,IF(Responses!AV207="","",RIGHT("0"&amp;INT(Responses!AV207/60),2)&amp;":"&amp;RIGHT("0"&amp;MOD(Responses!AV207,60),2)),"Check"))</f>
        <v/>
      </c>
      <c r="E211" s="28">
        <f>Responses!AW207</f>
        <v/>
      </c>
      <c r="F211" s="29">
        <f>Responses!AX207</f>
        <v/>
      </c>
      <c r="G211" s="29">
        <f>IF(Responses!AS207="","",IF(AND(ISNUMBER(Responses!AX207),ISNUMBER(IFERROR(VALUE(INDEX(Spaces!$B$5:$B$16,MATCH(Responses!AS207,Spaces!$A$5:$A$16,0))&amp;""),""))),IF(Responses!AX207&gt;IFERROR(VALUE(INDEX(Spaces!$B$5:$B$16,MATCH(Responses!AS207,Spaces!$A$5:$A$16,0))&amp;""),""),"Over by "&amp;(Responses!AX207-IFERROR(VALUE(INDEX(Spaces!$B$5:$B$16,MATCH(Responses!AS207,Spaces!$A$5:$A$16,0))&amp;""),"")),"OK"),""))</f>
        <v/>
      </c>
      <c r="H211" s="28">
        <f>Responses!BF207</f>
        <v/>
      </c>
      <c r="I211" s="28">
        <f>IF(Responses!AS207="","",Responses!AO207&amp;"")</f>
        <v/>
      </c>
      <c r="J211" s="28">
        <f>IF(Responses!AS207="","",Responses!AZ207&amp;"")</f>
        <v/>
      </c>
      <c r="K211" s="29">
        <f>Responses!AY207</f>
        <v/>
      </c>
      <c r="L211" s="28">
        <f>IF(Responses!AS207="","",IF(Responses!AY207="Declined","",IF(Responses!BA207=0,"Check date and times",IF(Responses!BB207&gt;0,Responses!BC207,"No clash"))))</f>
        <v/>
      </c>
    </row>
    <row r="212">
      <c r="A212" s="27">
        <f>IF(Responses!AS208="","",IF(Responses!AT208&gt;0,Responses!AT208,"Check date"))</f>
        <v/>
      </c>
      <c r="B212" s="28">
        <f>Responses!AS208</f>
        <v/>
      </c>
      <c r="C212" s="29">
        <f>IF(Responses!AS208="","",IF(Responses!AU208&gt;=0,IF(Responses!AU208="","",RIGHT("0"&amp;INT(Responses!AU208/60),2)&amp;":"&amp;RIGHT("0"&amp;MOD(Responses!AU208,60),2)),"Check"))</f>
        <v/>
      </c>
      <c r="D212" s="29">
        <f>IF(Responses!AS208="","",IF(Responses!AV208&gt;=0,IF(Responses!AV208="","",RIGHT("0"&amp;INT(Responses!AV208/60),2)&amp;":"&amp;RIGHT("0"&amp;MOD(Responses!AV208,60),2)),"Check"))</f>
        <v/>
      </c>
      <c r="E212" s="28">
        <f>Responses!AW208</f>
        <v/>
      </c>
      <c r="F212" s="29">
        <f>Responses!AX208</f>
        <v/>
      </c>
      <c r="G212" s="29">
        <f>IF(Responses!AS208="","",IF(AND(ISNUMBER(Responses!AX208),ISNUMBER(IFERROR(VALUE(INDEX(Spaces!$B$5:$B$16,MATCH(Responses!AS208,Spaces!$A$5:$A$16,0))&amp;""),""))),IF(Responses!AX208&gt;IFERROR(VALUE(INDEX(Spaces!$B$5:$B$16,MATCH(Responses!AS208,Spaces!$A$5:$A$16,0))&amp;""),""),"Over by "&amp;(Responses!AX208-IFERROR(VALUE(INDEX(Spaces!$B$5:$B$16,MATCH(Responses!AS208,Spaces!$A$5:$A$16,0))&amp;""),"")),"OK"),""))</f>
        <v/>
      </c>
      <c r="H212" s="28">
        <f>Responses!BF208</f>
        <v/>
      </c>
      <c r="I212" s="28">
        <f>IF(Responses!AS208="","",Responses!AO208&amp;"")</f>
        <v/>
      </c>
      <c r="J212" s="28">
        <f>IF(Responses!AS208="","",Responses!AZ208&amp;"")</f>
        <v/>
      </c>
      <c r="K212" s="29">
        <f>Responses!AY208</f>
        <v/>
      </c>
      <c r="L212" s="28">
        <f>IF(Responses!AS208="","",IF(Responses!AY208="Declined","",IF(Responses!BA208=0,"Check date and times",IF(Responses!BB208&gt;0,Responses!BC208,"No clash"))))</f>
        <v/>
      </c>
    </row>
    <row r="213">
      <c r="A213" s="27">
        <f>IF(Responses!AS209="","",IF(Responses!AT209&gt;0,Responses!AT209,"Check date"))</f>
        <v/>
      </c>
      <c r="B213" s="28">
        <f>Responses!AS209</f>
        <v/>
      </c>
      <c r="C213" s="29">
        <f>IF(Responses!AS209="","",IF(Responses!AU209&gt;=0,IF(Responses!AU209="","",RIGHT("0"&amp;INT(Responses!AU209/60),2)&amp;":"&amp;RIGHT("0"&amp;MOD(Responses!AU209,60),2)),"Check"))</f>
        <v/>
      </c>
      <c r="D213" s="29">
        <f>IF(Responses!AS209="","",IF(Responses!AV209&gt;=0,IF(Responses!AV209="","",RIGHT("0"&amp;INT(Responses!AV209/60),2)&amp;":"&amp;RIGHT("0"&amp;MOD(Responses!AV209,60),2)),"Check"))</f>
        <v/>
      </c>
      <c r="E213" s="28">
        <f>Responses!AW209</f>
        <v/>
      </c>
      <c r="F213" s="29">
        <f>Responses!AX209</f>
        <v/>
      </c>
      <c r="G213" s="29">
        <f>IF(Responses!AS209="","",IF(AND(ISNUMBER(Responses!AX209),ISNUMBER(IFERROR(VALUE(INDEX(Spaces!$B$5:$B$16,MATCH(Responses!AS209,Spaces!$A$5:$A$16,0))&amp;""),""))),IF(Responses!AX209&gt;IFERROR(VALUE(INDEX(Spaces!$B$5:$B$16,MATCH(Responses!AS209,Spaces!$A$5:$A$16,0))&amp;""),""),"Over by "&amp;(Responses!AX209-IFERROR(VALUE(INDEX(Spaces!$B$5:$B$16,MATCH(Responses!AS209,Spaces!$A$5:$A$16,0))&amp;""),"")),"OK"),""))</f>
        <v/>
      </c>
      <c r="H213" s="28">
        <f>Responses!BF209</f>
        <v/>
      </c>
      <c r="I213" s="28">
        <f>IF(Responses!AS209="","",Responses!AO209&amp;"")</f>
        <v/>
      </c>
      <c r="J213" s="28">
        <f>IF(Responses!AS209="","",Responses!AZ209&amp;"")</f>
        <v/>
      </c>
      <c r="K213" s="29">
        <f>Responses!AY209</f>
        <v/>
      </c>
      <c r="L213" s="28">
        <f>IF(Responses!AS209="","",IF(Responses!AY209="Declined","",IF(Responses!BA209=0,"Check date and times",IF(Responses!BB209&gt;0,Responses!BC209,"No clash"))))</f>
        <v/>
      </c>
    </row>
    <row r="214">
      <c r="A214" s="27">
        <f>IF(Responses!AS210="","",IF(Responses!AT210&gt;0,Responses!AT210,"Check date"))</f>
        <v/>
      </c>
      <c r="B214" s="28">
        <f>Responses!AS210</f>
        <v/>
      </c>
      <c r="C214" s="29">
        <f>IF(Responses!AS210="","",IF(Responses!AU210&gt;=0,IF(Responses!AU210="","",RIGHT("0"&amp;INT(Responses!AU210/60),2)&amp;":"&amp;RIGHT("0"&amp;MOD(Responses!AU210,60),2)),"Check"))</f>
        <v/>
      </c>
      <c r="D214" s="29">
        <f>IF(Responses!AS210="","",IF(Responses!AV210&gt;=0,IF(Responses!AV210="","",RIGHT("0"&amp;INT(Responses!AV210/60),2)&amp;":"&amp;RIGHT("0"&amp;MOD(Responses!AV210,60),2)),"Check"))</f>
        <v/>
      </c>
      <c r="E214" s="28">
        <f>Responses!AW210</f>
        <v/>
      </c>
      <c r="F214" s="29">
        <f>Responses!AX210</f>
        <v/>
      </c>
      <c r="G214" s="29">
        <f>IF(Responses!AS210="","",IF(AND(ISNUMBER(Responses!AX210),ISNUMBER(IFERROR(VALUE(INDEX(Spaces!$B$5:$B$16,MATCH(Responses!AS210,Spaces!$A$5:$A$16,0))&amp;""),""))),IF(Responses!AX210&gt;IFERROR(VALUE(INDEX(Spaces!$B$5:$B$16,MATCH(Responses!AS210,Spaces!$A$5:$A$16,0))&amp;""),""),"Over by "&amp;(Responses!AX210-IFERROR(VALUE(INDEX(Spaces!$B$5:$B$16,MATCH(Responses!AS210,Spaces!$A$5:$A$16,0))&amp;""),"")),"OK"),""))</f>
        <v/>
      </c>
      <c r="H214" s="28">
        <f>Responses!BF210</f>
        <v/>
      </c>
      <c r="I214" s="28">
        <f>IF(Responses!AS210="","",Responses!AO210&amp;"")</f>
        <v/>
      </c>
      <c r="J214" s="28">
        <f>IF(Responses!AS210="","",Responses!AZ210&amp;"")</f>
        <v/>
      </c>
      <c r="K214" s="29">
        <f>Responses!AY210</f>
        <v/>
      </c>
      <c r="L214" s="28">
        <f>IF(Responses!AS210="","",IF(Responses!AY210="Declined","",IF(Responses!BA210=0,"Check date and times",IF(Responses!BB210&gt;0,Responses!BC210,"No clash"))))</f>
        <v/>
      </c>
    </row>
    <row r="215">
      <c r="A215" s="27">
        <f>IF(Responses!AS211="","",IF(Responses!AT211&gt;0,Responses!AT211,"Check date"))</f>
        <v/>
      </c>
      <c r="B215" s="28">
        <f>Responses!AS211</f>
        <v/>
      </c>
      <c r="C215" s="29">
        <f>IF(Responses!AS211="","",IF(Responses!AU211&gt;=0,IF(Responses!AU211="","",RIGHT("0"&amp;INT(Responses!AU211/60),2)&amp;":"&amp;RIGHT("0"&amp;MOD(Responses!AU211,60),2)),"Check"))</f>
        <v/>
      </c>
      <c r="D215" s="29">
        <f>IF(Responses!AS211="","",IF(Responses!AV211&gt;=0,IF(Responses!AV211="","",RIGHT("0"&amp;INT(Responses!AV211/60),2)&amp;":"&amp;RIGHT("0"&amp;MOD(Responses!AV211,60),2)),"Check"))</f>
        <v/>
      </c>
      <c r="E215" s="28">
        <f>Responses!AW211</f>
        <v/>
      </c>
      <c r="F215" s="29">
        <f>Responses!AX211</f>
        <v/>
      </c>
      <c r="G215" s="29">
        <f>IF(Responses!AS211="","",IF(AND(ISNUMBER(Responses!AX211),ISNUMBER(IFERROR(VALUE(INDEX(Spaces!$B$5:$B$16,MATCH(Responses!AS211,Spaces!$A$5:$A$16,0))&amp;""),""))),IF(Responses!AX211&gt;IFERROR(VALUE(INDEX(Spaces!$B$5:$B$16,MATCH(Responses!AS211,Spaces!$A$5:$A$16,0))&amp;""),""),"Over by "&amp;(Responses!AX211-IFERROR(VALUE(INDEX(Spaces!$B$5:$B$16,MATCH(Responses!AS211,Spaces!$A$5:$A$16,0))&amp;""),"")),"OK"),""))</f>
        <v/>
      </c>
      <c r="H215" s="28">
        <f>Responses!BF211</f>
        <v/>
      </c>
      <c r="I215" s="28">
        <f>IF(Responses!AS211="","",Responses!AO211&amp;"")</f>
        <v/>
      </c>
      <c r="J215" s="28">
        <f>IF(Responses!AS211="","",Responses!AZ211&amp;"")</f>
        <v/>
      </c>
      <c r="K215" s="29">
        <f>Responses!AY211</f>
        <v/>
      </c>
      <c r="L215" s="28">
        <f>IF(Responses!AS211="","",IF(Responses!AY211="Declined","",IF(Responses!BA211=0,"Check date and times",IF(Responses!BB211&gt;0,Responses!BC211,"No clash"))))</f>
        <v/>
      </c>
    </row>
    <row r="216">
      <c r="A216" s="27">
        <f>IF(Responses!AS212="","",IF(Responses!AT212&gt;0,Responses!AT212,"Check date"))</f>
        <v/>
      </c>
      <c r="B216" s="28">
        <f>Responses!AS212</f>
        <v/>
      </c>
      <c r="C216" s="29">
        <f>IF(Responses!AS212="","",IF(Responses!AU212&gt;=0,IF(Responses!AU212="","",RIGHT("0"&amp;INT(Responses!AU212/60),2)&amp;":"&amp;RIGHT("0"&amp;MOD(Responses!AU212,60),2)),"Check"))</f>
        <v/>
      </c>
      <c r="D216" s="29">
        <f>IF(Responses!AS212="","",IF(Responses!AV212&gt;=0,IF(Responses!AV212="","",RIGHT("0"&amp;INT(Responses!AV212/60),2)&amp;":"&amp;RIGHT("0"&amp;MOD(Responses!AV212,60),2)),"Check"))</f>
        <v/>
      </c>
      <c r="E216" s="28">
        <f>Responses!AW212</f>
        <v/>
      </c>
      <c r="F216" s="29">
        <f>Responses!AX212</f>
        <v/>
      </c>
      <c r="G216" s="29">
        <f>IF(Responses!AS212="","",IF(AND(ISNUMBER(Responses!AX212),ISNUMBER(IFERROR(VALUE(INDEX(Spaces!$B$5:$B$16,MATCH(Responses!AS212,Spaces!$A$5:$A$16,0))&amp;""),""))),IF(Responses!AX212&gt;IFERROR(VALUE(INDEX(Spaces!$B$5:$B$16,MATCH(Responses!AS212,Spaces!$A$5:$A$16,0))&amp;""),""),"Over by "&amp;(Responses!AX212-IFERROR(VALUE(INDEX(Spaces!$B$5:$B$16,MATCH(Responses!AS212,Spaces!$A$5:$A$16,0))&amp;""),"")),"OK"),""))</f>
        <v/>
      </c>
      <c r="H216" s="28">
        <f>Responses!BF212</f>
        <v/>
      </c>
      <c r="I216" s="28">
        <f>IF(Responses!AS212="","",Responses!AO212&amp;"")</f>
        <v/>
      </c>
      <c r="J216" s="28">
        <f>IF(Responses!AS212="","",Responses!AZ212&amp;"")</f>
        <v/>
      </c>
      <c r="K216" s="29">
        <f>Responses!AY212</f>
        <v/>
      </c>
      <c r="L216" s="28">
        <f>IF(Responses!AS212="","",IF(Responses!AY212="Declined","",IF(Responses!BA212=0,"Check date and times",IF(Responses!BB212&gt;0,Responses!BC212,"No clash"))))</f>
        <v/>
      </c>
    </row>
    <row r="217">
      <c r="A217" s="27">
        <f>IF(Responses!AS213="","",IF(Responses!AT213&gt;0,Responses!AT213,"Check date"))</f>
        <v/>
      </c>
      <c r="B217" s="28">
        <f>Responses!AS213</f>
        <v/>
      </c>
      <c r="C217" s="29">
        <f>IF(Responses!AS213="","",IF(Responses!AU213&gt;=0,IF(Responses!AU213="","",RIGHT("0"&amp;INT(Responses!AU213/60),2)&amp;":"&amp;RIGHT("0"&amp;MOD(Responses!AU213,60),2)),"Check"))</f>
        <v/>
      </c>
      <c r="D217" s="29">
        <f>IF(Responses!AS213="","",IF(Responses!AV213&gt;=0,IF(Responses!AV213="","",RIGHT("0"&amp;INT(Responses!AV213/60),2)&amp;":"&amp;RIGHT("0"&amp;MOD(Responses!AV213,60),2)),"Check"))</f>
        <v/>
      </c>
      <c r="E217" s="28">
        <f>Responses!AW213</f>
        <v/>
      </c>
      <c r="F217" s="29">
        <f>Responses!AX213</f>
        <v/>
      </c>
      <c r="G217" s="29">
        <f>IF(Responses!AS213="","",IF(AND(ISNUMBER(Responses!AX213),ISNUMBER(IFERROR(VALUE(INDEX(Spaces!$B$5:$B$16,MATCH(Responses!AS213,Spaces!$A$5:$A$16,0))&amp;""),""))),IF(Responses!AX213&gt;IFERROR(VALUE(INDEX(Spaces!$B$5:$B$16,MATCH(Responses!AS213,Spaces!$A$5:$A$16,0))&amp;""),""),"Over by "&amp;(Responses!AX213-IFERROR(VALUE(INDEX(Spaces!$B$5:$B$16,MATCH(Responses!AS213,Spaces!$A$5:$A$16,0))&amp;""),"")),"OK"),""))</f>
        <v/>
      </c>
      <c r="H217" s="28">
        <f>Responses!BF213</f>
        <v/>
      </c>
      <c r="I217" s="28">
        <f>IF(Responses!AS213="","",Responses!AO213&amp;"")</f>
        <v/>
      </c>
      <c r="J217" s="28">
        <f>IF(Responses!AS213="","",Responses!AZ213&amp;"")</f>
        <v/>
      </c>
      <c r="K217" s="29">
        <f>Responses!AY213</f>
        <v/>
      </c>
      <c r="L217" s="28">
        <f>IF(Responses!AS213="","",IF(Responses!AY213="Declined","",IF(Responses!BA213=0,"Check date and times",IF(Responses!BB213&gt;0,Responses!BC213,"No clash"))))</f>
        <v/>
      </c>
    </row>
    <row r="218">
      <c r="A218" s="27">
        <f>IF(Responses!AS214="","",IF(Responses!AT214&gt;0,Responses!AT214,"Check date"))</f>
        <v/>
      </c>
      <c r="B218" s="28">
        <f>Responses!AS214</f>
        <v/>
      </c>
      <c r="C218" s="29">
        <f>IF(Responses!AS214="","",IF(Responses!AU214&gt;=0,IF(Responses!AU214="","",RIGHT("0"&amp;INT(Responses!AU214/60),2)&amp;":"&amp;RIGHT("0"&amp;MOD(Responses!AU214,60),2)),"Check"))</f>
        <v/>
      </c>
      <c r="D218" s="29">
        <f>IF(Responses!AS214="","",IF(Responses!AV214&gt;=0,IF(Responses!AV214="","",RIGHT("0"&amp;INT(Responses!AV214/60),2)&amp;":"&amp;RIGHT("0"&amp;MOD(Responses!AV214,60),2)),"Check"))</f>
        <v/>
      </c>
      <c r="E218" s="28">
        <f>Responses!AW214</f>
        <v/>
      </c>
      <c r="F218" s="29">
        <f>Responses!AX214</f>
        <v/>
      </c>
      <c r="G218" s="29">
        <f>IF(Responses!AS214="","",IF(AND(ISNUMBER(Responses!AX214),ISNUMBER(IFERROR(VALUE(INDEX(Spaces!$B$5:$B$16,MATCH(Responses!AS214,Spaces!$A$5:$A$16,0))&amp;""),""))),IF(Responses!AX214&gt;IFERROR(VALUE(INDEX(Spaces!$B$5:$B$16,MATCH(Responses!AS214,Spaces!$A$5:$A$16,0))&amp;""),""),"Over by "&amp;(Responses!AX214-IFERROR(VALUE(INDEX(Spaces!$B$5:$B$16,MATCH(Responses!AS214,Spaces!$A$5:$A$16,0))&amp;""),"")),"OK"),""))</f>
        <v/>
      </c>
      <c r="H218" s="28">
        <f>Responses!BF214</f>
        <v/>
      </c>
      <c r="I218" s="28">
        <f>IF(Responses!AS214="","",Responses!AO214&amp;"")</f>
        <v/>
      </c>
      <c r="J218" s="28">
        <f>IF(Responses!AS214="","",Responses!AZ214&amp;"")</f>
        <v/>
      </c>
      <c r="K218" s="29">
        <f>Responses!AY214</f>
        <v/>
      </c>
      <c r="L218" s="28">
        <f>IF(Responses!AS214="","",IF(Responses!AY214="Declined","",IF(Responses!BA214=0,"Check date and times",IF(Responses!BB214&gt;0,Responses!BC214,"No clash"))))</f>
        <v/>
      </c>
    </row>
    <row r="219">
      <c r="A219" s="27">
        <f>IF(Responses!AS215="","",IF(Responses!AT215&gt;0,Responses!AT215,"Check date"))</f>
        <v/>
      </c>
      <c r="B219" s="28">
        <f>Responses!AS215</f>
        <v/>
      </c>
      <c r="C219" s="29">
        <f>IF(Responses!AS215="","",IF(Responses!AU215&gt;=0,IF(Responses!AU215="","",RIGHT("0"&amp;INT(Responses!AU215/60),2)&amp;":"&amp;RIGHT("0"&amp;MOD(Responses!AU215,60),2)),"Check"))</f>
        <v/>
      </c>
      <c r="D219" s="29">
        <f>IF(Responses!AS215="","",IF(Responses!AV215&gt;=0,IF(Responses!AV215="","",RIGHT("0"&amp;INT(Responses!AV215/60),2)&amp;":"&amp;RIGHT("0"&amp;MOD(Responses!AV215,60),2)),"Check"))</f>
        <v/>
      </c>
      <c r="E219" s="28">
        <f>Responses!AW215</f>
        <v/>
      </c>
      <c r="F219" s="29">
        <f>Responses!AX215</f>
        <v/>
      </c>
      <c r="G219" s="29">
        <f>IF(Responses!AS215="","",IF(AND(ISNUMBER(Responses!AX215),ISNUMBER(IFERROR(VALUE(INDEX(Spaces!$B$5:$B$16,MATCH(Responses!AS215,Spaces!$A$5:$A$16,0))&amp;""),""))),IF(Responses!AX215&gt;IFERROR(VALUE(INDEX(Spaces!$B$5:$B$16,MATCH(Responses!AS215,Spaces!$A$5:$A$16,0))&amp;""),""),"Over by "&amp;(Responses!AX215-IFERROR(VALUE(INDEX(Spaces!$B$5:$B$16,MATCH(Responses!AS215,Spaces!$A$5:$A$16,0))&amp;""),"")),"OK"),""))</f>
        <v/>
      </c>
      <c r="H219" s="28">
        <f>Responses!BF215</f>
        <v/>
      </c>
      <c r="I219" s="28">
        <f>IF(Responses!AS215="","",Responses!AO215&amp;"")</f>
        <v/>
      </c>
      <c r="J219" s="28">
        <f>IF(Responses!AS215="","",Responses!AZ215&amp;"")</f>
        <v/>
      </c>
      <c r="K219" s="29">
        <f>Responses!AY215</f>
        <v/>
      </c>
      <c r="L219" s="28">
        <f>IF(Responses!AS215="","",IF(Responses!AY215="Declined","",IF(Responses!BA215=0,"Check date and times",IF(Responses!BB215&gt;0,Responses!BC215,"No clash"))))</f>
        <v/>
      </c>
    </row>
    <row r="220">
      <c r="A220" s="27">
        <f>IF(Responses!AS216="","",IF(Responses!AT216&gt;0,Responses!AT216,"Check date"))</f>
        <v/>
      </c>
      <c r="B220" s="28">
        <f>Responses!AS216</f>
        <v/>
      </c>
      <c r="C220" s="29">
        <f>IF(Responses!AS216="","",IF(Responses!AU216&gt;=0,IF(Responses!AU216="","",RIGHT("0"&amp;INT(Responses!AU216/60),2)&amp;":"&amp;RIGHT("0"&amp;MOD(Responses!AU216,60),2)),"Check"))</f>
        <v/>
      </c>
      <c r="D220" s="29">
        <f>IF(Responses!AS216="","",IF(Responses!AV216&gt;=0,IF(Responses!AV216="","",RIGHT("0"&amp;INT(Responses!AV216/60),2)&amp;":"&amp;RIGHT("0"&amp;MOD(Responses!AV216,60),2)),"Check"))</f>
        <v/>
      </c>
      <c r="E220" s="28">
        <f>Responses!AW216</f>
        <v/>
      </c>
      <c r="F220" s="29">
        <f>Responses!AX216</f>
        <v/>
      </c>
      <c r="G220" s="29">
        <f>IF(Responses!AS216="","",IF(AND(ISNUMBER(Responses!AX216),ISNUMBER(IFERROR(VALUE(INDEX(Spaces!$B$5:$B$16,MATCH(Responses!AS216,Spaces!$A$5:$A$16,0))&amp;""),""))),IF(Responses!AX216&gt;IFERROR(VALUE(INDEX(Spaces!$B$5:$B$16,MATCH(Responses!AS216,Spaces!$A$5:$A$16,0))&amp;""),""),"Over by "&amp;(Responses!AX216-IFERROR(VALUE(INDEX(Spaces!$B$5:$B$16,MATCH(Responses!AS216,Spaces!$A$5:$A$16,0))&amp;""),"")),"OK"),""))</f>
        <v/>
      </c>
      <c r="H220" s="28">
        <f>Responses!BF216</f>
        <v/>
      </c>
      <c r="I220" s="28">
        <f>IF(Responses!AS216="","",Responses!AO216&amp;"")</f>
        <v/>
      </c>
      <c r="J220" s="28">
        <f>IF(Responses!AS216="","",Responses!AZ216&amp;"")</f>
        <v/>
      </c>
      <c r="K220" s="29">
        <f>Responses!AY216</f>
        <v/>
      </c>
      <c r="L220" s="28">
        <f>IF(Responses!AS216="","",IF(Responses!AY216="Declined","",IF(Responses!BA216=0,"Check date and times",IF(Responses!BB216&gt;0,Responses!BC216,"No clash"))))</f>
        <v/>
      </c>
    </row>
    <row r="221">
      <c r="A221" s="27">
        <f>IF(Responses!AS217="","",IF(Responses!AT217&gt;0,Responses!AT217,"Check date"))</f>
        <v/>
      </c>
      <c r="B221" s="28">
        <f>Responses!AS217</f>
        <v/>
      </c>
      <c r="C221" s="29">
        <f>IF(Responses!AS217="","",IF(Responses!AU217&gt;=0,IF(Responses!AU217="","",RIGHT("0"&amp;INT(Responses!AU217/60),2)&amp;":"&amp;RIGHT("0"&amp;MOD(Responses!AU217,60),2)),"Check"))</f>
        <v/>
      </c>
      <c r="D221" s="29">
        <f>IF(Responses!AS217="","",IF(Responses!AV217&gt;=0,IF(Responses!AV217="","",RIGHT("0"&amp;INT(Responses!AV217/60),2)&amp;":"&amp;RIGHT("0"&amp;MOD(Responses!AV217,60),2)),"Check"))</f>
        <v/>
      </c>
      <c r="E221" s="28">
        <f>Responses!AW217</f>
        <v/>
      </c>
      <c r="F221" s="29">
        <f>Responses!AX217</f>
        <v/>
      </c>
      <c r="G221" s="29">
        <f>IF(Responses!AS217="","",IF(AND(ISNUMBER(Responses!AX217),ISNUMBER(IFERROR(VALUE(INDEX(Spaces!$B$5:$B$16,MATCH(Responses!AS217,Spaces!$A$5:$A$16,0))&amp;""),""))),IF(Responses!AX217&gt;IFERROR(VALUE(INDEX(Spaces!$B$5:$B$16,MATCH(Responses!AS217,Spaces!$A$5:$A$16,0))&amp;""),""),"Over by "&amp;(Responses!AX217-IFERROR(VALUE(INDEX(Spaces!$B$5:$B$16,MATCH(Responses!AS217,Spaces!$A$5:$A$16,0))&amp;""),"")),"OK"),""))</f>
        <v/>
      </c>
      <c r="H221" s="28">
        <f>Responses!BF217</f>
        <v/>
      </c>
      <c r="I221" s="28">
        <f>IF(Responses!AS217="","",Responses!AO217&amp;"")</f>
        <v/>
      </c>
      <c r="J221" s="28">
        <f>IF(Responses!AS217="","",Responses!AZ217&amp;"")</f>
        <v/>
      </c>
      <c r="K221" s="29">
        <f>Responses!AY217</f>
        <v/>
      </c>
      <c r="L221" s="28">
        <f>IF(Responses!AS217="","",IF(Responses!AY217="Declined","",IF(Responses!BA217=0,"Check date and times",IF(Responses!BB217&gt;0,Responses!BC217,"No clash"))))</f>
        <v/>
      </c>
    </row>
    <row r="222">
      <c r="A222" s="27">
        <f>IF(Responses!AS218="","",IF(Responses!AT218&gt;0,Responses!AT218,"Check date"))</f>
        <v/>
      </c>
      <c r="B222" s="28">
        <f>Responses!AS218</f>
        <v/>
      </c>
      <c r="C222" s="29">
        <f>IF(Responses!AS218="","",IF(Responses!AU218&gt;=0,IF(Responses!AU218="","",RIGHT("0"&amp;INT(Responses!AU218/60),2)&amp;":"&amp;RIGHT("0"&amp;MOD(Responses!AU218,60),2)),"Check"))</f>
        <v/>
      </c>
      <c r="D222" s="29">
        <f>IF(Responses!AS218="","",IF(Responses!AV218&gt;=0,IF(Responses!AV218="","",RIGHT("0"&amp;INT(Responses!AV218/60),2)&amp;":"&amp;RIGHT("0"&amp;MOD(Responses!AV218,60),2)),"Check"))</f>
        <v/>
      </c>
      <c r="E222" s="28">
        <f>Responses!AW218</f>
        <v/>
      </c>
      <c r="F222" s="29">
        <f>Responses!AX218</f>
        <v/>
      </c>
      <c r="G222" s="29">
        <f>IF(Responses!AS218="","",IF(AND(ISNUMBER(Responses!AX218),ISNUMBER(IFERROR(VALUE(INDEX(Spaces!$B$5:$B$16,MATCH(Responses!AS218,Spaces!$A$5:$A$16,0))&amp;""),""))),IF(Responses!AX218&gt;IFERROR(VALUE(INDEX(Spaces!$B$5:$B$16,MATCH(Responses!AS218,Spaces!$A$5:$A$16,0))&amp;""),""),"Over by "&amp;(Responses!AX218-IFERROR(VALUE(INDEX(Spaces!$B$5:$B$16,MATCH(Responses!AS218,Spaces!$A$5:$A$16,0))&amp;""),"")),"OK"),""))</f>
        <v/>
      </c>
      <c r="H222" s="28">
        <f>Responses!BF218</f>
        <v/>
      </c>
      <c r="I222" s="28">
        <f>IF(Responses!AS218="","",Responses!AO218&amp;"")</f>
        <v/>
      </c>
      <c r="J222" s="28">
        <f>IF(Responses!AS218="","",Responses!AZ218&amp;"")</f>
        <v/>
      </c>
      <c r="K222" s="29">
        <f>Responses!AY218</f>
        <v/>
      </c>
      <c r="L222" s="28">
        <f>IF(Responses!AS218="","",IF(Responses!AY218="Declined","",IF(Responses!BA218=0,"Check date and times",IF(Responses!BB218&gt;0,Responses!BC218,"No clash"))))</f>
        <v/>
      </c>
    </row>
    <row r="223">
      <c r="A223" s="27">
        <f>IF(Responses!AS219="","",IF(Responses!AT219&gt;0,Responses!AT219,"Check date"))</f>
        <v/>
      </c>
      <c r="B223" s="28">
        <f>Responses!AS219</f>
        <v/>
      </c>
      <c r="C223" s="29">
        <f>IF(Responses!AS219="","",IF(Responses!AU219&gt;=0,IF(Responses!AU219="","",RIGHT("0"&amp;INT(Responses!AU219/60),2)&amp;":"&amp;RIGHT("0"&amp;MOD(Responses!AU219,60),2)),"Check"))</f>
        <v/>
      </c>
      <c r="D223" s="29">
        <f>IF(Responses!AS219="","",IF(Responses!AV219&gt;=0,IF(Responses!AV219="","",RIGHT("0"&amp;INT(Responses!AV219/60),2)&amp;":"&amp;RIGHT("0"&amp;MOD(Responses!AV219,60),2)),"Check"))</f>
        <v/>
      </c>
      <c r="E223" s="28">
        <f>Responses!AW219</f>
        <v/>
      </c>
      <c r="F223" s="29">
        <f>Responses!AX219</f>
        <v/>
      </c>
      <c r="G223" s="29">
        <f>IF(Responses!AS219="","",IF(AND(ISNUMBER(Responses!AX219),ISNUMBER(IFERROR(VALUE(INDEX(Spaces!$B$5:$B$16,MATCH(Responses!AS219,Spaces!$A$5:$A$16,0))&amp;""),""))),IF(Responses!AX219&gt;IFERROR(VALUE(INDEX(Spaces!$B$5:$B$16,MATCH(Responses!AS219,Spaces!$A$5:$A$16,0))&amp;""),""),"Over by "&amp;(Responses!AX219-IFERROR(VALUE(INDEX(Spaces!$B$5:$B$16,MATCH(Responses!AS219,Spaces!$A$5:$A$16,0))&amp;""),"")),"OK"),""))</f>
        <v/>
      </c>
      <c r="H223" s="28">
        <f>Responses!BF219</f>
        <v/>
      </c>
      <c r="I223" s="28">
        <f>IF(Responses!AS219="","",Responses!AO219&amp;"")</f>
        <v/>
      </c>
      <c r="J223" s="28">
        <f>IF(Responses!AS219="","",Responses!AZ219&amp;"")</f>
        <v/>
      </c>
      <c r="K223" s="29">
        <f>Responses!AY219</f>
        <v/>
      </c>
      <c r="L223" s="28">
        <f>IF(Responses!AS219="","",IF(Responses!AY219="Declined","",IF(Responses!BA219=0,"Check date and times",IF(Responses!BB219&gt;0,Responses!BC219,"No clash"))))</f>
        <v/>
      </c>
    </row>
    <row r="224">
      <c r="A224" s="27">
        <f>IF(Responses!AS220="","",IF(Responses!AT220&gt;0,Responses!AT220,"Check date"))</f>
        <v/>
      </c>
      <c r="B224" s="28">
        <f>Responses!AS220</f>
        <v/>
      </c>
      <c r="C224" s="29">
        <f>IF(Responses!AS220="","",IF(Responses!AU220&gt;=0,IF(Responses!AU220="","",RIGHT("0"&amp;INT(Responses!AU220/60),2)&amp;":"&amp;RIGHT("0"&amp;MOD(Responses!AU220,60),2)),"Check"))</f>
        <v/>
      </c>
      <c r="D224" s="29">
        <f>IF(Responses!AS220="","",IF(Responses!AV220&gt;=0,IF(Responses!AV220="","",RIGHT("0"&amp;INT(Responses!AV220/60),2)&amp;":"&amp;RIGHT("0"&amp;MOD(Responses!AV220,60),2)),"Check"))</f>
        <v/>
      </c>
      <c r="E224" s="28">
        <f>Responses!AW220</f>
        <v/>
      </c>
      <c r="F224" s="29">
        <f>Responses!AX220</f>
        <v/>
      </c>
      <c r="G224" s="29">
        <f>IF(Responses!AS220="","",IF(AND(ISNUMBER(Responses!AX220),ISNUMBER(IFERROR(VALUE(INDEX(Spaces!$B$5:$B$16,MATCH(Responses!AS220,Spaces!$A$5:$A$16,0))&amp;""),""))),IF(Responses!AX220&gt;IFERROR(VALUE(INDEX(Spaces!$B$5:$B$16,MATCH(Responses!AS220,Spaces!$A$5:$A$16,0))&amp;""),""),"Over by "&amp;(Responses!AX220-IFERROR(VALUE(INDEX(Spaces!$B$5:$B$16,MATCH(Responses!AS220,Spaces!$A$5:$A$16,0))&amp;""),"")),"OK"),""))</f>
        <v/>
      </c>
      <c r="H224" s="28">
        <f>Responses!BF220</f>
        <v/>
      </c>
      <c r="I224" s="28">
        <f>IF(Responses!AS220="","",Responses!AO220&amp;"")</f>
        <v/>
      </c>
      <c r="J224" s="28">
        <f>IF(Responses!AS220="","",Responses!AZ220&amp;"")</f>
        <v/>
      </c>
      <c r="K224" s="29">
        <f>Responses!AY220</f>
        <v/>
      </c>
      <c r="L224" s="28">
        <f>IF(Responses!AS220="","",IF(Responses!AY220="Declined","",IF(Responses!BA220=0,"Check date and times",IF(Responses!BB220&gt;0,Responses!BC220,"No clash"))))</f>
        <v/>
      </c>
    </row>
    <row r="225">
      <c r="A225" s="27">
        <f>IF(Responses!AS221="","",IF(Responses!AT221&gt;0,Responses!AT221,"Check date"))</f>
        <v/>
      </c>
      <c r="B225" s="28">
        <f>Responses!AS221</f>
        <v/>
      </c>
      <c r="C225" s="29">
        <f>IF(Responses!AS221="","",IF(Responses!AU221&gt;=0,IF(Responses!AU221="","",RIGHT("0"&amp;INT(Responses!AU221/60),2)&amp;":"&amp;RIGHT("0"&amp;MOD(Responses!AU221,60),2)),"Check"))</f>
        <v/>
      </c>
      <c r="D225" s="29">
        <f>IF(Responses!AS221="","",IF(Responses!AV221&gt;=0,IF(Responses!AV221="","",RIGHT("0"&amp;INT(Responses!AV221/60),2)&amp;":"&amp;RIGHT("0"&amp;MOD(Responses!AV221,60),2)),"Check"))</f>
        <v/>
      </c>
      <c r="E225" s="28">
        <f>Responses!AW221</f>
        <v/>
      </c>
      <c r="F225" s="29">
        <f>Responses!AX221</f>
        <v/>
      </c>
      <c r="G225" s="29">
        <f>IF(Responses!AS221="","",IF(AND(ISNUMBER(Responses!AX221),ISNUMBER(IFERROR(VALUE(INDEX(Spaces!$B$5:$B$16,MATCH(Responses!AS221,Spaces!$A$5:$A$16,0))&amp;""),""))),IF(Responses!AX221&gt;IFERROR(VALUE(INDEX(Spaces!$B$5:$B$16,MATCH(Responses!AS221,Spaces!$A$5:$A$16,0))&amp;""),""),"Over by "&amp;(Responses!AX221-IFERROR(VALUE(INDEX(Spaces!$B$5:$B$16,MATCH(Responses!AS221,Spaces!$A$5:$A$16,0))&amp;""),"")),"OK"),""))</f>
        <v/>
      </c>
      <c r="H225" s="28">
        <f>Responses!BF221</f>
        <v/>
      </c>
      <c r="I225" s="28">
        <f>IF(Responses!AS221="","",Responses!AO221&amp;"")</f>
        <v/>
      </c>
      <c r="J225" s="28">
        <f>IF(Responses!AS221="","",Responses!AZ221&amp;"")</f>
        <v/>
      </c>
      <c r="K225" s="29">
        <f>Responses!AY221</f>
        <v/>
      </c>
      <c r="L225" s="28">
        <f>IF(Responses!AS221="","",IF(Responses!AY221="Declined","",IF(Responses!BA221=0,"Check date and times",IF(Responses!BB221&gt;0,Responses!BC221,"No clash"))))</f>
        <v/>
      </c>
    </row>
    <row r="226">
      <c r="A226" s="27">
        <f>IF(Responses!AS222="","",IF(Responses!AT222&gt;0,Responses!AT222,"Check date"))</f>
        <v/>
      </c>
      <c r="B226" s="28">
        <f>Responses!AS222</f>
        <v/>
      </c>
      <c r="C226" s="29">
        <f>IF(Responses!AS222="","",IF(Responses!AU222&gt;=0,IF(Responses!AU222="","",RIGHT("0"&amp;INT(Responses!AU222/60),2)&amp;":"&amp;RIGHT("0"&amp;MOD(Responses!AU222,60),2)),"Check"))</f>
        <v/>
      </c>
      <c r="D226" s="29">
        <f>IF(Responses!AS222="","",IF(Responses!AV222&gt;=0,IF(Responses!AV222="","",RIGHT("0"&amp;INT(Responses!AV222/60),2)&amp;":"&amp;RIGHT("0"&amp;MOD(Responses!AV222,60),2)),"Check"))</f>
        <v/>
      </c>
      <c r="E226" s="28">
        <f>Responses!AW222</f>
        <v/>
      </c>
      <c r="F226" s="29">
        <f>Responses!AX222</f>
        <v/>
      </c>
      <c r="G226" s="29">
        <f>IF(Responses!AS222="","",IF(AND(ISNUMBER(Responses!AX222),ISNUMBER(IFERROR(VALUE(INDEX(Spaces!$B$5:$B$16,MATCH(Responses!AS222,Spaces!$A$5:$A$16,0))&amp;""),""))),IF(Responses!AX222&gt;IFERROR(VALUE(INDEX(Spaces!$B$5:$B$16,MATCH(Responses!AS222,Spaces!$A$5:$A$16,0))&amp;""),""),"Over by "&amp;(Responses!AX222-IFERROR(VALUE(INDEX(Spaces!$B$5:$B$16,MATCH(Responses!AS222,Spaces!$A$5:$A$16,0))&amp;""),"")),"OK"),""))</f>
        <v/>
      </c>
      <c r="H226" s="28">
        <f>Responses!BF222</f>
        <v/>
      </c>
      <c r="I226" s="28">
        <f>IF(Responses!AS222="","",Responses!AO222&amp;"")</f>
        <v/>
      </c>
      <c r="J226" s="28">
        <f>IF(Responses!AS222="","",Responses!AZ222&amp;"")</f>
        <v/>
      </c>
      <c r="K226" s="29">
        <f>Responses!AY222</f>
        <v/>
      </c>
      <c r="L226" s="28">
        <f>IF(Responses!AS222="","",IF(Responses!AY222="Declined","",IF(Responses!BA222=0,"Check date and times",IF(Responses!BB222&gt;0,Responses!BC222,"No clash"))))</f>
        <v/>
      </c>
    </row>
    <row r="227">
      <c r="A227" s="27">
        <f>IF(Responses!AS223="","",IF(Responses!AT223&gt;0,Responses!AT223,"Check date"))</f>
        <v/>
      </c>
      <c r="B227" s="28">
        <f>Responses!AS223</f>
        <v/>
      </c>
      <c r="C227" s="29">
        <f>IF(Responses!AS223="","",IF(Responses!AU223&gt;=0,IF(Responses!AU223="","",RIGHT("0"&amp;INT(Responses!AU223/60),2)&amp;":"&amp;RIGHT("0"&amp;MOD(Responses!AU223,60),2)),"Check"))</f>
        <v/>
      </c>
      <c r="D227" s="29">
        <f>IF(Responses!AS223="","",IF(Responses!AV223&gt;=0,IF(Responses!AV223="","",RIGHT("0"&amp;INT(Responses!AV223/60),2)&amp;":"&amp;RIGHT("0"&amp;MOD(Responses!AV223,60),2)),"Check"))</f>
        <v/>
      </c>
      <c r="E227" s="28">
        <f>Responses!AW223</f>
        <v/>
      </c>
      <c r="F227" s="29">
        <f>Responses!AX223</f>
        <v/>
      </c>
      <c r="G227" s="29">
        <f>IF(Responses!AS223="","",IF(AND(ISNUMBER(Responses!AX223),ISNUMBER(IFERROR(VALUE(INDEX(Spaces!$B$5:$B$16,MATCH(Responses!AS223,Spaces!$A$5:$A$16,0))&amp;""),""))),IF(Responses!AX223&gt;IFERROR(VALUE(INDEX(Spaces!$B$5:$B$16,MATCH(Responses!AS223,Spaces!$A$5:$A$16,0))&amp;""),""),"Over by "&amp;(Responses!AX223-IFERROR(VALUE(INDEX(Spaces!$B$5:$B$16,MATCH(Responses!AS223,Spaces!$A$5:$A$16,0))&amp;""),"")),"OK"),""))</f>
        <v/>
      </c>
      <c r="H227" s="28">
        <f>Responses!BF223</f>
        <v/>
      </c>
      <c r="I227" s="28">
        <f>IF(Responses!AS223="","",Responses!AO223&amp;"")</f>
        <v/>
      </c>
      <c r="J227" s="28">
        <f>IF(Responses!AS223="","",Responses!AZ223&amp;"")</f>
        <v/>
      </c>
      <c r="K227" s="29">
        <f>Responses!AY223</f>
        <v/>
      </c>
      <c r="L227" s="28">
        <f>IF(Responses!AS223="","",IF(Responses!AY223="Declined","",IF(Responses!BA223=0,"Check date and times",IF(Responses!BB223&gt;0,Responses!BC223,"No clash"))))</f>
        <v/>
      </c>
    </row>
    <row r="228">
      <c r="A228" s="27">
        <f>IF(Responses!AS224="","",IF(Responses!AT224&gt;0,Responses!AT224,"Check date"))</f>
        <v/>
      </c>
      <c r="B228" s="28">
        <f>Responses!AS224</f>
        <v/>
      </c>
      <c r="C228" s="29">
        <f>IF(Responses!AS224="","",IF(Responses!AU224&gt;=0,IF(Responses!AU224="","",RIGHT("0"&amp;INT(Responses!AU224/60),2)&amp;":"&amp;RIGHT("0"&amp;MOD(Responses!AU224,60),2)),"Check"))</f>
        <v/>
      </c>
      <c r="D228" s="29">
        <f>IF(Responses!AS224="","",IF(Responses!AV224&gt;=0,IF(Responses!AV224="","",RIGHT("0"&amp;INT(Responses!AV224/60),2)&amp;":"&amp;RIGHT("0"&amp;MOD(Responses!AV224,60),2)),"Check"))</f>
        <v/>
      </c>
      <c r="E228" s="28">
        <f>Responses!AW224</f>
        <v/>
      </c>
      <c r="F228" s="29">
        <f>Responses!AX224</f>
        <v/>
      </c>
      <c r="G228" s="29">
        <f>IF(Responses!AS224="","",IF(AND(ISNUMBER(Responses!AX224),ISNUMBER(IFERROR(VALUE(INDEX(Spaces!$B$5:$B$16,MATCH(Responses!AS224,Spaces!$A$5:$A$16,0))&amp;""),""))),IF(Responses!AX224&gt;IFERROR(VALUE(INDEX(Spaces!$B$5:$B$16,MATCH(Responses!AS224,Spaces!$A$5:$A$16,0))&amp;""),""),"Over by "&amp;(Responses!AX224-IFERROR(VALUE(INDEX(Spaces!$B$5:$B$16,MATCH(Responses!AS224,Spaces!$A$5:$A$16,0))&amp;""),"")),"OK"),""))</f>
        <v/>
      </c>
      <c r="H228" s="28">
        <f>Responses!BF224</f>
        <v/>
      </c>
      <c r="I228" s="28">
        <f>IF(Responses!AS224="","",Responses!AO224&amp;"")</f>
        <v/>
      </c>
      <c r="J228" s="28">
        <f>IF(Responses!AS224="","",Responses!AZ224&amp;"")</f>
        <v/>
      </c>
      <c r="K228" s="29">
        <f>Responses!AY224</f>
        <v/>
      </c>
      <c r="L228" s="28">
        <f>IF(Responses!AS224="","",IF(Responses!AY224="Declined","",IF(Responses!BA224=0,"Check date and times",IF(Responses!BB224&gt;0,Responses!BC224,"No clash"))))</f>
        <v/>
      </c>
    </row>
    <row r="229">
      <c r="A229" s="27">
        <f>IF(Responses!AS225="","",IF(Responses!AT225&gt;0,Responses!AT225,"Check date"))</f>
        <v/>
      </c>
      <c r="B229" s="28">
        <f>Responses!AS225</f>
        <v/>
      </c>
      <c r="C229" s="29">
        <f>IF(Responses!AS225="","",IF(Responses!AU225&gt;=0,IF(Responses!AU225="","",RIGHT("0"&amp;INT(Responses!AU225/60),2)&amp;":"&amp;RIGHT("0"&amp;MOD(Responses!AU225,60),2)),"Check"))</f>
        <v/>
      </c>
      <c r="D229" s="29">
        <f>IF(Responses!AS225="","",IF(Responses!AV225&gt;=0,IF(Responses!AV225="","",RIGHT("0"&amp;INT(Responses!AV225/60),2)&amp;":"&amp;RIGHT("0"&amp;MOD(Responses!AV225,60),2)),"Check"))</f>
        <v/>
      </c>
      <c r="E229" s="28">
        <f>Responses!AW225</f>
        <v/>
      </c>
      <c r="F229" s="29">
        <f>Responses!AX225</f>
        <v/>
      </c>
      <c r="G229" s="29">
        <f>IF(Responses!AS225="","",IF(AND(ISNUMBER(Responses!AX225),ISNUMBER(IFERROR(VALUE(INDEX(Spaces!$B$5:$B$16,MATCH(Responses!AS225,Spaces!$A$5:$A$16,0))&amp;""),""))),IF(Responses!AX225&gt;IFERROR(VALUE(INDEX(Spaces!$B$5:$B$16,MATCH(Responses!AS225,Spaces!$A$5:$A$16,0))&amp;""),""),"Over by "&amp;(Responses!AX225-IFERROR(VALUE(INDEX(Spaces!$B$5:$B$16,MATCH(Responses!AS225,Spaces!$A$5:$A$16,0))&amp;""),"")),"OK"),""))</f>
        <v/>
      </c>
      <c r="H229" s="28">
        <f>Responses!BF225</f>
        <v/>
      </c>
      <c r="I229" s="28">
        <f>IF(Responses!AS225="","",Responses!AO225&amp;"")</f>
        <v/>
      </c>
      <c r="J229" s="28">
        <f>IF(Responses!AS225="","",Responses!AZ225&amp;"")</f>
        <v/>
      </c>
      <c r="K229" s="29">
        <f>Responses!AY225</f>
        <v/>
      </c>
      <c r="L229" s="28">
        <f>IF(Responses!AS225="","",IF(Responses!AY225="Declined","",IF(Responses!BA225=0,"Check date and times",IF(Responses!BB225&gt;0,Responses!BC225,"No clash"))))</f>
        <v/>
      </c>
    </row>
    <row r="230">
      <c r="A230" s="27">
        <f>IF(Responses!AS226="","",IF(Responses!AT226&gt;0,Responses!AT226,"Check date"))</f>
        <v/>
      </c>
      <c r="B230" s="28">
        <f>Responses!AS226</f>
        <v/>
      </c>
      <c r="C230" s="29">
        <f>IF(Responses!AS226="","",IF(Responses!AU226&gt;=0,IF(Responses!AU226="","",RIGHT("0"&amp;INT(Responses!AU226/60),2)&amp;":"&amp;RIGHT("0"&amp;MOD(Responses!AU226,60),2)),"Check"))</f>
        <v/>
      </c>
      <c r="D230" s="29">
        <f>IF(Responses!AS226="","",IF(Responses!AV226&gt;=0,IF(Responses!AV226="","",RIGHT("0"&amp;INT(Responses!AV226/60),2)&amp;":"&amp;RIGHT("0"&amp;MOD(Responses!AV226,60),2)),"Check"))</f>
        <v/>
      </c>
      <c r="E230" s="28">
        <f>Responses!AW226</f>
        <v/>
      </c>
      <c r="F230" s="29">
        <f>Responses!AX226</f>
        <v/>
      </c>
      <c r="G230" s="29">
        <f>IF(Responses!AS226="","",IF(AND(ISNUMBER(Responses!AX226),ISNUMBER(IFERROR(VALUE(INDEX(Spaces!$B$5:$B$16,MATCH(Responses!AS226,Spaces!$A$5:$A$16,0))&amp;""),""))),IF(Responses!AX226&gt;IFERROR(VALUE(INDEX(Spaces!$B$5:$B$16,MATCH(Responses!AS226,Spaces!$A$5:$A$16,0))&amp;""),""),"Over by "&amp;(Responses!AX226-IFERROR(VALUE(INDEX(Spaces!$B$5:$B$16,MATCH(Responses!AS226,Spaces!$A$5:$A$16,0))&amp;""),"")),"OK"),""))</f>
        <v/>
      </c>
      <c r="H230" s="28">
        <f>Responses!BF226</f>
        <v/>
      </c>
      <c r="I230" s="28">
        <f>IF(Responses!AS226="","",Responses!AO226&amp;"")</f>
        <v/>
      </c>
      <c r="J230" s="28">
        <f>IF(Responses!AS226="","",Responses!AZ226&amp;"")</f>
        <v/>
      </c>
      <c r="K230" s="29">
        <f>Responses!AY226</f>
        <v/>
      </c>
      <c r="L230" s="28">
        <f>IF(Responses!AS226="","",IF(Responses!AY226="Declined","",IF(Responses!BA226=0,"Check date and times",IF(Responses!BB226&gt;0,Responses!BC226,"No clash"))))</f>
        <v/>
      </c>
    </row>
    <row r="231">
      <c r="A231" s="27">
        <f>IF(Responses!AS227="","",IF(Responses!AT227&gt;0,Responses!AT227,"Check date"))</f>
        <v/>
      </c>
      <c r="B231" s="28">
        <f>Responses!AS227</f>
        <v/>
      </c>
      <c r="C231" s="29">
        <f>IF(Responses!AS227="","",IF(Responses!AU227&gt;=0,IF(Responses!AU227="","",RIGHT("0"&amp;INT(Responses!AU227/60),2)&amp;":"&amp;RIGHT("0"&amp;MOD(Responses!AU227,60),2)),"Check"))</f>
        <v/>
      </c>
      <c r="D231" s="29">
        <f>IF(Responses!AS227="","",IF(Responses!AV227&gt;=0,IF(Responses!AV227="","",RIGHT("0"&amp;INT(Responses!AV227/60),2)&amp;":"&amp;RIGHT("0"&amp;MOD(Responses!AV227,60),2)),"Check"))</f>
        <v/>
      </c>
      <c r="E231" s="28">
        <f>Responses!AW227</f>
        <v/>
      </c>
      <c r="F231" s="29">
        <f>Responses!AX227</f>
        <v/>
      </c>
      <c r="G231" s="29">
        <f>IF(Responses!AS227="","",IF(AND(ISNUMBER(Responses!AX227),ISNUMBER(IFERROR(VALUE(INDEX(Spaces!$B$5:$B$16,MATCH(Responses!AS227,Spaces!$A$5:$A$16,0))&amp;""),""))),IF(Responses!AX227&gt;IFERROR(VALUE(INDEX(Spaces!$B$5:$B$16,MATCH(Responses!AS227,Spaces!$A$5:$A$16,0))&amp;""),""),"Over by "&amp;(Responses!AX227-IFERROR(VALUE(INDEX(Spaces!$B$5:$B$16,MATCH(Responses!AS227,Spaces!$A$5:$A$16,0))&amp;""),"")),"OK"),""))</f>
        <v/>
      </c>
      <c r="H231" s="28">
        <f>Responses!BF227</f>
        <v/>
      </c>
      <c r="I231" s="28">
        <f>IF(Responses!AS227="","",Responses!AO227&amp;"")</f>
        <v/>
      </c>
      <c r="J231" s="28">
        <f>IF(Responses!AS227="","",Responses!AZ227&amp;"")</f>
        <v/>
      </c>
      <c r="K231" s="29">
        <f>Responses!AY227</f>
        <v/>
      </c>
      <c r="L231" s="28">
        <f>IF(Responses!AS227="","",IF(Responses!AY227="Declined","",IF(Responses!BA227=0,"Check date and times",IF(Responses!BB227&gt;0,Responses!BC227,"No clash"))))</f>
        <v/>
      </c>
    </row>
    <row r="232">
      <c r="A232" s="27">
        <f>IF(Responses!AS228="","",IF(Responses!AT228&gt;0,Responses!AT228,"Check date"))</f>
        <v/>
      </c>
      <c r="B232" s="28">
        <f>Responses!AS228</f>
        <v/>
      </c>
      <c r="C232" s="29">
        <f>IF(Responses!AS228="","",IF(Responses!AU228&gt;=0,IF(Responses!AU228="","",RIGHT("0"&amp;INT(Responses!AU228/60),2)&amp;":"&amp;RIGHT("0"&amp;MOD(Responses!AU228,60),2)),"Check"))</f>
        <v/>
      </c>
      <c r="D232" s="29">
        <f>IF(Responses!AS228="","",IF(Responses!AV228&gt;=0,IF(Responses!AV228="","",RIGHT("0"&amp;INT(Responses!AV228/60),2)&amp;":"&amp;RIGHT("0"&amp;MOD(Responses!AV228,60),2)),"Check"))</f>
        <v/>
      </c>
      <c r="E232" s="28">
        <f>Responses!AW228</f>
        <v/>
      </c>
      <c r="F232" s="29">
        <f>Responses!AX228</f>
        <v/>
      </c>
      <c r="G232" s="29">
        <f>IF(Responses!AS228="","",IF(AND(ISNUMBER(Responses!AX228),ISNUMBER(IFERROR(VALUE(INDEX(Spaces!$B$5:$B$16,MATCH(Responses!AS228,Spaces!$A$5:$A$16,0))&amp;""),""))),IF(Responses!AX228&gt;IFERROR(VALUE(INDEX(Spaces!$B$5:$B$16,MATCH(Responses!AS228,Spaces!$A$5:$A$16,0))&amp;""),""),"Over by "&amp;(Responses!AX228-IFERROR(VALUE(INDEX(Spaces!$B$5:$B$16,MATCH(Responses!AS228,Spaces!$A$5:$A$16,0))&amp;""),"")),"OK"),""))</f>
        <v/>
      </c>
      <c r="H232" s="28">
        <f>Responses!BF228</f>
        <v/>
      </c>
      <c r="I232" s="28">
        <f>IF(Responses!AS228="","",Responses!AO228&amp;"")</f>
        <v/>
      </c>
      <c r="J232" s="28">
        <f>IF(Responses!AS228="","",Responses!AZ228&amp;"")</f>
        <v/>
      </c>
      <c r="K232" s="29">
        <f>Responses!AY228</f>
        <v/>
      </c>
      <c r="L232" s="28">
        <f>IF(Responses!AS228="","",IF(Responses!AY228="Declined","",IF(Responses!BA228=0,"Check date and times",IF(Responses!BB228&gt;0,Responses!BC228,"No clash"))))</f>
        <v/>
      </c>
    </row>
    <row r="233">
      <c r="A233" s="27">
        <f>IF(Responses!AS229="","",IF(Responses!AT229&gt;0,Responses!AT229,"Check date"))</f>
        <v/>
      </c>
      <c r="B233" s="28">
        <f>Responses!AS229</f>
        <v/>
      </c>
      <c r="C233" s="29">
        <f>IF(Responses!AS229="","",IF(Responses!AU229&gt;=0,IF(Responses!AU229="","",RIGHT("0"&amp;INT(Responses!AU229/60),2)&amp;":"&amp;RIGHT("0"&amp;MOD(Responses!AU229,60),2)),"Check"))</f>
        <v/>
      </c>
      <c r="D233" s="29">
        <f>IF(Responses!AS229="","",IF(Responses!AV229&gt;=0,IF(Responses!AV229="","",RIGHT("0"&amp;INT(Responses!AV229/60),2)&amp;":"&amp;RIGHT("0"&amp;MOD(Responses!AV229,60),2)),"Check"))</f>
        <v/>
      </c>
      <c r="E233" s="28">
        <f>Responses!AW229</f>
        <v/>
      </c>
      <c r="F233" s="29">
        <f>Responses!AX229</f>
        <v/>
      </c>
      <c r="G233" s="29">
        <f>IF(Responses!AS229="","",IF(AND(ISNUMBER(Responses!AX229),ISNUMBER(IFERROR(VALUE(INDEX(Spaces!$B$5:$B$16,MATCH(Responses!AS229,Spaces!$A$5:$A$16,0))&amp;""),""))),IF(Responses!AX229&gt;IFERROR(VALUE(INDEX(Spaces!$B$5:$B$16,MATCH(Responses!AS229,Spaces!$A$5:$A$16,0))&amp;""),""),"Over by "&amp;(Responses!AX229-IFERROR(VALUE(INDEX(Spaces!$B$5:$B$16,MATCH(Responses!AS229,Spaces!$A$5:$A$16,0))&amp;""),"")),"OK"),""))</f>
        <v/>
      </c>
      <c r="H233" s="28">
        <f>Responses!BF229</f>
        <v/>
      </c>
      <c r="I233" s="28">
        <f>IF(Responses!AS229="","",Responses!AO229&amp;"")</f>
        <v/>
      </c>
      <c r="J233" s="28">
        <f>IF(Responses!AS229="","",Responses!AZ229&amp;"")</f>
        <v/>
      </c>
      <c r="K233" s="29">
        <f>Responses!AY229</f>
        <v/>
      </c>
      <c r="L233" s="28">
        <f>IF(Responses!AS229="","",IF(Responses!AY229="Declined","",IF(Responses!BA229=0,"Check date and times",IF(Responses!BB229&gt;0,Responses!BC229,"No clash"))))</f>
        <v/>
      </c>
    </row>
    <row r="234">
      <c r="A234" s="27">
        <f>IF(Responses!AS230="","",IF(Responses!AT230&gt;0,Responses!AT230,"Check date"))</f>
        <v/>
      </c>
      <c r="B234" s="28">
        <f>Responses!AS230</f>
        <v/>
      </c>
      <c r="C234" s="29">
        <f>IF(Responses!AS230="","",IF(Responses!AU230&gt;=0,IF(Responses!AU230="","",RIGHT("0"&amp;INT(Responses!AU230/60),2)&amp;":"&amp;RIGHT("0"&amp;MOD(Responses!AU230,60),2)),"Check"))</f>
        <v/>
      </c>
      <c r="D234" s="29">
        <f>IF(Responses!AS230="","",IF(Responses!AV230&gt;=0,IF(Responses!AV230="","",RIGHT("0"&amp;INT(Responses!AV230/60),2)&amp;":"&amp;RIGHT("0"&amp;MOD(Responses!AV230,60),2)),"Check"))</f>
        <v/>
      </c>
      <c r="E234" s="28">
        <f>Responses!AW230</f>
        <v/>
      </c>
      <c r="F234" s="29">
        <f>Responses!AX230</f>
        <v/>
      </c>
      <c r="G234" s="29">
        <f>IF(Responses!AS230="","",IF(AND(ISNUMBER(Responses!AX230),ISNUMBER(IFERROR(VALUE(INDEX(Spaces!$B$5:$B$16,MATCH(Responses!AS230,Spaces!$A$5:$A$16,0))&amp;""),""))),IF(Responses!AX230&gt;IFERROR(VALUE(INDEX(Spaces!$B$5:$B$16,MATCH(Responses!AS230,Spaces!$A$5:$A$16,0))&amp;""),""),"Over by "&amp;(Responses!AX230-IFERROR(VALUE(INDEX(Spaces!$B$5:$B$16,MATCH(Responses!AS230,Spaces!$A$5:$A$16,0))&amp;""),"")),"OK"),""))</f>
        <v/>
      </c>
      <c r="H234" s="28">
        <f>Responses!BF230</f>
        <v/>
      </c>
      <c r="I234" s="28">
        <f>IF(Responses!AS230="","",Responses!AO230&amp;"")</f>
        <v/>
      </c>
      <c r="J234" s="28">
        <f>IF(Responses!AS230="","",Responses!AZ230&amp;"")</f>
        <v/>
      </c>
      <c r="K234" s="29">
        <f>Responses!AY230</f>
        <v/>
      </c>
      <c r="L234" s="28">
        <f>IF(Responses!AS230="","",IF(Responses!AY230="Declined","",IF(Responses!BA230=0,"Check date and times",IF(Responses!BB230&gt;0,Responses!BC230,"No clash"))))</f>
        <v/>
      </c>
    </row>
    <row r="235">
      <c r="A235" s="27">
        <f>IF(Responses!AS231="","",IF(Responses!AT231&gt;0,Responses!AT231,"Check date"))</f>
        <v/>
      </c>
      <c r="B235" s="28">
        <f>Responses!AS231</f>
        <v/>
      </c>
      <c r="C235" s="29">
        <f>IF(Responses!AS231="","",IF(Responses!AU231&gt;=0,IF(Responses!AU231="","",RIGHT("0"&amp;INT(Responses!AU231/60),2)&amp;":"&amp;RIGHT("0"&amp;MOD(Responses!AU231,60),2)),"Check"))</f>
        <v/>
      </c>
      <c r="D235" s="29">
        <f>IF(Responses!AS231="","",IF(Responses!AV231&gt;=0,IF(Responses!AV231="","",RIGHT("0"&amp;INT(Responses!AV231/60),2)&amp;":"&amp;RIGHT("0"&amp;MOD(Responses!AV231,60),2)),"Check"))</f>
        <v/>
      </c>
      <c r="E235" s="28">
        <f>Responses!AW231</f>
        <v/>
      </c>
      <c r="F235" s="29">
        <f>Responses!AX231</f>
        <v/>
      </c>
      <c r="G235" s="29">
        <f>IF(Responses!AS231="","",IF(AND(ISNUMBER(Responses!AX231),ISNUMBER(IFERROR(VALUE(INDEX(Spaces!$B$5:$B$16,MATCH(Responses!AS231,Spaces!$A$5:$A$16,0))&amp;""),""))),IF(Responses!AX231&gt;IFERROR(VALUE(INDEX(Spaces!$B$5:$B$16,MATCH(Responses!AS231,Spaces!$A$5:$A$16,0))&amp;""),""),"Over by "&amp;(Responses!AX231-IFERROR(VALUE(INDEX(Spaces!$B$5:$B$16,MATCH(Responses!AS231,Spaces!$A$5:$A$16,0))&amp;""),"")),"OK"),""))</f>
        <v/>
      </c>
      <c r="H235" s="28">
        <f>Responses!BF231</f>
        <v/>
      </c>
      <c r="I235" s="28">
        <f>IF(Responses!AS231="","",Responses!AO231&amp;"")</f>
        <v/>
      </c>
      <c r="J235" s="28">
        <f>IF(Responses!AS231="","",Responses!AZ231&amp;"")</f>
        <v/>
      </c>
      <c r="K235" s="29">
        <f>Responses!AY231</f>
        <v/>
      </c>
      <c r="L235" s="28">
        <f>IF(Responses!AS231="","",IF(Responses!AY231="Declined","",IF(Responses!BA231=0,"Check date and times",IF(Responses!BB231&gt;0,Responses!BC231,"No clash"))))</f>
        <v/>
      </c>
    </row>
    <row r="236">
      <c r="A236" s="27">
        <f>IF(Responses!AS232="","",IF(Responses!AT232&gt;0,Responses!AT232,"Check date"))</f>
        <v/>
      </c>
      <c r="B236" s="28">
        <f>Responses!AS232</f>
        <v/>
      </c>
      <c r="C236" s="29">
        <f>IF(Responses!AS232="","",IF(Responses!AU232&gt;=0,IF(Responses!AU232="","",RIGHT("0"&amp;INT(Responses!AU232/60),2)&amp;":"&amp;RIGHT("0"&amp;MOD(Responses!AU232,60),2)),"Check"))</f>
        <v/>
      </c>
      <c r="D236" s="29">
        <f>IF(Responses!AS232="","",IF(Responses!AV232&gt;=0,IF(Responses!AV232="","",RIGHT("0"&amp;INT(Responses!AV232/60),2)&amp;":"&amp;RIGHT("0"&amp;MOD(Responses!AV232,60),2)),"Check"))</f>
        <v/>
      </c>
      <c r="E236" s="28">
        <f>Responses!AW232</f>
        <v/>
      </c>
      <c r="F236" s="29">
        <f>Responses!AX232</f>
        <v/>
      </c>
      <c r="G236" s="29">
        <f>IF(Responses!AS232="","",IF(AND(ISNUMBER(Responses!AX232),ISNUMBER(IFERROR(VALUE(INDEX(Spaces!$B$5:$B$16,MATCH(Responses!AS232,Spaces!$A$5:$A$16,0))&amp;""),""))),IF(Responses!AX232&gt;IFERROR(VALUE(INDEX(Spaces!$B$5:$B$16,MATCH(Responses!AS232,Spaces!$A$5:$A$16,0))&amp;""),""),"Over by "&amp;(Responses!AX232-IFERROR(VALUE(INDEX(Spaces!$B$5:$B$16,MATCH(Responses!AS232,Spaces!$A$5:$A$16,0))&amp;""),"")),"OK"),""))</f>
        <v/>
      </c>
      <c r="H236" s="28">
        <f>Responses!BF232</f>
        <v/>
      </c>
      <c r="I236" s="28">
        <f>IF(Responses!AS232="","",Responses!AO232&amp;"")</f>
        <v/>
      </c>
      <c r="J236" s="28">
        <f>IF(Responses!AS232="","",Responses!AZ232&amp;"")</f>
        <v/>
      </c>
      <c r="K236" s="29">
        <f>Responses!AY232</f>
        <v/>
      </c>
      <c r="L236" s="28">
        <f>IF(Responses!AS232="","",IF(Responses!AY232="Declined","",IF(Responses!BA232=0,"Check date and times",IF(Responses!BB232&gt;0,Responses!BC232,"No clash"))))</f>
        <v/>
      </c>
    </row>
    <row r="237">
      <c r="A237" s="27">
        <f>IF(Responses!AS233="","",IF(Responses!AT233&gt;0,Responses!AT233,"Check date"))</f>
        <v/>
      </c>
      <c r="B237" s="28">
        <f>Responses!AS233</f>
        <v/>
      </c>
      <c r="C237" s="29">
        <f>IF(Responses!AS233="","",IF(Responses!AU233&gt;=0,IF(Responses!AU233="","",RIGHT("0"&amp;INT(Responses!AU233/60),2)&amp;":"&amp;RIGHT("0"&amp;MOD(Responses!AU233,60),2)),"Check"))</f>
        <v/>
      </c>
      <c r="D237" s="29">
        <f>IF(Responses!AS233="","",IF(Responses!AV233&gt;=0,IF(Responses!AV233="","",RIGHT("0"&amp;INT(Responses!AV233/60),2)&amp;":"&amp;RIGHT("0"&amp;MOD(Responses!AV233,60),2)),"Check"))</f>
        <v/>
      </c>
      <c r="E237" s="28">
        <f>Responses!AW233</f>
        <v/>
      </c>
      <c r="F237" s="29">
        <f>Responses!AX233</f>
        <v/>
      </c>
      <c r="G237" s="29">
        <f>IF(Responses!AS233="","",IF(AND(ISNUMBER(Responses!AX233),ISNUMBER(IFERROR(VALUE(INDEX(Spaces!$B$5:$B$16,MATCH(Responses!AS233,Spaces!$A$5:$A$16,0))&amp;""),""))),IF(Responses!AX233&gt;IFERROR(VALUE(INDEX(Spaces!$B$5:$B$16,MATCH(Responses!AS233,Spaces!$A$5:$A$16,0))&amp;""),""),"Over by "&amp;(Responses!AX233-IFERROR(VALUE(INDEX(Spaces!$B$5:$B$16,MATCH(Responses!AS233,Spaces!$A$5:$A$16,0))&amp;""),"")),"OK"),""))</f>
        <v/>
      </c>
      <c r="H237" s="28">
        <f>Responses!BF233</f>
        <v/>
      </c>
      <c r="I237" s="28">
        <f>IF(Responses!AS233="","",Responses!AO233&amp;"")</f>
        <v/>
      </c>
      <c r="J237" s="28">
        <f>IF(Responses!AS233="","",Responses!AZ233&amp;"")</f>
        <v/>
      </c>
      <c r="K237" s="29">
        <f>Responses!AY233</f>
        <v/>
      </c>
      <c r="L237" s="28">
        <f>IF(Responses!AS233="","",IF(Responses!AY233="Declined","",IF(Responses!BA233=0,"Check date and times",IF(Responses!BB233&gt;0,Responses!BC233,"No clash"))))</f>
        <v/>
      </c>
    </row>
    <row r="238">
      <c r="A238" s="27">
        <f>IF(Responses!AS234="","",IF(Responses!AT234&gt;0,Responses!AT234,"Check date"))</f>
        <v/>
      </c>
      <c r="B238" s="28">
        <f>Responses!AS234</f>
        <v/>
      </c>
      <c r="C238" s="29">
        <f>IF(Responses!AS234="","",IF(Responses!AU234&gt;=0,IF(Responses!AU234="","",RIGHT("0"&amp;INT(Responses!AU234/60),2)&amp;":"&amp;RIGHT("0"&amp;MOD(Responses!AU234,60),2)),"Check"))</f>
        <v/>
      </c>
      <c r="D238" s="29">
        <f>IF(Responses!AS234="","",IF(Responses!AV234&gt;=0,IF(Responses!AV234="","",RIGHT("0"&amp;INT(Responses!AV234/60),2)&amp;":"&amp;RIGHT("0"&amp;MOD(Responses!AV234,60),2)),"Check"))</f>
        <v/>
      </c>
      <c r="E238" s="28">
        <f>Responses!AW234</f>
        <v/>
      </c>
      <c r="F238" s="29">
        <f>Responses!AX234</f>
        <v/>
      </c>
      <c r="G238" s="29">
        <f>IF(Responses!AS234="","",IF(AND(ISNUMBER(Responses!AX234),ISNUMBER(IFERROR(VALUE(INDEX(Spaces!$B$5:$B$16,MATCH(Responses!AS234,Spaces!$A$5:$A$16,0))&amp;""),""))),IF(Responses!AX234&gt;IFERROR(VALUE(INDEX(Spaces!$B$5:$B$16,MATCH(Responses!AS234,Spaces!$A$5:$A$16,0))&amp;""),""),"Over by "&amp;(Responses!AX234-IFERROR(VALUE(INDEX(Spaces!$B$5:$B$16,MATCH(Responses!AS234,Spaces!$A$5:$A$16,0))&amp;""),"")),"OK"),""))</f>
        <v/>
      </c>
      <c r="H238" s="28">
        <f>Responses!BF234</f>
        <v/>
      </c>
      <c r="I238" s="28">
        <f>IF(Responses!AS234="","",Responses!AO234&amp;"")</f>
        <v/>
      </c>
      <c r="J238" s="28">
        <f>IF(Responses!AS234="","",Responses!AZ234&amp;"")</f>
        <v/>
      </c>
      <c r="K238" s="29">
        <f>Responses!AY234</f>
        <v/>
      </c>
      <c r="L238" s="28">
        <f>IF(Responses!AS234="","",IF(Responses!AY234="Declined","",IF(Responses!BA234=0,"Check date and times",IF(Responses!BB234&gt;0,Responses!BC234,"No clash"))))</f>
        <v/>
      </c>
    </row>
    <row r="239">
      <c r="A239" s="27">
        <f>IF(Responses!AS235="","",IF(Responses!AT235&gt;0,Responses!AT235,"Check date"))</f>
        <v/>
      </c>
      <c r="B239" s="28">
        <f>Responses!AS235</f>
        <v/>
      </c>
      <c r="C239" s="29">
        <f>IF(Responses!AS235="","",IF(Responses!AU235&gt;=0,IF(Responses!AU235="","",RIGHT("0"&amp;INT(Responses!AU235/60),2)&amp;":"&amp;RIGHT("0"&amp;MOD(Responses!AU235,60),2)),"Check"))</f>
        <v/>
      </c>
      <c r="D239" s="29">
        <f>IF(Responses!AS235="","",IF(Responses!AV235&gt;=0,IF(Responses!AV235="","",RIGHT("0"&amp;INT(Responses!AV235/60),2)&amp;":"&amp;RIGHT("0"&amp;MOD(Responses!AV235,60),2)),"Check"))</f>
        <v/>
      </c>
      <c r="E239" s="28">
        <f>Responses!AW235</f>
        <v/>
      </c>
      <c r="F239" s="29">
        <f>Responses!AX235</f>
        <v/>
      </c>
      <c r="G239" s="29">
        <f>IF(Responses!AS235="","",IF(AND(ISNUMBER(Responses!AX235),ISNUMBER(IFERROR(VALUE(INDEX(Spaces!$B$5:$B$16,MATCH(Responses!AS235,Spaces!$A$5:$A$16,0))&amp;""),""))),IF(Responses!AX235&gt;IFERROR(VALUE(INDEX(Spaces!$B$5:$B$16,MATCH(Responses!AS235,Spaces!$A$5:$A$16,0))&amp;""),""),"Over by "&amp;(Responses!AX235-IFERROR(VALUE(INDEX(Spaces!$B$5:$B$16,MATCH(Responses!AS235,Spaces!$A$5:$A$16,0))&amp;""),"")),"OK"),""))</f>
        <v/>
      </c>
      <c r="H239" s="28">
        <f>Responses!BF235</f>
        <v/>
      </c>
      <c r="I239" s="28">
        <f>IF(Responses!AS235="","",Responses!AO235&amp;"")</f>
        <v/>
      </c>
      <c r="J239" s="28">
        <f>IF(Responses!AS235="","",Responses!AZ235&amp;"")</f>
        <v/>
      </c>
      <c r="K239" s="29">
        <f>Responses!AY235</f>
        <v/>
      </c>
      <c r="L239" s="28">
        <f>IF(Responses!AS235="","",IF(Responses!AY235="Declined","",IF(Responses!BA235=0,"Check date and times",IF(Responses!BB235&gt;0,Responses!BC235,"No clash"))))</f>
        <v/>
      </c>
    </row>
    <row r="240">
      <c r="A240" s="27">
        <f>IF(Responses!AS236="","",IF(Responses!AT236&gt;0,Responses!AT236,"Check date"))</f>
        <v/>
      </c>
      <c r="B240" s="28">
        <f>Responses!AS236</f>
        <v/>
      </c>
      <c r="C240" s="29">
        <f>IF(Responses!AS236="","",IF(Responses!AU236&gt;=0,IF(Responses!AU236="","",RIGHT("0"&amp;INT(Responses!AU236/60),2)&amp;":"&amp;RIGHT("0"&amp;MOD(Responses!AU236,60),2)),"Check"))</f>
        <v/>
      </c>
      <c r="D240" s="29">
        <f>IF(Responses!AS236="","",IF(Responses!AV236&gt;=0,IF(Responses!AV236="","",RIGHT("0"&amp;INT(Responses!AV236/60),2)&amp;":"&amp;RIGHT("0"&amp;MOD(Responses!AV236,60),2)),"Check"))</f>
        <v/>
      </c>
      <c r="E240" s="28">
        <f>Responses!AW236</f>
        <v/>
      </c>
      <c r="F240" s="29">
        <f>Responses!AX236</f>
        <v/>
      </c>
      <c r="G240" s="29">
        <f>IF(Responses!AS236="","",IF(AND(ISNUMBER(Responses!AX236),ISNUMBER(IFERROR(VALUE(INDEX(Spaces!$B$5:$B$16,MATCH(Responses!AS236,Spaces!$A$5:$A$16,0))&amp;""),""))),IF(Responses!AX236&gt;IFERROR(VALUE(INDEX(Spaces!$B$5:$B$16,MATCH(Responses!AS236,Spaces!$A$5:$A$16,0))&amp;""),""),"Over by "&amp;(Responses!AX236-IFERROR(VALUE(INDEX(Spaces!$B$5:$B$16,MATCH(Responses!AS236,Spaces!$A$5:$A$16,0))&amp;""),"")),"OK"),""))</f>
        <v/>
      </c>
      <c r="H240" s="28">
        <f>Responses!BF236</f>
        <v/>
      </c>
      <c r="I240" s="28">
        <f>IF(Responses!AS236="","",Responses!AO236&amp;"")</f>
        <v/>
      </c>
      <c r="J240" s="28">
        <f>IF(Responses!AS236="","",Responses!AZ236&amp;"")</f>
        <v/>
      </c>
      <c r="K240" s="29">
        <f>Responses!AY236</f>
        <v/>
      </c>
      <c r="L240" s="28">
        <f>IF(Responses!AS236="","",IF(Responses!AY236="Declined","",IF(Responses!BA236=0,"Check date and times",IF(Responses!BB236&gt;0,Responses!BC236,"No clash"))))</f>
        <v/>
      </c>
    </row>
    <row r="241">
      <c r="A241" s="27">
        <f>IF(Responses!AS237="","",IF(Responses!AT237&gt;0,Responses!AT237,"Check date"))</f>
        <v/>
      </c>
      <c r="B241" s="28">
        <f>Responses!AS237</f>
        <v/>
      </c>
      <c r="C241" s="29">
        <f>IF(Responses!AS237="","",IF(Responses!AU237&gt;=0,IF(Responses!AU237="","",RIGHT("0"&amp;INT(Responses!AU237/60),2)&amp;":"&amp;RIGHT("0"&amp;MOD(Responses!AU237,60),2)),"Check"))</f>
        <v/>
      </c>
      <c r="D241" s="29">
        <f>IF(Responses!AS237="","",IF(Responses!AV237&gt;=0,IF(Responses!AV237="","",RIGHT("0"&amp;INT(Responses!AV237/60),2)&amp;":"&amp;RIGHT("0"&amp;MOD(Responses!AV237,60),2)),"Check"))</f>
        <v/>
      </c>
      <c r="E241" s="28">
        <f>Responses!AW237</f>
        <v/>
      </c>
      <c r="F241" s="29">
        <f>Responses!AX237</f>
        <v/>
      </c>
      <c r="G241" s="29">
        <f>IF(Responses!AS237="","",IF(AND(ISNUMBER(Responses!AX237),ISNUMBER(IFERROR(VALUE(INDEX(Spaces!$B$5:$B$16,MATCH(Responses!AS237,Spaces!$A$5:$A$16,0))&amp;""),""))),IF(Responses!AX237&gt;IFERROR(VALUE(INDEX(Spaces!$B$5:$B$16,MATCH(Responses!AS237,Spaces!$A$5:$A$16,0))&amp;""),""),"Over by "&amp;(Responses!AX237-IFERROR(VALUE(INDEX(Spaces!$B$5:$B$16,MATCH(Responses!AS237,Spaces!$A$5:$A$16,0))&amp;""),"")),"OK"),""))</f>
        <v/>
      </c>
      <c r="H241" s="28">
        <f>Responses!BF237</f>
        <v/>
      </c>
      <c r="I241" s="28">
        <f>IF(Responses!AS237="","",Responses!AO237&amp;"")</f>
        <v/>
      </c>
      <c r="J241" s="28">
        <f>IF(Responses!AS237="","",Responses!AZ237&amp;"")</f>
        <v/>
      </c>
      <c r="K241" s="29">
        <f>Responses!AY237</f>
        <v/>
      </c>
      <c r="L241" s="28">
        <f>IF(Responses!AS237="","",IF(Responses!AY237="Declined","",IF(Responses!BA237=0,"Check date and times",IF(Responses!BB237&gt;0,Responses!BC237,"No clash"))))</f>
        <v/>
      </c>
    </row>
    <row r="242">
      <c r="A242" s="27">
        <f>IF(Responses!AS238="","",IF(Responses!AT238&gt;0,Responses!AT238,"Check date"))</f>
        <v/>
      </c>
      <c r="B242" s="28">
        <f>Responses!AS238</f>
        <v/>
      </c>
      <c r="C242" s="29">
        <f>IF(Responses!AS238="","",IF(Responses!AU238&gt;=0,IF(Responses!AU238="","",RIGHT("0"&amp;INT(Responses!AU238/60),2)&amp;":"&amp;RIGHT("0"&amp;MOD(Responses!AU238,60),2)),"Check"))</f>
        <v/>
      </c>
      <c r="D242" s="29">
        <f>IF(Responses!AS238="","",IF(Responses!AV238&gt;=0,IF(Responses!AV238="","",RIGHT("0"&amp;INT(Responses!AV238/60),2)&amp;":"&amp;RIGHT("0"&amp;MOD(Responses!AV238,60),2)),"Check"))</f>
        <v/>
      </c>
      <c r="E242" s="28">
        <f>Responses!AW238</f>
        <v/>
      </c>
      <c r="F242" s="29">
        <f>Responses!AX238</f>
        <v/>
      </c>
      <c r="G242" s="29">
        <f>IF(Responses!AS238="","",IF(AND(ISNUMBER(Responses!AX238),ISNUMBER(IFERROR(VALUE(INDEX(Spaces!$B$5:$B$16,MATCH(Responses!AS238,Spaces!$A$5:$A$16,0))&amp;""),""))),IF(Responses!AX238&gt;IFERROR(VALUE(INDEX(Spaces!$B$5:$B$16,MATCH(Responses!AS238,Spaces!$A$5:$A$16,0))&amp;""),""),"Over by "&amp;(Responses!AX238-IFERROR(VALUE(INDEX(Spaces!$B$5:$B$16,MATCH(Responses!AS238,Spaces!$A$5:$A$16,0))&amp;""),"")),"OK"),""))</f>
        <v/>
      </c>
      <c r="H242" s="28">
        <f>Responses!BF238</f>
        <v/>
      </c>
      <c r="I242" s="28">
        <f>IF(Responses!AS238="","",Responses!AO238&amp;"")</f>
        <v/>
      </c>
      <c r="J242" s="28">
        <f>IF(Responses!AS238="","",Responses!AZ238&amp;"")</f>
        <v/>
      </c>
      <c r="K242" s="29">
        <f>Responses!AY238</f>
        <v/>
      </c>
      <c r="L242" s="28">
        <f>IF(Responses!AS238="","",IF(Responses!AY238="Declined","",IF(Responses!BA238=0,"Check date and times",IF(Responses!BB238&gt;0,Responses!BC238,"No clash"))))</f>
        <v/>
      </c>
    </row>
    <row r="243">
      <c r="A243" s="27">
        <f>IF(Responses!AS239="","",IF(Responses!AT239&gt;0,Responses!AT239,"Check date"))</f>
        <v/>
      </c>
      <c r="B243" s="28">
        <f>Responses!AS239</f>
        <v/>
      </c>
      <c r="C243" s="29">
        <f>IF(Responses!AS239="","",IF(Responses!AU239&gt;=0,IF(Responses!AU239="","",RIGHT("0"&amp;INT(Responses!AU239/60),2)&amp;":"&amp;RIGHT("0"&amp;MOD(Responses!AU239,60),2)),"Check"))</f>
        <v/>
      </c>
      <c r="D243" s="29">
        <f>IF(Responses!AS239="","",IF(Responses!AV239&gt;=0,IF(Responses!AV239="","",RIGHT("0"&amp;INT(Responses!AV239/60),2)&amp;":"&amp;RIGHT("0"&amp;MOD(Responses!AV239,60),2)),"Check"))</f>
        <v/>
      </c>
      <c r="E243" s="28">
        <f>Responses!AW239</f>
        <v/>
      </c>
      <c r="F243" s="29">
        <f>Responses!AX239</f>
        <v/>
      </c>
      <c r="G243" s="29">
        <f>IF(Responses!AS239="","",IF(AND(ISNUMBER(Responses!AX239),ISNUMBER(IFERROR(VALUE(INDEX(Spaces!$B$5:$B$16,MATCH(Responses!AS239,Spaces!$A$5:$A$16,0))&amp;""),""))),IF(Responses!AX239&gt;IFERROR(VALUE(INDEX(Spaces!$B$5:$B$16,MATCH(Responses!AS239,Spaces!$A$5:$A$16,0))&amp;""),""),"Over by "&amp;(Responses!AX239-IFERROR(VALUE(INDEX(Spaces!$B$5:$B$16,MATCH(Responses!AS239,Spaces!$A$5:$A$16,0))&amp;""),"")),"OK"),""))</f>
        <v/>
      </c>
      <c r="H243" s="28">
        <f>Responses!BF239</f>
        <v/>
      </c>
      <c r="I243" s="28">
        <f>IF(Responses!AS239="","",Responses!AO239&amp;"")</f>
        <v/>
      </c>
      <c r="J243" s="28">
        <f>IF(Responses!AS239="","",Responses!AZ239&amp;"")</f>
        <v/>
      </c>
      <c r="K243" s="29">
        <f>Responses!AY239</f>
        <v/>
      </c>
      <c r="L243" s="28">
        <f>IF(Responses!AS239="","",IF(Responses!AY239="Declined","",IF(Responses!BA239=0,"Check date and times",IF(Responses!BB239&gt;0,Responses!BC239,"No clash"))))</f>
        <v/>
      </c>
    </row>
    <row r="244">
      <c r="A244" s="27">
        <f>IF(Responses!AS240="","",IF(Responses!AT240&gt;0,Responses!AT240,"Check date"))</f>
        <v/>
      </c>
      <c r="B244" s="28">
        <f>Responses!AS240</f>
        <v/>
      </c>
      <c r="C244" s="29">
        <f>IF(Responses!AS240="","",IF(Responses!AU240&gt;=0,IF(Responses!AU240="","",RIGHT("0"&amp;INT(Responses!AU240/60),2)&amp;":"&amp;RIGHT("0"&amp;MOD(Responses!AU240,60),2)),"Check"))</f>
        <v/>
      </c>
      <c r="D244" s="29">
        <f>IF(Responses!AS240="","",IF(Responses!AV240&gt;=0,IF(Responses!AV240="","",RIGHT("0"&amp;INT(Responses!AV240/60),2)&amp;":"&amp;RIGHT("0"&amp;MOD(Responses!AV240,60),2)),"Check"))</f>
        <v/>
      </c>
      <c r="E244" s="28">
        <f>Responses!AW240</f>
        <v/>
      </c>
      <c r="F244" s="29">
        <f>Responses!AX240</f>
        <v/>
      </c>
      <c r="G244" s="29">
        <f>IF(Responses!AS240="","",IF(AND(ISNUMBER(Responses!AX240),ISNUMBER(IFERROR(VALUE(INDEX(Spaces!$B$5:$B$16,MATCH(Responses!AS240,Spaces!$A$5:$A$16,0))&amp;""),""))),IF(Responses!AX240&gt;IFERROR(VALUE(INDEX(Spaces!$B$5:$B$16,MATCH(Responses!AS240,Spaces!$A$5:$A$16,0))&amp;""),""),"Over by "&amp;(Responses!AX240-IFERROR(VALUE(INDEX(Spaces!$B$5:$B$16,MATCH(Responses!AS240,Spaces!$A$5:$A$16,0))&amp;""),"")),"OK"),""))</f>
        <v/>
      </c>
      <c r="H244" s="28">
        <f>Responses!BF240</f>
        <v/>
      </c>
      <c r="I244" s="28">
        <f>IF(Responses!AS240="","",Responses!AO240&amp;"")</f>
        <v/>
      </c>
      <c r="J244" s="28">
        <f>IF(Responses!AS240="","",Responses!AZ240&amp;"")</f>
        <v/>
      </c>
      <c r="K244" s="29">
        <f>Responses!AY240</f>
        <v/>
      </c>
      <c r="L244" s="28">
        <f>IF(Responses!AS240="","",IF(Responses!AY240="Declined","",IF(Responses!BA240=0,"Check date and times",IF(Responses!BB240&gt;0,Responses!BC240,"No clash"))))</f>
        <v/>
      </c>
    </row>
    <row r="245">
      <c r="A245" s="27">
        <f>IF(Responses!AS241="","",IF(Responses!AT241&gt;0,Responses!AT241,"Check date"))</f>
        <v/>
      </c>
      <c r="B245" s="28">
        <f>Responses!AS241</f>
        <v/>
      </c>
      <c r="C245" s="29">
        <f>IF(Responses!AS241="","",IF(Responses!AU241&gt;=0,IF(Responses!AU241="","",RIGHT("0"&amp;INT(Responses!AU241/60),2)&amp;":"&amp;RIGHT("0"&amp;MOD(Responses!AU241,60),2)),"Check"))</f>
        <v/>
      </c>
      <c r="D245" s="29">
        <f>IF(Responses!AS241="","",IF(Responses!AV241&gt;=0,IF(Responses!AV241="","",RIGHT("0"&amp;INT(Responses!AV241/60),2)&amp;":"&amp;RIGHT("0"&amp;MOD(Responses!AV241,60),2)),"Check"))</f>
        <v/>
      </c>
      <c r="E245" s="28">
        <f>Responses!AW241</f>
        <v/>
      </c>
      <c r="F245" s="29">
        <f>Responses!AX241</f>
        <v/>
      </c>
      <c r="G245" s="29">
        <f>IF(Responses!AS241="","",IF(AND(ISNUMBER(Responses!AX241),ISNUMBER(IFERROR(VALUE(INDEX(Spaces!$B$5:$B$16,MATCH(Responses!AS241,Spaces!$A$5:$A$16,0))&amp;""),""))),IF(Responses!AX241&gt;IFERROR(VALUE(INDEX(Spaces!$B$5:$B$16,MATCH(Responses!AS241,Spaces!$A$5:$A$16,0))&amp;""),""),"Over by "&amp;(Responses!AX241-IFERROR(VALUE(INDEX(Spaces!$B$5:$B$16,MATCH(Responses!AS241,Spaces!$A$5:$A$16,0))&amp;""),"")),"OK"),""))</f>
        <v/>
      </c>
      <c r="H245" s="28">
        <f>Responses!BF241</f>
        <v/>
      </c>
      <c r="I245" s="28">
        <f>IF(Responses!AS241="","",Responses!AO241&amp;"")</f>
        <v/>
      </c>
      <c r="J245" s="28">
        <f>IF(Responses!AS241="","",Responses!AZ241&amp;"")</f>
        <v/>
      </c>
      <c r="K245" s="29">
        <f>Responses!AY241</f>
        <v/>
      </c>
      <c r="L245" s="28">
        <f>IF(Responses!AS241="","",IF(Responses!AY241="Declined","",IF(Responses!BA241=0,"Check date and times",IF(Responses!BB241&gt;0,Responses!BC241,"No clash"))))</f>
        <v/>
      </c>
    </row>
    <row r="246">
      <c r="A246" s="27">
        <f>IF(Responses!AS242="","",IF(Responses!AT242&gt;0,Responses!AT242,"Check date"))</f>
        <v/>
      </c>
      <c r="B246" s="28">
        <f>Responses!AS242</f>
        <v/>
      </c>
      <c r="C246" s="29">
        <f>IF(Responses!AS242="","",IF(Responses!AU242&gt;=0,IF(Responses!AU242="","",RIGHT("0"&amp;INT(Responses!AU242/60),2)&amp;":"&amp;RIGHT("0"&amp;MOD(Responses!AU242,60),2)),"Check"))</f>
        <v/>
      </c>
      <c r="D246" s="29">
        <f>IF(Responses!AS242="","",IF(Responses!AV242&gt;=0,IF(Responses!AV242="","",RIGHT("0"&amp;INT(Responses!AV242/60),2)&amp;":"&amp;RIGHT("0"&amp;MOD(Responses!AV242,60),2)),"Check"))</f>
        <v/>
      </c>
      <c r="E246" s="28">
        <f>Responses!AW242</f>
        <v/>
      </c>
      <c r="F246" s="29">
        <f>Responses!AX242</f>
        <v/>
      </c>
      <c r="G246" s="29">
        <f>IF(Responses!AS242="","",IF(AND(ISNUMBER(Responses!AX242),ISNUMBER(IFERROR(VALUE(INDEX(Spaces!$B$5:$B$16,MATCH(Responses!AS242,Spaces!$A$5:$A$16,0))&amp;""),""))),IF(Responses!AX242&gt;IFERROR(VALUE(INDEX(Spaces!$B$5:$B$16,MATCH(Responses!AS242,Spaces!$A$5:$A$16,0))&amp;""),""),"Over by "&amp;(Responses!AX242-IFERROR(VALUE(INDEX(Spaces!$B$5:$B$16,MATCH(Responses!AS242,Spaces!$A$5:$A$16,0))&amp;""),"")),"OK"),""))</f>
        <v/>
      </c>
      <c r="H246" s="28">
        <f>Responses!BF242</f>
        <v/>
      </c>
      <c r="I246" s="28">
        <f>IF(Responses!AS242="","",Responses!AO242&amp;"")</f>
        <v/>
      </c>
      <c r="J246" s="28">
        <f>IF(Responses!AS242="","",Responses!AZ242&amp;"")</f>
        <v/>
      </c>
      <c r="K246" s="29">
        <f>Responses!AY242</f>
        <v/>
      </c>
      <c r="L246" s="28">
        <f>IF(Responses!AS242="","",IF(Responses!AY242="Declined","",IF(Responses!BA242=0,"Check date and times",IF(Responses!BB242&gt;0,Responses!BC242,"No clash"))))</f>
        <v/>
      </c>
    </row>
    <row r="247">
      <c r="A247" s="27">
        <f>IF(Responses!AS243="","",IF(Responses!AT243&gt;0,Responses!AT243,"Check date"))</f>
        <v/>
      </c>
      <c r="B247" s="28">
        <f>Responses!AS243</f>
        <v/>
      </c>
      <c r="C247" s="29">
        <f>IF(Responses!AS243="","",IF(Responses!AU243&gt;=0,IF(Responses!AU243="","",RIGHT("0"&amp;INT(Responses!AU243/60),2)&amp;":"&amp;RIGHT("0"&amp;MOD(Responses!AU243,60),2)),"Check"))</f>
        <v/>
      </c>
      <c r="D247" s="29">
        <f>IF(Responses!AS243="","",IF(Responses!AV243&gt;=0,IF(Responses!AV243="","",RIGHT("0"&amp;INT(Responses!AV243/60),2)&amp;":"&amp;RIGHT("0"&amp;MOD(Responses!AV243,60),2)),"Check"))</f>
        <v/>
      </c>
      <c r="E247" s="28">
        <f>Responses!AW243</f>
        <v/>
      </c>
      <c r="F247" s="29">
        <f>Responses!AX243</f>
        <v/>
      </c>
      <c r="G247" s="29">
        <f>IF(Responses!AS243="","",IF(AND(ISNUMBER(Responses!AX243),ISNUMBER(IFERROR(VALUE(INDEX(Spaces!$B$5:$B$16,MATCH(Responses!AS243,Spaces!$A$5:$A$16,0))&amp;""),""))),IF(Responses!AX243&gt;IFERROR(VALUE(INDEX(Spaces!$B$5:$B$16,MATCH(Responses!AS243,Spaces!$A$5:$A$16,0))&amp;""),""),"Over by "&amp;(Responses!AX243-IFERROR(VALUE(INDEX(Spaces!$B$5:$B$16,MATCH(Responses!AS243,Spaces!$A$5:$A$16,0))&amp;""),"")),"OK"),""))</f>
        <v/>
      </c>
      <c r="H247" s="28">
        <f>Responses!BF243</f>
        <v/>
      </c>
      <c r="I247" s="28">
        <f>IF(Responses!AS243="","",Responses!AO243&amp;"")</f>
        <v/>
      </c>
      <c r="J247" s="28">
        <f>IF(Responses!AS243="","",Responses!AZ243&amp;"")</f>
        <v/>
      </c>
      <c r="K247" s="29">
        <f>Responses!AY243</f>
        <v/>
      </c>
      <c r="L247" s="28">
        <f>IF(Responses!AS243="","",IF(Responses!AY243="Declined","",IF(Responses!BA243=0,"Check date and times",IF(Responses!BB243&gt;0,Responses!BC243,"No clash"))))</f>
        <v/>
      </c>
    </row>
    <row r="248">
      <c r="A248" s="27">
        <f>IF(Responses!AS244="","",IF(Responses!AT244&gt;0,Responses!AT244,"Check date"))</f>
        <v/>
      </c>
      <c r="B248" s="28">
        <f>Responses!AS244</f>
        <v/>
      </c>
      <c r="C248" s="29">
        <f>IF(Responses!AS244="","",IF(Responses!AU244&gt;=0,IF(Responses!AU244="","",RIGHT("0"&amp;INT(Responses!AU244/60),2)&amp;":"&amp;RIGHT("0"&amp;MOD(Responses!AU244,60),2)),"Check"))</f>
        <v/>
      </c>
      <c r="D248" s="29">
        <f>IF(Responses!AS244="","",IF(Responses!AV244&gt;=0,IF(Responses!AV244="","",RIGHT("0"&amp;INT(Responses!AV244/60),2)&amp;":"&amp;RIGHT("0"&amp;MOD(Responses!AV244,60),2)),"Check"))</f>
        <v/>
      </c>
      <c r="E248" s="28">
        <f>Responses!AW244</f>
        <v/>
      </c>
      <c r="F248" s="29">
        <f>Responses!AX244</f>
        <v/>
      </c>
      <c r="G248" s="29">
        <f>IF(Responses!AS244="","",IF(AND(ISNUMBER(Responses!AX244),ISNUMBER(IFERROR(VALUE(INDEX(Spaces!$B$5:$B$16,MATCH(Responses!AS244,Spaces!$A$5:$A$16,0))&amp;""),""))),IF(Responses!AX244&gt;IFERROR(VALUE(INDEX(Spaces!$B$5:$B$16,MATCH(Responses!AS244,Spaces!$A$5:$A$16,0))&amp;""),""),"Over by "&amp;(Responses!AX244-IFERROR(VALUE(INDEX(Spaces!$B$5:$B$16,MATCH(Responses!AS244,Spaces!$A$5:$A$16,0))&amp;""),"")),"OK"),""))</f>
        <v/>
      </c>
      <c r="H248" s="28">
        <f>Responses!BF244</f>
        <v/>
      </c>
      <c r="I248" s="28">
        <f>IF(Responses!AS244="","",Responses!AO244&amp;"")</f>
        <v/>
      </c>
      <c r="J248" s="28">
        <f>IF(Responses!AS244="","",Responses!AZ244&amp;"")</f>
        <v/>
      </c>
      <c r="K248" s="29">
        <f>Responses!AY244</f>
        <v/>
      </c>
      <c r="L248" s="28">
        <f>IF(Responses!AS244="","",IF(Responses!AY244="Declined","",IF(Responses!BA244=0,"Check date and times",IF(Responses!BB244&gt;0,Responses!BC244,"No clash"))))</f>
        <v/>
      </c>
    </row>
    <row r="249">
      <c r="A249" s="27">
        <f>IF(Responses!AS245="","",IF(Responses!AT245&gt;0,Responses!AT245,"Check date"))</f>
        <v/>
      </c>
      <c r="B249" s="28">
        <f>Responses!AS245</f>
        <v/>
      </c>
      <c r="C249" s="29">
        <f>IF(Responses!AS245="","",IF(Responses!AU245&gt;=0,IF(Responses!AU245="","",RIGHT("0"&amp;INT(Responses!AU245/60),2)&amp;":"&amp;RIGHT("0"&amp;MOD(Responses!AU245,60),2)),"Check"))</f>
        <v/>
      </c>
      <c r="D249" s="29">
        <f>IF(Responses!AS245="","",IF(Responses!AV245&gt;=0,IF(Responses!AV245="","",RIGHT("0"&amp;INT(Responses!AV245/60),2)&amp;":"&amp;RIGHT("0"&amp;MOD(Responses!AV245,60),2)),"Check"))</f>
        <v/>
      </c>
      <c r="E249" s="28">
        <f>Responses!AW245</f>
        <v/>
      </c>
      <c r="F249" s="29">
        <f>Responses!AX245</f>
        <v/>
      </c>
      <c r="G249" s="29">
        <f>IF(Responses!AS245="","",IF(AND(ISNUMBER(Responses!AX245),ISNUMBER(IFERROR(VALUE(INDEX(Spaces!$B$5:$B$16,MATCH(Responses!AS245,Spaces!$A$5:$A$16,0))&amp;""),""))),IF(Responses!AX245&gt;IFERROR(VALUE(INDEX(Spaces!$B$5:$B$16,MATCH(Responses!AS245,Spaces!$A$5:$A$16,0))&amp;""),""),"Over by "&amp;(Responses!AX245-IFERROR(VALUE(INDEX(Spaces!$B$5:$B$16,MATCH(Responses!AS245,Spaces!$A$5:$A$16,0))&amp;""),"")),"OK"),""))</f>
        <v/>
      </c>
      <c r="H249" s="28">
        <f>Responses!BF245</f>
        <v/>
      </c>
      <c r="I249" s="28">
        <f>IF(Responses!AS245="","",Responses!AO245&amp;"")</f>
        <v/>
      </c>
      <c r="J249" s="28">
        <f>IF(Responses!AS245="","",Responses!AZ245&amp;"")</f>
        <v/>
      </c>
      <c r="K249" s="29">
        <f>Responses!AY245</f>
        <v/>
      </c>
      <c r="L249" s="28">
        <f>IF(Responses!AS245="","",IF(Responses!AY245="Declined","",IF(Responses!BA245=0,"Check date and times",IF(Responses!BB245&gt;0,Responses!BC245,"No clash"))))</f>
        <v/>
      </c>
    </row>
    <row r="250">
      <c r="A250" s="27">
        <f>IF(Responses!AS246="","",IF(Responses!AT246&gt;0,Responses!AT246,"Check date"))</f>
        <v/>
      </c>
      <c r="B250" s="28">
        <f>Responses!AS246</f>
        <v/>
      </c>
      <c r="C250" s="29">
        <f>IF(Responses!AS246="","",IF(Responses!AU246&gt;=0,IF(Responses!AU246="","",RIGHT("0"&amp;INT(Responses!AU246/60),2)&amp;":"&amp;RIGHT("0"&amp;MOD(Responses!AU246,60),2)),"Check"))</f>
        <v/>
      </c>
      <c r="D250" s="29">
        <f>IF(Responses!AS246="","",IF(Responses!AV246&gt;=0,IF(Responses!AV246="","",RIGHT("0"&amp;INT(Responses!AV246/60),2)&amp;":"&amp;RIGHT("0"&amp;MOD(Responses!AV246,60),2)),"Check"))</f>
        <v/>
      </c>
      <c r="E250" s="28">
        <f>Responses!AW246</f>
        <v/>
      </c>
      <c r="F250" s="29">
        <f>Responses!AX246</f>
        <v/>
      </c>
      <c r="G250" s="29">
        <f>IF(Responses!AS246="","",IF(AND(ISNUMBER(Responses!AX246),ISNUMBER(IFERROR(VALUE(INDEX(Spaces!$B$5:$B$16,MATCH(Responses!AS246,Spaces!$A$5:$A$16,0))&amp;""),""))),IF(Responses!AX246&gt;IFERROR(VALUE(INDEX(Spaces!$B$5:$B$16,MATCH(Responses!AS246,Spaces!$A$5:$A$16,0))&amp;""),""),"Over by "&amp;(Responses!AX246-IFERROR(VALUE(INDEX(Spaces!$B$5:$B$16,MATCH(Responses!AS246,Spaces!$A$5:$A$16,0))&amp;""),"")),"OK"),""))</f>
        <v/>
      </c>
      <c r="H250" s="28">
        <f>Responses!BF246</f>
        <v/>
      </c>
      <c r="I250" s="28">
        <f>IF(Responses!AS246="","",Responses!AO246&amp;"")</f>
        <v/>
      </c>
      <c r="J250" s="28">
        <f>IF(Responses!AS246="","",Responses!AZ246&amp;"")</f>
        <v/>
      </c>
      <c r="K250" s="29">
        <f>Responses!AY246</f>
        <v/>
      </c>
      <c r="L250" s="28">
        <f>IF(Responses!AS246="","",IF(Responses!AY246="Declined","",IF(Responses!BA246=0,"Check date and times",IF(Responses!BB246&gt;0,Responses!BC246,"No clash"))))</f>
        <v/>
      </c>
    </row>
    <row r="251">
      <c r="A251" s="27">
        <f>IF(Responses!AS247="","",IF(Responses!AT247&gt;0,Responses!AT247,"Check date"))</f>
        <v/>
      </c>
      <c r="B251" s="28">
        <f>Responses!AS247</f>
        <v/>
      </c>
      <c r="C251" s="29">
        <f>IF(Responses!AS247="","",IF(Responses!AU247&gt;=0,IF(Responses!AU247="","",RIGHT("0"&amp;INT(Responses!AU247/60),2)&amp;":"&amp;RIGHT("0"&amp;MOD(Responses!AU247,60),2)),"Check"))</f>
        <v/>
      </c>
      <c r="D251" s="29">
        <f>IF(Responses!AS247="","",IF(Responses!AV247&gt;=0,IF(Responses!AV247="","",RIGHT("0"&amp;INT(Responses!AV247/60),2)&amp;":"&amp;RIGHT("0"&amp;MOD(Responses!AV247,60),2)),"Check"))</f>
        <v/>
      </c>
      <c r="E251" s="28">
        <f>Responses!AW247</f>
        <v/>
      </c>
      <c r="F251" s="29">
        <f>Responses!AX247</f>
        <v/>
      </c>
      <c r="G251" s="29">
        <f>IF(Responses!AS247="","",IF(AND(ISNUMBER(Responses!AX247),ISNUMBER(IFERROR(VALUE(INDEX(Spaces!$B$5:$B$16,MATCH(Responses!AS247,Spaces!$A$5:$A$16,0))&amp;""),""))),IF(Responses!AX247&gt;IFERROR(VALUE(INDEX(Spaces!$B$5:$B$16,MATCH(Responses!AS247,Spaces!$A$5:$A$16,0))&amp;""),""),"Over by "&amp;(Responses!AX247-IFERROR(VALUE(INDEX(Spaces!$B$5:$B$16,MATCH(Responses!AS247,Spaces!$A$5:$A$16,0))&amp;""),"")),"OK"),""))</f>
        <v/>
      </c>
      <c r="H251" s="28">
        <f>Responses!BF247</f>
        <v/>
      </c>
      <c r="I251" s="28">
        <f>IF(Responses!AS247="","",Responses!AO247&amp;"")</f>
        <v/>
      </c>
      <c r="J251" s="28">
        <f>IF(Responses!AS247="","",Responses!AZ247&amp;"")</f>
        <v/>
      </c>
      <c r="K251" s="29">
        <f>Responses!AY247</f>
        <v/>
      </c>
      <c r="L251" s="28">
        <f>IF(Responses!AS247="","",IF(Responses!AY247="Declined","",IF(Responses!BA247=0,"Check date and times",IF(Responses!BB247&gt;0,Responses!BC247,"No clash"))))</f>
        <v/>
      </c>
    </row>
    <row r="252">
      <c r="A252" s="27">
        <f>IF(Responses!AS248="","",IF(Responses!AT248&gt;0,Responses!AT248,"Check date"))</f>
        <v/>
      </c>
      <c r="B252" s="28">
        <f>Responses!AS248</f>
        <v/>
      </c>
      <c r="C252" s="29">
        <f>IF(Responses!AS248="","",IF(Responses!AU248&gt;=0,IF(Responses!AU248="","",RIGHT("0"&amp;INT(Responses!AU248/60),2)&amp;":"&amp;RIGHT("0"&amp;MOD(Responses!AU248,60),2)),"Check"))</f>
        <v/>
      </c>
      <c r="D252" s="29">
        <f>IF(Responses!AS248="","",IF(Responses!AV248&gt;=0,IF(Responses!AV248="","",RIGHT("0"&amp;INT(Responses!AV248/60),2)&amp;":"&amp;RIGHT("0"&amp;MOD(Responses!AV248,60),2)),"Check"))</f>
        <v/>
      </c>
      <c r="E252" s="28">
        <f>Responses!AW248</f>
        <v/>
      </c>
      <c r="F252" s="29">
        <f>Responses!AX248</f>
        <v/>
      </c>
      <c r="G252" s="29">
        <f>IF(Responses!AS248="","",IF(AND(ISNUMBER(Responses!AX248),ISNUMBER(IFERROR(VALUE(INDEX(Spaces!$B$5:$B$16,MATCH(Responses!AS248,Spaces!$A$5:$A$16,0))&amp;""),""))),IF(Responses!AX248&gt;IFERROR(VALUE(INDEX(Spaces!$B$5:$B$16,MATCH(Responses!AS248,Spaces!$A$5:$A$16,0))&amp;""),""),"Over by "&amp;(Responses!AX248-IFERROR(VALUE(INDEX(Spaces!$B$5:$B$16,MATCH(Responses!AS248,Spaces!$A$5:$A$16,0))&amp;""),"")),"OK"),""))</f>
        <v/>
      </c>
      <c r="H252" s="28">
        <f>Responses!BF248</f>
        <v/>
      </c>
      <c r="I252" s="28">
        <f>IF(Responses!AS248="","",Responses!AO248&amp;"")</f>
        <v/>
      </c>
      <c r="J252" s="28">
        <f>IF(Responses!AS248="","",Responses!AZ248&amp;"")</f>
        <v/>
      </c>
      <c r="K252" s="29">
        <f>Responses!AY248</f>
        <v/>
      </c>
      <c r="L252" s="28">
        <f>IF(Responses!AS248="","",IF(Responses!AY248="Declined","",IF(Responses!BA248=0,"Check date and times",IF(Responses!BB248&gt;0,Responses!BC248,"No clash"))))</f>
        <v/>
      </c>
    </row>
    <row r="253">
      <c r="A253" s="27">
        <f>IF(Responses!AS249="","",IF(Responses!AT249&gt;0,Responses!AT249,"Check date"))</f>
        <v/>
      </c>
      <c r="B253" s="28">
        <f>Responses!AS249</f>
        <v/>
      </c>
      <c r="C253" s="29">
        <f>IF(Responses!AS249="","",IF(Responses!AU249&gt;=0,IF(Responses!AU249="","",RIGHT("0"&amp;INT(Responses!AU249/60),2)&amp;":"&amp;RIGHT("0"&amp;MOD(Responses!AU249,60),2)),"Check"))</f>
        <v/>
      </c>
      <c r="D253" s="29">
        <f>IF(Responses!AS249="","",IF(Responses!AV249&gt;=0,IF(Responses!AV249="","",RIGHT("0"&amp;INT(Responses!AV249/60),2)&amp;":"&amp;RIGHT("0"&amp;MOD(Responses!AV249,60),2)),"Check"))</f>
        <v/>
      </c>
      <c r="E253" s="28">
        <f>Responses!AW249</f>
        <v/>
      </c>
      <c r="F253" s="29">
        <f>Responses!AX249</f>
        <v/>
      </c>
      <c r="G253" s="29">
        <f>IF(Responses!AS249="","",IF(AND(ISNUMBER(Responses!AX249),ISNUMBER(IFERROR(VALUE(INDEX(Spaces!$B$5:$B$16,MATCH(Responses!AS249,Spaces!$A$5:$A$16,0))&amp;""),""))),IF(Responses!AX249&gt;IFERROR(VALUE(INDEX(Spaces!$B$5:$B$16,MATCH(Responses!AS249,Spaces!$A$5:$A$16,0))&amp;""),""),"Over by "&amp;(Responses!AX249-IFERROR(VALUE(INDEX(Spaces!$B$5:$B$16,MATCH(Responses!AS249,Spaces!$A$5:$A$16,0))&amp;""),"")),"OK"),""))</f>
        <v/>
      </c>
      <c r="H253" s="28">
        <f>Responses!BF249</f>
        <v/>
      </c>
      <c r="I253" s="28">
        <f>IF(Responses!AS249="","",Responses!AO249&amp;"")</f>
        <v/>
      </c>
      <c r="J253" s="28">
        <f>IF(Responses!AS249="","",Responses!AZ249&amp;"")</f>
        <v/>
      </c>
      <c r="K253" s="29">
        <f>Responses!AY249</f>
        <v/>
      </c>
      <c r="L253" s="28">
        <f>IF(Responses!AS249="","",IF(Responses!AY249="Declined","",IF(Responses!BA249=0,"Check date and times",IF(Responses!BB249&gt;0,Responses!BC249,"No clash"))))</f>
        <v/>
      </c>
    </row>
    <row r="254">
      <c r="A254" s="27">
        <f>IF(Responses!AS250="","",IF(Responses!AT250&gt;0,Responses!AT250,"Check date"))</f>
        <v/>
      </c>
      <c r="B254" s="28">
        <f>Responses!AS250</f>
        <v/>
      </c>
      <c r="C254" s="29">
        <f>IF(Responses!AS250="","",IF(Responses!AU250&gt;=0,IF(Responses!AU250="","",RIGHT("0"&amp;INT(Responses!AU250/60),2)&amp;":"&amp;RIGHT("0"&amp;MOD(Responses!AU250,60),2)),"Check"))</f>
        <v/>
      </c>
      <c r="D254" s="29">
        <f>IF(Responses!AS250="","",IF(Responses!AV250&gt;=0,IF(Responses!AV250="","",RIGHT("0"&amp;INT(Responses!AV250/60),2)&amp;":"&amp;RIGHT("0"&amp;MOD(Responses!AV250,60),2)),"Check"))</f>
        <v/>
      </c>
      <c r="E254" s="28">
        <f>Responses!AW250</f>
        <v/>
      </c>
      <c r="F254" s="29">
        <f>Responses!AX250</f>
        <v/>
      </c>
      <c r="G254" s="29">
        <f>IF(Responses!AS250="","",IF(AND(ISNUMBER(Responses!AX250),ISNUMBER(IFERROR(VALUE(INDEX(Spaces!$B$5:$B$16,MATCH(Responses!AS250,Spaces!$A$5:$A$16,0))&amp;""),""))),IF(Responses!AX250&gt;IFERROR(VALUE(INDEX(Spaces!$B$5:$B$16,MATCH(Responses!AS250,Spaces!$A$5:$A$16,0))&amp;""),""),"Over by "&amp;(Responses!AX250-IFERROR(VALUE(INDEX(Spaces!$B$5:$B$16,MATCH(Responses!AS250,Spaces!$A$5:$A$16,0))&amp;""),"")),"OK"),""))</f>
        <v/>
      </c>
      <c r="H254" s="28">
        <f>Responses!BF250</f>
        <v/>
      </c>
      <c r="I254" s="28">
        <f>IF(Responses!AS250="","",Responses!AO250&amp;"")</f>
        <v/>
      </c>
      <c r="J254" s="28">
        <f>IF(Responses!AS250="","",Responses!AZ250&amp;"")</f>
        <v/>
      </c>
      <c r="K254" s="29">
        <f>Responses!AY250</f>
        <v/>
      </c>
      <c r="L254" s="28">
        <f>IF(Responses!AS250="","",IF(Responses!AY250="Declined","",IF(Responses!BA250=0,"Check date and times",IF(Responses!BB250&gt;0,Responses!BC250,"No clash"))))</f>
        <v/>
      </c>
    </row>
    <row r="255">
      <c r="A255" s="27">
        <f>IF(Responses!AS251="","",IF(Responses!AT251&gt;0,Responses!AT251,"Check date"))</f>
        <v/>
      </c>
      <c r="B255" s="28">
        <f>Responses!AS251</f>
        <v/>
      </c>
      <c r="C255" s="29">
        <f>IF(Responses!AS251="","",IF(Responses!AU251&gt;=0,IF(Responses!AU251="","",RIGHT("0"&amp;INT(Responses!AU251/60),2)&amp;":"&amp;RIGHT("0"&amp;MOD(Responses!AU251,60),2)),"Check"))</f>
        <v/>
      </c>
      <c r="D255" s="29">
        <f>IF(Responses!AS251="","",IF(Responses!AV251&gt;=0,IF(Responses!AV251="","",RIGHT("0"&amp;INT(Responses!AV251/60),2)&amp;":"&amp;RIGHT("0"&amp;MOD(Responses!AV251,60),2)),"Check"))</f>
        <v/>
      </c>
      <c r="E255" s="28">
        <f>Responses!AW251</f>
        <v/>
      </c>
      <c r="F255" s="29">
        <f>Responses!AX251</f>
        <v/>
      </c>
      <c r="G255" s="29">
        <f>IF(Responses!AS251="","",IF(AND(ISNUMBER(Responses!AX251),ISNUMBER(IFERROR(VALUE(INDEX(Spaces!$B$5:$B$16,MATCH(Responses!AS251,Spaces!$A$5:$A$16,0))&amp;""),""))),IF(Responses!AX251&gt;IFERROR(VALUE(INDEX(Spaces!$B$5:$B$16,MATCH(Responses!AS251,Spaces!$A$5:$A$16,0))&amp;""),""),"Over by "&amp;(Responses!AX251-IFERROR(VALUE(INDEX(Spaces!$B$5:$B$16,MATCH(Responses!AS251,Spaces!$A$5:$A$16,0))&amp;""),"")),"OK"),""))</f>
        <v/>
      </c>
      <c r="H255" s="28">
        <f>Responses!BF251</f>
        <v/>
      </c>
      <c r="I255" s="28">
        <f>IF(Responses!AS251="","",Responses!AO251&amp;"")</f>
        <v/>
      </c>
      <c r="J255" s="28">
        <f>IF(Responses!AS251="","",Responses!AZ251&amp;"")</f>
        <v/>
      </c>
      <c r="K255" s="29">
        <f>Responses!AY251</f>
        <v/>
      </c>
      <c r="L255" s="28">
        <f>IF(Responses!AS251="","",IF(Responses!AY251="Declined","",IF(Responses!BA251=0,"Check date and times",IF(Responses!BB251&gt;0,Responses!BC251,"No clash"))))</f>
        <v/>
      </c>
    </row>
    <row r="256">
      <c r="A256" s="27">
        <f>IF(Responses!AS252="","",IF(Responses!AT252&gt;0,Responses!AT252,"Check date"))</f>
        <v/>
      </c>
      <c r="B256" s="28">
        <f>Responses!AS252</f>
        <v/>
      </c>
      <c r="C256" s="29">
        <f>IF(Responses!AS252="","",IF(Responses!AU252&gt;=0,IF(Responses!AU252="","",RIGHT("0"&amp;INT(Responses!AU252/60),2)&amp;":"&amp;RIGHT("0"&amp;MOD(Responses!AU252,60),2)),"Check"))</f>
        <v/>
      </c>
      <c r="D256" s="29">
        <f>IF(Responses!AS252="","",IF(Responses!AV252&gt;=0,IF(Responses!AV252="","",RIGHT("0"&amp;INT(Responses!AV252/60),2)&amp;":"&amp;RIGHT("0"&amp;MOD(Responses!AV252,60),2)),"Check"))</f>
        <v/>
      </c>
      <c r="E256" s="28">
        <f>Responses!AW252</f>
        <v/>
      </c>
      <c r="F256" s="29">
        <f>Responses!AX252</f>
        <v/>
      </c>
      <c r="G256" s="29">
        <f>IF(Responses!AS252="","",IF(AND(ISNUMBER(Responses!AX252),ISNUMBER(IFERROR(VALUE(INDEX(Spaces!$B$5:$B$16,MATCH(Responses!AS252,Spaces!$A$5:$A$16,0))&amp;""),""))),IF(Responses!AX252&gt;IFERROR(VALUE(INDEX(Spaces!$B$5:$B$16,MATCH(Responses!AS252,Spaces!$A$5:$A$16,0))&amp;""),""),"Over by "&amp;(Responses!AX252-IFERROR(VALUE(INDEX(Spaces!$B$5:$B$16,MATCH(Responses!AS252,Spaces!$A$5:$A$16,0))&amp;""),"")),"OK"),""))</f>
        <v/>
      </c>
      <c r="H256" s="28">
        <f>Responses!BF252</f>
        <v/>
      </c>
      <c r="I256" s="28">
        <f>IF(Responses!AS252="","",Responses!AO252&amp;"")</f>
        <v/>
      </c>
      <c r="J256" s="28">
        <f>IF(Responses!AS252="","",Responses!AZ252&amp;"")</f>
        <v/>
      </c>
      <c r="K256" s="29">
        <f>Responses!AY252</f>
        <v/>
      </c>
      <c r="L256" s="28">
        <f>IF(Responses!AS252="","",IF(Responses!AY252="Declined","",IF(Responses!BA252=0,"Check date and times",IF(Responses!BB252&gt;0,Responses!BC252,"No clash"))))</f>
        <v/>
      </c>
    </row>
    <row r="257">
      <c r="A257" s="27">
        <f>IF(Responses!AS253="","",IF(Responses!AT253&gt;0,Responses!AT253,"Check date"))</f>
        <v/>
      </c>
      <c r="B257" s="28">
        <f>Responses!AS253</f>
        <v/>
      </c>
      <c r="C257" s="29">
        <f>IF(Responses!AS253="","",IF(Responses!AU253&gt;=0,IF(Responses!AU253="","",RIGHT("0"&amp;INT(Responses!AU253/60),2)&amp;":"&amp;RIGHT("0"&amp;MOD(Responses!AU253,60),2)),"Check"))</f>
        <v/>
      </c>
      <c r="D257" s="29">
        <f>IF(Responses!AS253="","",IF(Responses!AV253&gt;=0,IF(Responses!AV253="","",RIGHT("0"&amp;INT(Responses!AV253/60),2)&amp;":"&amp;RIGHT("0"&amp;MOD(Responses!AV253,60),2)),"Check"))</f>
        <v/>
      </c>
      <c r="E257" s="28">
        <f>Responses!AW253</f>
        <v/>
      </c>
      <c r="F257" s="29">
        <f>Responses!AX253</f>
        <v/>
      </c>
      <c r="G257" s="29">
        <f>IF(Responses!AS253="","",IF(AND(ISNUMBER(Responses!AX253),ISNUMBER(IFERROR(VALUE(INDEX(Spaces!$B$5:$B$16,MATCH(Responses!AS253,Spaces!$A$5:$A$16,0))&amp;""),""))),IF(Responses!AX253&gt;IFERROR(VALUE(INDEX(Spaces!$B$5:$B$16,MATCH(Responses!AS253,Spaces!$A$5:$A$16,0))&amp;""),""),"Over by "&amp;(Responses!AX253-IFERROR(VALUE(INDEX(Spaces!$B$5:$B$16,MATCH(Responses!AS253,Spaces!$A$5:$A$16,0))&amp;""),"")),"OK"),""))</f>
        <v/>
      </c>
      <c r="H257" s="28">
        <f>Responses!BF253</f>
        <v/>
      </c>
      <c r="I257" s="28">
        <f>IF(Responses!AS253="","",Responses!AO253&amp;"")</f>
        <v/>
      </c>
      <c r="J257" s="28">
        <f>IF(Responses!AS253="","",Responses!AZ253&amp;"")</f>
        <v/>
      </c>
      <c r="K257" s="29">
        <f>Responses!AY253</f>
        <v/>
      </c>
      <c r="L257" s="28">
        <f>IF(Responses!AS253="","",IF(Responses!AY253="Declined","",IF(Responses!BA253=0,"Check date and times",IF(Responses!BB253&gt;0,Responses!BC253,"No clash"))))</f>
        <v/>
      </c>
    </row>
    <row r="258">
      <c r="A258" s="27">
        <f>IF(Responses!AS254="","",IF(Responses!AT254&gt;0,Responses!AT254,"Check date"))</f>
        <v/>
      </c>
      <c r="B258" s="28">
        <f>Responses!AS254</f>
        <v/>
      </c>
      <c r="C258" s="29">
        <f>IF(Responses!AS254="","",IF(Responses!AU254&gt;=0,IF(Responses!AU254="","",RIGHT("0"&amp;INT(Responses!AU254/60),2)&amp;":"&amp;RIGHT("0"&amp;MOD(Responses!AU254,60),2)),"Check"))</f>
        <v/>
      </c>
      <c r="D258" s="29">
        <f>IF(Responses!AS254="","",IF(Responses!AV254&gt;=0,IF(Responses!AV254="","",RIGHT("0"&amp;INT(Responses!AV254/60),2)&amp;":"&amp;RIGHT("0"&amp;MOD(Responses!AV254,60),2)),"Check"))</f>
        <v/>
      </c>
      <c r="E258" s="28">
        <f>Responses!AW254</f>
        <v/>
      </c>
      <c r="F258" s="29">
        <f>Responses!AX254</f>
        <v/>
      </c>
      <c r="G258" s="29">
        <f>IF(Responses!AS254="","",IF(AND(ISNUMBER(Responses!AX254),ISNUMBER(IFERROR(VALUE(INDEX(Spaces!$B$5:$B$16,MATCH(Responses!AS254,Spaces!$A$5:$A$16,0))&amp;""),""))),IF(Responses!AX254&gt;IFERROR(VALUE(INDEX(Spaces!$B$5:$B$16,MATCH(Responses!AS254,Spaces!$A$5:$A$16,0))&amp;""),""),"Over by "&amp;(Responses!AX254-IFERROR(VALUE(INDEX(Spaces!$B$5:$B$16,MATCH(Responses!AS254,Spaces!$A$5:$A$16,0))&amp;""),"")),"OK"),""))</f>
        <v/>
      </c>
      <c r="H258" s="28">
        <f>Responses!BF254</f>
        <v/>
      </c>
      <c r="I258" s="28">
        <f>IF(Responses!AS254="","",Responses!AO254&amp;"")</f>
        <v/>
      </c>
      <c r="J258" s="28">
        <f>IF(Responses!AS254="","",Responses!AZ254&amp;"")</f>
        <v/>
      </c>
      <c r="K258" s="29">
        <f>Responses!AY254</f>
        <v/>
      </c>
      <c r="L258" s="28">
        <f>IF(Responses!AS254="","",IF(Responses!AY254="Declined","",IF(Responses!BA254=0,"Check date and times",IF(Responses!BB254&gt;0,Responses!BC254,"No clash"))))</f>
        <v/>
      </c>
    </row>
    <row r="259">
      <c r="A259" s="27">
        <f>IF(Responses!AS255="","",IF(Responses!AT255&gt;0,Responses!AT255,"Check date"))</f>
        <v/>
      </c>
      <c r="B259" s="28">
        <f>Responses!AS255</f>
        <v/>
      </c>
      <c r="C259" s="29">
        <f>IF(Responses!AS255="","",IF(Responses!AU255&gt;=0,IF(Responses!AU255="","",RIGHT("0"&amp;INT(Responses!AU255/60),2)&amp;":"&amp;RIGHT("0"&amp;MOD(Responses!AU255,60),2)),"Check"))</f>
        <v/>
      </c>
      <c r="D259" s="29">
        <f>IF(Responses!AS255="","",IF(Responses!AV255&gt;=0,IF(Responses!AV255="","",RIGHT("0"&amp;INT(Responses!AV255/60),2)&amp;":"&amp;RIGHT("0"&amp;MOD(Responses!AV255,60),2)),"Check"))</f>
        <v/>
      </c>
      <c r="E259" s="28">
        <f>Responses!AW255</f>
        <v/>
      </c>
      <c r="F259" s="29">
        <f>Responses!AX255</f>
        <v/>
      </c>
      <c r="G259" s="29">
        <f>IF(Responses!AS255="","",IF(AND(ISNUMBER(Responses!AX255),ISNUMBER(IFERROR(VALUE(INDEX(Spaces!$B$5:$B$16,MATCH(Responses!AS255,Spaces!$A$5:$A$16,0))&amp;""),""))),IF(Responses!AX255&gt;IFERROR(VALUE(INDEX(Spaces!$B$5:$B$16,MATCH(Responses!AS255,Spaces!$A$5:$A$16,0))&amp;""),""),"Over by "&amp;(Responses!AX255-IFERROR(VALUE(INDEX(Spaces!$B$5:$B$16,MATCH(Responses!AS255,Spaces!$A$5:$A$16,0))&amp;""),"")),"OK"),""))</f>
        <v/>
      </c>
      <c r="H259" s="28">
        <f>Responses!BF255</f>
        <v/>
      </c>
      <c r="I259" s="28">
        <f>IF(Responses!AS255="","",Responses!AO255&amp;"")</f>
        <v/>
      </c>
      <c r="J259" s="28">
        <f>IF(Responses!AS255="","",Responses!AZ255&amp;"")</f>
        <v/>
      </c>
      <c r="K259" s="29">
        <f>Responses!AY255</f>
        <v/>
      </c>
      <c r="L259" s="28">
        <f>IF(Responses!AS255="","",IF(Responses!AY255="Declined","",IF(Responses!BA255=0,"Check date and times",IF(Responses!BB255&gt;0,Responses!BC255,"No clash"))))</f>
        <v/>
      </c>
    </row>
    <row r="260">
      <c r="A260" s="27">
        <f>IF(Responses!AS256="","",IF(Responses!AT256&gt;0,Responses!AT256,"Check date"))</f>
        <v/>
      </c>
      <c r="B260" s="28">
        <f>Responses!AS256</f>
        <v/>
      </c>
      <c r="C260" s="29">
        <f>IF(Responses!AS256="","",IF(Responses!AU256&gt;=0,IF(Responses!AU256="","",RIGHT("0"&amp;INT(Responses!AU256/60),2)&amp;":"&amp;RIGHT("0"&amp;MOD(Responses!AU256,60),2)),"Check"))</f>
        <v/>
      </c>
      <c r="D260" s="29">
        <f>IF(Responses!AS256="","",IF(Responses!AV256&gt;=0,IF(Responses!AV256="","",RIGHT("0"&amp;INT(Responses!AV256/60),2)&amp;":"&amp;RIGHT("0"&amp;MOD(Responses!AV256,60),2)),"Check"))</f>
        <v/>
      </c>
      <c r="E260" s="28">
        <f>Responses!AW256</f>
        <v/>
      </c>
      <c r="F260" s="29">
        <f>Responses!AX256</f>
        <v/>
      </c>
      <c r="G260" s="29">
        <f>IF(Responses!AS256="","",IF(AND(ISNUMBER(Responses!AX256),ISNUMBER(IFERROR(VALUE(INDEX(Spaces!$B$5:$B$16,MATCH(Responses!AS256,Spaces!$A$5:$A$16,0))&amp;""),""))),IF(Responses!AX256&gt;IFERROR(VALUE(INDEX(Spaces!$B$5:$B$16,MATCH(Responses!AS256,Spaces!$A$5:$A$16,0))&amp;""),""),"Over by "&amp;(Responses!AX256-IFERROR(VALUE(INDEX(Spaces!$B$5:$B$16,MATCH(Responses!AS256,Spaces!$A$5:$A$16,0))&amp;""),"")),"OK"),""))</f>
        <v/>
      </c>
      <c r="H260" s="28">
        <f>Responses!BF256</f>
        <v/>
      </c>
      <c r="I260" s="28">
        <f>IF(Responses!AS256="","",Responses!AO256&amp;"")</f>
        <v/>
      </c>
      <c r="J260" s="28">
        <f>IF(Responses!AS256="","",Responses!AZ256&amp;"")</f>
        <v/>
      </c>
      <c r="K260" s="29">
        <f>Responses!AY256</f>
        <v/>
      </c>
      <c r="L260" s="28">
        <f>IF(Responses!AS256="","",IF(Responses!AY256="Declined","",IF(Responses!BA256=0,"Check date and times",IF(Responses!BB256&gt;0,Responses!BC256,"No clash"))))</f>
        <v/>
      </c>
    </row>
    <row r="261">
      <c r="A261" s="27">
        <f>IF(Responses!AS257="","",IF(Responses!AT257&gt;0,Responses!AT257,"Check date"))</f>
        <v/>
      </c>
      <c r="B261" s="28">
        <f>Responses!AS257</f>
        <v/>
      </c>
      <c r="C261" s="29">
        <f>IF(Responses!AS257="","",IF(Responses!AU257&gt;=0,IF(Responses!AU257="","",RIGHT("0"&amp;INT(Responses!AU257/60),2)&amp;":"&amp;RIGHT("0"&amp;MOD(Responses!AU257,60),2)),"Check"))</f>
        <v/>
      </c>
      <c r="D261" s="29">
        <f>IF(Responses!AS257="","",IF(Responses!AV257&gt;=0,IF(Responses!AV257="","",RIGHT("0"&amp;INT(Responses!AV257/60),2)&amp;":"&amp;RIGHT("0"&amp;MOD(Responses!AV257,60),2)),"Check"))</f>
        <v/>
      </c>
      <c r="E261" s="28">
        <f>Responses!AW257</f>
        <v/>
      </c>
      <c r="F261" s="29">
        <f>Responses!AX257</f>
        <v/>
      </c>
      <c r="G261" s="29">
        <f>IF(Responses!AS257="","",IF(AND(ISNUMBER(Responses!AX257),ISNUMBER(IFERROR(VALUE(INDEX(Spaces!$B$5:$B$16,MATCH(Responses!AS257,Spaces!$A$5:$A$16,0))&amp;""),""))),IF(Responses!AX257&gt;IFERROR(VALUE(INDEX(Spaces!$B$5:$B$16,MATCH(Responses!AS257,Spaces!$A$5:$A$16,0))&amp;""),""),"Over by "&amp;(Responses!AX257-IFERROR(VALUE(INDEX(Spaces!$B$5:$B$16,MATCH(Responses!AS257,Spaces!$A$5:$A$16,0))&amp;""),"")),"OK"),""))</f>
        <v/>
      </c>
      <c r="H261" s="28">
        <f>Responses!BF257</f>
        <v/>
      </c>
      <c r="I261" s="28">
        <f>IF(Responses!AS257="","",Responses!AO257&amp;"")</f>
        <v/>
      </c>
      <c r="J261" s="28">
        <f>IF(Responses!AS257="","",Responses!AZ257&amp;"")</f>
        <v/>
      </c>
      <c r="K261" s="29">
        <f>Responses!AY257</f>
        <v/>
      </c>
      <c r="L261" s="28">
        <f>IF(Responses!AS257="","",IF(Responses!AY257="Declined","",IF(Responses!BA257=0,"Check date and times",IF(Responses!BB257&gt;0,Responses!BC257,"No clash"))))</f>
        <v/>
      </c>
    </row>
    <row r="262">
      <c r="A262" s="27">
        <f>IF(Responses!AS258="","",IF(Responses!AT258&gt;0,Responses!AT258,"Check date"))</f>
        <v/>
      </c>
      <c r="B262" s="28">
        <f>Responses!AS258</f>
        <v/>
      </c>
      <c r="C262" s="29">
        <f>IF(Responses!AS258="","",IF(Responses!AU258&gt;=0,IF(Responses!AU258="","",RIGHT("0"&amp;INT(Responses!AU258/60),2)&amp;":"&amp;RIGHT("0"&amp;MOD(Responses!AU258,60),2)),"Check"))</f>
        <v/>
      </c>
      <c r="D262" s="29">
        <f>IF(Responses!AS258="","",IF(Responses!AV258&gt;=0,IF(Responses!AV258="","",RIGHT("0"&amp;INT(Responses!AV258/60),2)&amp;":"&amp;RIGHT("0"&amp;MOD(Responses!AV258,60),2)),"Check"))</f>
        <v/>
      </c>
      <c r="E262" s="28">
        <f>Responses!AW258</f>
        <v/>
      </c>
      <c r="F262" s="29">
        <f>Responses!AX258</f>
        <v/>
      </c>
      <c r="G262" s="29">
        <f>IF(Responses!AS258="","",IF(AND(ISNUMBER(Responses!AX258),ISNUMBER(IFERROR(VALUE(INDEX(Spaces!$B$5:$B$16,MATCH(Responses!AS258,Spaces!$A$5:$A$16,0))&amp;""),""))),IF(Responses!AX258&gt;IFERROR(VALUE(INDEX(Spaces!$B$5:$B$16,MATCH(Responses!AS258,Spaces!$A$5:$A$16,0))&amp;""),""),"Over by "&amp;(Responses!AX258-IFERROR(VALUE(INDEX(Spaces!$B$5:$B$16,MATCH(Responses!AS258,Spaces!$A$5:$A$16,0))&amp;""),"")),"OK"),""))</f>
        <v/>
      </c>
      <c r="H262" s="28">
        <f>Responses!BF258</f>
        <v/>
      </c>
      <c r="I262" s="28">
        <f>IF(Responses!AS258="","",Responses!AO258&amp;"")</f>
        <v/>
      </c>
      <c r="J262" s="28">
        <f>IF(Responses!AS258="","",Responses!AZ258&amp;"")</f>
        <v/>
      </c>
      <c r="K262" s="29">
        <f>Responses!AY258</f>
        <v/>
      </c>
      <c r="L262" s="28">
        <f>IF(Responses!AS258="","",IF(Responses!AY258="Declined","",IF(Responses!BA258=0,"Check date and times",IF(Responses!BB258&gt;0,Responses!BC258,"No clash"))))</f>
        <v/>
      </c>
    </row>
    <row r="263">
      <c r="A263" s="27">
        <f>IF(Responses!AS259="","",IF(Responses!AT259&gt;0,Responses!AT259,"Check date"))</f>
        <v/>
      </c>
      <c r="B263" s="28">
        <f>Responses!AS259</f>
        <v/>
      </c>
      <c r="C263" s="29">
        <f>IF(Responses!AS259="","",IF(Responses!AU259&gt;=0,IF(Responses!AU259="","",RIGHT("0"&amp;INT(Responses!AU259/60),2)&amp;":"&amp;RIGHT("0"&amp;MOD(Responses!AU259,60),2)),"Check"))</f>
        <v/>
      </c>
      <c r="D263" s="29">
        <f>IF(Responses!AS259="","",IF(Responses!AV259&gt;=0,IF(Responses!AV259="","",RIGHT("0"&amp;INT(Responses!AV259/60),2)&amp;":"&amp;RIGHT("0"&amp;MOD(Responses!AV259,60),2)),"Check"))</f>
        <v/>
      </c>
      <c r="E263" s="28">
        <f>Responses!AW259</f>
        <v/>
      </c>
      <c r="F263" s="29">
        <f>Responses!AX259</f>
        <v/>
      </c>
      <c r="G263" s="29">
        <f>IF(Responses!AS259="","",IF(AND(ISNUMBER(Responses!AX259),ISNUMBER(IFERROR(VALUE(INDEX(Spaces!$B$5:$B$16,MATCH(Responses!AS259,Spaces!$A$5:$A$16,0))&amp;""),""))),IF(Responses!AX259&gt;IFERROR(VALUE(INDEX(Spaces!$B$5:$B$16,MATCH(Responses!AS259,Spaces!$A$5:$A$16,0))&amp;""),""),"Over by "&amp;(Responses!AX259-IFERROR(VALUE(INDEX(Spaces!$B$5:$B$16,MATCH(Responses!AS259,Spaces!$A$5:$A$16,0))&amp;""),"")),"OK"),""))</f>
        <v/>
      </c>
      <c r="H263" s="28">
        <f>Responses!BF259</f>
        <v/>
      </c>
      <c r="I263" s="28">
        <f>IF(Responses!AS259="","",Responses!AO259&amp;"")</f>
        <v/>
      </c>
      <c r="J263" s="28">
        <f>IF(Responses!AS259="","",Responses!AZ259&amp;"")</f>
        <v/>
      </c>
      <c r="K263" s="29">
        <f>Responses!AY259</f>
        <v/>
      </c>
      <c r="L263" s="28">
        <f>IF(Responses!AS259="","",IF(Responses!AY259="Declined","",IF(Responses!BA259=0,"Check date and times",IF(Responses!BB259&gt;0,Responses!BC259,"No clash"))))</f>
        <v/>
      </c>
    </row>
    <row r="264">
      <c r="A264" s="27">
        <f>IF(Responses!AS260="","",IF(Responses!AT260&gt;0,Responses!AT260,"Check date"))</f>
        <v/>
      </c>
      <c r="B264" s="28">
        <f>Responses!AS260</f>
        <v/>
      </c>
      <c r="C264" s="29">
        <f>IF(Responses!AS260="","",IF(Responses!AU260&gt;=0,IF(Responses!AU260="","",RIGHT("0"&amp;INT(Responses!AU260/60),2)&amp;":"&amp;RIGHT("0"&amp;MOD(Responses!AU260,60),2)),"Check"))</f>
        <v/>
      </c>
      <c r="D264" s="29">
        <f>IF(Responses!AS260="","",IF(Responses!AV260&gt;=0,IF(Responses!AV260="","",RIGHT("0"&amp;INT(Responses!AV260/60),2)&amp;":"&amp;RIGHT("0"&amp;MOD(Responses!AV260,60),2)),"Check"))</f>
        <v/>
      </c>
      <c r="E264" s="28">
        <f>Responses!AW260</f>
        <v/>
      </c>
      <c r="F264" s="29">
        <f>Responses!AX260</f>
        <v/>
      </c>
      <c r="G264" s="29">
        <f>IF(Responses!AS260="","",IF(AND(ISNUMBER(Responses!AX260),ISNUMBER(IFERROR(VALUE(INDEX(Spaces!$B$5:$B$16,MATCH(Responses!AS260,Spaces!$A$5:$A$16,0))&amp;""),""))),IF(Responses!AX260&gt;IFERROR(VALUE(INDEX(Spaces!$B$5:$B$16,MATCH(Responses!AS260,Spaces!$A$5:$A$16,0))&amp;""),""),"Over by "&amp;(Responses!AX260-IFERROR(VALUE(INDEX(Spaces!$B$5:$B$16,MATCH(Responses!AS260,Spaces!$A$5:$A$16,0))&amp;""),"")),"OK"),""))</f>
        <v/>
      </c>
      <c r="H264" s="28">
        <f>Responses!BF260</f>
        <v/>
      </c>
      <c r="I264" s="28">
        <f>IF(Responses!AS260="","",Responses!AO260&amp;"")</f>
        <v/>
      </c>
      <c r="J264" s="28">
        <f>IF(Responses!AS260="","",Responses!AZ260&amp;"")</f>
        <v/>
      </c>
      <c r="K264" s="29">
        <f>Responses!AY260</f>
        <v/>
      </c>
      <c r="L264" s="28">
        <f>IF(Responses!AS260="","",IF(Responses!AY260="Declined","",IF(Responses!BA260=0,"Check date and times",IF(Responses!BB260&gt;0,Responses!BC260,"No clash"))))</f>
        <v/>
      </c>
    </row>
    <row r="265">
      <c r="A265" s="27">
        <f>IF(Responses!AS261="","",IF(Responses!AT261&gt;0,Responses!AT261,"Check date"))</f>
        <v/>
      </c>
      <c r="B265" s="28">
        <f>Responses!AS261</f>
        <v/>
      </c>
      <c r="C265" s="29">
        <f>IF(Responses!AS261="","",IF(Responses!AU261&gt;=0,IF(Responses!AU261="","",RIGHT("0"&amp;INT(Responses!AU261/60),2)&amp;":"&amp;RIGHT("0"&amp;MOD(Responses!AU261,60),2)),"Check"))</f>
        <v/>
      </c>
      <c r="D265" s="29">
        <f>IF(Responses!AS261="","",IF(Responses!AV261&gt;=0,IF(Responses!AV261="","",RIGHT("0"&amp;INT(Responses!AV261/60),2)&amp;":"&amp;RIGHT("0"&amp;MOD(Responses!AV261,60),2)),"Check"))</f>
        <v/>
      </c>
      <c r="E265" s="28">
        <f>Responses!AW261</f>
        <v/>
      </c>
      <c r="F265" s="29">
        <f>Responses!AX261</f>
        <v/>
      </c>
      <c r="G265" s="29">
        <f>IF(Responses!AS261="","",IF(AND(ISNUMBER(Responses!AX261),ISNUMBER(IFERROR(VALUE(INDEX(Spaces!$B$5:$B$16,MATCH(Responses!AS261,Spaces!$A$5:$A$16,0))&amp;""),""))),IF(Responses!AX261&gt;IFERROR(VALUE(INDEX(Spaces!$B$5:$B$16,MATCH(Responses!AS261,Spaces!$A$5:$A$16,0))&amp;""),""),"Over by "&amp;(Responses!AX261-IFERROR(VALUE(INDEX(Spaces!$B$5:$B$16,MATCH(Responses!AS261,Spaces!$A$5:$A$16,0))&amp;""),"")),"OK"),""))</f>
        <v/>
      </c>
      <c r="H265" s="28">
        <f>Responses!BF261</f>
        <v/>
      </c>
      <c r="I265" s="28">
        <f>IF(Responses!AS261="","",Responses!AO261&amp;"")</f>
        <v/>
      </c>
      <c r="J265" s="28">
        <f>IF(Responses!AS261="","",Responses!AZ261&amp;"")</f>
        <v/>
      </c>
      <c r="K265" s="29">
        <f>Responses!AY261</f>
        <v/>
      </c>
      <c r="L265" s="28">
        <f>IF(Responses!AS261="","",IF(Responses!AY261="Declined","",IF(Responses!BA261=0,"Check date and times",IF(Responses!BB261&gt;0,Responses!BC261,"No clash"))))</f>
        <v/>
      </c>
    </row>
    <row r="266">
      <c r="A266" s="27">
        <f>IF(Responses!AS262="","",IF(Responses!AT262&gt;0,Responses!AT262,"Check date"))</f>
        <v/>
      </c>
      <c r="B266" s="28">
        <f>Responses!AS262</f>
        <v/>
      </c>
      <c r="C266" s="29">
        <f>IF(Responses!AS262="","",IF(Responses!AU262&gt;=0,IF(Responses!AU262="","",RIGHT("0"&amp;INT(Responses!AU262/60),2)&amp;":"&amp;RIGHT("0"&amp;MOD(Responses!AU262,60),2)),"Check"))</f>
        <v/>
      </c>
      <c r="D266" s="29">
        <f>IF(Responses!AS262="","",IF(Responses!AV262&gt;=0,IF(Responses!AV262="","",RIGHT("0"&amp;INT(Responses!AV262/60),2)&amp;":"&amp;RIGHT("0"&amp;MOD(Responses!AV262,60),2)),"Check"))</f>
        <v/>
      </c>
      <c r="E266" s="28">
        <f>Responses!AW262</f>
        <v/>
      </c>
      <c r="F266" s="29">
        <f>Responses!AX262</f>
        <v/>
      </c>
      <c r="G266" s="29">
        <f>IF(Responses!AS262="","",IF(AND(ISNUMBER(Responses!AX262),ISNUMBER(IFERROR(VALUE(INDEX(Spaces!$B$5:$B$16,MATCH(Responses!AS262,Spaces!$A$5:$A$16,0))&amp;""),""))),IF(Responses!AX262&gt;IFERROR(VALUE(INDEX(Spaces!$B$5:$B$16,MATCH(Responses!AS262,Spaces!$A$5:$A$16,0))&amp;""),""),"Over by "&amp;(Responses!AX262-IFERROR(VALUE(INDEX(Spaces!$B$5:$B$16,MATCH(Responses!AS262,Spaces!$A$5:$A$16,0))&amp;""),"")),"OK"),""))</f>
        <v/>
      </c>
      <c r="H266" s="28">
        <f>Responses!BF262</f>
        <v/>
      </c>
      <c r="I266" s="28">
        <f>IF(Responses!AS262="","",Responses!AO262&amp;"")</f>
        <v/>
      </c>
      <c r="J266" s="28">
        <f>IF(Responses!AS262="","",Responses!AZ262&amp;"")</f>
        <v/>
      </c>
      <c r="K266" s="29">
        <f>Responses!AY262</f>
        <v/>
      </c>
      <c r="L266" s="28">
        <f>IF(Responses!AS262="","",IF(Responses!AY262="Declined","",IF(Responses!BA262=0,"Check date and times",IF(Responses!BB262&gt;0,Responses!BC262,"No clash"))))</f>
        <v/>
      </c>
    </row>
    <row r="267">
      <c r="A267" s="27">
        <f>IF(Responses!AS263="","",IF(Responses!AT263&gt;0,Responses!AT263,"Check date"))</f>
        <v/>
      </c>
      <c r="B267" s="28">
        <f>Responses!AS263</f>
        <v/>
      </c>
      <c r="C267" s="29">
        <f>IF(Responses!AS263="","",IF(Responses!AU263&gt;=0,IF(Responses!AU263="","",RIGHT("0"&amp;INT(Responses!AU263/60),2)&amp;":"&amp;RIGHT("0"&amp;MOD(Responses!AU263,60),2)),"Check"))</f>
        <v/>
      </c>
      <c r="D267" s="29">
        <f>IF(Responses!AS263="","",IF(Responses!AV263&gt;=0,IF(Responses!AV263="","",RIGHT("0"&amp;INT(Responses!AV263/60),2)&amp;":"&amp;RIGHT("0"&amp;MOD(Responses!AV263,60),2)),"Check"))</f>
        <v/>
      </c>
      <c r="E267" s="28">
        <f>Responses!AW263</f>
        <v/>
      </c>
      <c r="F267" s="29">
        <f>Responses!AX263</f>
        <v/>
      </c>
      <c r="G267" s="29">
        <f>IF(Responses!AS263="","",IF(AND(ISNUMBER(Responses!AX263),ISNUMBER(IFERROR(VALUE(INDEX(Spaces!$B$5:$B$16,MATCH(Responses!AS263,Spaces!$A$5:$A$16,0))&amp;""),""))),IF(Responses!AX263&gt;IFERROR(VALUE(INDEX(Spaces!$B$5:$B$16,MATCH(Responses!AS263,Spaces!$A$5:$A$16,0))&amp;""),""),"Over by "&amp;(Responses!AX263-IFERROR(VALUE(INDEX(Spaces!$B$5:$B$16,MATCH(Responses!AS263,Spaces!$A$5:$A$16,0))&amp;""),"")),"OK"),""))</f>
        <v/>
      </c>
      <c r="H267" s="28">
        <f>Responses!BF263</f>
        <v/>
      </c>
      <c r="I267" s="28">
        <f>IF(Responses!AS263="","",Responses!AO263&amp;"")</f>
        <v/>
      </c>
      <c r="J267" s="28">
        <f>IF(Responses!AS263="","",Responses!AZ263&amp;"")</f>
        <v/>
      </c>
      <c r="K267" s="29">
        <f>Responses!AY263</f>
        <v/>
      </c>
      <c r="L267" s="28">
        <f>IF(Responses!AS263="","",IF(Responses!AY263="Declined","",IF(Responses!BA263=0,"Check date and times",IF(Responses!BB263&gt;0,Responses!BC263,"No clash"))))</f>
        <v/>
      </c>
    </row>
    <row r="268">
      <c r="A268" s="27">
        <f>IF(Responses!AS264="","",IF(Responses!AT264&gt;0,Responses!AT264,"Check date"))</f>
        <v/>
      </c>
      <c r="B268" s="28">
        <f>Responses!AS264</f>
        <v/>
      </c>
      <c r="C268" s="29">
        <f>IF(Responses!AS264="","",IF(Responses!AU264&gt;=0,IF(Responses!AU264="","",RIGHT("0"&amp;INT(Responses!AU264/60),2)&amp;":"&amp;RIGHT("0"&amp;MOD(Responses!AU264,60),2)),"Check"))</f>
        <v/>
      </c>
      <c r="D268" s="29">
        <f>IF(Responses!AS264="","",IF(Responses!AV264&gt;=0,IF(Responses!AV264="","",RIGHT("0"&amp;INT(Responses!AV264/60),2)&amp;":"&amp;RIGHT("0"&amp;MOD(Responses!AV264,60),2)),"Check"))</f>
        <v/>
      </c>
      <c r="E268" s="28">
        <f>Responses!AW264</f>
        <v/>
      </c>
      <c r="F268" s="29">
        <f>Responses!AX264</f>
        <v/>
      </c>
      <c r="G268" s="29">
        <f>IF(Responses!AS264="","",IF(AND(ISNUMBER(Responses!AX264),ISNUMBER(IFERROR(VALUE(INDEX(Spaces!$B$5:$B$16,MATCH(Responses!AS264,Spaces!$A$5:$A$16,0))&amp;""),""))),IF(Responses!AX264&gt;IFERROR(VALUE(INDEX(Spaces!$B$5:$B$16,MATCH(Responses!AS264,Spaces!$A$5:$A$16,0))&amp;""),""),"Over by "&amp;(Responses!AX264-IFERROR(VALUE(INDEX(Spaces!$B$5:$B$16,MATCH(Responses!AS264,Spaces!$A$5:$A$16,0))&amp;""),"")),"OK"),""))</f>
        <v/>
      </c>
      <c r="H268" s="28">
        <f>Responses!BF264</f>
        <v/>
      </c>
      <c r="I268" s="28">
        <f>IF(Responses!AS264="","",Responses!AO264&amp;"")</f>
        <v/>
      </c>
      <c r="J268" s="28">
        <f>IF(Responses!AS264="","",Responses!AZ264&amp;"")</f>
        <v/>
      </c>
      <c r="K268" s="29">
        <f>Responses!AY264</f>
        <v/>
      </c>
      <c r="L268" s="28">
        <f>IF(Responses!AS264="","",IF(Responses!AY264="Declined","",IF(Responses!BA264=0,"Check date and times",IF(Responses!BB264&gt;0,Responses!BC264,"No clash"))))</f>
        <v/>
      </c>
    </row>
    <row r="269">
      <c r="A269" s="27">
        <f>IF(Responses!AS265="","",IF(Responses!AT265&gt;0,Responses!AT265,"Check date"))</f>
        <v/>
      </c>
      <c r="B269" s="28">
        <f>Responses!AS265</f>
        <v/>
      </c>
      <c r="C269" s="29">
        <f>IF(Responses!AS265="","",IF(Responses!AU265&gt;=0,IF(Responses!AU265="","",RIGHT("0"&amp;INT(Responses!AU265/60),2)&amp;":"&amp;RIGHT("0"&amp;MOD(Responses!AU265,60),2)),"Check"))</f>
        <v/>
      </c>
      <c r="D269" s="29">
        <f>IF(Responses!AS265="","",IF(Responses!AV265&gt;=0,IF(Responses!AV265="","",RIGHT("0"&amp;INT(Responses!AV265/60),2)&amp;":"&amp;RIGHT("0"&amp;MOD(Responses!AV265,60),2)),"Check"))</f>
        <v/>
      </c>
      <c r="E269" s="28">
        <f>Responses!AW265</f>
        <v/>
      </c>
      <c r="F269" s="29">
        <f>Responses!AX265</f>
        <v/>
      </c>
      <c r="G269" s="29">
        <f>IF(Responses!AS265="","",IF(AND(ISNUMBER(Responses!AX265),ISNUMBER(IFERROR(VALUE(INDEX(Spaces!$B$5:$B$16,MATCH(Responses!AS265,Spaces!$A$5:$A$16,0))&amp;""),""))),IF(Responses!AX265&gt;IFERROR(VALUE(INDEX(Spaces!$B$5:$B$16,MATCH(Responses!AS265,Spaces!$A$5:$A$16,0))&amp;""),""),"Over by "&amp;(Responses!AX265-IFERROR(VALUE(INDEX(Spaces!$B$5:$B$16,MATCH(Responses!AS265,Spaces!$A$5:$A$16,0))&amp;""),"")),"OK"),""))</f>
        <v/>
      </c>
      <c r="H269" s="28">
        <f>Responses!BF265</f>
        <v/>
      </c>
      <c r="I269" s="28">
        <f>IF(Responses!AS265="","",Responses!AO265&amp;"")</f>
        <v/>
      </c>
      <c r="J269" s="28">
        <f>IF(Responses!AS265="","",Responses!AZ265&amp;"")</f>
        <v/>
      </c>
      <c r="K269" s="29">
        <f>Responses!AY265</f>
        <v/>
      </c>
      <c r="L269" s="28">
        <f>IF(Responses!AS265="","",IF(Responses!AY265="Declined","",IF(Responses!BA265=0,"Check date and times",IF(Responses!BB265&gt;0,Responses!BC265,"No clash"))))</f>
        <v/>
      </c>
    </row>
    <row r="270">
      <c r="A270" s="27">
        <f>IF(Responses!AS266="","",IF(Responses!AT266&gt;0,Responses!AT266,"Check date"))</f>
        <v/>
      </c>
      <c r="B270" s="28">
        <f>Responses!AS266</f>
        <v/>
      </c>
      <c r="C270" s="29">
        <f>IF(Responses!AS266="","",IF(Responses!AU266&gt;=0,IF(Responses!AU266="","",RIGHT("0"&amp;INT(Responses!AU266/60),2)&amp;":"&amp;RIGHT("0"&amp;MOD(Responses!AU266,60),2)),"Check"))</f>
        <v/>
      </c>
      <c r="D270" s="29">
        <f>IF(Responses!AS266="","",IF(Responses!AV266&gt;=0,IF(Responses!AV266="","",RIGHT("0"&amp;INT(Responses!AV266/60),2)&amp;":"&amp;RIGHT("0"&amp;MOD(Responses!AV266,60),2)),"Check"))</f>
        <v/>
      </c>
      <c r="E270" s="28">
        <f>Responses!AW266</f>
        <v/>
      </c>
      <c r="F270" s="29">
        <f>Responses!AX266</f>
        <v/>
      </c>
      <c r="G270" s="29">
        <f>IF(Responses!AS266="","",IF(AND(ISNUMBER(Responses!AX266),ISNUMBER(IFERROR(VALUE(INDEX(Spaces!$B$5:$B$16,MATCH(Responses!AS266,Spaces!$A$5:$A$16,0))&amp;""),""))),IF(Responses!AX266&gt;IFERROR(VALUE(INDEX(Spaces!$B$5:$B$16,MATCH(Responses!AS266,Spaces!$A$5:$A$16,0))&amp;""),""),"Over by "&amp;(Responses!AX266-IFERROR(VALUE(INDEX(Spaces!$B$5:$B$16,MATCH(Responses!AS266,Spaces!$A$5:$A$16,0))&amp;""),"")),"OK"),""))</f>
        <v/>
      </c>
      <c r="H270" s="28">
        <f>Responses!BF266</f>
        <v/>
      </c>
      <c r="I270" s="28">
        <f>IF(Responses!AS266="","",Responses!AO266&amp;"")</f>
        <v/>
      </c>
      <c r="J270" s="28">
        <f>IF(Responses!AS266="","",Responses!AZ266&amp;"")</f>
        <v/>
      </c>
      <c r="K270" s="29">
        <f>Responses!AY266</f>
        <v/>
      </c>
      <c r="L270" s="28">
        <f>IF(Responses!AS266="","",IF(Responses!AY266="Declined","",IF(Responses!BA266=0,"Check date and times",IF(Responses!BB266&gt;0,Responses!BC266,"No clash"))))</f>
        <v/>
      </c>
    </row>
    <row r="271">
      <c r="A271" s="27">
        <f>IF(Responses!AS267="","",IF(Responses!AT267&gt;0,Responses!AT267,"Check date"))</f>
        <v/>
      </c>
      <c r="B271" s="28">
        <f>Responses!AS267</f>
        <v/>
      </c>
      <c r="C271" s="29">
        <f>IF(Responses!AS267="","",IF(Responses!AU267&gt;=0,IF(Responses!AU267="","",RIGHT("0"&amp;INT(Responses!AU267/60),2)&amp;":"&amp;RIGHT("0"&amp;MOD(Responses!AU267,60),2)),"Check"))</f>
        <v/>
      </c>
      <c r="D271" s="29">
        <f>IF(Responses!AS267="","",IF(Responses!AV267&gt;=0,IF(Responses!AV267="","",RIGHT("0"&amp;INT(Responses!AV267/60),2)&amp;":"&amp;RIGHT("0"&amp;MOD(Responses!AV267,60),2)),"Check"))</f>
        <v/>
      </c>
      <c r="E271" s="28">
        <f>Responses!AW267</f>
        <v/>
      </c>
      <c r="F271" s="29">
        <f>Responses!AX267</f>
        <v/>
      </c>
      <c r="G271" s="29">
        <f>IF(Responses!AS267="","",IF(AND(ISNUMBER(Responses!AX267),ISNUMBER(IFERROR(VALUE(INDEX(Spaces!$B$5:$B$16,MATCH(Responses!AS267,Spaces!$A$5:$A$16,0))&amp;""),""))),IF(Responses!AX267&gt;IFERROR(VALUE(INDEX(Spaces!$B$5:$B$16,MATCH(Responses!AS267,Spaces!$A$5:$A$16,0))&amp;""),""),"Over by "&amp;(Responses!AX267-IFERROR(VALUE(INDEX(Spaces!$B$5:$B$16,MATCH(Responses!AS267,Spaces!$A$5:$A$16,0))&amp;""),"")),"OK"),""))</f>
        <v/>
      </c>
      <c r="H271" s="28">
        <f>Responses!BF267</f>
        <v/>
      </c>
      <c r="I271" s="28">
        <f>IF(Responses!AS267="","",Responses!AO267&amp;"")</f>
        <v/>
      </c>
      <c r="J271" s="28">
        <f>IF(Responses!AS267="","",Responses!AZ267&amp;"")</f>
        <v/>
      </c>
      <c r="K271" s="29">
        <f>Responses!AY267</f>
        <v/>
      </c>
      <c r="L271" s="28">
        <f>IF(Responses!AS267="","",IF(Responses!AY267="Declined","",IF(Responses!BA267=0,"Check date and times",IF(Responses!BB267&gt;0,Responses!BC267,"No clash"))))</f>
        <v/>
      </c>
    </row>
    <row r="272">
      <c r="A272" s="27">
        <f>IF(Responses!AS268="","",IF(Responses!AT268&gt;0,Responses!AT268,"Check date"))</f>
        <v/>
      </c>
      <c r="B272" s="28">
        <f>Responses!AS268</f>
        <v/>
      </c>
      <c r="C272" s="29">
        <f>IF(Responses!AS268="","",IF(Responses!AU268&gt;=0,IF(Responses!AU268="","",RIGHT("0"&amp;INT(Responses!AU268/60),2)&amp;":"&amp;RIGHT("0"&amp;MOD(Responses!AU268,60),2)),"Check"))</f>
        <v/>
      </c>
      <c r="D272" s="29">
        <f>IF(Responses!AS268="","",IF(Responses!AV268&gt;=0,IF(Responses!AV268="","",RIGHT("0"&amp;INT(Responses!AV268/60),2)&amp;":"&amp;RIGHT("0"&amp;MOD(Responses!AV268,60),2)),"Check"))</f>
        <v/>
      </c>
      <c r="E272" s="28">
        <f>Responses!AW268</f>
        <v/>
      </c>
      <c r="F272" s="29">
        <f>Responses!AX268</f>
        <v/>
      </c>
      <c r="G272" s="29">
        <f>IF(Responses!AS268="","",IF(AND(ISNUMBER(Responses!AX268),ISNUMBER(IFERROR(VALUE(INDEX(Spaces!$B$5:$B$16,MATCH(Responses!AS268,Spaces!$A$5:$A$16,0))&amp;""),""))),IF(Responses!AX268&gt;IFERROR(VALUE(INDEX(Spaces!$B$5:$B$16,MATCH(Responses!AS268,Spaces!$A$5:$A$16,0))&amp;""),""),"Over by "&amp;(Responses!AX268-IFERROR(VALUE(INDEX(Spaces!$B$5:$B$16,MATCH(Responses!AS268,Spaces!$A$5:$A$16,0))&amp;""),"")),"OK"),""))</f>
        <v/>
      </c>
      <c r="H272" s="28">
        <f>Responses!BF268</f>
        <v/>
      </c>
      <c r="I272" s="28">
        <f>IF(Responses!AS268="","",Responses!AO268&amp;"")</f>
        <v/>
      </c>
      <c r="J272" s="28">
        <f>IF(Responses!AS268="","",Responses!AZ268&amp;"")</f>
        <v/>
      </c>
      <c r="K272" s="29">
        <f>Responses!AY268</f>
        <v/>
      </c>
      <c r="L272" s="28">
        <f>IF(Responses!AS268="","",IF(Responses!AY268="Declined","",IF(Responses!BA268=0,"Check date and times",IF(Responses!BB268&gt;0,Responses!BC268,"No clash"))))</f>
        <v/>
      </c>
    </row>
    <row r="273">
      <c r="A273" s="27">
        <f>IF(Responses!AS269="","",IF(Responses!AT269&gt;0,Responses!AT269,"Check date"))</f>
        <v/>
      </c>
      <c r="B273" s="28">
        <f>Responses!AS269</f>
        <v/>
      </c>
      <c r="C273" s="29">
        <f>IF(Responses!AS269="","",IF(Responses!AU269&gt;=0,IF(Responses!AU269="","",RIGHT("0"&amp;INT(Responses!AU269/60),2)&amp;":"&amp;RIGHT("0"&amp;MOD(Responses!AU269,60),2)),"Check"))</f>
        <v/>
      </c>
      <c r="D273" s="29">
        <f>IF(Responses!AS269="","",IF(Responses!AV269&gt;=0,IF(Responses!AV269="","",RIGHT("0"&amp;INT(Responses!AV269/60),2)&amp;":"&amp;RIGHT("0"&amp;MOD(Responses!AV269,60),2)),"Check"))</f>
        <v/>
      </c>
      <c r="E273" s="28">
        <f>Responses!AW269</f>
        <v/>
      </c>
      <c r="F273" s="29">
        <f>Responses!AX269</f>
        <v/>
      </c>
      <c r="G273" s="29">
        <f>IF(Responses!AS269="","",IF(AND(ISNUMBER(Responses!AX269),ISNUMBER(IFERROR(VALUE(INDEX(Spaces!$B$5:$B$16,MATCH(Responses!AS269,Spaces!$A$5:$A$16,0))&amp;""),""))),IF(Responses!AX269&gt;IFERROR(VALUE(INDEX(Spaces!$B$5:$B$16,MATCH(Responses!AS269,Spaces!$A$5:$A$16,0))&amp;""),""),"Over by "&amp;(Responses!AX269-IFERROR(VALUE(INDEX(Spaces!$B$5:$B$16,MATCH(Responses!AS269,Spaces!$A$5:$A$16,0))&amp;""),"")),"OK"),""))</f>
        <v/>
      </c>
      <c r="H273" s="28">
        <f>Responses!BF269</f>
        <v/>
      </c>
      <c r="I273" s="28">
        <f>IF(Responses!AS269="","",Responses!AO269&amp;"")</f>
        <v/>
      </c>
      <c r="J273" s="28">
        <f>IF(Responses!AS269="","",Responses!AZ269&amp;"")</f>
        <v/>
      </c>
      <c r="K273" s="29">
        <f>Responses!AY269</f>
        <v/>
      </c>
      <c r="L273" s="28">
        <f>IF(Responses!AS269="","",IF(Responses!AY269="Declined","",IF(Responses!BA269=0,"Check date and times",IF(Responses!BB269&gt;0,Responses!BC269,"No clash"))))</f>
        <v/>
      </c>
    </row>
    <row r="274">
      <c r="A274" s="27">
        <f>IF(Responses!AS270="","",IF(Responses!AT270&gt;0,Responses!AT270,"Check date"))</f>
        <v/>
      </c>
      <c r="B274" s="28">
        <f>Responses!AS270</f>
        <v/>
      </c>
      <c r="C274" s="29">
        <f>IF(Responses!AS270="","",IF(Responses!AU270&gt;=0,IF(Responses!AU270="","",RIGHT("0"&amp;INT(Responses!AU270/60),2)&amp;":"&amp;RIGHT("0"&amp;MOD(Responses!AU270,60),2)),"Check"))</f>
        <v/>
      </c>
      <c r="D274" s="29">
        <f>IF(Responses!AS270="","",IF(Responses!AV270&gt;=0,IF(Responses!AV270="","",RIGHT("0"&amp;INT(Responses!AV270/60),2)&amp;":"&amp;RIGHT("0"&amp;MOD(Responses!AV270,60),2)),"Check"))</f>
        <v/>
      </c>
      <c r="E274" s="28">
        <f>Responses!AW270</f>
        <v/>
      </c>
      <c r="F274" s="29">
        <f>Responses!AX270</f>
        <v/>
      </c>
      <c r="G274" s="29">
        <f>IF(Responses!AS270="","",IF(AND(ISNUMBER(Responses!AX270),ISNUMBER(IFERROR(VALUE(INDEX(Spaces!$B$5:$B$16,MATCH(Responses!AS270,Spaces!$A$5:$A$16,0))&amp;""),""))),IF(Responses!AX270&gt;IFERROR(VALUE(INDEX(Spaces!$B$5:$B$16,MATCH(Responses!AS270,Spaces!$A$5:$A$16,0))&amp;""),""),"Over by "&amp;(Responses!AX270-IFERROR(VALUE(INDEX(Spaces!$B$5:$B$16,MATCH(Responses!AS270,Spaces!$A$5:$A$16,0))&amp;""),"")),"OK"),""))</f>
        <v/>
      </c>
      <c r="H274" s="28">
        <f>Responses!BF270</f>
        <v/>
      </c>
      <c r="I274" s="28">
        <f>IF(Responses!AS270="","",Responses!AO270&amp;"")</f>
        <v/>
      </c>
      <c r="J274" s="28">
        <f>IF(Responses!AS270="","",Responses!AZ270&amp;"")</f>
        <v/>
      </c>
      <c r="K274" s="29">
        <f>Responses!AY270</f>
        <v/>
      </c>
      <c r="L274" s="28">
        <f>IF(Responses!AS270="","",IF(Responses!AY270="Declined","",IF(Responses!BA270=0,"Check date and times",IF(Responses!BB270&gt;0,Responses!BC270,"No clash"))))</f>
        <v/>
      </c>
    </row>
    <row r="275">
      <c r="A275" s="27">
        <f>IF(Responses!AS271="","",IF(Responses!AT271&gt;0,Responses!AT271,"Check date"))</f>
        <v/>
      </c>
      <c r="B275" s="28">
        <f>Responses!AS271</f>
        <v/>
      </c>
      <c r="C275" s="29">
        <f>IF(Responses!AS271="","",IF(Responses!AU271&gt;=0,IF(Responses!AU271="","",RIGHT("0"&amp;INT(Responses!AU271/60),2)&amp;":"&amp;RIGHT("0"&amp;MOD(Responses!AU271,60),2)),"Check"))</f>
        <v/>
      </c>
      <c r="D275" s="29">
        <f>IF(Responses!AS271="","",IF(Responses!AV271&gt;=0,IF(Responses!AV271="","",RIGHT("0"&amp;INT(Responses!AV271/60),2)&amp;":"&amp;RIGHT("0"&amp;MOD(Responses!AV271,60),2)),"Check"))</f>
        <v/>
      </c>
      <c r="E275" s="28">
        <f>Responses!AW271</f>
        <v/>
      </c>
      <c r="F275" s="29">
        <f>Responses!AX271</f>
        <v/>
      </c>
      <c r="G275" s="29">
        <f>IF(Responses!AS271="","",IF(AND(ISNUMBER(Responses!AX271),ISNUMBER(IFERROR(VALUE(INDEX(Spaces!$B$5:$B$16,MATCH(Responses!AS271,Spaces!$A$5:$A$16,0))&amp;""),""))),IF(Responses!AX271&gt;IFERROR(VALUE(INDEX(Spaces!$B$5:$B$16,MATCH(Responses!AS271,Spaces!$A$5:$A$16,0))&amp;""),""),"Over by "&amp;(Responses!AX271-IFERROR(VALUE(INDEX(Spaces!$B$5:$B$16,MATCH(Responses!AS271,Spaces!$A$5:$A$16,0))&amp;""),"")),"OK"),""))</f>
        <v/>
      </c>
      <c r="H275" s="28">
        <f>Responses!BF271</f>
        <v/>
      </c>
      <c r="I275" s="28">
        <f>IF(Responses!AS271="","",Responses!AO271&amp;"")</f>
        <v/>
      </c>
      <c r="J275" s="28">
        <f>IF(Responses!AS271="","",Responses!AZ271&amp;"")</f>
        <v/>
      </c>
      <c r="K275" s="29">
        <f>Responses!AY271</f>
        <v/>
      </c>
      <c r="L275" s="28">
        <f>IF(Responses!AS271="","",IF(Responses!AY271="Declined","",IF(Responses!BA271=0,"Check date and times",IF(Responses!BB271&gt;0,Responses!BC271,"No clash"))))</f>
        <v/>
      </c>
    </row>
    <row r="276">
      <c r="A276" s="27">
        <f>IF(Responses!AS272="","",IF(Responses!AT272&gt;0,Responses!AT272,"Check date"))</f>
        <v/>
      </c>
      <c r="B276" s="28">
        <f>Responses!AS272</f>
        <v/>
      </c>
      <c r="C276" s="29">
        <f>IF(Responses!AS272="","",IF(Responses!AU272&gt;=0,IF(Responses!AU272="","",RIGHT("0"&amp;INT(Responses!AU272/60),2)&amp;":"&amp;RIGHT("0"&amp;MOD(Responses!AU272,60),2)),"Check"))</f>
        <v/>
      </c>
      <c r="D276" s="29">
        <f>IF(Responses!AS272="","",IF(Responses!AV272&gt;=0,IF(Responses!AV272="","",RIGHT("0"&amp;INT(Responses!AV272/60),2)&amp;":"&amp;RIGHT("0"&amp;MOD(Responses!AV272,60),2)),"Check"))</f>
        <v/>
      </c>
      <c r="E276" s="28">
        <f>Responses!AW272</f>
        <v/>
      </c>
      <c r="F276" s="29">
        <f>Responses!AX272</f>
        <v/>
      </c>
      <c r="G276" s="29">
        <f>IF(Responses!AS272="","",IF(AND(ISNUMBER(Responses!AX272),ISNUMBER(IFERROR(VALUE(INDEX(Spaces!$B$5:$B$16,MATCH(Responses!AS272,Spaces!$A$5:$A$16,0))&amp;""),""))),IF(Responses!AX272&gt;IFERROR(VALUE(INDEX(Spaces!$B$5:$B$16,MATCH(Responses!AS272,Spaces!$A$5:$A$16,0))&amp;""),""),"Over by "&amp;(Responses!AX272-IFERROR(VALUE(INDEX(Spaces!$B$5:$B$16,MATCH(Responses!AS272,Spaces!$A$5:$A$16,0))&amp;""),"")),"OK"),""))</f>
        <v/>
      </c>
      <c r="H276" s="28">
        <f>Responses!BF272</f>
        <v/>
      </c>
      <c r="I276" s="28">
        <f>IF(Responses!AS272="","",Responses!AO272&amp;"")</f>
        <v/>
      </c>
      <c r="J276" s="28">
        <f>IF(Responses!AS272="","",Responses!AZ272&amp;"")</f>
        <v/>
      </c>
      <c r="K276" s="29">
        <f>Responses!AY272</f>
        <v/>
      </c>
      <c r="L276" s="28">
        <f>IF(Responses!AS272="","",IF(Responses!AY272="Declined","",IF(Responses!BA272=0,"Check date and times",IF(Responses!BB272&gt;0,Responses!BC272,"No clash"))))</f>
        <v/>
      </c>
    </row>
    <row r="277">
      <c r="A277" s="27">
        <f>IF(Responses!AS273="","",IF(Responses!AT273&gt;0,Responses!AT273,"Check date"))</f>
        <v/>
      </c>
      <c r="B277" s="28">
        <f>Responses!AS273</f>
        <v/>
      </c>
      <c r="C277" s="29">
        <f>IF(Responses!AS273="","",IF(Responses!AU273&gt;=0,IF(Responses!AU273="","",RIGHT("0"&amp;INT(Responses!AU273/60),2)&amp;":"&amp;RIGHT("0"&amp;MOD(Responses!AU273,60),2)),"Check"))</f>
        <v/>
      </c>
      <c r="D277" s="29">
        <f>IF(Responses!AS273="","",IF(Responses!AV273&gt;=0,IF(Responses!AV273="","",RIGHT("0"&amp;INT(Responses!AV273/60),2)&amp;":"&amp;RIGHT("0"&amp;MOD(Responses!AV273,60),2)),"Check"))</f>
        <v/>
      </c>
      <c r="E277" s="28">
        <f>Responses!AW273</f>
        <v/>
      </c>
      <c r="F277" s="29">
        <f>Responses!AX273</f>
        <v/>
      </c>
      <c r="G277" s="29">
        <f>IF(Responses!AS273="","",IF(AND(ISNUMBER(Responses!AX273),ISNUMBER(IFERROR(VALUE(INDEX(Spaces!$B$5:$B$16,MATCH(Responses!AS273,Spaces!$A$5:$A$16,0))&amp;""),""))),IF(Responses!AX273&gt;IFERROR(VALUE(INDEX(Spaces!$B$5:$B$16,MATCH(Responses!AS273,Spaces!$A$5:$A$16,0))&amp;""),""),"Over by "&amp;(Responses!AX273-IFERROR(VALUE(INDEX(Spaces!$B$5:$B$16,MATCH(Responses!AS273,Spaces!$A$5:$A$16,0))&amp;""),"")),"OK"),""))</f>
        <v/>
      </c>
      <c r="H277" s="28">
        <f>Responses!BF273</f>
        <v/>
      </c>
      <c r="I277" s="28">
        <f>IF(Responses!AS273="","",Responses!AO273&amp;"")</f>
        <v/>
      </c>
      <c r="J277" s="28">
        <f>IF(Responses!AS273="","",Responses!AZ273&amp;"")</f>
        <v/>
      </c>
      <c r="K277" s="29">
        <f>Responses!AY273</f>
        <v/>
      </c>
      <c r="L277" s="28">
        <f>IF(Responses!AS273="","",IF(Responses!AY273="Declined","",IF(Responses!BA273=0,"Check date and times",IF(Responses!BB273&gt;0,Responses!BC273,"No clash"))))</f>
        <v/>
      </c>
    </row>
    <row r="278">
      <c r="A278" s="27">
        <f>IF(Responses!AS274="","",IF(Responses!AT274&gt;0,Responses!AT274,"Check date"))</f>
        <v/>
      </c>
      <c r="B278" s="28">
        <f>Responses!AS274</f>
        <v/>
      </c>
      <c r="C278" s="29">
        <f>IF(Responses!AS274="","",IF(Responses!AU274&gt;=0,IF(Responses!AU274="","",RIGHT("0"&amp;INT(Responses!AU274/60),2)&amp;":"&amp;RIGHT("0"&amp;MOD(Responses!AU274,60),2)),"Check"))</f>
        <v/>
      </c>
      <c r="D278" s="29">
        <f>IF(Responses!AS274="","",IF(Responses!AV274&gt;=0,IF(Responses!AV274="","",RIGHT("0"&amp;INT(Responses!AV274/60),2)&amp;":"&amp;RIGHT("0"&amp;MOD(Responses!AV274,60),2)),"Check"))</f>
        <v/>
      </c>
      <c r="E278" s="28">
        <f>Responses!AW274</f>
        <v/>
      </c>
      <c r="F278" s="29">
        <f>Responses!AX274</f>
        <v/>
      </c>
      <c r="G278" s="29">
        <f>IF(Responses!AS274="","",IF(AND(ISNUMBER(Responses!AX274),ISNUMBER(IFERROR(VALUE(INDEX(Spaces!$B$5:$B$16,MATCH(Responses!AS274,Spaces!$A$5:$A$16,0))&amp;""),""))),IF(Responses!AX274&gt;IFERROR(VALUE(INDEX(Spaces!$B$5:$B$16,MATCH(Responses!AS274,Spaces!$A$5:$A$16,0))&amp;""),""),"Over by "&amp;(Responses!AX274-IFERROR(VALUE(INDEX(Spaces!$B$5:$B$16,MATCH(Responses!AS274,Spaces!$A$5:$A$16,0))&amp;""),"")),"OK"),""))</f>
        <v/>
      </c>
      <c r="H278" s="28">
        <f>Responses!BF274</f>
        <v/>
      </c>
      <c r="I278" s="28">
        <f>IF(Responses!AS274="","",Responses!AO274&amp;"")</f>
        <v/>
      </c>
      <c r="J278" s="28">
        <f>IF(Responses!AS274="","",Responses!AZ274&amp;"")</f>
        <v/>
      </c>
      <c r="K278" s="29">
        <f>Responses!AY274</f>
        <v/>
      </c>
      <c r="L278" s="28">
        <f>IF(Responses!AS274="","",IF(Responses!AY274="Declined","",IF(Responses!BA274=0,"Check date and times",IF(Responses!BB274&gt;0,Responses!BC274,"No clash"))))</f>
        <v/>
      </c>
    </row>
    <row r="279">
      <c r="A279" s="27">
        <f>IF(Responses!AS275="","",IF(Responses!AT275&gt;0,Responses!AT275,"Check date"))</f>
        <v/>
      </c>
      <c r="B279" s="28">
        <f>Responses!AS275</f>
        <v/>
      </c>
      <c r="C279" s="29">
        <f>IF(Responses!AS275="","",IF(Responses!AU275&gt;=0,IF(Responses!AU275="","",RIGHT("0"&amp;INT(Responses!AU275/60),2)&amp;":"&amp;RIGHT("0"&amp;MOD(Responses!AU275,60),2)),"Check"))</f>
        <v/>
      </c>
      <c r="D279" s="29">
        <f>IF(Responses!AS275="","",IF(Responses!AV275&gt;=0,IF(Responses!AV275="","",RIGHT("0"&amp;INT(Responses!AV275/60),2)&amp;":"&amp;RIGHT("0"&amp;MOD(Responses!AV275,60),2)),"Check"))</f>
        <v/>
      </c>
      <c r="E279" s="28">
        <f>Responses!AW275</f>
        <v/>
      </c>
      <c r="F279" s="29">
        <f>Responses!AX275</f>
        <v/>
      </c>
      <c r="G279" s="29">
        <f>IF(Responses!AS275="","",IF(AND(ISNUMBER(Responses!AX275),ISNUMBER(IFERROR(VALUE(INDEX(Spaces!$B$5:$B$16,MATCH(Responses!AS275,Spaces!$A$5:$A$16,0))&amp;""),""))),IF(Responses!AX275&gt;IFERROR(VALUE(INDEX(Spaces!$B$5:$B$16,MATCH(Responses!AS275,Spaces!$A$5:$A$16,0))&amp;""),""),"Over by "&amp;(Responses!AX275-IFERROR(VALUE(INDEX(Spaces!$B$5:$B$16,MATCH(Responses!AS275,Spaces!$A$5:$A$16,0))&amp;""),"")),"OK"),""))</f>
        <v/>
      </c>
      <c r="H279" s="28">
        <f>Responses!BF275</f>
        <v/>
      </c>
      <c r="I279" s="28">
        <f>IF(Responses!AS275="","",Responses!AO275&amp;"")</f>
        <v/>
      </c>
      <c r="J279" s="28">
        <f>IF(Responses!AS275="","",Responses!AZ275&amp;"")</f>
        <v/>
      </c>
      <c r="K279" s="29">
        <f>Responses!AY275</f>
        <v/>
      </c>
      <c r="L279" s="28">
        <f>IF(Responses!AS275="","",IF(Responses!AY275="Declined","",IF(Responses!BA275=0,"Check date and times",IF(Responses!BB275&gt;0,Responses!BC275,"No clash"))))</f>
        <v/>
      </c>
    </row>
    <row r="280">
      <c r="A280" s="27">
        <f>IF(Responses!AS276="","",IF(Responses!AT276&gt;0,Responses!AT276,"Check date"))</f>
        <v/>
      </c>
      <c r="B280" s="28">
        <f>Responses!AS276</f>
        <v/>
      </c>
      <c r="C280" s="29">
        <f>IF(Responses!AS276="","",IF(Responses!AU276&gt;=0,IF(Responses!AU276="","",RIGHT("0"&amp;INT(Responses!AU276/60),2)&amp;":"&amp;RIGHT("0"&amp;MOD(Responses!AU276,60),2)),"Check"))</f>
        <v/>
      </c>
      <c r="D280" s="29">
        <f>IF(Responses!AS276="","",IF(Responses!AV276&gt;=0,IF(Responses!AV276="","",RIGHT("0"&amp;INT(Responses!AV276/60),2)&amp;":"&amp;RIGHT("0"&amp;MOD(Responses!AV276,60),2)),"Check"))</f>
        <v/>
      </c>
      <c r="E280" s="28">
        <f>Responses!AW276</f>
        <v/>
      </c>
      <c r="F280" s="29">
        <f>Responses!AX276</f>
        <v/>
      </c>
      <c r="G280" s="29">
        <f>IF(Responses!AS276="","",IF(AND(ISNUMBER(Responses!AX276),ISNUMBER(IFERROR(VALUE(INDEX(Spaces!$B$5:$B$16,MATCH(Responses!AS276,Spaces!$A$5:$A$16,0))&amp;""),""))),IF(Responses!AX276&gt;IFERROR(VALUE(INDEX(Spaces!$B$5:$B$16,MATCH(Responses!AS276,Spaces!$A$5:$A$16,0))&amp;""),""),"Over by "&amp;(Responses!AX276-IFERROR(VALUE(INDEX(Spaces!$B$5:$B$16,MATCH(Responses!AS276,Spaces!$A$5:$A$16,0))&amp;""),"")),"OK"),""))</f>
        <v/>
      </c>
      <c r="H280" s="28">
        <f>Responses!BF276</f>
        <v/>
      </c>
      <c r="I280" s="28">
        <f>IF(Responses!AS276="","",Responses!AO276&amp;"")</f>
        <v/>
      </c>
      <c r="J280" s="28">
        <f>IF(Responses!AS276="","",Responses!AZ276&amp;"")</f>
        <v/>
      </c>
      <c r="K280" s="29">
        <f>Responses!AY276</f>
        <v/>
      </c>
      <c r="L280" s="28">
        <f>IF(Responses!AS276="","",IF(Responses!AY276="Declined","",IF(Responses!BA276=0,"Check date and times",IF(Responses!BB276&gt;0,Responses!BC276,"No clash"))))</f>
        <v/>
      </c>
    </row>
    <row r="281">
      <c r="A281" s="27">
        <f>IF(Responses!AS277="","",IF(Responses!AT277&gt;0,Responses!AT277,"Check date"))</f>
        <v/>
      </c>
      <c r="B281" s="28">
        <f>Responses!AS277</f>
        <v/>
      </c>
      <c r="C281" s="29">
        <f>IF(Responses!AS277="","",IF(Responses!AU277&gt;=0,IF(Responses!AU277="","",RIGHT("0"&amp;INT(Responses!AU277/60),2)&amp;":"&amp;RIGHT("0"&amp;MOD(Responses!AU277,60),2)),"Check"))</f>
        <v/>
      </c>
      <c r="D281" s="29">
        <f>IF(Responses!AS277="","",IF(Responses!AV277&gt;=0,IF(Responses!AV277="","",RIGHT("0"&amp;INT(Responses!AV277/60),2)&amp;":"&amp;RIGHT("0"&amp;MOD(Responses!AV277,60),2)),"Check"))</f>
        <v/>
      </c>
      <c r="E281" s="28">
        <f>Responses!AW277</f>
        <v/>
      </c>
      <c r="F281" s="29">
        <f>Responses!AX277</f>
        <v/>
      </c>
      <c r="G281" s="29">
        <f>IF(Responses!AS277="","",IF(AND(ISNUMBER(Responses!AX277),ISNUMBER(IFERROR(VALUE(INDEX(Spaces!$B$5:$B$16,MATCH(Responses!AS277,Spaces!$A$5:$A$16,0))&amp;""),""))),IF(Responses!AX277&gt;IFERROR(VALUE(INDEX(Spaces!$B$5:$B$16,MATCH(Responses!AS277,Spaces!$A$5:$A$16,0))&amp;""),""),"Over by "&amp;(Responses!AX277-IFERROR(VALUE(INDEX(Spaces!$B$5:$B$16,MATCH(Responses!AS277,Spaces!$A$5:$A$16,0))&amp;""),"")),"OK"),""))</f>
        <v/>
      </c>
      <c r="H281" s="28">
        <f>Responses!BF277</f>
        <v/>
      </c>
      <c r="I281" s="28">
        <f>IF(Responses!AS277="","",Responses!AO277&amp;"")</f>
        <v/>
      </c>
      <c r="J281" s="28">
        <f>IF(Responses!AS277="","",Responses!AZ277&amp;"")</f>
        <v/>
      </c>
      <c r="K281" s="29">
        <f>Responses!AY277</f>
        <v/>
      </c>
      <c r="L281" s="28">
        <f>IF(Responses!AS277="","",IF(Responses!AY277="Declined","",IF(Responses!BA277=0,"Check date and times",IF(Responses!BB277&gt;0,Responses!BC277,"No clash"))))</f>
        <v/>
      </c>
    </row>
    <row r="282">
      <c r="A282" s="27">
        <f>IF(Responses!AS278="","",IF(Responses!AT278&gt;0,Responses!AT278,"Check date"))</f>
        <v/>
      </c>
      <c r="B282" s="28">
        <f>Responses!AS278</f>
        <v/>
      </c>
      <c r="C282" s="29">
        <f>IF(Responses!AS278="","",IF(Responses!AU278&gt;=0,IF(Responses!AU278="","",RIGHT("0"&amp;INT(Responses!AU278/60),2)&amp;":"&amp;RIGHT("0"&amp;MOD(Responses!AU278,60),2)),"Check"))</f>
        <v/>
      </c>
      <c r="D282" s="29">
        <f>IF(Responses!AS278="","",IF(Responses!AV278&gt;=0,IF(Responses!AV278="","",RIGHT("0"&amp;INT(Responses!AV278/60),2)&amp;":"&amp;RIGHT("0"&amp;MOD(Responses!AV278,60),2)),"Check"))</f>
        <v/>
      </c>
      <c r="E282" s="28">
        <f>Responses!AW278</f>
        <v/>
      </c>
      <c r="F282" s="29">
        <f>Responses!AX278</f>
        <v/>
      </c>
      <c r="G282" s="29">
        <f>IF(Responses!AS278="","",IF(AND(ISNUMBER(Responses!AX278),ISNUMBER(IFERROR(VALUE(INDEX(Spaces!$B$5:$B$16,MATCH(Responses!AS278,Spaces!$A$5:$A$16,0))&amp;""),""))),IF(Responses!AX278&gt;IFERROR(VALUE(INDEX(Spaces!$B$5:$B$16,MATCH(Responses!AS278,Spaces!$A$5:$A$16,0))&amp;""),""),"Over by "&amp;(Responses!AX278-IFERROR(VALUE(INDEX(Spaces!$B$5:$B$16,MATCH(Responses!AS278,Spaces!$A$5:$A$16,0))&amp;""),"")),"OK"),""))</f>
        <v/>
      </c>
      <c r="H282" s="28">
        <f>Responses!BF278</f>
        <v/>
      </c>
      <c r="I282" s="28">
        <f>IF(Responses!AS278="","",Responses!AO278&amp;"")</f>
        <v/>
      </c>
      <c r="J282" s="28">
        <f>IF(Responses!AS278="","",Responses!AZ278&amp;"")</f>
        <v/>
      </c>
      <c r="K282" s="29">
        <f>Responses!AY278</f>
        <v/>
      </c>
      <c r="L282" s="28">
        <f>IF(Responses!AS278="","",IF(Responses!AY278="Declined","",IF(Responses!BA278=0,"Check date and times",IF(Responses!BB278&gt;0,Responses!BC278,"No clash"))))</f>
        <v/>
      </c>
    </row>
    <row r="283">
      <c r="A283" s="27">
        <f>IF(Responses!AS279="","",IF(Responses!AT279&gt;0,Responses!AT279,"Check date"))</f>
        <v/>
      </c>
      <c r="B283" s="28">
        <f>Responses!AS279</f>
        <v/>
      </c>
      <c r="C283" s="29">
        <f>IF(Responses!AS279="","",IF(Responses!AU279&gt;=0,IF(Responses!AU279="","",RIGHT("0"&amp;INT(Responses!AU279/60),2)&amp;":"&amp;RIGHT("0"&amp;MOD(Responses!AU279,60),2)),"Check"))</f>
        <v/>
      </c>
      <c r="D283" s="29">
        <f>IF(Responses!AS279="","",IF(Responses!AV279&gt;=0,IF(Responses!AV279="","",RIGHT("0"&amp;INT(Responses!AV279/60),2)&amp;":"&amp;RIGHT("0"&amp;MOD(Responses!AV279,60),2)),"Check"))</f>
        <v/>
      </c>
      <c r="E283" s="28">
        <f>Responses!AW279</f>
        <v/>
      </c>
      <c r="F283" s="29">
        <f>Responses!AX279</f>
        <v/>
      </c>
      <c r="G283" s="29">
        <f>IF(Responses!AS279="","",IF(AND(ISNUMBER(Responses!AX279),ISNUMBER(IFERROR(VALUE(INDEX(Spaces!$B$5:$B$16,MATCH(Responses!AS279,Spaces!$A$5:$A$16,0))&amp;""),""))),IF(Responses!AX279&gt;IFERROR(VALUE(INDEX(Spaces!$B$5:$B$16,MATCH(Responses!AS279,Spaces!$A$5:$A$16,0))&amp;""),""),"Over by "&amp;(Responses!AX279-IFERROR(VALUE(INDEX(Spaces!$B$5:$B$16,MATCH(Responses!AS279,Spaces!$A$5:$A$16,0))&amp;""),"")),"OK"),""))</f>
        <v/>
      </c>
      <c r="H283" s="28">
        <f>Responses!BF279</f>
        <v/>
      </c>
      <c r="I283" s="28">
        <f>IF(Responses!AS279="","",Responses!AO279&amp;"")</f>
        <v/>
      </c>
      <c r="J283" s="28">
        <f>IF(Responses!AS279="","",Responses!AZ279&amp;"")</f>
        <v/>
      </c>
      <c r="K283" s="29">
        <f>Responses!AY279</f>
        <v/>
      </c>
      <c r="L283" s="28">
        <f>IF(Responses!AS279="","",IF(Responses!AY279="Declined","",IF(Responses!BA279=0,"Check date and times",IF(Responses!BB279&gt;0,Responses!BC279,"No clash"))))</f>
        <v/>
      </c>
    </row>
    <row r="284">
      <c r="A284" s="27">
        <f>IF(Responses!AS280="","",IF(Responses!AT280&gt;0,Responses!AT280,"Check date"))</f>
        <v/>
      </c>
      <c r="B284" s="28">
        <f>Responses!AS280</f>
        <v/>
      </c>
      <c r="C284" s="29">
        <f>IF(Responses!AS280="","",IF(Responses!AU280&gt;=0,IF(Responses!AU280="","",RIGHT("0"&amp;INT(Responses!AU280/60),2)&amp;":"&amp;RIGHT("0"&amp;MOD(Responses!AU280,60),2)),"Check"))</f>
        <v/>
      </c>
      <c r="D284" s="29">
        <f>IF(Responses!AS280="","",IF(Responses!AV280&gt;=0,IF(Responses!AV280="","",RIGHT("0"&amp;INT(Responses!AV280/60),2)&amp;":"&amp;RIGHT("0"&amp;MOD(Responses!AV280,60),2)),"Check"))</f>
        <v/>
      </c>
      <c r="E284" s="28">
        <f>Responses!AW280</f>
        <v/>
      </c>
      <c r="F284" s="29">
        <f>Responses!AX280</f>
        <v/>
      </c>
      <c r="G284" s="29">
        <f>IF(Responses!AS280="","",IF(AND(ISNUMBER(Responses!AX280),ISNUMBER(IFERROR(VALUE(INDEX(Spaces!$B$5:$B$16,MATCH(Responses!AS280,Spaces!$A$5:$A$16,0))&amp;""),""))),IF(Responses!AX280&gt;IFERROR(VALUE(INDEX(Spaces!$B$5:$B$16,MATCH(Responses!AS280,Spaces!$A$5:$A$16,0))&amp;""),""),"Over by "&amp;(Responses!AX280-IFERROR(VALUE(INDEX(Spaces!$B$5:$B$16,MATCH(Responses!AS280,Spaces!$A$5:$A$16,0))&amp;""),"")),"OK"),""))</f>
        <v/>
      </c>
      <c r="H284" s="28">
        <f>Responses!BF280</f>
        <v/>
      </c>
      <c r="I284" s="28">
        <f>IF(Responses!AS280="","",Responses!AO280&amp;"")</f>
        <v/>
      </c>
      <c r="J284" s="28">
        <f>IF(Responses!AS280="","",Responses!AZ280&amp;"")</f>
        <v/>
      </c>
      <c r="K284" s="29">
        <f>Responses!AY280</f>
        <v/>
      </c>
      <c r="L284" s="28">
        <f>IF(Responses!AS280="","",IF(Responses!AY280="Declined","",IF(Responses!BA280=0,"Check date and times",IF(Responses!BB280&gt;0,Responses!BC280,"No clash"))))</f>
        <v/>
      </c>
    </row>
    <row r="285">
      <c r="A285" s="27">
        <f>IF(Responses!AS281="","",IF(Responses!AT281&gt;0,Responses!AT281,"Check date"))</f>
        <v/>
      </c>
      <c r="B285" s="28">
        <f>Responses!AS281</f>
        <v/>
      </c>
      <c r="C285" s="29">
        <f>IF(Responses!AS281="","",IF(Responses!AU281&gt;=0,IF(Responses!AU281="","",RIGHT("0"&amp;INT(Responses!AU281/60),2)&amp;":"&amp;RIGHT("0"&amp;MOD(Responses!AU281,60),2)),"Check"))</f>
        <v/>
      </c>
      <c r="D285" s="29">
        <f>IF(Responses!AS281="","",IF(Responses!AV281&gt;=0,IF(Responses!AV281="","",RIGHT("0"&amp;INT(Responses!AV281/60),2)&amp;":"&amp;RIGHT("0"&amp;MOD(Responses!AV281,60),2)),"Check"))</f>
        <v/>
      </c>
      <c r="E285" s="28">
        <f>Responses!AW281</f>
        <v/>
      </c>
      <c r="F285" s="29">
        <f>Responses!AX281</f>
        <v/>
      </c>
      <c r="G285" s="29">
        <f>IF(Responses!AS281="","",IF(AND(ISNUMBER(Responses!AX281),ISNUMBER(IFERROR(VALUE(INDEX(Spaces!$B$5:$B$16,MATCH(Responses!AS281,Spaces!$A$5:$A$16,0))&amp;""),""))),IF(Responses!AX281&gt;IFERROR(VALUE(INDEX(Spaces!$B$5:$B$16,MATCH(Responses!AS281,Spaces!$A$5:$A$16,0))&amp;""),""),"Over by "&amp;(Responses!AX281-IFERROR(VALUE(INDEX(Spaces!$B$5:$B$16,MATCH(Responses!AS281,Spaces!$A$5:$A$16,0))&amp;""),"")),"OK"),""))</f>
        <v/>
      </c>
      <c r="H285" s="28">
        <f>Responses!BF281</f>
        <v/>
      </c>
      <c r="I285" s="28">
        <f>IF(Responses!AS281="","",Responses!AO281&amp;"")</f>
        <v/>
      </c>
      <c r="J285" s="28">
        <f>IF(Responses!AS281="","",Responses!AZ281&amp;"")</f>
        <v/>
      </c>
      <c r="K285" s="29">
        <f>Responses!AY281</f>
        <v/>
      </c>
      <c r="L285" s="28">
        <f>IF(Responses!AS281="","",IF(Responses!AY281="Declined","",IF(Responses!BA281=0,"Check date and times",IF(Responses!BB281&gt;0,Responses!BC281,"No clash"))))</f>
        <v/>
      </c>
    </row>
    <row r="286">
      <c r="A286" s="27">
        <f>IF(Responses!AS282="","",IF(Responses!AT282&gt;0,Responses!AT282,"Check date"))</f>
        <v/>
      </c>
      <c r="B286" s="28">
        <f>Responses!AS282</f>
        <v/>
      </c>
      <c r="C286" s="29">
        <f>IF(Responses!AS282="","",IF(Responses!AU282&gt;=0,IF(Responses!AU282="","",RIGHT("0"&amp;INT(Responses!AU282/60),2)&amp;":"&amp;RIGHT("0"&amp;MOD(Responses!AU282,60),2)),"Check"))</f>
        <v/>
      </c>
      <c r="D286" s="29">
        <f>IF(Responses!AS282="","",IF(Responses!AV282&gt;=0,IF(Responses!AV282="","",RIGHT("0"&amp;INT(Responses!AV282/60),2)&amp;":"&amp;RIGHT("0"&amp;MOD(Responses!AV282,60),2)),"Check"))</f>
        <v/>
      </c>
      <c r="E286" s="28">
        <f>Responses!AW282</f>
        <v/>
      </c>
      <c r="F286" s="29">
        <f>Responses!AX282</f>
        <v/>
      </c>
      <c r="G286" s="29">
        <f>IF(Responses!AS282="","",IF(AND(ISNUMBER(Responses!AX282),ISNUMBER(IFERROR(VALUE(INDEX(Spaces!$B$5:$B$16,MATCH(Responses!AS282,Spaces!$A$5:$A$16,0))&amp;""),""))),IF(Responses!AX282&gt;IFERROR(VALUE(INDEX(Spaces!$B$5:$B$16,MATCH(Responses!AS282,Spaces!$A$5:$A$16,0))&amp;""),""),"Over by "&amp;(Responses!AX282-IFERROR(VALUE(INDEX(Spaces!$B$5:$B$16,MATCH(Responses!AS282,Spaces!$A$5:$A$16,0))&amp;""),"")),"OK"),""))</f>
        <v/>
      </c>
      <c r="H286" s="28">
        <f>Responses!BF282</f>
        <v/>
      </c>
      <c r="I286" s="28">
        <f>IF(Responses!AS282="","",Responses!AO282&amp;"")</f>
        <v/>
      </c>
      <c r="J286" s="28">
        <f>IF(Responses!AS282="","",Responses!AZ282&amp;"")</f>
        <v/>
      </c>
      <c r="K286" s="29">
        <f>Responses!AY282</f>
        <v/>
      </c>
      <c r="L286" s="28">
        <f>IF(Responses!AS282="","",IF(Responses!AY282="Declined","",IF(Responses!BA282=0,"Check date and times",IF(Responses!BB282&gt;0,Responses!BC282,"No clash"))))</f>
        <v/>
      </c>
    </row>
    <row r="287">
      <c r="A287" s="27">
        <f>IF(Responses!AS283="","",IF(Responses!AT283&gt;0,Responses!AT283,"Check date"))</f>
        <v/>
      </c>
      <c r="B287" s="28">
        <f>Responses!AS283</f>
        <v/>
      </c>
      <c r="C287" s="29">
        <f>IF(Responses!AS283="","",IF(Responses!AU283&gt;=0,IF(Responses!AU283="","",RIGHT("0"&amp;INT(Responses!AU283/60),2)&amp;":"&amp;RIGHT("0"&amp;MOD(Responses!AU283,60),2)),"Check"))</f>
        <v/>
      </c>
      <c r="D287" s="29">
        <f>IF(Responses!AS283="","",IF(Responses!AV283&gt;=0,IF(Responses!AV283="","",RIGHT("0"&amp;INT(Responses!AV283/60),2)&amp;":"&amp;RIGHT("0"&amp;MOD(Responses!AV283,60),2)),"Check"))</f>
        <v/>
      </c>
      <c r="E287" s="28">
        <f>Responses!AW283</f>
        <v/>
      </c>
      <c r="F287" s="29">
        <f>Responses!AX283</f>
        <v/>
      </c>
      <c r="G287" s="29">
        <f>IF(Responses!AS283="","",IF(AND(ISNUMBER(Responses!AX283),ISNUMBER(IFERROR(VALUE(INDEX(Spaces!$B$5:$B$16,MATCH(Responses!AS283,Spaces!$A$5:$A$16,0))&amp;""),""))),IF(Responses!AX283&gt;IFERROR(VALUE(INDEX(Spaces!$B$5:$B$16,MATCH(Responses!AS283,Spaces!$A$5:$A$16,0))&amp;""),""),"Over by "&amp;(Responses!AX283-IFERROR(VALUE(INDEX(Spaces!$B$5:$B$16,MATCH(Responses!AS283,Spaces!$A$5:$A$16,0))&amp;""),"")),"OK"),""))</f>
        <v/>
      </c>
      <c r="H287" s="28">
        <f>Responses!BF283</f>
        <v/>
      </c>
      <c r="I287" s="28">
        <f>IF(Responses!AS283="","",Responses!AO283&amp;"")</f>
        <v/>
      </c>
      <c r="J287" s="28">
        <f>IF(Responses!AS283="","",Responses!AZ283&amp;"")</f>
        <v/>
      </c>
      <c r="K287" s="29">
        <f>Responses!AY283</f>
        <v/>
      </c>
      <c r="L287" s="28">
        <f>IF(Responses!AS283="","",IF(Responses!AY283="Declined","",IF(Responses!BA283=0,"Check date and times",IF(Responses!BB283&gt;0,Responses!BC283,"No clash"))))</f>
        <v/>
      </c>
    </row>
    <row r="288">
      <c r="A288" s="27">
        <f>IF(Responses!AS284="","",IF(Responses!AT284&gt;0,Responses!AT284,"Check date"))</f>
        <v/>
      </c>
      <c r="B288" s="28">
        <f>Responses!AS284</f>
        <v/>
      </c>
      <c r="C288" s="29">
        <f>IF(Responses!AS284="","",IF(Responses!AU284&gt;=0,IF(Responses!AU284="","",RIGHT("0"&amp;INT(Responses!AU284/60),2)&amp;":"&amp;RIGHT("0"&amp;MOD(Responses!AU284,60),2)),"Check"))</f>
        <v/>
      </c>
      <c r="D288" s="29">
        <f>IF(Responses!AS284="","",IF(Responses!AV284&gt;=0,IF(Responses!AV284="","",RIGHT("0"&amp;INT(Responses!AV284/60),2)&amp;":"&amp;RIGHT("0"&amp;MOD(Responses!AV284,60),2)),"Check"))</f>
        <v/>
      </c>
      <c r="E288" s="28">
        <f>Responses!AW284</f>
        <v/>
      </c>
      <c r="F288" s="29">
        <f>Responses!AX284</f>
        <v/>
      </c>
      <c r="G288" s="29">
        <f>IF(Responses!AS284="","",IF(AND(ISNUMBER(Responses!AX284),ISNUMBER(IFERROR(VALUE(INDEX(Spaces!$B$5:$B$16,MATCH(Responses!AS284,Spaces!$A$5:$A$16,0))&amp;""),""))),IF(Responses!AX284&gt;IFERROR(VALUE(INDEX(Spaces!$B$5:$B$16,MATCH(Responses!AS284,Spaces!$A$5:$A$16,0))&amp;""),""),"Over by "&amp;(Responses!AX284-IFERROR(VALUE(INDEX(Spaces!$B$5:$B$16,MATCH(Responses!AS284,Spaces!$A$5:$A$16,0))&amp;""),"")),"OK"),""))</f>
        <v/>
      </c>
      <c r="H288" s="28">
        <f>Responses!BF284</f>
        <v/>
      </c>
      <c r="I288" s="28">
        <f>IF(Responses!AS284="","",Responses!AO284&amp;"")</f>
        <v/>
      </c>
      <c r="J288" s="28">
        <f>IF(Responses!AS284="","",Responses!AZ284&amp;"")</f>
        <v/>
      </c>
      <c r="K288" s="29">
        <f>Responses!AY284</f>
        <v/>
      </c>
      <c r="L288" s="28">
        <f>IF(Responses!AS284="","",IF(Responses!AY284="Declined","",IF(Responses!BA284=0,"Check date and times",IF(Responses!BB284&gt;0,Responses!BC284,"No clash"))))</f>
        <v/>
      </c>
    </row>
    <row r="289">
      <c r="A289" s="27">
        <f>IF(Responses!AS285="","",IF(Responses!AT285&gt;0,Responses!AT285,"Check date"))</f>
        <v/>
      </c>
      <c r="B289" s="28">
        <f>Responses!AS285</f>
        <v/>
      </c>
      <c r="C289" s="29">
        <f>IF(Responses!AS285="","",IF(Responses!AU285&gt;=0,IF(Responses!AU285="","",RIGHT("0"&amp;INT(Responses!AU285/60),2)&amp;":"&amp;RIGHT("0"&amp;MOD(Responses!AU285,60),2)),"Check"))</f>
        <v/>
      </c>
      <c r="D289" s="29">
        <f>IF(Responses!AS285="","",IF(Responses!AV285&gt;=0,IF(Responses!AV285="","",RIGHT("0"&amp;INT(Responses!AV285/60),2)&amp;":"&amp;RIGHT("0"&amp;MOD(Responses!AV285,60),2)),"Check"))</f>
        <v/>
      </c>
      <c r="E289" s="28">
        <f>Responses!AW285</f>
        <v/>
      </c>
      <c r="F289" s="29">
        <f>Responses!AX285</f>
        <v/>
      </c>
      <c r="G289" s="29">
        <f>IF(Responses!AS285="","",IF(AND(ISNUMBER(Responses!AX285),ISNUMBER(IFERROR(VALUE(INDEX(Spaces!$B$5:$B$16,MATCH(Responses!AS285,Spaces!$A$5:$A$16,0))&amp;""),""))),IF(Responses!AX285&gt;IFERROR(VALUE(INDEX(Spaces!$B$5:$B$16,MATCH(Responses!AS285,Spaces!$A$5:$A$16,0))&amp;""),""),"Over by "&amp;(Responses!AX285-IFERROR(VALUE(INDEX(Spaces!$B$5:$B$16,MATCH(Responses!AS285,Spaces!$A$5:$A$16,0))&amp;""),"")),"OK"),""))</f>
        <v/>
      </c>
      <c r="H289" s="28">
        <f>Responses!BF285</f>
        <v/>
      </c>
      <c r="I289" s="28">
        <f>IF(Responses!AS285="","",Responses!AO285&amp;"")</f>
        <v/>
      </c>
      <c r="J289" s="28">
        <f>IF(Responses!AS285="","",Responses!AZ285&amp;"")</f>
        <v/>
      </c>
      <c r="K289" s="29">
        <f>Responses!AY285</f>
        <v/>
      </c>
      <c r="L289" s="28">
        <f>IF(Responses!AS285="","",IF(Responses!AY285="Declined","",IF(Responses!BA285=0,"Check date and times",IF(Responses!BB285&gt;0,Responses!BC285,"No clash"))))</f>
        <v/>
      </c>
    </row>
    <row r="290">
      <c r="A290" s="27">
        <f>IF(Responses!AS286="","",IF(Responses!AT286&gt;0,Responses!AT286,"Check date"))</f>
        <v/>
      </c>
      <c r="B290" s="28">
        <f>Responses!AS286</f>
        <v/>
      </c>
      <c r="C290" s="29">
        <f>IF(Responses!AS286="","",IF(Responses!AU286&gt;=0,IF(Responses!AU286="","",RIGHT("0"&amp;INT(Responses!AU286/60),2)&amp;":"&amp;RIGHT("0"&amp;MOD(Responses!AU286,60),2)),"Check"))</f>
        <v/>
      </c>
      <c r="D290" s="29">
        <f>IF(Responses!AS286="","",IF(Responses!AV286&gt;=0,IF(Responses!AV286="","",RIGHT("0"&amp;INT(Responses!AV286/60),2)&amp;":"&amp;RIGHT("0"&amp;MOD(Responses!AV286,60),2)),"Check"))</f>
        <v/>
      </c>
      <c r="E290" s="28">
        <f>Responses!AW286</f>
        <v/>
      </c>
      <c r="F290" s="29">
        <f>Responses!AX286</f>
        <v/>
      </c>
      <c r="G290" s="29">
        <f>IF(Responses!AS286="","",IF(AND(ISNUMBER(Responses!AX286),ISNUMBER(IFERROR(VALUE(INDEX(Spaces!$B$5:$B$16,MATCH(Responses!AS286,Spaces!$A$5:$A$16,0))&amp;""),""))),IF(Responses!AX286&gt;IFERROR(VALUE(INDEX(Spaces!$B$5:$B$16,MATCH(Responses!AS286,Spaces!$A$5:$A$16,0))&amp;""),""),"Over by "&amp;(Responses!AX286-IFERROR(VALUE(INDEX(Spaces!$B$5:$B$16,MATCH(Responses!AS286,Spaces!$A$5:$A$16,0))&amp;""),"")),"OK"),""))</f>
        <v/>
      </c>
      <c r="H290" s="28">
        <f>Responses!BF286</f>
        <v/>
      </c>
      <c r="I290" s="28">
        <f>IF(Responses!AS286="","",Responses!AO286&amp;"")</f>
        <v/>
      </c>
      <c r="J290" s="28">
        <f>IF(Responses!AS286="","",Responses!AZ286&amp;"")</f>
        <v/>
      </c>
      <c r="K290" s="29">
        <f>Responses!AY286</f>
        <v/>
      </c>
      <c r="L290" s="28">
        <f>IF(Responses!AS286="","",IF(Responses!AY286="Declined","",IF(Responses!BA286=0,"Check date and times",IF(Responses!BB286&gt;0,Responses!BC286,"No clash"))))</f>
        <v/>
      </c>
    </row>
    <row r="291">
      <c r="A291" s="27">
        <f>IF(Responses!AS287="","",IF(Responses!AT287&gt;0,Responses!AT287,"Check date"))</f>
        <v/>
      </c>
      <c r="B291" s="28">
        <f>Responses!AS287</f>
        <v/>
      </c>
      <c r="C291" s="29">
        <f>IF(Responses!AS287="","",IF(Responses!AU287&gt;=0,IF(Responses!AU287="","",RIGHT("0"&amp;INT(Responses!AU287/60),2)&amp;":"&amp;RIGHT("0"&amp;MOD(Responses!AU287,60),2)),"Check"))</f>
        <v/>
      </c>
      <c r="D291" s="29">
        <f>IF(Responses!AS287="","",IF(Responses!AV287&gt;=0,IF(Responses!AV287="","",RIGHT("0"&amp;INT(Responses!AV287/60),2)&amp;":"&amp;RIGHT("0"&amp;MOD(Responses!AV287,60),2)),"Check"))</f>
        <v/>
      </c>
      <c r="E291" s="28">
        <f>Responses!AW287</f>
        <v/>
      </c>
      <c r="F291" s="29">
        <f>Responses!AX287</f>
        <v/>
      </c>
      <c r="G291" s="29">
        <f>IF(Responses!AS287="","",IF(AND(ISNUMBER(Responses!AX287),ISNUMBER(IFERROR(VALUE(INDEX(Spaces!$B$5:$B$16,MATCH(Responses!AS287,Spaces!$A$5:$A$16,0))&amp;""),""))),IF(Responses!AX287&gt;IFERROR(VALUE(INDEX(Spaces!$B$5:$B$16,MATCH(Responses!AS287,Spaces!$A$5:$A$16,0))&amp;""),""),"Over by "&amp;(Responses!AX287-IFERROR(VALUE(INDEX(Spaces!$B$5:$B$16,MATCH(Responses!AS287,Spaces!$A$5:$A$16,0))&amp;""),"")),"OK"),""))</f>
        <v/>
      </c>
      <c r="H291" s="28">
        <f>Responses!BF287</f>
        <v/>
      </c>
      <c r="I291" s="28">
        <f>IF(Responses!AS287="","",Responses!AO287&amp;"")</f>
        <v/>
      </c>
      <c r="J291" s="28">
        <f>IF(Responses!AS287="","",Responses!AZ287&amp;"")</f>
        <v/>
      </c>
      <c r="K291" s="29">
        <f>Responses!AY287</f>
        <v/>
      </c>
      <c r="L291" s="28">
        <f>IF(Responses!AS287="","",IF(Responses!AY287="Declined","",IF(Responses!BA287=0,"Check date and times",IF(Responses!BB287&gt;0,Responses!BC287,"No clash"))))</f>
        <v/>
      </c>
    </row>
    <row r="292">
      <c r="A292" s="27">
        <f>IF(Responses!AS288="","",IF(Responses!AT288&gt;0,Responses!AT288,"Check date"))</f>
        <v/>
      </c>
      <c r="B292" s="28">
        <f>Responses!AS288</f>
        <v/>
      </c>
      <c r="C292" s="29">
        <f>IF(Responses!AS288="","",IF(Responses!AU288&gt;=0,IF(Responses!AU288="","",RIGHT("0"&amp;INT(Responses!AU288/60),2)&amp;":"&amp;RIGHT("0"&amp;MOD(Responses!AU288,60),2)),"Check"))</f>
        <v/>
      </c>
      <c r="D292" s="29">
        <f>IF(Responses!AS288="","",IF(Responses!AV288&gt;=0,IF(Responses!AV288="","",RIGHT("0"&amp;INT(Responses!AV288/60),2)&amp;":"&amp;RIGHT("0"&amp;MOD(Responses!AV288,60),2)),"Check"))</f>
        <v/>
      </c>
      <c r="E292" s="28">
        <f>Responses!AW288</f>
        <v/>
      </c>
      <c r="F292" s="29">
        <f>Responses!AX288</f>
        <v/>
      </c>
      <c r="G292" s="29">
        <f>IF(Responses!AS288="","",IF(AND(ISNUMBER(Responses!AX288),ISNUMBER(IFERROR(VALUE(INDEX(Spaces!$B$5:$B$16,MATCH(Responses!AS288,Spaces!$A$5:$A$16,0))&amp;""),""))),IF(Responses!AX288&gt;IFERROR(VALUE(INDEX(Spaces!$B$5:$B$16,MATCH(Responses!AS288,Spaces!$A$5:$A$16,0))&amp;""),""),"Over by "&amp;(Responses!AX288-IFERROR(VALUE(INDEX(Spaces!$B$5:$B$16,MATCH(Responses!AS288,Spaces!$A$5:$A$16,0))&amp;""),"")),"OK"),""))</f>
        <v/>
      </c>
      <c r="H292" s="28">
        <f>Responses!BF288</f>
        <v/>
      </c>
      <c r="I292" s="28">
        <f>IF(Responses!AS288="","",Responses!AO288&amp;"")</f>
        <v/>
      </c>
      <c r="J292" s="28">
        <f>IF(Responses!AS288="","",Responses!AZ288&amp;"")</f>
        <v/>
      </c>
      <c r="K292" s="29">
        <f>Responses!AY288</f>
        <v/>
      </c>
      <c r="L292" s="28">
        <f>IF(Responses!AS288="","",IF(Responses!AY288="Declined","",IF(Responses!BA288=0,"Check date and times",IF(Responses!BB288&gt;0,Responses!BC288,"No clash"))))</f>
        <v/>
      </c>
    </row>
    <row r="293">
      <c r="A293" s="27">
        <f>IF(Responses!AS289="","",IF(Responses!AT289&gt;0,Responses!AT289,"Check date"))</f>
        <v/>
      </c>
      <c r="B293" s="28">
        <f>Responses!AS289</f>
        <v/>
      </c>
      <c r="C293" s="29">
        <f>IF(Responses!AS289="","",IF(Responses!AU289&gt;=0,IF(Responses!AU289="","",RIGHT("0"&amp;INT(Responses!AU289/60),2)&amp;":"&amp;RIGHT("0"&amp;MOD(Responses!AU289,60),2)),"Check"))</f>
        <v/>
      </c>
      <c r="D293" s="29">
        <f>IF(Responses!AS289="","",IF(Responses!AV289&gt;=0,IF(Responses!AV289="","",RIGHT("0"&amp;INT(Responses!AV289/60),2)&amp;":"&amp;RIGHT("0"&amp;MOD(Responses!AV289,60),2)),"Check"))</f>
        <v/>
      </c>
      <c r="E293" s="28">
        <f>Responses!AW289</f>
        <v/>
      </c>
      <c r="F293" s="29">
        <f>Responses!AX289</f>
        <v/>
      </c>
      <c r="G293" s="29">
        <f>IF(Responses!AS289="","",IF(AND(ISNUMBER(Responses!AX289),ISNUMBER(IFERROR(VALUE(INDEX(Spaces!$B$5:$B$16,MATCH(Responses!AS289,Spaces!$A$5:$A$16,0))&amp;""),""))),IF(Responses!AX289&gt;IFERROR(VALUE(INDEX(Spaces!$B$5:$B$16,MATCH(Responses!AS289,Spaces!$A$5:$A$16,0))&amp;""),""),"Over by "&amp;(Responses!AX289-IFERROR(VALUE(INDEX(Spaces!$B$5:$B$16,MATCH(Responses!AS289,Spaces!$A$5:$A$16,0))&amp;""),"")),"OK"),""))</f>
        <v/>
      </c>
      <c r="H293" s="28">
        <f>Responses!BF289</f>
        <v/>
      </c>
      <c r="I293" s="28">
        <f>IF(Responses!AS289="","",Responses!AO289&amp;"")</f>
        <v/>
      </c>
      <c r="J293" s="28">
        <f>IF(Responses!AS289="","",Responses!AZ289&amp;"")</f>
        <v/>
      </c>
      <c r="K293" s="29">
        <f>Responses!AY289</f>
        <v/>
      </c>
      <c r="L293" s="28">
        <f>IF(Responses!AS289="","",IF(Responses!AY289="Declined","",IF(Responses!BA289=0,"Check date and times",IF(Responses!BB289&gt;0,Responses!BC289,"No clash"))))</f>
        <v/>
      </c>
    </row>
    <row r="294">
      <c r="A294" s="27">
        <f>IF(Responses!AS290="","",IF(Responses!AT290&gt;0,Responses!AT290,"Check date"))</f>
        <v/>
      </c>
      <c r="B294" s="28">
        <f>Responses!AS290</f>
        <v/>
      </c>
      <c r="C294" s="29">
        <f>IF(Responses!AS290="","",IF(Responses!AU290&gt;=0,IF(Responses!AU290="","",RIGHT("0"&amp;INT(Responses!AU290/60),2)&amp;":"&amp;RIGHT("0"&amp;MOD(Responses!AU290,60),2)),"Check"))</f>
        <v/>
      </c>
      <c r="D294" s="29">
        <f>IF(Responses!AS290="","",IF(Responses!AV290&gt;=0,IF(Responses!AV290="","",RIGHT("0"&amp;INT(Responses!AV290/60),2)&amp;":"&amp;RIGHT("0"&amp;MOD(Responses!AV290,60),2)),"Check"))</f>
        <v/>
      </c>
      <c r="E294" s="28">
        <f>Responses!AW290</f>
        <v/>
      </c>
      <c r="F294" s="29">
        <f>Responses!AX290</f>
        <v/>
      </c>
      <c r="G294" s="29">
        <f>IF(Responses!AS290="","",IF(AND(ISNUMBER(Responses!AX290),ISNUMBER(IFERROR(VALUE(INDEX(Spaces!$B$5:$B$16,MATCH(Responses!AS290,Spaces!$A$5:$A$16,0))&amp;""),""))),IF(Responses!AX290&gt;IFERROR(VALUE(INDEX(Spaces!$B$5:$B$16,MATCH(Responses!AS290,Spaces!$A$5:$A$16,0))&amp;""),""),"Over by "&amp;(Responses!AX290-IFERROR(VALUE(INDEX(Spaces!$B$5:$B$16,MATCH(Responses!AS290,Spaces!$A$5:$A$16,0))&amp;""),"")),"OK"),""))</f>
        <v/>
      </c>
      <c r="H294" s="28">
        <f>Responses!BF290</f>
        <v/>
      </c>
      <c r="I294" s="28">
        <f>IF(Responses!AS290="","",Responses!AO290&amp;"")</f>
        <v/>
      </c>
      <c r="J294" s="28">
        <f>IF(Responses!AS290="","",Responses!AZ290&amp;"")</f>
        <v/>
      </c>
      <c r="K294" s="29">
        <f>Responses!AY290</f>
        <v/>
      </c>
      <c r="L294" s="28">
        <f>IF(Responses!AS290="","",IF(Responses!AY290="Declined","",IF(Responses!BA290=0,"Check date and times",IF(Responses!BB290&gt;0,Responses!BC290,"No clash"))))</f>
        <v/>
      </c>
    </row>
    <row r="295">
      <c r="A295" s="27">
        <f>IF(Responses!AS291="","",IF(Responses!AT291&gt;0,Responses!AT291,"Check date"))</f>
        <v/>
      </c>
      <c r="B295" s="28">
        <f>Responses!AS291</f>
        <v/>
      </c>
      <c r="C295" s="29">
        <f>IF(Responses!AS291="","",IF(Responses!AU291&gt;=0,IF(Responses!AU291="","",RIGHT("0"&amp;INT(Responses!AU291/60),2)&amp;":"&amp;RIGHT("0"&amp;MOD(Responses!AU291,60),2)),"Check"))</f>
        <v/>
      </c>
      <c r="D295" s="29">
        <f>IF(Responses!AS291="","",IF(Responses!AV291&gt;=0,IF(Responses!AV291="","",RIGHT("0"&amp;INT(Responses!AV291/60),2)&amp;":"&amp;RIGHT("0"&amp;MOD(Responses!AV291,60),2)),"Check"))</f>
        <v/>
      </c>
      <c r="E295" s="28">
        <f>Responses!AW291</f>
        <v/>
      </c>
      <c r="F295" s="29">
        <f>Responses!AX291</f>
        <v/>
      </c>
      <c r="G295" s="29">
        <f>IF(Responses!AS291="","",IF(AND(ISNUMBER(Responses!AX291),ISNUMBER(IFERROR(VALUE(INDEX(Spaces!$B$5:$B$16,MATCH(Responses!AS291,Spaces!$A$5:$A$16,0))&amp;""),""))),IF(Responses!AX291&gt;IFERROR(VALUE(INDEX(Spaces!$B$5:$B$16,MATCH(Responses!AS291,Spaces!$A$5:$A$16,0))&amp;""),""),"Over by "&amp;(Responses!AX291-IFERROR(VALUE(INDEX(Spaces!$B$5:$B$16,MATCH(Responses!AS291,Spaces!$A$5:$A$16,0))&amp;""),"")),"OK"),""))</f>
        <v/>
      </c>
      <c r="H295" s="28">
        <f>Responses!BF291</f>
        <v/>
      </c>
      <c r="I295" s="28">
        <f>IF(Responses!AS291="","",Responses!AO291&amp;"")</f>
        <v/>
      </c>
      <c r="J295" s="28">
        <f>IF(Responses!AS291="","",Responses!AZ291&amp;"")</f>
        <v/>
      </c>
      <c r="K295" s="29">
        <f>Responses!AY291</f>
        <v/>
      </c>
      <c r="L295" s="28">
        <f>IF(Responses!AS291="","",IF(Responses!AY291="Declined","",IF(Responses!BA291=0,"Check date and times",IF(Responses!BB291&gt;0,Responses!BC291,"No clash"))))</f>
        <v/>
      </c>
    </row>
    <row r="296">
      <c r="A296" s="27">
        <f>IF(Responses!AS292="","",IF(Responses!AT292&gt;0,Responses!AT292,"Check date"))</f>
        <v/>
      </c>
      <c r="B296" s="28">
        <f>Responses!AS292</f>
        <v/>
      </c>
      <c r="C296" s="29">
        <f>IF(Responses!AS292="","",IF(Responses!AU292&gt;=0,IF(Responses!AU292="","",RIGHT("0"&amp;INT(Responses!AU292/60),2)&amp;":"&amp;RIGHT("0"&amp;MOD(Responses!AU292,60),2)),"Check"))</f>
        <v/>
      </c>
      <c r="D296" s="29">
        <f>IF(Responses!AS292="","",IF(Responses!AV292&gt;=0,IF(Responses!AV292="","",RIGHT("0"&amp;INT(Responses!AV292/60),2)&amp;":"&amp;RIGHT("0"&amp;MOD(Responses!AV292,60),2)),"Check"))</f>
        <v/>
      </c>
      <c r="E296" s="28">
        <f>Responses!AW292</f>
        <v/>
      </c>
      <c r="F296" s="29">
        <f>Responses!AX292</f>
        <v/>
      </c>
      <c r="G296" s="29">
        <f>IF(Responses!AS292="","",IF(AND(ISNUMBER(Responses!AX292),ISNUMBER(IFERROR(VALUE(INDEX(Spaces!$B$5:$B$16,MATCH(Responses!AS292,Spaces!$A$5:$A$16,0))&amp;""),""))),IF(Responses!AX292&gt;IFERROR(VALUE(INDEX(Spaces!$B$5:$B$16,MATCH(Responses!AS292,Spaces!$A$5:$A$16,0))&amp;""),""),"Over by "&amp;(Responses!AX292-IFERROR(VALUE(INDEX(Spaces!$B$5:$B$16,MATCH(Responses!AS292,Spaces!$A$5:$A$16,0))&amp;""),"")),"OK"),""))</f>
        <v/>
      </c>
      <c r="H296" s="28">
        <f>Responses!BF292</f>
        <v/>
      </c>
      <c r="I296" s="28">
        <f>IF(Responses!AS292="","",Responses!AO292&amp;"")</f>
        <v/>
      </c>
      <c r="J296" s="28">
        <f>IF(Responses!AS292="","",Responses!AZ292&amp;"")</f>
        <v/>
      </c>
      <c r="K296" s="29">
        <f>Responses!AY292</f>
        <v/>
      </c>
      <c r="L296" s="28">
        <f>IF(Responses!AS292="","",IF(Responses!AY292="Declined","",IF(Responses!BA292=0,"Check date and times",IF(Responses!BB292&gt;0,Responses!BC292,"No clash"))))</f>
        <v/>
      </c>
    </row>
    <row r="297">
      <c r="A297" s="27">
        <f>IF(Responses!AS293="","",IF(Responses!AT293&gt;0,Responses!AT293,"Check date"))</f>
        <v/>
      </c>
      <c r="B297" s="28">
        <f>Responses!AS293</f>
        <v/>
      </c>
      <c r="C297" s="29">
        <f>IF(Responses!AS293="","",IF(Responses!AU293&gt;=0,IF(Responses!AU293="","",RIGHT("0"&amp;INT(Responses!AU293/60),2)&amp;":"&amp;RIGHT("0"&amp;MOD(Responses!AU293,60),2)),"Check"))</f>
        <v/>
      </c>
      <c r="D297" s="29">
        <f>IF(Responses!AS293="","",IF(Responses!AV293&gt;=0,IF(Responses!AV293="","",RIGHT("0"&amp;INT(Responses!AV293/60),2)&amp;":"&amp;RIGHT("0"&amp;MOD(Responses!AV293,60),2)),"Check"))</f>
        <v/>
      </c>
      <c r="E297" s="28">
        <f>Responses!AW293</f>
        <v/>
      </c>
      <c r="F297" s="29">
        <f>Responses!AX293</f>
        <v/>
      </c>
      <c r="G297" s="29">
        <f>IF(Responses!AS293="","",IF(AND(ISNUMBER(Responses!AX293),ISNUMBER(IFERROR(VALUE(INDEX(Spaces!$B$5:$B$16,MATCH(Responses!AS293,Spaces!$A$5:$A$16,0))&amp;""),""))),IF(Responses!AX293&gt;IFERROR(VALUE(INDEX(Spaces!$B$5:$B$16,MATCH(Responses!AS293,Spaces!$A$5:$A$16,0))&amp;""),""),"Over by "&amp;(Responses!AX293-IFERROR(VALUE(INDEX(Spaces!$B$5:$B$16,MATCH(Responses!AS293,Spaces!$A$5:$A$16,0))&amp;""),"")),"OK"),""))</f>
        <v/>
      </c>
      <c r="H297" s="28">
        <f>Responses!BF293</f>
        <v/>
      </c>
      <c r="I297" s="28">
        <f>IF(Responses!AS293="","",Responses!AO293&amp;"")</f>
        <v/>
      </c>
      <c r="J297" s="28">
        <f>IF(Responses!AS293="","",Responses!AZ293&amp;"")</f>
        <v/>
      </c>
      <c r="K297" s="29">
        <f>Responses!AY293</f>
        <v/>
      </c>
      <c r="L297" s="28">
        <f>IF(Responses!AS293="","",IF(Responses!AY293="Declined","",IF(Responses!BA293=0,"Check date and times",IF(Responses!BB293&gt;0,Responses!BC293,"No clash"))))</f>
        <v/>
      </c>
    </row>
    <row r="298">
      <c r="A298" s="27">
        <f>IF(Responses!AS294="","",IF(Responses!AT294&gt;0,Responses!AT294,"Check date"))</f>
        <v/>
      </c>
      <c r="B298" s="28">
        <f>Responses!AS294</f>
        <v/>
      </c>
      <c r="C298" s="29">
        <f>IF(Responses!AS294="","",IF(Responses!AU294&gt;=0,IF(Responses!AU294="","",RIGHT("0"&amp;INT(Responses!AU294/60),2)&amp;":"&amp;RIGHT("0"&amp;MOD(Responses!AU294,60),2)),"Check"))</f>
        <v/>
      </c>
      <c r="D298" s="29">
        <f>IF(Responses!AS294="","",IF(Responses!AV294&gt;=0,IF(Responses!AV294="","",RIGHT("0"&amp;INT(Responses!AV294/60),2)&amp;":"&amp;RIGHT("0"&amp;MOD(Responses!AV294,60),2)),"Check"))</f>
        <v/>
      </c>
      <c r="E298" s="28">
        <f>Responses!AW294</f>
        <v/>
      </c>
      <c r="F298" s="29">
        <f>Responses!AX294</f>
        <v/>
      </c>
      <c r="G298" s="29">
        <f>IF(Responses!AS294="","",IF(AND(ISNUMBER(Responses!AX294),ISNUMBER(IFERROR(VALUE(INDEX(Spaces!$B$5:$B$16,MATCH(Responses!AS294,Spaces!$A$5:$A$16,0))&amp;""),""))),IF(Responses!AX294&gt;IFERROR(VALUE(INDEX(Spaces!$B$5:$B$16,MATCH(Responses!AS294,Spaces!$A$5:$A$16,0))&amp;""),""),"Over by "&amp;(Responses!AX294-IFERROR(VALUE(INDEX(Spaces!$B$5:$B$16,MATCH(Responses!AS294,Spaces!$A$5:$A$16,0))&amp;""),"")),"OK"),""))</f>
        <v/>
      </c>
      <c r="H298" s="28">
        <f>Responses!BF294</f>
        <v/>
      </c>
      <c r="I298" s="28">
        <f>IF(Responses!AS294="","",Responses!AO294&amp;"")</f>
        <v/>
      </c>
      <c r="J298" s="28">
        <f>IF(Responses!AS294="","",Responses!AZ294&amp;"")</f>
        <v/>
      </c>
      <c r="K298" s="29">
        <f>Responses!AY294</f>
        <v/>
      </c>
      <c r="L298" s="28">
        <f>IF(Responses!AS294="","",IF(Responses!AY294="Declined","",IF(Responses!BA294=0,"Check date and times",IF(Responses!BB294&gt;0,Responses!BC294,"No clash"))))</f>
        <v/>
      </c>
    </row>
    <row r="299">
      <c r="A299" s="27">
        <f>IF(Responses!AS295="","",IF(Responses!AT295&gt;0,Responses!AT295,"Check date"))</f>
        <v/>
      </c>
      <c r="B299" s="28">
        <f>Responses!AS295</f>
        <v/>
      </c>
      <c r="C299" s="29">
        <f>IF(Responses!AS295="","",IF(Responses!AU295&gt;=0,IF(Responses!AU295="","",RIGHT("0"&amp;INT(Responses!AU295/60),2)&amp;":"&amp;RIGHT("0"&amp;MOD(Responses!AU295,60),2)),"Check"))</f>
        <v/>
      </c>
      <c r="D299" s="29">
        <f>IF(Responses!AS295="","",IF(Responses!AV295&gt;=0,IF(Responses!AV295="","",RIGHT("0"&amp;INT(Responses!AV295/60),2)&amp;":"&amp;RIGHT("0"&amp;MOD(Responses!AV295,60),2)),"Check"))</f>
        <v/>
      </c>
      <c r="E299" s="28">
        <f>Responses!AW295</f>
        <v/>
      </c>
      <c r="F299" s="29">
        <f>Responses!AX295</f>
        <v/>
      </c>
      <c r="G299" s="29">
        <f>IF(Responses!AS295="","",IF(AND(ISNUMBER(Responses!AX295),ISNUMBER(IFERROR(VALUE(INDEX(Spaces!$B$5:$B$16,MATCH(Responses!AS295,Spaces!$A$5:$A$16,0))&amp;""),""))),IF(Responses!AX295&gt;IFERROR(VALUE(INDEX(Spaces!$B$5:$B$16,MATCH(Responses!AS295,Spaces!$A$5:$A$16,0))&amp;""),""),"Over by "&amp;(Responses!AX295-IFERROR(VALUE(INDEX(Spaces!$B$5:$B$16,MATCH(Responses!AS295,Spaces!$A$5:$A$16,0))&amp;""),"")),"OK"),""))</f>
        <v/>
      </c>
      <c r="H299" s="28">
        <f>Responses!BF295</f>
        <v/>
      </c>
      <c r="I299" s="28">
        <f>IF(Responses!AS295="","",Responses!AO295&amp;"")</f>
        <v/>
      </c>
      <c r="J299" s="28">
        <f>IF(Responses!AS295="","",Responses!AZ295&amp;"")</f>
        <v/>
      </c>
      <c r="K299" s="29">
        <f>Responses!AY295</f>
        <v/>
      </c>
      <c r="L299" s="28">
        <f>IF(Responses!AS295="","",IF(Responses!AY295="Declined","",IF(Responses!BA295=0,"Check date and times",IF(Responses!BB295&gt;0,Responses!BC295,"No clash"))))</f>
        <v/>
      </c>
    </row>
    <row r="300">
      <c r="A300" s="27">
        <f>IF(Responses!AS296="","",IF(Responses!AT296&gt;0,Responses!AT296,"Check date"))</f>
        <v/>
      </c>
      <c r="B300" s="28">
        <f>Responses!AS296</f>
        <v/>
      </c>
      <c r="C300" s="29">
        <f>IF(Responses!AS296="","",IF(Responses!AU296&gt;=0,IF(Responses!AU296="","",RIGHT("0"&amp;INT(Responses!AU296/60),2)&amp;":"&amp;RIGHT("0"&amp;MOD(Responses!AU296,60),2)),"Check"))</f>
        <v/>
      </c>
      <c r="D300" s="29">
        <f>IF(Responses!AS296="","",IF(Responses!AV296&gt;=0,IF(Responses!AV296="","",RIGHT("0"&amp;INT(Responses!AV296/60),2)&amp;":"&amp;RIGHT("0"&amp;MOD(Responses!AV296,60),2)),"Check"))</f>
        <v/>
      </c>
      <c r="E300" s="28">
        <f>Responses!AW296</f>
        <v/>
      </c>
      <c r="F300" s="29">
        <f>Responses!AX296</f>
        <v/>
      </c>
      <c r="G300" s="29">
        <f>IF(Responses!AS296="","",IF(AND(ISNUMBER(Responses!AX296),ISNUMBER(IFERROR(VALUE(INDEX(Spaces!$B$5:$B$16,MATCH(Responses!AS296,Spaces!$A$5:$A$16,0))&amp;""),""))),IF(Responses!AX296&gt;IFERROR(VALUE(INDEX(Spaces!$B$5:$B$16,MATCH(Responses!AS296,Spaces!$A$5:$A$16,0))&amp;""),""),"Over by "&amp;(Responses!AX296-IFERROR(VALUE(INDEX(Spaces!$B$5:$B$16,MATCH(Responses!AS296,Spaces!$A$5:$A$16,0))&amp;""),"")),"OK"),""))</f>
        <v/>
      </c>
      <c r="H300" s="28">
        <f>Responses!BF296</f>
        <v/>
      </c>
      <c r="I300" s="28">
        <f>IF(Responses!AS296="","",Responses!AO296&amp;"")</f>
        <v/>
      </c>
      <c r="J300" s="28">
        <f>IF(Responses!AS296="","",Responses!AZ296&amp;"")</f>
        <v/>
      </c>
      <c r="K300" s="29">
        <f>Responses!AY296</f>
        <v/>
      </c>
      <c r="L300" s="28">
        <f>IF(Responses!AS296="","",IF(Responses!AY296="Declined","",IF(Responses!BA296=0,"Check date and times",IF(Responses!BB296&gt;0,Responses!BC296,"No clash"))))</f>
        <v/>
      </c>
    </row>
    <row r="301">
      <c r="A301" s="27">
        <f>IF(Responses!AS297="","",IF(Responses!AT297&gt;0,Responses!AT297,"Check date"))</f>
        <v/>
      </c>
      <c r="B301" s="28">
        <f>Responses!AS297</f>
        <v/>
      </c>
      <c r="C301" s="29">
        <f>IF(Responses!AS297="","",IF(Responses!AU297&gt;=0,IF(Responses!AU297="","",RIGHT("0"&amp;INT(Responses!AU297/60),2)&amp;":"&amp;RIGHT("0"&amp;MOD(Responses!AU297,60),2)),"Check"))</f>
        <v/>
      </c>
      <c r="D301" s="29">
        <f>IF(Responses!AS297="","",IF(Responses!AV297&gt;=0,IF(Responses!AV297="","",RIGHT("0"&amp;INT(Responses!AV297/60),2)&amp;":"&amp;RIGHT("0"&amp;MOD(Responses!AV297,60),2)),"Check"))</f>
        <v/>
      </c>
      <c r="E301" s="28">
        <f>Responses!AW297</f>
        <v/>
      </c>
      <c r="F301" s="29">
        <f>Responses!AX297</f>
        <v/>
      </c>
      <c r="G301" s="29">
        <f>IF(Responses!AS297="","",IF(AND(ISNUMBER(Responses!AX297),ISNUMBER(IFERROR(VALUE(INDEX(Spaces!$B$5:$B$16,MATCH(Responses!AS297,Spaces!$A$5:$A$16,0))&amp;""),""))),IF(Responses!AX297&gt;IFERROR(VALUE(INDEX(Spaces!$B$5:$B$16,MATCH(Responses!AS297,Spaces!$A$5:$A$16,0))&amp;""),""),"Over by "&amp;(Responses!AX297-IFERROR(VALUE(INDEX(Spaces!$B$5:$B$16,MATCH(Responses!AS297,Spaces!$A$5:$A$16,0))&amp;""),"")),"OK"),""))</f>
        <v/>
      </c>
      <c r="H301" s="28">
        <f>Responses!BF297</f>
        <v/>
      </c>
      <c r="I301" s="28">
        <f>IF(Responses!AS297="","",Responses!AO297&amp;"")</f>
        <v/>
      </c>
      <c r="J301" s="28">
        <f>IF(Responses!AS297="","",Responses!AZ297&amp;"")</f>
        <v/>
      </c>
      <c r="K301" s="29">
        <f>Responses!AY297</f>
        <v/>
      </c>
      <c r="L301" s="28">
        <f>IF(Responses!AS297="","",IF(Responses!AY297="Declined","",IF(Responses!BA297=0,"Check date and times",IF(Responses!BB297&gt;0,Responses!BC297,"No clash"))))</f>
        <v/>
      </c>
    </row>
    <row r="302">
      <c r="A302" s="27">
        <f>IF(Responses!AS298="","",IF(Responses!AT298&gt;0,Responses!AT298,"Check date"))</f>
        <v/>
      </c>
      <c r="B302" s="28">
        <f>Responses!AS298</f>
        <v/>
      </c>
      <c r="C302" s="29">
        <f>IF(Responses!AS298="","",IF(Responses!AU298&gt;=0,IF(Responses!AU298="","",RIGHT("0"&amp;INT(Responses!AU298/60),2)&amp;":"&amp;RIGHT("0"&amp;MOD(Responses!AU298,60),2)),"Check"))</f>
        <v/>
      </c>
      <c r="D302" s="29">
        <f>IF(Responses!AS298="","",IF(Responses!AV298&gt;=0,IF(Responses!AV298="","",RIGHT("0"&amp;INT(Responses!AV298/60),2)&amp;":"&amp;RIGHT("0"&amp;MOD(Responses!AV298,60),2)),"Check"))</f>
        <v/>
      </c>
      <c r="E302" s="28">
        <f>Responses!AW298</f>
        <v/>
      </c>
      <c r="F302" s="29">
        <f>Responses!AX298</f>
        <v/>
      </c>
      <c r="G302" s="29">
        <f>IF(Responses!AS298="","",IF(AND(ISNUMBER(Responses!AX298),ISNUMBER(IFERROR(VALUE(INDEX(Spaces!$B$5:$B$16,MATCH(Responses!AS298,Spaces!$A$5:$A$16,0))&amp;""),""))),IF(Responses!AX298&gt;IFERROR(VALUE(INDEX(Spaces!$B$5:$B$16,MATCH(Responses!AS298,Spaces!$A$5:$A$16,0))&amp;""),""),"Over by "&amp;(Responses!AX298-IFERROR(VALUE(INDEX(Spaces!$B$5:$B$16,MATCH(Responses!AS298,Spaces!$A$5:$A$16,0))&amp;""),"")),"OK"),""))</f>
        <v/>
      </c>
      <c r="H302" s="28">
        <f>Responses!BF298</f>
        <v/>
      </c>
      <c r="I302" s="28">
        <f>IF(Responses!AS298="","",Responses!AO298&amp;"")</f>
        <v/>
      </c>
      <c r="J302" s="28">
        <f>IF(Responses!AS298="","",Responses!AZ298&amp;"")</f>
        <v/>
      </c>
      <c r="K302" s="29">
        <f>Responses!AY298</f>
        <v/>
      </c>
      <c r="L302" s="28">
        <f>IF(Responses!AS298="","",IF(Responses!AY298="Declined","",IF(Responses!BA298=0,"Check date and times",IF(Responses!BB298&gt;0,Responses!BC298,"No clash"))))</f>
        <v/>
      </c>
    </row>
    <row r="303">
      <c r="A303" s="27">
        <f>IF(Responses!AS299="","",IF(Responses!AT299&gt;0,Responses!AT299,"Check date"))</f>
        <v/>
      </c>
      <c r="B303" s="28">
        <f>Responses!AS299</f>
        <v/>
      </c>
      <c r="C303" s="29">
        <f>IF(Responses!AS299="","",IF(Responses!AU299&gt;=0,IF(Responses!AU299="","",RIGHT("0"&amp;INT(Responses!AU299/60),2)&amp;":"&amp;RIGHT("0"&amp;MOD(Responses!AU299,60),2)),"Check"))</f>
        <v/>
      </c>
      <c r="D303" s="29">
        <f>IF(Responses!AS299="","",IF(Responses!AV299&gt;=0,IF(Responses!AV299="","",RIGHT("0"&amp;INT(Responses!AV299/60),2)&amp;":"&amp;RIGHT("0"&amp;MOD(Responses!AV299,60),2)),"Check"))</f>
        <v/>
      </c>
      <c r="E303" s="28">
        <f>Responses!AW299</f>
        <v/>
      </c>
      <c r="F303" s="29">
        <f>Responses!AX299</f>
        <v/>
      </c>
      <c r="G303" s="29">
        <f>IF(Responses!AS299="","",IF(AND(ISNUMBER(Responses!AX299),ISNUMBER(IFERROR(VALUE(INDEX(Spaces!$B$5:$B$16,MATCH(Responses!AS299,Spaces!$A$5:$A$16,0))&amp;""),""))),IF(Responses!AX299&gt;IFERROR(VALUE(INDEX(Spaces!$B$5:$B$16,MATCH(Responses!AS299,Spaces!$A$5:$A$16,0))&amp;""),""),"Over by "&amp;(Responses!AX299-IFERROR(VALUE(INDEX(Spaces!$B$5:$B$16,MATCH(Responses!AS299,Spaces!$A$5:$A$16,0))&amp;""),"")),"OK"),""))</f>
        <v/>
      </c>
      <c r="H303" s="28">
        <f>Responses!BF299</f>
        <v/>
      </c>
      <c r="I303" s="28">
        <f>IF(Responses!AS299="","",Responses!AO299&amp;"")</f>
        <v/>
      </c>
      <c r="J303" s="28">
        <f>IF(Responses!AS299="","",Responses!AZ299&amp;"")</f>
        <v/>
      </c>
      <c r="K303" s="29">
        <f>Responses!AY299</f>
        <v/>
      </c>
      <c r="L303" s="28">
        <f>IF(Responses!AS299="","",IF(Responses!AY299="Declined","",IF(Responses!BA299=0,"Check date and times",IF(Responses!BB299&gt;0,Responses!BC299,"No clash"))))</f>
        <v/>
      </c>
    </row>
    <row r="304">
      <c r="A304" s="27">
        <f>IF(Responses!AS300="","",IF(Responses!AT300&gt;0,Responses!AT300,"Check date"))</f>
        <v/>
      </c>
      <c r="B304" s="28">
        <f>Responses!AS300</f>
        <v/>
      </c>
      <c r="C304" s="29">
        <f>IF(Responses!AS300="","",IF(Responses!AU300&gt;=0,IF(Responses!AU300="","",RIGHT("0"&amp;INT(Responses!AU300/60),2)&amp;":"&amp;RIGHT("0"&amp;MOD(Responses!AU300,60),2)),"Check"))</f>
        <v/>
      </c>
      <c r="D304" s="29">
        <f>IF(Responses!AS300="","",IF(Responses!AV300&gt;=0,IF(Responses!AV300="","",RIGHT("0"&amp;INT(Responses!AV300/60),2)&amp;":"&amp;RIGHT("0"&amp;MOD(Responses!AV300,60),2)),"Check"))</f>
        <v/>
      </c>
      <c r="E304" s="28">
        <f>Responses!AW300</f>
        <v/>
      </c>
      <c r="F304" s="29">
        <f>Responses!AX300</f>
        <v/>
      </c>
      <c r="G304" s="29">
        <f>IF(Responses!AS300="","",IF(AND(ISNUMBER(Responses!AX300),ISNUMBER(IFERROR(VALUE(INDEX(Spaces!$B$5:$B$16,MATCH(Responses!AS300,Spaces!$A$5:$A$16,0))&amp;""),""))),IF(Responses!AX300&gt;IFERROR(VALUE(INDEX(Spaces!$B$5:$B$16,MATCH(Responses!AS300,Spaces!$A$5:$A$16,0))&amp;""),""),"Over by "&amp;(Responses!AX300-IFERROR(VALUE(INDEX(Spaces!$B$5:$B$16,MATCH(Responses!AS300,Spaces!$A$5:$A$16,0))&amp;""),"")),"OK"),""))</f>
        <v/>
      </c>
      <c r="H304" s="28">
        <f>Responses!BF300</f>
        <v/>
      </c>
      <c r="I304" s="28">
        <f>IF(Responses!AS300="","",Responses!AO300&amp;"")</f>
        <v/>
      </c>
      <c r="J304" s="28">
        <f>IF(Responses!AS300="","",Responses!AZ300&amp;"")</f>
        <v/>
      </c>
      <c r="K304" s="29">
        <f>Responses!AY300</f>
        <v/>
      </c>
      <c r="L304" s="28">
        <f>IF(Responses!AS300="","",IF(Responses!AY300="Declined","",IF(Responses!BA300=0,"Check date and times",IF(Responses!BB300&gt;0,Responses!BC300,"No clash"))))</f>
        <v/>
      </c>
    </row>
    <row r="305">
      <c r="A305" s="27">
        <f>IF(Responses!AS301="","",IF(Responses!AT301&gt;0,Responses!AT301,"Check date"))</f>
        <v/>
      </c>
      <c r="B305" s="28">
        <f>Responses!AS301</f>
        <v/>
      </c>
      <c r="C305" s="29">
        <f>IF(Responses!AS301="","",IF(Responses!AU301&gt;=0,IF(Responses!AU301="","",RIGHT("0"&amp;INT(Responses!AU301/60),2)&amp;":"&amp;RIGHT("0"&amp;MOD(Responses!AU301,60),2)),"Check"))</f>
        <v/>
      </c>
      <c r="D305" s="29">
        <f>IF(Responses!AS301="","",IF(Responses!AV301&gt;=0,IF(Responses!AV301="","",RIGHT("0"&amp;INT(Responses!AV301/60),2)&amp;":"&amp;RIGHT("0"&amp;MOD(Responses!AV301,60),2)),"Check"))</f>
        <v/>
      </c>
      <c r="E305" s="28">
        <f>Responses!AW301</f>
        <v/>
      </c>
      <c r="F305" s="29">
        <f>Responses!AX301</f>
        <v/>
      </c>
      <c r="G305" s="29">
        <f>IF(Responses!AS301="","",IF(AND(ISNUMBER(Responses!AX301),ISNUMBER(IFERROR(VALUE(INDEX(Spaces!$B$5:$B$16,MATCH(Responses!AS301,Spaces!$A$5:$A$16,0))&amp;""),""))),IF(Responses!AX301&gt;IFERROR(VALUE(INDEX(Spaces!$B$5:$B$16,MATCH(Responses!AS301,Spaces!$A$5:$A$16,0))&amp;""),""),"Over by "&amp;(Responses!AX301-IFERROR(VALUE(INDEX(Spaces!$B$5:$B$16,MATCH(Responses!AS301,Spaces!$A$5:$A$16,0))&amp;""),"")),"OK"),""))</f>
        <v/>
      </c>
      <c r="H305" s="28">
        <f>Responses!BF301</f>
        <v/>
      </c>
      <c r="I305" s="28">
        <f>IF(Responses!AS301="","",Responses!AO301&amp;"")</f>
        <v/>
      </c>
      <c r="J305" s="28">
        <f>IF(Responses!AS301="","",Responses!AZ301&amp;"")</f>
        <v/>
      </c>
      <c r="K305" s="29">
        <f>Responses!AY301</f>
        <v/>
      </c>
      <c r="L305" s="28">
        <f>IF(Responses!AS301="","",IF(Responses!AY301="Declined","",IF(Responses!BA301=0,"Check date and times",IF(Responses!BB301&gt;0,Responses!BC301,"No clash"))))</f>
        <v/>
      </c>
    </row>
    <row r="306">
      <c r="A306" s="27">
        <f>IF(Responses!AS302="","",IF(Responses!AT302&gt;0,Responses!AT302,"Check date"))</f>
        <v/>
      </c>
      <c r="B306" s="28">
        <f>Responses!AS302</f>
        <v/>
      </c>
      <c r="C306" s="29">
        <f>IF(Responses!AS302="","",IF(Responses!AU302&gt;=0,IF(Responses!AU302="","",RIGHT("0"&amp;INT(Responses!AU302/60),2)&amp;":"&amp;RIGHT("0"&amp;MOD(Responses!AU302,60),2)),"Check"))</f>
        <v/>
      </c>
      <c r="D306" s="29">
        <f>IF(Responses!AS302="","",IF(Responses!AV302&gt;=0,IF(Responses!AV302="","",RIGHT("0"&amp;INT(Responses!AV302/60),2)&amp;":"&amp;RIGHT("0"&amp;MOD(Responses!AV302,60),2)),"Check"))</f>
        <v/>
      </c>
      <c r="E306" s="28">
        <f>Responses!AW302</f>
        <v/>
      </c>
      <c r="F306" s="29">
        <f>Responses!AX302</f>
        <v/>
      </c>
      <c r="G306" s="29">
        <f>IF(Responses!AS302="","",IF(AND(ISNUMBER(Responses!AX302),ISNUMBER(IFERROR(VALUE(INDEX(Spaces!$B$5:$B$16,MATCH(Responses!AS302,Spaces!$A$5:$A$16,0))&amp;""),""))),IF(Responses!AX302&gt;IFERROR(VALUE(INDEX(Spaces!$B$5:$B$16,MATCH(Responses!AS302,Spaces!$A$5:$A$16,0))&amp;""),""),"Over by "&amp;(Responses!AX302-IFERROR(VALUE(INDEX(Spaces!$B$5:$B$16,MATCH(Responses!AS302,Spaces!$A$5:$A$16,0))&amp;""),"")),"OK"),""))</f>
        <v/>
      </c>
      <c r="H306" s="28">
        <f>Responses!BF302</f>
        <v/>
      </c>
      <c r="I306" s="28">
        <f>IF(Responses!AS302="","",Responses!AO302&amp;"")</f>
        <v/>
      </c>
      <c r="J306" s="28">
        <f>IF(Responses!AS302="","",Responses!AZ302&amp;"")</f>
        <v/>
      </c>
      <c r="K306" s="29">
        <f>Responses!AY302</f>
        <v/>
      </c>
      <c r="L306" s="28">
        <f>IF(Responses!AS302="","",IF(Responses!AY302="Declined","",IF(Responses!BA302=0,"Check date and times",IF(Responses!BB302&gt;0,Responses!BC302,"No clash"))))</f>
        <v/>
      </c>
    </row>
    <row r="307">
      <c r="A307" s="27">
        <f>IF(Responses!AS303="","",IF(Responses!AT303&gt;0,Responses!AT303,"Check date"))</f>
        <v/>
      </c>
      <c r="B307" s="28">
        <f>Responses!AS303</f>
        <v/>
      </c>
      <c r="C307" s="29">
        <f>IF(Responses!AS303="","",IF(Responses!AU303&gt;=0,IF(Responses!AU303="","",RIGHT("0"&amp;INT(Responses!AU303/60),2)&amp;":"&amp;RIGHT("0"&amp;MOD(Responses!AU303,60),2)),"Check"))</f>
        <v/>
      </c>
      <c r="D307" s="29">
        <f>IF(Responses!AS303="","",IF(Responses!AV303&gt;=0,IF(Responses!AV303="","",RIGHT("0"&amp;INT(Responses!AV303/60),2)&amp;":"&amp;RIGHT("0"&amp;MOD(Responses!AV303,60),2)),"Check"))</f>
        <v/>
      </c>
      <c r="E307" s="28">
        <f>Responses!AW303</f>
        <v/>
      </c>
      <c r="F307" s="29">
        <f>Responses!AX303</f>
        <v/>
      </c>
      <c r="G307" s="29">
        <f>IF(Responses!AS303="","",IF(AND(ISNUMBER(Responses!AX303),ISNUMBER(IFERROR(VALUE(INDEX(Spaces!$B$5:$B$16,MATCH(Responses!AS303,Spaces!$A$5:$A$16,0))&amp;""),""))),IF(Responses!AX303&gt;IFERROR(VALUE(INDEX(Spaces!$B$5:$B$16,MATCH(Responses!AS303,Spaces!$A$5:$A$16,0))&amp;""),""),"Over by "&amp;(Responses!AX303-IFERROR(VALUE(INDEX(Spaces!$B$5:$B$16,MATCH(Responses!AS303,Spaces!$A$5:$A$16,0))&amp;""),"")),"OK"),""))</f>
        <v/>
      </c>
      <c r="H307" s="28">
        <f>Responses!BF303</f>
        <v/>
      </c>
      <c r="I307" s="28">
        <f>IF(Responses!AS303="","",Responses!AO303&amp;"")</f>
        <v/>
      </c>
      <c r="J307" s="28">
        <f>IF(Responses!AS303="","",Responses!AZ303&amp;"")</f>
        <v/>
      </c>
      <c r="K307" s="29">
        <f>Responses!AY303</f>
        <v/>
      </c>
      <c r="L307" s="28">
        <f>IF(Responses!AS303="","",IF(Responses!AY303="Declined","",IF(Responses!BA303=0,"Check date and times",IF(Responses!BB303&gt;0,Responses!BC303,"No clash"))))</f>
        <v/>
      </c>
    </row>
    <row r="308">
      <c r="A308" s="27">
        <f>IF(Responses!AS304="","",IF(Responses!AT304&gt;0,Responses!AT304,"Check date"))</f>
        <v/>
      </c>
      <c r="B308" s="28">
        <f>Responses!AS304</f>
        <v/>
      </c>
      <c r="C308" s="29">
        <f>IF(Responses!AS304="","",IF(Responses!AU304&gt;=0,IF(Responses!AU304="","",RIGHT("0"&amp;INT(Responses!AU304/60),2)&amp;":"&amp;RIGHT("0"&amp;MOD(Responses!AU304,60),2)),"Check"))</f>
        <v/>
      </c>
      <c r="D308" s="29">
        <f>IF(Responses!AS304="","",IF(Responses!AV304&gt;=0,IF(Responses!AV304="","",RIGHT("0"&amp;INT(Responses!AV304/60),2)&amp;":"&amp;RIGHT("0"&amp;MOD(Responses!AV304,60),2)),"Check"))</f>
        <v/>
      </c>
      <c r="E308" s="28">
        <f>Responses!AW304</f>
        <v/>
      </c>
      <c r="F308" s="29">
        <f>Responses!AX304</f>
        <v/>
      </c>
      <c r="G308" s="29">
        <f>IF(Responses!AS304="","",IF(AND(ISNUMBER(Responses!AX304),ISNUMBER(IFERROR(VALUE(INDEX(Spaces!$B$5:$B$16,MATCH(Responses!AS304,Spaces!$A$5:$A$16,0))&amp;""),""))),IF(Responses!AX304&gt;IFERROR(VALUE(INDEX(Spaces!$B$5:$B$16,MATCH(Responses!AS304,Spaces!$A$5:$A$16,0))&amp;""),""),"Over by "&amp;(Responses!AX304-IFERROR(VALUE(INDEX(Spaces!$B$5:$B$16,MATCH(Responses!AS304,Spaces!$A$5:$A$16,0))&amp;""),"")),"OK"),""))</f>
        <v/>
      </c>
      <c r="H308" s="28">
        <f>Responses!BF304</f>
        <v/>
      </c>
      <c r="I308" s="28">
        <f>IF(Responses!AS304="","",Responses!AO304&amp;"")</f>
        <v/>
      </c>
      <c r="J308" s="28">
        <f>IF(Responses!AS304="","",Responses!AZ304&amp;"")</f>
        <v/>
      </c>
      <c r="K308" s="29">
        <f>Responses!AY304</f>
        <v/>
      </c>
      <c r="L308" s="28">
        <f>IF(Responses!AS304="","",IF(Responses!AY304="Declined","",IF(Responses!BA304=0,"Check date and times",IF(Responses!BB304&gt;0,Responses!BC304,"No clash"))))</f>
        <v/>
      </c>
    </row>
    <row r="309">
      <c r="A309" s="27">
        <f>IF(Responses!AS305="","",IF(Responses!AT305&gt;0,Responses!AT305,"Check date"))</f>
        <v/>
      </c>
      <c r="B309" s="28">
        <f>Responses!AS305</f>
        <v/>
      </c>
      <c r="C309" s="29">
        <f>IF(Responses!AS305="","",IF(Responses!AU305&gt;=0,IF(Responses!AU305="","",RIGHT("0"&amp;INT(Responses!AU305/60),2)&amp;":"&amp;RIGHT("0"&amp;MOD(Responses!AU305,60),2)),"Check"))</f>
        <v/>
      </c>
      <c r="D309" s="29">
        <f>IF(Responses!AS305="","",IF(Responses!AV305&gt;=0,IF(Responses!AV305="","",RIGHT("0"&amp;INT(Responses!AV305/60),2)&amp;":"&amp;RIGHT("0"&amp;MOD(Responses!AV305,60),2)),"Check"))</f>
        <v/>
      </c>
      <c r="E309" s="28">
        <f>Responses!AW305</f>
        <v/>
      </c>
      <c r="F309" s="29">
        <f>Responses!AX305</f>
        <v/>
      </c>
      <c r="G309" s="29">
        <f>IF(Responses!AS305="","",IF(AND(ISNUMBER(Responses!AX305),ISNUMBER(IFERROR(VALUE(INDEX(Spaces!$B$5:$B$16,MATCH(Responses!AS305,Spaces!$A$5:$A$16,0))&amp;""),""))),IF(Responses!AX305&gt;IFERROR(VALUE(INDEX(Spaces!$B$5:$B$16,MATCH(Responses!AS305,Spaces!$A$5:$A$16,0))&amp;""),""),"Over by "&amp;(Responses!AX305-IFERROR(VALUE(INDEX(Spaces!$B$5:$B$16,MATCH(Responses!AS305,Spaces!$A$5:$A$16,0))&amp;""),"")),"OK"),""))</f>
        <v/>
      </c>
      <c r="H309" s="28">
        <f>Responses!BF305</f>
        <v/>
      </c>
      <c r="I309" s="28">
        <f>IF(Responses!AS305="","",Responses!AO305&amp;"")</f>
        <v/>
      </c>
      <c r="J309" s="28">
        <f>IF(Responses!AS305="","",Responses!AZ305&amp;"")</f>
        <v/>
      </c>
      <c r="K309" s="29">
        <f>Responses!AY305</f>
        <v/>
      </c>
      <c r="L309" s="28">
        <f>IF(Responses!AS305="","",IF(Responses!AY305="Declined","",IF(Responses!BA305=0,"Check date and times",IF(Responses!BB305&gt;0,Responses!BC305,"No clash"))))</f>
        <v/>
      </c>
    </row>
    <row r="310">
      <c r="A310" s="27">
        <f>IF(Responses!AS306="","",IF(Responses!AT306&gt;0,Responses!AT306,"Check date"))</f>
        <v/>
      </c>
      <c r="B310" s="28">
        <f>Responses!AS306</f>
        <v/>
      </c>
      <c r="C310" s="29">
        <f>IF(Responses!AS306="","",IF(Responses!AU306&gt;=0,IF(Responses!AU306="","",RIGHT("0"&amp;INT(Responses!AU306/60),2)&amp;":"&amp;RIGHT("0"&amp;MOD(Responses!AU306,60),2)),"Check"))</f>
        <v/>
      </c>
      <c r="D310" s="29">
        <f>IF(Responses!AS306="","",IF(Responses!AV306&gt;=0,IF(Responses!AV306="","",RIGHT("0"&amp;INT(Responses!AV306/60),2)&amp;":"&amp;RIGHT("0"&amp;MOD(Responses!AV306,60),2)),"Check"))</f>
        <v/>
      </c>
      <c r="E310" s="28">
        <f>Responses!AW306</f>
        <v/>
      </c>
      <c r="F310" s="29">
        <f>Responses!AX306</f>
        <v/>
      </c>
      <c r="G310" s="29">
        <f>IF(Responses!AS306="","",IF(AND(ISNUMBER(Responses!AX306),ISNUMBER(IFERROR(VALUE(INDEX(Spaces!$B$5:$B$16,MATCH(Responses!AS306,Spaces!$A$5:$A$16,0))&amp;""),""))),IF(Responses!AX306&gt;IFERROR(VALUE(INDEX(Spaces!$B$5:$B$16,MATCH(Responses!AS306,Spaces!$A$5:$A$16,0))&amp;""),""),"Over by "&amp;(Responses!AX306-IFERROR(VALUE(INDEX(Spaces!$B$5:$B$16,MATCH(Responses!AS306,Spaces!$A$5:$A$16,0))&amp;""),"")),"OK"),""))</f>
        <v/>
      </c>
      <c r="H310" s="28">
        <f>Responses!BF306</f>
        <v/>
      </c>
      <c r="I310" s="28">
        <f>IF(Responses!AS306="","",Responses!AO306&amp;"")</f>
        <v/>
      </c>
      <c r="J310" s="28">
        <f>IF(Responses!AS306="","",Responses!AZ306&amp;"")</f>
        <v/>
      </c>
      <c r="K310" s="29">
        <f>Responses!AY306</f>
        <v/>
      </c>
      <c r="L310" s="28">
        <f>IF(Responses!AS306="","",IF(Responses!AY306="Declined","",IF(Responses!BA306=0,"Check date and times",IF(Responses!BB306&gt;0,Responses!BC306,"No clash"))))</f>
        <v/>
      </c>
    </row>
    <row r="311">
      <c r="A311" s="27">
        <f>IF(Responses!AS307="","",IF(Responses!AT307&gt;0,Responses!AT307,"Check date"))</f>
        <v/>
      </c>
      <c r="B311" s="28">
        <f>Responses!AS307</f>
        <v/>
      </c>
      <c r="C311" s="29">
        <f>IF(Responses!AS307="","",IF(Responses!AU307&gt;=0,IF(Responses!AU307="","",RIGHT("0"&amp;INT(Responses!AU307/60),2)&amp;":"&amp;RIGHT("0"&amp;MOD(Responses!AU307,60),2)),"Check"))</f>
        <v/>
      </c>
      <c r="D311" s="29">
        <f>IF(Responses!AS307="","",IF(Responses!AV307&gt;=0,IF(Responses!AV307="","",RIGHT("0"&amp;INT(Responses!AV307/60),2)&amp;":"&amp;RIGHT("0"&amp;MOD(Responses!AV307,60),2)),"Check"))</f>
        <v/>
      </c>
      <c r="E311" s="28">
        <f>Responses!AW307</f>
        <v/>
      </c>
      <c r="F311" s="29">
        <f>Responses!AX307</f>
        <v/>
      </c>
      <c r="G311" s="29">
        <f>IF(Responses!AS307="","",IF(AND(ISNUMBER(Responses!AX307),ISNUMBER(IFERROR(VALUE(INDEX(Spaces!$B$5:$B$16,MATCH(Responses!AS307,Spaces!$A$5:$A$16,0))&amp;""),""))),IF(Responses!AX307&gt;IFERROR(VALUE(INDEX(Spaces!$B$5:$B$16,MATCH(Responses!AS307,Spaces!$A$5:$A$16,0))&amp;""),""),"Over by "&amp;(Responses!AX307-IFERROR(VALUE(INDEX(Spaces!$B$5:$B$16,MATCH(Responses!AS307,Spaces!$A$5:$A$16,0))&amp;""),"")),"OK"),""))</f>
        <v/>
      </c>
      <c r="H311" s="28">
        <f>Responses!BF307</f>
        <v/>
      </c>
      <c r="I311" s="28">
        <f>IF(Responses!AS307="","",Responses!AO307&amp;"")</f>
        <v/>
      </c>
      <c r="J311" s="28">
        <f>IF(Responses!AS307="","",Responses!AZ307&amp;"")</f>
        <v/>
      </c>
      <c r="K311" s="29">
        <f>Responses!AY307</f>
        <v/>
      </c>
      <c r="L311" s="28">
        <f>IF(Responses!AS307="","",IF(Responses!AY307="Declined","",IF(Responses!BA307=0,"Check date and times",IF(Responses!BB307&gt;0,Responses!BC307,"No clash"))))</f>
        <v/>
      </c>
    </row>
    <row r="312">
      <c r="A312" s="27">
        <f>IF(Responses!AS308="","",IF(Responses!AT308&gt;0,Responses!AT308,"Check date"))</f>
        <v/>
      </c>
      <c r="B312" s="28">
        <f>Responses!AS308</f>
        <v/>
      </c>
      <c r="C312" s="29">
        <f>IF(Responses!AS308="","",IF(Responses!AU308&gt;=0,IF(Responses!AU308="","",RIGHT("0"&amp;INT(Responses!AU308/60),2)&amp;":"&amp;RIGHT("0"&amp;MOD(Responses!AU308,60),2)),"Check"))</f>
        <v/>
      </c>
      <c r="D312" s="29">
        <f>IF(Responses!AS308="","",IF(Responses!AV308&gt;=0,IF(Responses!AV308="","",RIGHT("0"&amp;INT(Responses!AV308/60),2)&amp;":"&amp;RIGHT("0"&amp;MOD(Responses!AV308,60),2)),"Check"))</f>
        <v/>
      </c>
      <c r="E312" s="28">
        <f>Responses!AW308</f>
        <v/>
      </c>
      <c r="F312" s="29">
        <f>Responses!AX308</f>
        <v/>
      </c>
      <c r="G312" s="29">
        <f>IF(Responses!AS308="","",IF(AND(ISNUMBER(Responses!AX308),ISNUMBER(IFERROR(VALUE(INDEX(Spaces!$B$5:$B$16,MATCH(Responses!AS308,Spaces!$A$5:$A$16,0))&amp;""),""))),IF(Responses!AX308&gt;IFERROR(VALUE(INDEX(Spaces!$B$5:$B$16,MATCH(Responses!AS308,Spaces!$A$5:$A$16,0))&amp;""),""),"Over by "&amp;(Responses!AX308-IFERROR(VALUE(INDEX(Spaces!$B$5:$B$16,MATCH(Responses!AS308,Spaces!$A$5:$A$16,0))&amp;""),"")),"OK"),""))</f>
        <v/>
      </c>
      <c r="H312" s="28">
        <f>Responses!BF308</f>
        <v/>
      </c>
      <c r="I312" s="28">
        <f>IF(Responses!AS308="","",Responses!AO308&amp;"")</f>
        <v/>
      </c>
      <c r="J312" s="28">
        <f>IF(Responses!AS308="","",Responses!AZ308&amp;"")</f>
        <v/>
      </c>
      <c r="K312" s="29">
        <f>Responses!AY308</f>
        <v/>
      </c>
      <c r="L312" s="28">
        <f>IF(Responses!AS308="","",IF(Responses!AY308="Declined","",IF(Responses!BA308=0,"Check date and times",IF(Responses!BB308&gt;0,Responses!BC308,"No clash"))))</f>
        <v/>
      </c>
    </row>
    <row r="313">
      <c r="A313" s="27">
        <f>IF(Responses!AS309="","",IF(Responses!AT309&gt;0,Responses!AT309,"Check date"))</f>
        <v/>
      </c>
      <c r="B313" s="28">
        <f>Responses!AS309</f>
        <v/>
      </c>
      <c r="C313" s="29">
        <f>IF(Responses!AS309="","",IF(Responses!AU309&gt;=0,IF(Responses!AU309="","",RIGHT("0"&amp;INT(Responses!AU309/60),2)&amp;":"&amp;RIGHT("0"&amp;MOD(Responses!AU309,60),2)),"Check"))</f>
        <v/>
      </c>
      <c r="D313" s="29">
        <f>IF(Responses!AS309="","",IF(Responses!AV309&gt;=0,IF(Responses!AV309="","",RIGHT("0"&amp;INT(Responses!AV309/60),2)&amp;":"&amp;RIGHT("0"&amp;MOD(Responses!AV309,60),2)),"Check"))</f>
        <v/>
      </c>
      <c r="E313" s="28">
        <f>Responses!AW309</f>
        <v/>
      </c>
      <c r="F313" s="29">
        <f>Responses!AX309</f>
        <v/>
      </c>
      <c r="G313" s="29">
        <f>IF(Responses!AS309="","",IF(AND(ISNUMBER(Responses!AX309),ISNUMBER(IFERROR(VALUE(INDEX(Spaces!$B$5:$B$16,MATCH(Responses!AS309,Spaces!$A$5:$A$16,0))&amp;""),""))),IF(Responses!AX309&gt;IFERROR(VALUE(INDEX(Spaces!$B$5:$B$16,MATCH(Responses!AS309,Spaces!$A$5:$A$16,0))&amp;""),""),"Over by "&amp;(Responses!AX309-IFERROR(VALUE(INDEX(Spaces!$B$5:$B$16,MATCH(Responses!AS309,Spaces!$A$5:$A$16,0))&amp;""),"")),"OK"),""))</f>
        <v/>
      </c>
      <c r="H313" s="28">
        <f>Responses!BF309</f>
        <v/>
      </c>
      <c r="I313" s="28">
        <f>IF(Responses!AS309="","",Responses!AO309&amp;"")</f>
        <v/>
      </c>
      <c r="J313" s="28">
        <f>IF(Responses!AS309="","",Responses!AZ309&amp;"")</f>
        <v/>
      </c>
      <c r="K313" s="29">
        <f>Responses!AY309</f>
        <v/>
      </c>
      <c r="L313" s="28">
        <f>IF(Responses!AS309="","",IF(Responses!AY309="Declined","",IF(Responses!BA309=0,"Check date and times",IF(Responses!BB309&gt;0,Responses!BC309,"No clash"))))</f>
        <v/>
      </c>
    </row>
    <row r="314">
      <c r="A314" s="27">
        <f>IF(Responses!AS310="","",IF(Responses!AT310&gt;0,Responses!AT310,"Check date"))</f>
        <v/>
      </c>
      <c r="B314" s="28">
        <f>Responses!AS310</f>
        <v/>
      </c>
      <c r="C314" s="29">
        <f>IF(Responses!AS310="","",IF(Responses!AU310&gt;=0,IF(Responses!AU310="","",RIGHT("0"&amp;INT(Responses!AU310/60),2)&amp;":"&amp;RIGHT("0"&amp;MOD(Responses!AU310,60),2)),"Check"))</f>
        <v/>
      </c>
      <c r="D314" s="29">
        <f>IF(Responses!AS310="","",IF(Responses!AV310&gt;=0,IF(Responses!AV310="","",RIGHT("0"&amp;INT(Responses!AV310/60),2)&amp;":"&amp;RIGHT("0"&amp;MOD(Responses!AV310,60),2)),"Check"))</f>
        <v/>
      </c>
      <c r="E314" s="28">
        <f>Responses!AW310</f>
        <v/>
      </c>
      <c r="F314" s="29">
        <f>Responses!AX310</f>
        <v/>
      </c>
      <c r="G314" s="29">
        <f>IF(Responses!AS310="","",IF(AND(ISNUMBER(Responses!AX310),ISNUMBER(IFERROR(VALUE(INDEX(Spaces!$B$5:$B$16,MATCH(Responses!AS310,Spaces!$A$5:$A$16,0))&amp;""),""))),IF(Responses!AX310&gt;IFERROR(VALUE(INDEX(Spaces!$B$5:$B$16,MATCH(Responses!AS310,Spaces!$A$5:$A$16,0))&amp;""),""),"Over by "&amp;(Responses!AX310-IFERROR(VALUE(INDEX(Spaces!$B$5:$B$16,MATCH(Responses!AS310,Spaces!$A$5:$A$16,0))&amp;""),"")),"OK"),""))</f>
        <v/>
      </c>
      <c r="H314" s="28">
        <f>Responses!BF310</f>
        <v/>
      </c>
      <c r="I314" s="28">
        <f>IF(Responses!AS310="","",Responses!AO310&amp;"")</f>
        <v/>
      </c>
      <c r="J314" s="28">
        <f>IF(Responses!AS310="","",Responses!AZ310&amp;"")</f>
        <v/>
      </c>
      <c r="K314" s="29">
        <f>Responses!AY310</f>
        <v/>
      </c>
      <c r="L314" s="28">
        <f>IF(Responses!AS310="","",IF(Responses!AY310="Declined","",IF(Responses!BA310=0,"Check date and times",IF(Responses!BB310&gt;0,Responses!BC310,"No clash"))))</f>
        <v/>
      </c>
    </row>
    <row r="315">
      <c r="A315" s="27">
        <f>IF(Responses!AS311="","",IF(Responses!AT311&gt;0,Responses!AT311,"Check date"))</f>
        <v/>
      </c>
      <c r="B315" s="28">
        <f>Responses!AS311</f>
        <v/>
      </c>
      <c r="C315" s="29">
        <f>IF(Responses!AS311="","",IF(Responses!AU311&gt;=0,IF(Responses!AU311="","",RIGHT("0"&amp;INT(Responses!AU311/60),2)&amp;":"&amp;RIGHT("0"&amp;MOD(Responses!AU311,60),2)),"Check"))</f>
        <v/>
      </c>
      <c r="D315" s="29">
        <f>IF(Responses!AS311="","",IF(Responses!AV311&gt;=0,IF(Responses!AV311="","",RIGHT("0"&amp;INT(Responses!AV311/60),2)&amp;":"&amp;RIGHT("0"&amp;MOD(Responses!AV311,60),2)),"Check"))</f>
        <v/>
      </c>
      <c r="E315" s="28">
        <f>Responses!AW311</f>
        <v/>
      </c>
      <c r="F315" s="29">
        <f>Responses!AX311</f>
        <v/>
      </c>
      <c r="G315" s="29">
        <f>IF(Responses!AS311="","",IF(AND(ISNUMBER(Responses!AX311),ISNUMBER(IFERROR(VALUE(INDEX(Spaces!$B$5:$B$16,MATCH(Responses!AS311,Spaces!$A$5:$A$16,0))&amp;""),""))),IF(Responses!AX311&gt;IFERROR(VALUE(INDEX(Spaces!$B$5:$B$16,MATCH(Responses!AS311,Spaces!$A$5:$A$16,0))&amp;""),""),"Over by "&amp;(Responses!AX311-IFERROR(VALUE(INDEX(Spaces!$B$5:$B$16,MATCH(Responses!AS311,Spaces!$A$5:$A$16,0))&amp;""),"")),"OK"),""))</f>
        <v/>
      </c>
      <c r="H315" s="28">
        <f>Responses!BF311</f>
        <v/>
      </c>
      <c r="I315" s="28">
        <f>IF(Responses!AS311="","",Responses!AO311&amp;"")</f>
        <v/>
      </c>
      <c r="J315" s="28">
        <f>IF(Responses!AS311="","",Responses!AZ311&amp;"")</f>
        <v/>
      </c>
      <c r="K315" s="29">
        <f>Responses!AY311</f>
        <v/>
      </c>
      <c r="L315" s="28">
        <f>IF(Responses!AS311="","",IF(Responses!AY311="Declined","",IF(Responses!BA311=0,"Check date and times",IF(Responses!BB311&gt;0,Responses!BC311,"No clash"))))</f>
        <v/>
      </c>
    </row>
    <row r="316">
      <c r="A316" s="27">
        <f>IF(Responses!AS312="","",IF(Responses!AT312&gt;0,Responses!AT312,"Check date"))</f>
        <v/>
      </c>
      <c r="B316" s="28">
        <f>Responses!AS312</f>
        <v/>
      </c>
      <c r="C316" s="29">
        <f>IF(Responses!AS312="","",IF(Responses!AU312&gt;=0,IF(Responses!AU312="","",RIGHT("0"&amp;INT(Responses!AU312/60),2)&amp;":"&amp;RIGHT("0"&amp;MOD(Responses!AU312,60),2)),"Check"))</f>
        <v/>
      </c>
      <c r="D316" s="29">
        <f>IF(Responses!AS312="","",IF(Responses!AV312&gt;=0,IF(Responses!AV312="","",RIGHT("0"&amp;INT(Responses!AV312/60),2)&amp;":"&amp;RIGHT("0"&amp;MOD(Responses!AV312,60),2)),"Check"))</f>
        <v/>
      </c>
      <c r="E316" s="28">
        <f>Responses!AW312</f>
        <v/>
      </c>
      <c r="F316" s="29">
        <f>Responses!AX312</f>
        <v/>
      </c>
      <c r="G316" s="29">
        <f>IF(Responses!AS312="","",IF(AND(ISNUMBER(Responses!AX312),ISNUMBER(IFERROR(VALUE(INDEX(Spaces!$B$5:$B$16,MATCH(Responses!AS312,Spaces!$A$5:$A$16,0))&amp;""),""))),IF(Responses!AX312&gt;IFERROR(VALUE(INDEX(Spaces!$B$5:$B$16,MATCH(Responses!AS312,Spaces!$A$5:$A$16,0))&amp;""),""),"Over by "&amp;(Responses!AX312-IFERROR(VALUE(INDEX(Spaces!$B$5:$B$16,MATCH(Responses!AS312,Spaces!$A$5:$A$16,0))&amp;""),"")),"OK"),""))</f>
        <v/>
      </c>
      <c r="H316" s="28">
        <f>Responses!BF312</f>
        <v/>
      </c>
      <c r="I316" s="28">
        <f>IF(Responses!AS312="","",Responses!AO312&amp;"")</f>
        <v/>
      </c>
      <c r="J316" s="28">
        <f>IF(Responses!AS312="","",Responses!AZ312&amp;"")</f>
        <v/>
      </c>
      <c r="K316" s="29">
        <f>Responses!AY312</f>
        <v/>
      </c>
      <c r="L316" s="28">
        <f>IF(Responses!AS312="","",IF(Responses!AY312="Declined","",IF(Responses!BA312=0,"Check date and times",IF(Responses!BB312&gt;0,Responses!BC312,"No clash"))))</f>
        <v/>
      </c>
    </row>
    <row r="317">
      <c r="A317" s="27">
        <f>IF(Responses!AS313="","",IF(Responses!AT313&gt;0,Responses!AT313,"Check date"))</f>
        <v/>
      </c>
      <c r="B317" s="28">
        <f>Responses!AS313</f>
        <v/>
      </c>
      <c r="C317" s="29">
        <f>IF(Responses!AS313="","",IF(Responses!AU313&gt;=0,IF(Responses!AU313="","",RIGHT("0"&amp;INT(Responses!AU313/60),2)&amp;":"&amp;RIGHT("0"&amp;MOD(Responses!AU313,60),2)),"Check"))</f>
        <v/>
      </c>
      <c r="D317" s="29">
        <f>IF(Responses!AS313="","",IF(Responses!AV313&gt;=0,IF(Responses!AV313="","",RIGHT("0"&amp;INT(Responses!AV313/60),2)&amp;":"&amp;RIGHT("0"&amp;MOD(Responses!AV313,60),2)),"Check"))</f>
        <v/>
      </c>
      <c r="E317" s="28">
        <f>Responses!AW313</f>
        <v/>
      </c>
      <c r="F317" s="29">
        <f>Responses!AX313</f>
        <v/>
      </c>
      <c r="G317" s="29">
        <f>IF(Responses!AS313="","",IF(AND(ISNUMBER(Responses!AX313),ISNUMBER(IFERROR(VALUE(INDEX(Spaces!$B$5:$B$16,MATCH(Responses!AS313,Spaces!$A$5:$A$16,0))&amp;""),""))),IF(Responses!AX313&gt;IFERROR(VALUE(INDEX(Spaces!$B$5:$B$16,MATCH(Responses!AS313,Spaces!$A$5:$A$16,0))&amp;""),""),"Over by "&amp;(Responses!AX313-IFERROR(VALUE(INDEX(Spaces!$B$5:$B$16,MATCH(Responses!AS313,Spaces!$A$5:$A$16,0))&amp;""),"")),"OK"),""))</f>
        <v/>
      </c>
      <c r="H317" s="28">
        <f>Responses!BF313</f>
        <v/>
      </c>
      <c r="I317" s="28">
        <f>IF(Responses!AS313="","",Responses!AO313&amp;"")</f>
        <v/>
      </c>
      <c r="J317" s="28">
        <f>IF(Responses!AS313="","",Responses!AZ313&amp;"")</f>
        <v/>
      </c>
      <c r="K317" s="29">
        <f>Responses!AY313</f>
        <v/>
      </c>
      <c r="L317" s="28">
        <f>IF(Responses!AS313="","",IF(Responses!AY313="Declined","",IF(Responses!BA313=0,"Check date and times",IF(Responses!BB313&gt;0,Responses!BC313,"No clash"))))</f>
        <v/>
      </c>
    </row>
    <row r="318">
      <c r="A318" s="27">
        <f>IF(Responses!AS314="","",IF(Responses!AT314&gt;0,Responses!AT314,"Check date"))</f>
        <v/>
      </c>
      <c r="B318" s="28">
        <f>Responses!AS314</f>
        <v/>
      </c>
      <c r="C318" s="29">
        <f>IF(Responses!AS314="","",IF(Responses!AU314&gt;=0,IF(Responses!AU314="","",RIGHT("0"&amp;INT(Responses!AU314/60),2)&amp;":"&amp;RIGHT("0"&amp;MOD(Responses!AU314,60),2)),"Check"))</f>
        <v/>
      </c>
      <c r="D318" s="29">
        <f>IF(Responses!AS314="","",IF(Responses!AV314&gt;=0,IF(Responses!AV314="","",RIGHT("0"&amp;INT(Responses!AV314/60),2)&amp;":"&amp;RIGHT("0"&amp;MOD(Responses!AV314,60),2)),"Check"))</f>
        <v/>
      </c>
      <c r="E318" s="28">
        <f>Responses!AW314</f>
        <v/>
      </c>
      <c r="F318" s="29">
        <f>Responses!AX314</f>
        <v/>
      </c>
      <c r="G318" s="29">
        <f>IF(Responses!AS314="","",IF(AND(ISNUMBER(Responses!AX314),ISNUMBER(IFERROR(VALUE(INDEX(Spaces!$B$5:$B$16,MATCH(Responses!AS314,Spaces!$A$5:$A$16,0))&amp;""),""))),IF(Responses!AX314&gt;IFERROR(VALUE(INDEX(Spaces!$B$5:$B$16,MATCH(Responses!AS314,Spaces!$A$5:$A$16,0))&amp;""),""),"Over by "&amp;(Responses!AX314-IFERROR(VALUE(INDEX(Spaces!$B$5:$B$16,MATCH(Responses!AS314,Spaces!$A$5:$A$16,0))&amp;""),"")),"OK"),""))</f>
        <v/>
      </c>
      <c r="H318" s="28">
        <f>Responses!BF314</f>
        <v/>
      </c>
      <c r="I318" s="28">
        <f>IF(Responses!AS314="","",Responses!AO314&amp;"")</f>
        <v/>
      </c>
      <c r="J318" s="28">
        <f>IF(Responses!AS314="","",Responses!AZ314&amp;"")</f>
        <v/>
      </c>
      <c r="K318" s="29">
        <f>Responses!AY314</f>
        <v/>
      </c>
      <c r="L318" s="28">
        <f>IF(Responses!AS314="","",IF(Responses!AY314="Declined","",IF(Responses!BA314=0,"Check date and times",IF(Responses!BB314&gt;0,Responses!BC314,"No clash"))))</f>
        <v/>
      </c>
    </row>
    <row r="319">
      <c r="A319" s="27">
        <f>IF(Responses!AS315="","",IF(Responses!AT315&gt;0,Responses!AT315,"Check date"))</f>
        <v/>
      </c>
      <c r="B319" s="28">
        <f>Responses!AS315</f>
        <v/>
      </c>
      <c r="C319" s="29">
        <f>IF(Responses!AS315="","",IF(Responses!AU315&gt;=0,IF(Responses!AU315="","",RIGHT("0"&amp;INT(Responses!AU315/60),2)&amp;":"&amp;RIGHT("0"&amp;MOD(Responses!AU315,60),2)),"Check"))</f>
        <v/>
      </c>
      <c r="D319" s="29">
        <f>IF(Responses!AS315="","",IF(Responses!AV315&gt;=0,IF(Responses!AV315="","",RIGHT("0"&amp;INT(Responses!AV315/60),2)&amp;":"&amp;RIGHT("0"&amp;MOD(Responses!AV315,60),2)),"Check"))</f>
        <v/>
      </c>
      <c r="E319" s="28">
        <f>Responses!AW315</f>
        <v/>
      </c>
      <c r="F319" s="29">
        <f>Responses!AX315</f>
        <v/>
      </c>
      <c r="G319" s="29">
        <f>IF(Responses!AS315="","",IF(AND(ISNUMBER(Responses!AX315),ISNUMBER(IFERROR(VALUE(INDEX(Spaces!$B$5:$B$16,MATCH(Responses!AS315,Spaces!$A$5:$A$16,0))&amp;""),""))),IF(Responses!AX315&gt;IFERROR(VALUE(INDEX(Spaces!$B$5:$B$16,MATCH(Responses!AS315,Spaces!$A$5:$A$16,0))&amp;""),""),"Over by "&amp;(Responses!AX315-IFERROR(VALUE(INDEX(Spaces!$B$5:$B$16,MATCH(Responses!AS315,Spaces!$A$5:$A$16,0))&amp;""),"")),"OK"),""))</f>
        <v/>
      </c>
      <c r="H319" s="28">
        <f>Responses!BF315</f>
        <v/>
      </c>
      <c r="I319" s="28">
        <f>IF(Responses!AS315="","",Responses!AO315&amp;"")</f>
        <v/>
      </c>
      <c r="J319" s="28">
        <f>IF(Responses!AS315="","",Responses!AZ315&amp;"")</f>
        <v/>
      </c>
      <c r="K319" s="29">
        <f>Responses!AY315</f>
        <v/>
      </c>
      <c r="L319" s="28">
        <f>IF(Responses!AS315="","",IF(Responses!AY315="Declined","",IF(Responses!BA315=0,"Check date and times",IF(Responses!BB315&gt;0,Responses!BC315,"No clash"))))</f>
        <v/>
      </c>
    </row>
    <row r="320">
      <c r="A320" s="27">
        <f>IF(Responses!AS316="","",IF(Responses!AT316&gt;0,Responses!AT316,"Check date"))</f>
        <v/>
      </c>
      <c r="B320" s="28">
        <f>Responses!AS316</f>
        <v/>
      </c>
      <c r="C320" s="29">
        <f>IF(Responses!AS316="","",IF(Responses!AU316&gt;=0,IF(Responses!AU316="","",RIGHT("0"&amp;INT(Responses!AU316/60),2)&amp;":"&amp;RIGHT("0"&amp;MOD(Responses!AU316,60),2)),"Check"))</f>
        <v/>
      </c>
      <c r="D320" s="29">
        <f>IF(Responses!AS316="","",IF(Responses!AV316&gt;=0,IF(Responses!AV316="","",RIGHT("0"&amp;INT(Responses!AV316/60),2)&amp;":"&amp;RIGHT("0"&amp;MOD(Responses!AV316,60),2)),"Check"))</f>
        <v/>
      </c>
      <c r="E320" s="28">
        <f>Responses!AW316</f>
        <v/>
      </c>
      <c r="F320" s="29">
        <f>Responses!AX316</f>
        <v/>
      </c>
      <c r="G320" s="29">
        <f>IF(Responses!AS316="","",IF(AND(ISNUMBER(Responses!AX316),ISNUMBER(IFERROR(VALUE(INDEX(Spaces!$B$5:$B$16,MATCH(Responses!AS316,Spaces!$A$5:$A$16,0))&amp;""),""))),IF(Responses!AX316&gt;IFERROR(VALUE(INDEX(Spaces!$B$5:$B$16,MATCH(Responses!AS316,Spaces!$A$5:$A$16,0))&amp;""),""),"Over by "&amp;(Responses!AX316-IFERROR(VALUE(INDEX(Spaces!$B$5:$B$16,MATCH(Responses!AS316,Spaces!$A$5:$A$16,0))&amp;""),"")),"OK"),""))</f>
        <v/>
      </c>
      <c r="H320" s="28">
        <f>Responses!BF316</f>
        <v/>
      </c>
      <c r="I320" s="28">
        <f>IF(Responses!AS316="","",Responses!AO316&amp;"")</f>
        <v/>
      </c>
      <c r="J320" s="28">
        <f>IF(Responses!AS316="","",Responses!AZ316&amp;"")</f>
        <v/>
      </c>
      <c r="K320" s="29">
        <f>Responses!AY316</f>
        <v/>
      </c>
      <c r="L320" s="28">
        <f>IF(Responses!AS316="","",IF(Responses!AY316="Declined","",IF(Responses!BA316=0,"Check date and times",IF(Responses!BB316&gt;0,Responses!BC316,"No clash"))))</f>
        <v/>
      </c>
    </row>
    <row r="321">
      <c r="A321" s="27">
        <f>IF(Responses!AS317="","",IF(Responses!AT317&gt;0,Responses!AT317,"Check date"))</f>
        <v/>
      </c>
      <c r="B321" s="28">
        <f>Responses!AS317</f>
        <v/>
      </c>
      <c r="C321" s="29">
        <f>IF(Responses!AS317="","",IF(Responses!AU317&gt;=0,IF(Responses!AU317="","",RIGHT("0"&amp;INT(Responses!AU317/60),2)&amp;":"&amp;RIGHT("0"&amp;MOD(Responses!AU317,60),2)),"Check"))</f>
        <v/>
      </c>
      <c r="D321" s="29">
        <f>IF(Responses!AS317="","",IF(Responses!AV317&gt;=0,IF(Responses!AV317="","",RIGHT("0"&amp;INT(Responses!AV317/60),2)&amp;":"&amp;RIGHT("0"&amp;MOD(Responses!AV317,60),2)),"Check"))</f>
        <v/>
      </c>
      <c r="E321" s="28">
        <f>Responses!AW317</f>
        <v/>
      </c>
      <c r="F321" s="29">
        <f>Responses!AX317</f>
        <v/>
      </c>
      <c r="G321" s="29">
        <f>IF(Responses!AS317="","",IF(AND(ISNUMBER(Responses!AX317),ISNUMBER(IFERROR(VALUE(INDEX(Spaces!$B$5:$B$16,MATCH(Responses!AS317,Spaces!$A$5:$A$16,0))&amp;""),""))),IF(Responses!AX317&gt;IFERROR(VALUE(INDEX(Spaces!$B$5:$B$16,MATCH(Responses!AS317,Spaces!$A$5:$A$16,0))&amp;""),""),"Over by "&amp;(Responses!AX317-IFERROR(VALUE(INDEX(Spaces!$B$5:$B$16,MATCH(Responses!AS317,Spaces!$A$5:$A$16,0))&amp;""),"")),"OK"),""))</f>
        <v/>
      </c>
      <c r="H321" s="28">
        <f>Responses!BF317</f>
        <v/>
      </c>
      <c r="I321" s="28">
        <f>IF(Responses!AS317="","",Responses!AO317&amp;"")</f>
        <v/>
      </c>
      <c r="J321" s="28">
        <f>IF(Responses!AS317="","",Responses!AZ317&amp;"")</f>
        <v/>
      </c>
      <c r="K321" s="29">
        <f>Responses!AY317</f>
        <v/>
      </c>
      <c r="L321" s="28">
        <f>IF(Responses!AS317="","",IF(Responses!AY317="Declined","",IF(Responses!BA317=0,"Check date and times",IF(Responses!BB317&gt;0,Responses!BC317,"No clash"))))</f>
        <v/>
      </c>
    </row>
    <row r="322">
      <c r="A322" s="27">
        <f>IF(Responses!AS318="","",IF(Responses!AT318&gt;0,Responses!AT318,"Check date"))</f>
        <v/>
      </c>
      <c r="B322" s="28">
        <f>Responses!AS318</f>
        <v/>
      </c>
      <c r="C322" s="29">
        <f>IF(Responses!AS318="","",IF(Responses!AU318&gt;=0,IF(Responses!AU318="","",RIGHT("0"&amp;INT(Responses!AU318/60),2)&amp;":"&amp;RIGHT("0"&amp;MOD(Responses!AU318,60),2)),"Check"))</f>
        <v/>
      </c>
      <c r="D322" s="29">
        <f>IF(Responses!AS318="","",IF(Responses!AV318&gt;=0,IF(Responses!AV318="","",RIGHT("0"&amp;INT(Responses!AV318/60),2)&amp;":"&amp;RIGHT("0"&amp;MOD(Responses!AV318,60),2)),"Check"))</f>
        <v/>
      </c>
      <c r="E322" s="28">
        <f>Responses!AW318</f>
        <v/>
      </c>
      <c r="F322" s="29">
        <f>Responses!AX318</f>
        <v/>
      </c>
      <c r="G322" s="29">
        <f>IF(Responses!AS318="","",IF(AND(ISNUMBER(Responses!AX318),ISNUMBER(IFERROR(VALUE(INDEX(Spaces!$B$5:$B$16,MATCH(Responses!AS318,Spaces!$A$5:$A$16,0))&amp;""),""))),IF(Responses!AX318&gt;IFERROR(VALUE(INDEX(Spaces!$B$5:$B$16,MATCH(Responses!AS318,Spaces!$A$5:$A$16,0))&amp;""),""),"Over by "&amp;(Responses!AX318-IFERROR(VALUE(INDEX(Spaces!$B$5:$B$16,MATCH(Responses!AS318,Spaces!$A$5:$A$16,0))&amp;""),"")),"OK"),""))</f>
        <v/>
      </c>
      <c r="H322" s="28">
        <f>Responses!BF318</f>
        <v/>
      </c>
      <c r="I322" s="28">
        <f>IF(Responses!AS318="","",Responses!AO318&amp;"")</f>
        <v/>
      </c>
      <c r="J322" s="28">
        <f>IF(Responses!AS318="","",Responses!AZ318&amp;"")</f>
        <v/>
      </c>
      <c r="K322" s="29">
        <f>Responses!AY318</f>
        <v/>
      </c>
      <c r="L322" s="28">
        <f>IF(Responses!AS318="","",IF(Responses!AY318="Declined","",IF(Responses!BA318=0,"Check date and times",IF(Responses!BB318&gt;0,Responses!BC318,"No clash"))))</f>
        <v/>
      </c>
    </row>
    <row r="323">
      <c r="A323" s="27">
        <f>IF(Responses!AS319="","",IF(Responses!AT319&gt;0,Responses!AT319,"Check date"))</f>
        <v/>
      </c>
      <c r="B323" s="28">
        <f>Responses!AS319</f>
        <v/>
      </c>
      <c r="C323" s="29">
        <f>IF(Responses!AS319="","",IF(Responses!AU319&gt;=0,IF(Responses!AU319="","",RIGHT("0"&amp;INT(Responses!AU319/60),2)&amp;":"&amp;RIGHT("0"&amp;MOD(Responses!AU319,60),2)),"Check"))</f>
        <v/>
      </c>
      <c r="D323" s="29">
        <f>IF(Responses!AS319="","",IF(Responses!AV319&gt;=0,IF(Responses!AV319="","",RIGHT("0"&amp;INT(Responses!AV319/60),2)&amp;":"&amp;RIGHT("0"&amp;MOD(Responses!AV319,60),2)),"Check"))</f>
        <v/>
      </c>
      <c r="E323" s="28">
        <f>Responses!AW319</f>
        <v/>
      </c>
      <c r="F323" s="29">
        <f>Responses!AX319</f>
        <v/>
      </c>
      <c r="G323" s="29">
        <f>IF(Responses!AS319="","",IF(AND(ISNUMBER(Responses!AX319),ISNUMBER(IFERROR(VALUE(INDEX(Spaces!$B$5:$B$16,MATCH(Responses!AS319,Spaces!$A$5:$A$16,0))&amp;""),""))),IF(Responses!AX319&gt;IFERROR(VALUE(INDEX(Spaces!$B$5:$B$16,MATCH(Responses!AS319,Spaces!$A$5:$A$16,0))&amp;""),""),"Over by "&amp;(Responses!AX319-IFERROR(VALUE(INDEX(Spaces!$B$5:$B$16,MATCH(Responses!AS319,Spaces!$A$5:$A$16,0))&amp;""),"")),"OK"),""))</f>
        <v/>
      </c>
      <c r="H323" s="28">
        <f>Responses!BF319</f>
        <v/>
      </c>
      <c r="I323" s="28">
        <f>IF(Responses!AS319="","",Responses!AO319&amp;"")</f>
        <v/>
      </c>
      <c r="J323" s="28">
        <f>IF(Responses!AS319="","",Responses!AZ319&amp;"")</f>
        <v/>
      </c>
      <c r="K323" s="29">
        <f>Responses!AY319</f>
        <v/>
      </c>
      <c r="L323" s="28">
        <f>IF(Responses!AS319="","",IF(Responses!AY319="Declined","",IF(Responses!BA319=0,"Check date and times",IF(Responses!BB319&gt;0,Responses!BC319,"No clash"))))</f>
        <v/>
      </c>
    </row>
    <row r="324">
      <c r="A324" s="27">
        <f>IF(Responses!AS320="","",IF(Responses!AT320&gt;0,Responses!AT320,"Check date"))</f>
        <v/>
      </c>
      <c r="B324" s="28">
        <f>Responses!AS320</f>
        <v/>
      </c>
      <c r="C324" s="29">
        <f>IF(Responses!AS320="","",IF(Responses!AU320&gt;=0,IF(Responses!AU320="","",RIGHT("0"&amp;INT(Responses!AU320/60),2)&amp;":"&amp;RIGHT("0"&amp;MOD(Responses!AU320,60),2)),"Check"))</f>
        <v/>
      </c>
      <c r="D324" s="29">
        <f>IF(Responses!AS320="","",IF(Responses!AV320&gt;=0,IF(Responses!AV320="","",RIGHT("0"&amp;INT(Responses!AV320/60),2)&amp;":"&amp;RIGHT("0"&amp;MOD(Responses!AV320,60),2)),"Check"))</f>
        <v/>
      </c>
      <c r="E324" s="28">
        <f>Responses!AW320</f>
        <v/>
      </c>
      <c r="F324" s="29">
        <f>Responses!AX320</f>
        <v/>
      </c>
      <c r="G324" s="29">
        <f>IF(Responses!AS320="","",IF(AND(ISNUMBER(Responses!AX320),ISNUMBER(IFERROR(VALUE(INDEX(Spaces!$B$5:$B$16,MATCH(Responses!AS320,Spaces!$A$5:$A$16,0))&amp;""),""))),IF(Responses!AX320&gt;IFERROR(VALUE(INDEX(Spaces!$B$5:$B$16,MATCH(Responses!AS320,Spaces!$A$5:$A$16,0))&amp;""),""),"Over by "&amp;(Responses!AX320-IFERROR(VALUE(INDEX(Spaces!$B$5:$B$16,MATCH(Responses!AS320,Spaces!$A$5:$A$16,0))&amp;""),"")),"OK"),""))</f>
        <v/>
      </c>
      <c r="H324" s="28">
        <f>Responses!BF320</f>
        <v/>
      </c>
      <c r="I324" s="28">
        <f>IF(Responses!AS320="","",Responses!AO320&amp;"")</f>
        <v/>
      </c>
      <c r="J324" s="28">
        <f>IF(Responses!AS320="","",Responses!AZ320&amp;"")</f>
        <v/>
      </c>
      <c r="K324" s="29">
        <f>Responses!AY320</f>
        <v/>
      </c>
      <c r="L324" s="28">
        <f>IF(Responses!AS320="","",IF(Responses!AY320="Declined","",IF(Responses!BA320=0,"Check date and times",IF(Responses!BB320&gt;0,Responses!BC320,"No clash"))))</f>
        <v/>
      </c>
    </row>
    <row r="325">
      <c r="A325" s="27">
        <f>IF(Responses!AS321="","",IF(Responses!AT321&gt;0,Responses!AT321,"Check date"))</f>
        <v/>
      </c>
      <c r="B325" s="28">
        <f>Responses!AS321</f>
        <v/>
      </c>
      <c r="C325" s="29">
        <f>IF(Responses!AS321="","",IF(Responses!AU321&gt;=0,IF(Responses!AU321="","",RIGHT("0"&amp;INT(Responses!AU321/60),2)&amp;":"&amp;RIGHT("0"&amp;MOD(Responses!AU321,60),2)),"Check"))</f>
        <v/>
      </c>
      <c r="D325" s="29">
        <f>IF(Responses!AS321="","",IF(Responses!AV321&gt;=0,IF(Responses!AV321="","",RIGHT("0"&amp;INT(Responses!AV321/60),2)&amp;":"&amp;RIGHT("0"&amp;MOD(Responses!AV321,60),2)),"Check"))</f>
        <v/>
      </c>
      <c r="E325" s="28">
        <f>Responses!AW321</f>
        <v/>
      </c>
      <c r="F325" s="29">
        <f>Responses!AX321</f>
        <v/>
      </c>
      <c r="G325" s="29">
        <f>IF(Responses!AS321="","",IF(AND(ISNUMBER(Responses!AX321),ISNUMBER(IFERROR(VALUE(INDEX(Spaces!$B$5:$B$16,MATCH(Responses!AS321,Spaces!$A$5:$A$16,0))&amp;""),""))),IF(Responses!AX321&gt;IFERROR(VALUE(INDEX(Spaces!$B$5:$B$16,MATCH(Responses!AS321,Spaces!$A$5:$A$16,0))&amp;""),""),"Over by "&amp;(Responses!AX321-IFERROR(VALUE(INDEX(Spaces!$B$5:$B$16,MATCH(Responses!AS321,Spaces!$A$5:$A$16,0))&amp;""),"")),"OK"),""))</f>
        <v/>
      </c>
      <c r="H325" s="28">
        <f>Responses!BF321</f>
        <v/>
      </c>
      <c r="I325" s="28">
        <f>IF(Responses!AS321="","",Responses!AO321&amp;"")</f>
        <v/>
      </c>
      <c r="J325" s="28">
        <f>IF(Responses!AS321="","",Responses!AZ321&amp;"")</f>
        <v/>
      </c>
      <c r="K325" s="29">
        <f>Responses!AY321</f>
        <v/>
      </c>
      <c r="L325" s="28">
        <f>IF(Responses!AS321="","",IF(Responses!AY321="Declined","",IF(Responses!BA321=0,"Check date and times",IF(Responses!BB321&gt;0,Responses!BC321,"No clash"))))</f>
        <v/>
      </c>
    </row>
    <row r="326">
      <c r="A326" s="27">
        <f>IF(Responses!AS322="","",IF(Responses!AT322&gt;0,Responses!AT322,"Check date"))</f>
        <v/>
      </c>
      <c r="B326" s="28">
        <f>Responses!AS322</f>
        <v/>
      </c>
      <c r="C326" s="29">
        <f>IF(Responses!AS322="","",IF(Responses!AU322&gt;=0,IF(Responses!AU322="","",RIGHT("0"&amp;INT(Responses!AU322/60),2)&amp;":"&amp;RIGHT("0"&amp;MOD(Responses!AU322,60),2)),"Check"))</f>
        <v/>
      </c>
      <c r="D326" s="29">
        <f>IF(Responses!AS322="","",IF(Responses!AV322&gt;=0,IF(Responses!AV322="","",RIGHT("0"&amp;INT(Responses!AV322/60),2)&amp;":"&amp;RIGHT("0"&amp;MOD(Responses!AV322,60),2)),"Check"))</f>
        <v/>
      </c>
      <c r="E326" s="28">
        <f>Responses!AW322</f>
        <v/>
      </c>
      <c r="F326" s="29">
        <f>Responses!AX322</f>
        <v/>
      </c>
      <c r="G326" s="29">
        <f>IF(Responses!AS322="","",IF(AND(ISNUMBER(Responses!AX322),ISNUMBER(IFERROR(VALUE(INDEX(Spaces!$B$5:$B$16,MATCH(Responses!AS322,Spaces!$A$5:$A$16,0))&amp;""),""))),IF(Responses!AX322&gt;IFERROR(VALUE(INDEX(Spaces!$B$5:$B$16,MATCH(Responses!AS322,Spaces!$A$5:$A$16,0))&amp;""),""),"Over by "&amp;(Responses!AX322-IFERROR(VALUE(INDEX(Spaces!$B$5:$B$16,MATCH(Responses!AS322,Spaces!$A$5:$A$16,0))&amp;""),"")),"OK"),""))</f>
        <v/>
      </c>
      <c r="H326" s="28">
        <f>Responses!BF322</f>
        <v/>
      </c>
      <c r="I326" s="28">
        <f>IF(Responses!AS322="","",Responses!AO322&amp;"")</f>
        <v/>
      </c>
      <c r="J326" s="28">
        <f>IF(Responses!AS322="","",Responses!AZ322&amp;"")</f>
        <v/>
      </c>
      <c r="K326" s="29">
        <f>Responses!AY322</f>
        <v/>
      </c>
      <c r="L326" s="28">
        <f>IF(Responses!AS322="","",IF(Responses!AY322="Declined","",IF(Responses!BA322=0,"Check date and times",IF(Responses!BB322&gt;0,Responses!BC322,"No clash"))))</f>
        <v/>
      </c>
    </row>
    <row r="327">
      <c r="A327" s="27">
        <f>IF(Responses!AS323="","",IF(Responses!AT323&gt;0,Responses!AT323,"Check date"))</f>
        <v/>
      </c>
      <c r="B327" s="28">
        <f>Responses!AS323</f>
        <v/>
      </c>
      <c r="C327" s="29">
        <f>IF(Responses!AS323="","",IF(Responses!AU323&gt;=0,IF(Responses!AU323="","",RIGHT("0"&amp;INT(Responses!AU323/60),2)&amp;":"&amp;RIGHT("0"&amp;MOD(Responses!AU323,60),2)),"Check"))</f>
        <v/>
      </c>
      <c r="D327" s="29">
        <f>IF(Responses!AS323="","",IF(Responses!AV323&gt;=0,IF(Responses!AV323="","",RIGHT("0"&amp;INT(Responses!AV323/60),2)&amp;":"&amp;RIGHT("0"&amp;MOD(Responses!AV323,60),2)),"Check"))</f>
        <v/>
      </c>
      <c r="E327" s="28">
        <f>Responses!AW323</f>
        <v/>
      </c>
      <c r="F327" s="29">
        <f>Responses!AX323</f>
        <v/>
      </c>
      <c r="G327" s="29">
        <f>IF(Responses!AS323="","",IF(AND(ISNUMBER(Responses!AX323),ISNUMBER(IFERROR(VALUE(INDEX(Spaces!$B$5:$B$16,MATCH(Responses!AS323,Spaces!$A$5:$A$16,0))&amp;""),""))),IF(Responses!AX323&gt;IFERROR(VALUE(INDEX(Spaces!$B$5:$B$16,MATCH(Responses!AS323,Spaces!$A$5:$A$16,0))&amp;""),""),"Over by "&amp;(Responses!AX323-IFERROR(VALUE(INDEX(Spaces!$B$5:$B$16,MATCH(Responses!AS323,Spaces!$A$5:$A$16,0))&amp;""),"")),"OK"),""))</f>
        <v/>
      </c>
      <c r="H327" s="28">
        <f>Responses!BF323</f>
        <v/>
      </c>
      <c r="I327" s="28">
        <f>IF(Responses!AS323="","",Responses!AO323&amp;"")</f>
        <v/>
      </c>
      <c r="J327" s="28">
        <f>IF(Responses!AS323="","",Responses!AZ323&amp;"")</f>
        <v/>
      </c>
      <c r="K327" s="29">
        <f>Responses!AY323</f>
        <v/>
      </c>
      <c r="L327" s="28">
        <f>IF(Responses!AS323="","",IF(Responses!AY323="Declined","",IF(Responses!BA323=0,"Check date and times",IF(Responses!BB323&gt;0,Responses!BC323,"No clash"))))</f>
        <v/>
      </c>
    </row>
    <row r="328">
      <c r="A328" s="27">
        <f>IF(Responses!AS324="","",IF(Responses!AT324&gt;0,Responses!AT324,"Check date"))</f>
        <v/>
      </c>
      <c r="B328" s="28">
        <f>Responses!AS324</f>
        <v/>
      </c>
      <c r="C328" s="29">
        <f>IF(Responses!AS324="","",IF(Responses!AU324&gt;=0,IF(Responses!AU324="","",RIGHT("0"&amp;INT(Responses!AU324/60),2)&amp;":"&amp;RIGHT("0"&amp;MOD(Responses!AU324,60),2)),"Check"))</f>
        <v/>
      </c>
      <c r="D328" s="29">
        <f>IF(Responses!AS324="","",IF(Responses!AV324&gt;=0,IF(Responses!AV324="","",RIGHT("0"&amp;INT(Responses!AV324/60),2)&amp;":"&amp;RIGHT("0"&amp;MOD(Responses!AV324,60),2)),"Check"))</f>
        <v/>
      </c>
      <c r="E328" s="28">
        <f>Responses!AW324</f>
        <v/>
      </c>
      <c r="F328" s="29">
        <f>Responses!AX324</f>
        <v/>
      </c>
      <c r="G328" s="29">
        <f>IF(Responses!AS324="","",IF(AND(ISNUMBER(Responses!AX324),ISNUMBER(IFERROR(VALUE(INDEX(Spaces!$B$5:$B$16,MATCH(Responses!AS324,Spaces!$A$5:$A$16,0))&amp;""),""))),IF(Responses!AX324&gt;IFERROR(VALUE(INDEX(Spaces!$B$5:$B$16,MATCH(Responses!AS324,Spaces!$A$5:$A$16,0))&amp;""),""),"Over by "&amp;(Responses!AX324-IFERROR(VALUE(INDEX(Spaces!$B$5:$B$16,MATCH(Responses!AS324,Spaces!$A$5:$A$16,0))&amp;""),"")),"OK"),""))</f>
        <v/>
      </c>
      <c r="H328" s="28">
        <f>Responses!BF324</f>
        <v/>
      </c>
      <c r="I328" s="28">
        <f>IF(Responses!AS324="","",Responses!AO324&amp;"")</f>
        <v/>
      </c>
      <c r="J328" s="28">
        <f>IF(Responses!AS324="","",Responses!AZ324&amp;"")</f>
        <v/>
      </c>
      <c r="K328" s="29">
        <f>Responses!AY324</f>
        <v/>
      </c>
      <c r="L328" s="28">
        <f>IF(Responses!AS324="","",IF(Responses!AY324="Declined","",IF(Responses!BA324=0,"Check date and times",IF(Responses!BB324&gt;0,Responses!BC324,"No clash"))))</f>
        <v/>
      </c>
    </row>
    <row r="329">
      <c r="A329" s="27">
        <f>IF(Responses!AS325="","",IF(Responses!AT325&gt;0,Responses!AT325,"Check date"))</f>
        <v/>
      </c>
      <c r="B329" s="28">
        <f>Responses!AS325</f>
        <v/>
      </c>
      <c r="C329" s="29">
        <f>IF(Responses!AS325="","",IF(Responses!AU325&gt;=0,IF(Responses!AU325="","",RIGHT("0"&amp;INT(Responses!AU325/60),2)&amp;":"&amp;RIGHT("0"&amp;MOD(Responses!AU325,60),2)),"Check"))</f>
        <v/>
      </c>
      <c r="D329" s="29">
        <f>IF(Responses!AS325="","",IF(Responses!AV325&gt;=0,IF(Responses!AV325="","",RIGHT("0"&amp;INT(Responses!AV325/60),2)&amp;":"&amp;RIGHT("0"&amp;MOD(Responses!AV325,60),2)),"Check"))</f>
        <v/>
      </c>
      <c r="E329" s="28">
        <f>Responses!AW325</f>
        <v/>
      </c>
      <c r="F329" s="29">
        <f>Responses!AX325</f>
        <v/>
      </c>
      <c r="G329" s="29">
        <f>IF(Responses!AS325="","",IF(AND(ISNUMBER(Responses!AX325),ISNUMBER(IFERROR(VALUE(INDEX(Spaces!$B$5:$B$16,MATCH(Responses!AS325,Spaces!$A$5:$A$16,0))&amp;""),""))),IF(Responses!AX325&gt;IFERROR(VALUE(INDEX(Spaces!$B$5:$B$16,MATCH(Responses!AS325,Spaces!$A$5:$A$16,0))&amp;""),""),"Over by "&amp;(Responses!AX325-IFERROR(VALUE(INDEX(Spaces!$B$5:$B$16,MATCH(Responses!AS325,Spaces!$A$5:$A$16,0))&amp;""),"")),"OK"),""))</f>
        <v/>
      </c>
      <c r="H329" s="28">
        <f>Responses!BF325</f>
        <v/>
      </c>
      <c r="I329" s="28">
        <f>IF(Responses!AS325="","",Responses!AO325&amp;"")</f>
        <v/>
      </c>
      <c r="J329" s="28">
        <f>IF(Responses!AS325="","",Responses!AZ325&amp;"")</f>
        <v/>
      </c>
      <c r="K329" s="29">
        <f>Responses!AY325</f>
        <v/>
      </c>
      <c r="L329" s="28">
        <f>IF(Responses!AS325="","",IF(Responses!AY325="Declined","",IF(Responses!BA325=0,"Check date and times",IF(Responses!BB325&gt;0,Responses!BC325,"No clash"))))</f>
        <v/>
      </c>
    </row>
    <row r="330">
      <c r="A330" s="27">
        <f>IF(Responses!AS326="","",IF(Responses!AT326&gt;0,Responses!AT326,"Check date"))</f>
        <v/>
      </c>
      <c r="B330" s="28">
        <f>Responses!AS326</f>
        <v/>
      </c>
      <c r="C330" s="29">
        <f>IF(Responses!AS326="","",IF(Responses!AU326&gt;=0,IF(Responses!AU326="","",RIGHT("0"&amp;INT(Responses!AU326/60),2)&amp;":"&amp;RIGHT("0"&amp;MOD(Responses!AU326,60),2)),"Check"))</f>
        <v/>
      </c>
      <c r="D330" s="29">
        <f>IF(Responses!AS326="","",IF(Responses!AV326&gt;=0,IF(Responses!AV326="","",RIGHT("0"&amp;INT(Responses!AV326/60),2)&amp;":"&amp;RIGHT("0"&amp;MOD(Responses!AV326,60),2)),"Check"))</f>
        <v/>
      </c>
      <c r="E330" s="28">
        <f>Responses!AW326</f>
        <v/>
      </c>
      <c r="F330" s="29">
        <f>Responses!AX326</f>
        <v/>
      </c>
      <c r="G330" s="29">
        <f>IF(Responses!AS326="","",IF(AND(ISNUMBER(Responses!AX326),ISNUMBER(IFERROR(VALUE(INDEX(Spaces!$B$5:$B$16,MATCH(Responses!AS326,Spaces!$A$5:$A$16,0))&amp;""),""))),IF(Responses!AX326&gt;IFERROR(VALUE(INDEX(Spaces!$B$5:$B$16,MATCH(Responses!AS326,Spaces!$A$5:$A$16,0))&amp;""),""),"Over by "&amp;(Responses!AX326-IFERROR(VALUE(INDEX(Spaces!$B$5:$B$16,MATCH(Responses!AS326,Spaces!$A$5:$A$16,0))&amp;""),"")),"OK"),""))</f>
        <v/>
      </c>
      <c r="H330" s="28">
        <f>Responses!BF326</f>
        <v/>
      </c>
      <c r="I330" s="28">
        <f>IF(Responses!AS326="","",Responses!AO326&amp;"")</f>
        <v/>
      </c>
      <c r="J330" s="28">
        <f>IF(Responses!AS326="","",Responses!AZ326&amp;"")</f>
        <v/>
      </c>
      <c r="K330" s="29">
        <f>Responses!AY326</f>
        <v/>
      </c>
      <c r="L330" s="28">
        <f>IF(Responses!AS326="","",IF(Responses!AY326="Declined","",IF(Responses!BA326=0,"Check date and times",IF(Responses!BB326&gt;0,Responses!BC326,"No clash"))))</f>
        <v/>
      </c>
    </row>
    <row r="331">
      <c r="A331" s="27">
        <f>IF(Responses!AS327="","",IF(Responses!AT327&gt;0,Responses!AT327,"Check date"))</f>
        <v/>
      </c>
      <c r="B331" s="28">
        <f>Responses!AS327</f>
        <v/>
      </c>
      <c r="C331" s="29">
        <f>IF(Responses!AS327="","",IF(Responses!AU327&gt;=0,IF(Responses!AU327="","",RIGHT("0"&amp;INT(Responses!AU327/60),2)&amp;":"&amp;RIGHT("0"&amp;MOD(Responses!AU327,60),2)),"Check"))</f>
        <v/>
      </c>
      <c r="D331" s="29">
        <f>IF(Responses!AS327="","",IF(Responses!AV327&gt;=0,IF(Responses!AV327="","",RIGHT("0"&amp;INT(Responses!AV327/60),2)&amp;":"&amp;RIGHT("0"&amp;MOD(Responses!AV327,60),2)),"Check"))</f>
        <v/>
      </c>
      <c r="E331" s="28">
        <f>Responses!AW327</f>
        <v/>
      </c>
      <c r="F331" s="29">
        <f>Responses!AX327</f>
        <v/>
      </c>
      <c r="G331" s="29">
        <f>IF(Responses!AS327="","",IF(AND(ISNUMBER(Responses!AX327),ISNUMBER(IFERROR(VALUE(INDEX(Spaces!$B$5:$B$16,MATCH(Responses!AS327,Spaces!$A$5:$A$16,0))&amp;""),""))),IF(Responses!AX327&gt;IFERROR(VALUE(INDEX(Spaces!$B$5:$B$16,MATCH(Responses!AS327,Spaces!$A$5:$A$16,0))&amp;""),""),"Over by "&amp;(Responses!AX327-IFERROR(VALUE(INDEX(Spaces!$B$5:$B$16,MATCH(Responses!AS327,Spaces!$A$5:$A$16,0))&amp;""),"")),"OK"),""))</f>
        <v/>
      </c>
      <c r="H331" s="28">
        <f>Responses!BF327</f>
        <v/>
      </c>
      <c r="I331" s="28">
        <f>IF(Responses!AS327="","",Responses!AO327&amp;"")</f>
        <v/>
      </c>
      <c r="J331" s="28">
        <f>IF(Responses!AS327="","",Responses!AZ327&amp;"")</f>
        <v/>
      </c>
      <c r="K331" s="29">
        <f>Responses!AY327</f>
        <v/>
      </c>
      <c r="L331" s="28">
        <f>IF(Responses!AS327="","",IF(Responses!AY327="Declined","",IF(Responses!BA327=0,"Check date and times",IF(Responses!BB327&gt;0,Responses!BC327,"No clash"))))</f>
        <v/>
      </c>
    </row>
    <row r="332">
      <c r="A332" s="27">
        <f>IF(Responses!AS328="","",IF(Responses!AT328&gt;0,Responses!AT328,"Check date"))</f>
        <v/>
      </c>
      <c r="B332" s="28">
        <f>Responses!AS328</f>
        <v/>
      </c>
      <c r="C332" s="29">
        <f>IF(Responses!AS328="","",IF(Responses!AU328&gt;=0,IF(Responses!AU328="","",RIGHT("0"&amp;INT(Responses!AU328/60),2)&amp;":"&amp;RIGHT("0"&amp;MOD(Responses!AU328,60),2)),"Check"))</f>
        <v/>
      </c>
      <c r="D332" s="29">
        <f>IF(Responses!AS328="","",IF(Responses!AV328&gt;=0,IF(Responses!AV328="","",RIGHT("0"&amp;INT(Responses!AV328/60),2)&amp;":"&amp;RIGHT("0"&amp;MOD(Responses!AV328,60),2)),"Check"))</f>
        <v/>
      </c>
      <c r="E332" s="28">
        <f>Responses!AW328</f>
        <v/>
      </c>
      <c r="F332" s="29">
        <f>Responses!AX328</f>
        <v/>
      </c>
      <c r="G332" s="29">
        <f>IF(Responses!AS328="","",IF(AND(ISNUMBER(Responses!AX328),ISNUMBER(IFERROR(VALUE(INDEX(Spaces!$B$5:$B$16,MATCH(Responses!AS328,Spaces!$A$5:$A$16,0))&amp;""),""))),IF(Responses!AX328&gt;IFERROR(VALUE(INDEX(Spaces!$B$5:$B$16,MATCH(Responses!AS328,Spaces!$A$5:$A$16,0))&amp;""),""),"Over by "&amp;(Responses!AX328-IFERROR(VALUE(INDEX(Spaces!$B$5:$B$16,MATCH(Responses!AS328,Spaces!$A$5:$A$16,0))&amp;""),"")),"OK"),""))</f>
        <v/>
      </c>
      <c r="H332" s="28">
        <f>Responses!BF328</f>
        <v/>
      </c>
      <c r="I332" s="28">
        <f>IF(Responses!AS328="","",Responses!AO328&amp;"")</f>
        <v/>
      </c>
      <c r="J332" s="28">
        <f>IF(Responses!AS328="","",Responses!AZ328&amp;"")</f>
        <v/>
      </c>
      <c r="K332" s="29">
        <f>Responses!AY328</f>
        <v/>
      </c>
      <c r="L332" s="28">
        <f>IF(Responses!AS328="","",IF(Responses!AY328="Declined","",IF(Responses!BA328=0,"Check date and times",IF(Responses!BB328&gt;0,Responses!BC328,"No clash"))))</f>
        <v/>
      </c>
    </row>
    <row r="333">
      <c r="A333" s="27">
        <f>IF(Responses!AS329="","",IF(Responses!AT329&gt;0,Responses!AT329,"Check date"))</f>
        <v/>
      </c>
      <c r="B333" s="28">
        <f>Responses!AS329</f>
        <v/>
      </c>
      <c r="C333" s="29">
        <f>IF(Responses!AS329="","",IF(Responses!AU329&gt;=0,IF(Responses!AU329="","",RIGHT("0"&amp;INT(Responses!AU329/60),2)&amp;":"&amp;RIGHT("0"&amp;MOD(Responses!AU329,60),2)),"Check"))</f>
        <v/>
      </c>
      <c r="D333" s="29">
        <f>IF(Responses!AS329="","",IF(Responses!AV329&gt;=0,IF(Responses!AV329="","",RIGHT("0"&amp;INT(Responses!AV329/60),2)&amp;":"&amp;RIGHT("0"&amp;MOD(Responses!AV329,60),2)),"Check"))</f>
        <v/>
      </c>
      <c r="E333" s="28">
        <f>Responses!AW329</f>
        <v/>
      </c>
      <c r="F333" s="29">
        <f>Responses!AX329</f>
        <v/>
      </c>
      <c r="G333" s="29">
        <f>IF(Responses!AS329="","",IF(AND(ISNUMBER(Responses!AX329),ISNUMBER(IFERROR(VALUE(INDEX(Spaces!$B$5:$B$16,MATCH(Responses!AS329,Spaces!$A$5:$A$16,0))&amp;""),""))),IF(Responses!AX329&gt;IFERROR(VALUE(INDEX(Spaces!$B$5:$B$16,MATCH(Responses!AS329,Spaces!$A$5:$A$16,0))&amp;""),""),"Over by "&amp;(Responses!AX329-IFERROR(VALUE(INDEX(Spaces!$B$5:$B$16,MATCH(Responses!AS329,Spaces!$A$5:$A$16,0))&amp;""),"")),"OK"),""))</f>
        <v/>
      </c>
      <c r="H333" s="28">
        <f>Responses!BF329</f>
        <v/>
      </c>
      <c r="I333" s="28">
        <f>IF(Responses!AS329="","",Responses!AO329&amp;"")</f>
        <v/>
      </c>
      <c r="J333" s="28">
        <f>IF(Responses!AS329="","",Responses!AZ329&amp;"")</f>
        <v/>
      </c>
      <c r="K333" s="29">
        <f>Responses!AY329</f>
        <v/>
      </c>
      <c r="L333" s="28">
        <f>IF(Responses!AS329="","",IF(Responses!AY329="Declined","",IF(Responses!BA329=0,"Check date and times",IF(Responses!BB329&gt;0,Responses!BC329,"No clash"))))</f>
        <v/>
      </c>
    </row>
    <row r="334">
      <c r="A334" s="27">
        <f>IF(Responses!AS330="","",IF(Responses!AT330&gt;0,Responses!AT330,"Check date"))</f>
        <v/>
      </c>
      <c r="B334" s="28">
        <f>Responses!AS330</f>
        <v/>
      </c>
      <c r="C334" s="29">
        <f>IF(Responses!AS330="","",IF(Responses!AU330&gt;=0,IF(Responses!AU330="","",RIGHT("0"&amp;INT(Responses!AU330/60),2)&amp;":"&amp;RIGHT("0"&amp;MOD(Responses!AU330,60),2)),"Check"))</f>
        <v/>
      </c>
      <c r="D334" s="29">
        <f>IF(Responses!AS330="","",IF(Responses!AV330&gt;=0,IF(Responses!AV330="","",RIGHT("0"&amp;INT(Responses!AV330/60),2)&amp;":"&amp;RIGHT("0"&amp;MOD(Responses!AV330,60),2)),"Check"))</f>
        <v/>
      </c>
      <c r="E334" s="28">
        <f>Responses!AW330</f>
        <v/>
      </c>
      <c r="F334" s="29">
        <f>Responses!AX330</f>
        <v/>
      </c>
      <c r="G334" s="29">
        <f>IF(Responses!AS330="","",IF(AND(ISNUMBER(Responses!AX330),ISNUMBER(IFERROR(VALUE(INDEX(Spaces!$B$5:$B$16,MATCH(Responses!AS330,Spaces!$A$5:$A$16,0))&amp;""),""))),IF(Responses!AX330&gt;IFERROR(VALUE(INDEX(Spaces!$B$5:$B$16,MATCH(Responses!AS330,Spaces!$A$5:$A$16,0))&amp;""),""),"Over by "&amp;(Responses!AX330-IFERROR(VALUE(INDEX(Spaces!$B$5:$B$16,MATCH(Responses!AS330,Spaces!$A$5:$A$16,0))&amp;""),"")),"OK"),""))</f>
        <v/>
      </c>
      <c r="H334" s="28">
        <f>Responses!BF330</f>
        <v/>
      </c>
      <c r="I334" s="28">
        <f>IF(Responses!AS330="","",Responses!AO330&amp;"")</f>
        <v/>
      </c>
      <c r="J334" s="28">
        <f>IF(Responses!AS330="","",Responses!AZ330&amp;"")</f>
        <v/>
      </c>
      <c r="K334" s="29">
        <f>Responses!AY330</f>
        <v/>
      </c>
      <c r="L334" s="28">
        <f>IF(Responses!AS330="","",IF(Responses!AY330="Declined","",IF(Responses!BA330=0,"Check date and times",IF(Responses!BB330&gt;0,Responses!BC330,"No clash"))))</f>
        <v/>
      </c>
    </row>
    <row r="335">
      <c r="A335" s="27">
        <f>IF(Responses!AS331="","",IF(Responses!AT331&gt;0,Responses!AT331,"Check date"))</f>
        <v/>
      </c>
      <c r="B335" s="28">
        <f>Responses!AS331</f>
        <v/>
      </c>
      <c r="C335" s="29">
        <f>IF(Responses!AS331="","",IF(Responses!AU331&gt;=0,IF(Responses!AU331="","",RIGHT("0"&amp;INT(Responses!AU331/60),2)&amp;":"&amp;RIGHT("0"&amp;MOD(Responses!AU331,60),2)),"Check"))</f>
        <v/>
      </c>
      <c r="D335" s="29">
        <f>IF(Responses!AS331="","",IF(Responses!AV331&gt;=0,IF(Responses!AV331="","",RIGHT("0"&amp;INT(Responses!AV331/60),2)&amp;":"&amp;RIGHT("0"&amp;MOD(Responses!AV331,60),2)),"Check"))</f>
        <v/>
      </c>
      <c r="E335" s="28">
        <f>Responses!AW331</f>
        <v/>
      </c>
      <c r="F335" s="29">
        <f>Responses!AX331</f>
        <v/>
      </c>
      <c r="G335" s="29">
        <f>IF(Responses!AS331="","",IF(AND(ISNUMBER(Responses!AX331),ISNUMBER(IFERROR(VALUE(INDEX(Spaces!$B$5:$B$16,MATCH(Responses!AS331,Spaces!$A$5:$A$16,0))&amp;""),""))),IF(Responses!AX331&gt;IFERROR(VALUE(INDEX(Spaces!$B$5:$B$16,MATCH(Responses!AS331,Spaces!$A$5:$A$16,0))&amp;""),""),"Over by "&amp;(Responses!AX331-IFERROR(VALUE(INDEX(Spaces!$B$5:$B$16,MATCH(Responses!AS331,Spaces!$A$5:$A$16,0))&amp;""),"")),"OK"),""))</f>
        <v/>
      </c>
      <c r="H335" s="28">
        <f>Responses!BF331</f>
        <v/>
      </c>
      <c r="I335" s="28">
        <f>IF(Responses!AS331="","",Responses!AO331&amp;"")</f>
        <v/>
      </c>
      <c r="J335" s="28">
        <f>IF(Responses!AS331="","",Responses!AZ331&amp;"")</f>
        <v/>
      </c>
      <c r="K335" s="29">
        <f>Responses!AY331</f>
        <v/>
      </c>
      <c r="L335" s="28">
        <f>IF(Responses!AS331="","",IF(Responses!AY331="Declined","",IF(Responses!BA331=0,"Check date and times",IF(Responses!BB331&gt;0,Responses!BC331,"No clash"))))</f>
        <v/>
      </c>
    </row>
    <row r="336">
      <c r="A336" s="27">
        <f>IF(Responses!AS332="","",IF(Responses!AT332&gt;0,Responses!AT332,"Check date"))</f>
        <v/>
      </c>
      <c r="B336" s="28">
        <f>Responses!AS332</f>
        <v/>
      </c>
      <c r="C336" s="29">
        <f>IF(Responses!AS332="","",IF(Responses!AU332&gt;=0,IF(Responses!AU332="","",RIGHT("0"&amp;INT(Responses!AU332/60),2)&amp;":"&amp;RIGHT("0"&amp;MOD(Responses!AU332,60),2)),"Check"))</f>
        <v/>
      </c>
      <c r="D336" s="29">
        <f>IF(Responses!AS332="","",IF(Responses!AV332&gt;=0,IF(Responses!AV332="","",RIGHT("0"&amp;INT(Responses!AV332/60),2)&amp;":"&amp;RIGHT("0"&amp;MOD(Responses!AV332,60),2)),"Check"))</f>
        <v/>
      </c>
      <c r="E336" s="28">
        <f>Responses!AW332</f>
        <v/>
      </c>
      <c r="F336" s="29">
        <f>Responses!AX332</f>
        <v/>
      </c>
      <c r="G336" s="29">
        <f>IF(Responses!AS332="","",IF(AND(ISNUMBER(Responses!AX332),ISNUMBER(IFERROR(VALUE(INDEX(Spaces!$B$5:$B$16,MATCH(Responses!AS332,Spaces!$A$5:$A$16,0))&amp;""),""))),IF(Responses!AX332&gt;IFERROR(VALUE(INDEX(Spaces!$B$5:$B$16,MATCH(Responses!AS332,Spaces!$A$5:$A$16,0))&amp;""),""),"Over by "&amp;(Responses!AX332-IFERROR(VALUE(INDEX(Spaces!$B$5:$B$16,MATCH(Responses!AS332,Spaces!$A$5:$A$16,0))&amp;""),"")),"OK"),""))</f>
        <v/>
      </c>
      <c r="H336" s="28">
        <f>Responses!BF332</f>
        <v/>
      </c>
      <c r="I336" s="28">
        <f>IF(Responses!AS332="","",Responses!AO332&amp;"")</f>
        <v/>
      </c>
      <c r="J336" s="28">
        <f>IF(Responses!AS332="","",Responses!AZ332&amp;"")</f>
        <v/>
      </c>
      <c r="K336" s="29">
        <f>Responses!AY332</f>
        <v/>
      </c>
      <c r="L336" s="28">
        <f>IF(Responses!AS332="","",IF(Responses!AY332="Declined","",IF(Responses!BA332=0,"Check date and times",IF(Responses!BB332&gt;0,Responses!BC332,"No clash"))))</f>
        <v/>
      </c>
    </row>
    <row r="337">
      <c r="A337" s="27">
        <f>IF(Responses!AS333="","",IF(Responses!AT333&gt;0,Responses!AT333,"Check date"))</f>
        <v/>
      </c>
      <c r="B337" s="28">
        <f>Responses!AS333</f>
        <v/>
      </c>
      <c r="C337" s="29">
        <f>IF(Responses!AS333="","",IF(Responses!AU333&gt;=0,IF(Responses!AU333="","",RIGHT("0"&amp;INT(Responses!AU333/60),2)&amp;":"&amp;RIGHT("0"&amp;MOD(Responses!AU333,60),2)),"Check"))</f>
        <v/>
      </c>
      <c r="D337" s="29">
        <f>IF(Responses!AS333="","",IF(Responses!AV333&gt;=0,IF(Responses!AV333="","",RIGHT("0"&amp;INT(Responses!AV333/60),2)&amp;":"&amp;RIGHT("0"&amp;MOD(Responses!AV333,60),2)),"Check"))</f>
        <v/>
      </c>
      <c r="E337" s="28">
        <f>Responses!AW333</f>
        <v/>
      </c>
      <c r="F337" s="29">
        <f>Responses!AX333</f>
        <v/>
      </c>
      <c r="G337" s="29">
        <f>IF(Responses!AS333="","",IF(AND(ISNUMBER(Responses!AX333),ISNUMBER(IFERROR(VALUE(INDEX(Spaces!$B$5:$B$16,MATCH(Responses!AS333,Spaces!$A$5:$A$16,0))&amp;""),""))),IF(Responses!AX333&gt;IFERROR(VALUE(INDEX(Spaces!$B$5:$B$16,MATCH(Responses!AS333,Spaces!$A$5:$A$16,0))&amp;""),""),"Over by "&amp;(Responses!AX333-IFERROR(VALUE(INDEX(Spaces!$B$5:$B$16,MATCH(Responses!AS333,Spaces!$A$5:$A$16,0))&amp;""),"")),"OK"),""))</f>
        <v/>
      </c>
      <c r="H337" s="28">
        <f>Responses!BF333</f>
        <v/>
      </c>
      <c r="I337" s="28">
        <f>IF(Responses!AS333="","",Responses!AO333&amp;"")</f>
        <v/>
      </c>
      <c r="J337" s="28">
        <f>IF(Responses!AS333="","",Responses!AZ333&amp;"")</f>
        <v/>
      </c>
      <c r="K337" s="29">
        <f>Responses!AY333</f>
        <v/>
      </c>
      <c r="L337" s="28">
        <f>IF(Responses!AS333="","",IF(Responses!AY333="Declined","",IF(Responses!BA333=0,"Check date and times",IF(Responses!BB333&gt;0,Responses!BC333,"No clash"))))</f>
        <v/>
      </c>
    </row>
    <row r="338">
      <c r="A338" s="27">
        <f>IF(Responses!AS334="","",IF(Responses!AT334&gt;0,Responses!AT334,"Check date"))</f>
        <v/>
      </c>
      <c r="B338" s="28">
        <f>Responses!AS334</f>
        <v/>
      </c>
      <c r="C338" s="29">
        <f>IF(Responses!AS334="","",IF(Responses!AU334&gt;=0,IF(Responses!AU334="","",RIGHT("0"&amp;INT(Responses!AU334/60),2)&amp;":"&amp;RIGHT("0"&amp;MOD(Responses!AU334,60),2)),"Check"))</f>
        <v/>
      </c>
      <c r="D338" s="29">
        <f>IF(Responses!AS334="","",IF(Responses!AV334&gt;=0,IF(Responses!AV334="","",RIGHT("0"&amp;INT(Responses!AV334/60),2)&amp;":"&amp;RIGHT("0"&amp;MOD(Responses!AV334,60),2)),"Check"))</f>
        <v/>
      </c>
      <c r="E338" s="28">
        <f>Responses!AW334</f>
        <v/>
      </c>
      <c r="F338" s="29">
        <f>Responses!AX334</f>
        <v/>
      </c>
      <c r="G338" s="29">
        <f>IF(Responses!AS334="","",IF(AND(ISNUMBER(Responses!AX334),ISNUMBER(IFERROR(VALUE(INDEX(Spaces!$B$5:$B$16,MATCH(Responses!AS334,Spaces!$A$5:$A$16,0))&amp;""),""))),IF(Responses!AX334&gt;IFERROR(VALUE(INDEX(Spaces!$B$5:$B$16,MATCH(Responses!AS334,Spaces!$A$5:$A$16,0))&amp;""),""),"Over by "&amp;(Responses!AX334-IFERROR(VALUE(INDEX(Spaces!$B$5:$B$16,MATCH(Responses!AS334,Spaces!$A$5:$A$16,0))&amp;""),"")),"OK"),""))</f>
        <v/>
      </c>
      <c r="H338" s="28">
        <f>Responses!BF334</f>
        <v/>
      </c>
      <c r="I338" s="28">
        <f>IF(Responses!AS334="","",Responses!AO334&amp;"")</f>
        <v/>
      </c>
      <c r="J338" s="28">
        <f>IF(Responses!AS334="","",Responses!AZ334&amp;"")</f>
        <v/>
      </c>
      <c r="K338" s="29">
        <f>Responses!AY334</f>
        <v/>
      </c>
      <c r="L338" s="28">
        <f>IF(Responses!AS334="","",IF(Responses!AY334="Declined","",IF(Responses!BA334=0,"Check date and times",IF(Responses!BB334&gt;0,Responses!BC334,"No clash"))))</f>
        <v/>
      </c>
    </row>
    <row r="339">
      <c r="A339" s="27">
        <f>IF(Responses!AS335="","",IF(Responses!AT335&gt;0,Responses!AT335,"Check date"))</f>
        <v/>
      </c>
      <c r="B339" s="28">
        <f>Responses!AS335</f>
        <v/>
      </c>
      <c r="C339" s="29">
        <f>IF(Responses!AS335="","",IF(Responses!AU335&gt;=0,IF(Responses!AU335="","",RIGHT("0"&amp;INT(Responses!AU335/60),2)&amp;":"&amp;RIGHT("0"&amp;MOD(Responses!AU335,60),2)),"Check"))</f>
        <v/>
      </c>
      <c r="D339" s="29">
        <f>IF(Responses!AS335="","",IF(Responses!AV335&gt;=0,IF(Responses!AV335="","",RIGHT("0"&amp;INT(Responses!AV335/60),2)&amp;":"&amp;RIGHT("0"&amp;MOD(Responses!AV335,60),2)),"Check"))</f>
        <v/>
      </c>
      <c r="E339" s="28">
        <f>Responses!AW335</f>
        <v/>
      </c>
      <c r="F339" s="29">
        <f>Responses!AX335</f>
        <v/>
      </c>
      <c r="G339" s="29">
        <f>IF(Responses!AS335="","",IF(AND(ISNUMBER(Responses!AX335),ISNUMBER(IFERROR(VALUE(INDEX(Spaces!$B$5:$B$16,MATCH(Responses!AS335,Spaces!$A$5:$A$16,0))&amp;""),""))),IF(Responses!AX335&gt;IFERROR(VALUE(INDEX(Spaces!$B$5:$B$16,MATCH(Responses!AS335,Spaces!$A$5:$A$16,0))&amp;""),""),"Over by "&amp;(Responses!AX335-IFERROR(VALUE(INDEX(Spaces!$B$5:$B$16,MATCH(Responses!AS335,Spaces!$A$5:$A$16,0))&amp;""),"")),"OK"),""))</f>
        <v/>
      </c>
      <c r="H339" s="28">
        <f>Responses!BF335</f>
        <v/>
      </c>
      <c r="I339" s="28">
        <f>IF(Responses!AS335="","",Responses!AO335&amp;"")</f>
        <v/>
      </c>
      <c r="J339" s="28">
        <f>IF(Responses!AS335="","",Responses!AZ335&amp;"")</f>
        <v/>
      </c>
      <c r="K339" s="29">
        <f>Responses!AY335</f>
        <v/>
      </c>
      <c r="L339" s="28">
        <f>IF(Responses!AS335="","",IF(Responses!AY335="Declined","",IF(Responses!BA335=0,"Check date and times",IF(Responses!BB335&gt;0,Responses!BC335,"No clash"))))</f>
        <v/>
      </c>
    </row>
    <row r="340">
      <c r="A340" s="27">
        <f>IF(Responses!AS336="","",IF(Responses!AT336&gt;0,Responses!AT336,"Check date"))</f>
        <v/>
      </c>
      <c r="B340" s="28">
        <f>Responses!AS336</f>
        <v/>
      </c>
      <c r="C340" s="29">
        <f>IF(Responses!AS336="","",IF(Responses!AU336&gt;=0,IF(Responses!AU336="","",RIGHT("0"&amp;INT(Responses!AU336/60),2)&amp;":"&amp;RIGHT("0"&amp;MOD(Responses!AU336,60),2)),"Check"))</f>
        <v/>
      </c>
      <c r="D340" s="29">
        <f>IF(Responses!AS336="","",IF(Responses!AV336&gt;=0,IF(Responses!AV336="","",RIGHT("0"&amp;INT(Responses!AV336/60),2)&amp;":"&amp;RIGHT("0"&amp;MOD(Responses!AV336,60),2)),"Check"))</f>
        <v/>
      </c>
      <c r="E340" s="28">
        <f>Responses!AW336</f>
        <v/>
      </c>
      <c r="F340" s="29">
        <f>Responses!AX336</f>
        <v/>
      </c>
      <c r="G340" s="29">
        <f>IF(Responses!AS336="","",IF(AND(ISNUMBER(Responses!AX336),ISNUMBER(IFERROR(VALUE(INDEX(Spaces!$B$5:$B$16,MATCH(Responses!AS336,Spaces!$A$5:$A$16,0))&amp;""),""))),IF(Responses!AX336&gt;IFERROR(VALUE(INDEX(Spaces!$B$5:$B$16,MATCH(Responses!AS336,Spaces!$A$5:$A$16,0))&amp;""),""),"Over by "&amp;(Responses!AX336-IFERROR(VALUE(INDEX(Spaces!$B$5:$B$16,MATCH(Responses!AS336,Spaces!$A$5:$A$16,0))&amp;""),"")),"OK"),""))</f>
        <v/>
      </c>
      <c r="H340" s="28">
        <f>Responses!BF336</f>
        <v/>
      </c>
      <c r="I340" s="28">
        <f>IF(Responses!AS336="","",Responses!AO336&amp;"")</f>
        <v/>
      </c>
      <c r="J340" s="28">
        <f>IF(Responses!AS336="","",Responses!AZ336&amp;"")</f>
        <v/>
      </c>
      <c r="K340" s="29">
        <f>Responses!AY336</f>
        <v/>
      </c>
      <c r="L340" s="28">
        <f>IF(Responses!AS336="","",IF(Responses!AY336="Declined","",IF(Responses!BA336=0,"Check date and times",IF(Responses!BB336&gt;0,Responses!BC336,"No clash"))))</f>
        <v/>
      </c>
    </row>
    <row r="341">
      <c r="A341" s="27">
        <f>IF(Responses!AS337="","",IF(Responses!AT337&gt;0,Responses!AT337,"Check date"))</f>
        <v/>
      </c>
      <c r="B341" s="28">
        <f>Responses!AS337</f>
        <v/>
      </c>
      <c r="C341" s="29">
        <f>IF(Responses!AS337="","",IF(Responses!AU337&gt;=0,IF(Responses!AU337="","",RIGHT("0"&amp;INT(Responses!AU337/60),2)&amp;":"&amp;RIGHT("0"&amp;MOD(Responses!AU337,60),2)),"Check"))</f>
        <v/>
      </c>
      <c r="D341" s="29">
        <f>IF(Responses!AS337="","",IF(Responses!AV337&gt;=0,IF(Responses!AV337="","",RIGHT("0"&amp;INT(Responses!AV337/60),2)&amp;":"&amp;RIGHT("0"&amp;MOD(Responses!AV337,60),2)),"Check"))</f>
        <v/>
      </c>
      <c r="E341" s="28">
        <f>Responses!AW337</f>
        <v/>
      </c>
      <c r="F341" s="29">
        <f>Responses!AX337</f>
        <v/>
      </c>
      <c r="G341" s="29">
        <f>IF(Responses!AS337="","",IF(AND(ISNUMBER(Responses!AX337),ISNUMBER(IFERROR(VALUE(INDEX(Spaces!$B$5:$B$16,MATCH(Responses!AS337,Spaces!$A$5:$A$16,0))&amp;""),""))),IF(Responses!AX337&gt;IFERROR(VALUE(INDEX(Spaces!$B$5:$B$16,MATCH(Responses!AS337,Spaces!$A$5:$A$16,0))&amp;""),""),"Over by "&amp;(Responses!AX337-IFERROR(VALUE(INDEX(Spaces!$B$5:$B$16,MATCH(Responses!AS337,Spaces!$A$5:$A$16,0))&amp;""),"")),"OK"),""))</f>
        <v/>
      </c>
      <c r="H341" s="28">
        <f>Responses!BF337</f>
        <v/>
      </c>
      <c r="I341" s="28">
        <f>IF(Responses!AS337="","",Responses!AO337&amp;"")</f>
        <v/>
      </c>
      <c r="J341" s="28">
        <f>IF(Responses!AS337="","",Responses!AZ337&amp;"")</f>
        <v/>
      </c>
      <c r="K341" s="29">
        <f>Responses!AY337</f>
        <v/>
      </c>
      <c r="L341" s="28">
        <f>IF(Responses!AS337="","",IF(Responses!AY337="Declined","",IF(Responses!BA337=0,"Check date and times",IF(Responses!BB337&gt;0,Responses!BC337,"No clash"))))</f>
        <v/>
      </c>
    </row>
    <row r="342">
      <c r="A342" s="27">
        <f>IF(Responses!AS338="","",IF(Responses!AT338&gt;0,Responses!AT338,"Check date"))</f>
        <v/>
      </c>
      <c r="B342" s="28">
        <f>Responses!AS338</f>
        <v/>
      </c>
      <c r="C342" s="29">
        <f>IF(Responses!AS338="","",IF(Responses!AU338&gt;=0,IF(Responses!AU338="","",RIGHT("0"&amp;INT(Responses!AU338/60),2)&amp;":"&amp;RIGHT("0"&amp;MOD(Responses!AU338,60),2)),"Check"))</f>
        <v/>
      </c>
      <c r="D342" s="29">
        <f>IF(Responses!AS338="","",IF(Responses!AV338&gt;=0,IF(Responses!AV338="","",RIGHT("0"&amp;INT(Responses!AV338/60),2)&amp;":"&amp;RIGHT("0"&amp;MOD(Responses!AV338,60),2)),"Check"))</f>
        <v/>
      </c>
      <c r="E342" s="28">
        <f>Responses!AW338</f>
        <v/>
      </c>
      <c r="F342" s="29">
        <f>Responses!AX338</f>
        <v/>
      </c>
      <c r="G342" s="29">
        <f>IF(Responses!AS338="","",IF(AND(ISNUMBER(Responses!AX338),ISNUMBER(IFERROR(VALUE(INDEX(Spaces!$B$5:$B$16,MATCH(Responses!AS338,Spaces!$A$5:$A$16,0))&amp;""),""))),IF(Responses!AX338&gt;IFERROR(VALUE(INDEX(Spaces!$B$5:$B$16,MATCH(Responses!AS338,Spaces!$A$5:$A$16,0))&amp;""),""),"Over by "&amp;(Responses!AX338-IFERROR(VALUE(INDEX(Spaces!$B$5:$B$16,MATCH(Responses!AS338,Spaces!$A$5:$A$16,0))&amp;""),"")),"OK"),""))</f>
        <v/>
      </c>
      <c r="H342" s="28">
        <f>Responses!BF338</f>
        <v/>
      </c>
      <c r="I342" s="28">
        <f>IF(Responses!AS338="","",Responses!AO338&amp;"")</f>
        <v/>
      </c>
      <c r="J342" s="28">
        <f>IF(Responses!AS338="","",Responses!AZ338&amp;"")</f>
        <v/>
      </c>
      <c r="K342" s="29">
        <f>Responses!AY338</f>
        <v/>
      </c>
      <c r="L342" s="28">
        <f>IF(Responses!AS338="","",IF(Responses!AY338="Declined","",IF(Responses!BA338=0,"Check date and times",IF(Responses!BB338&gt;0,Responses!BC338,"No clash"))))</f>
        <v/>
      </c>
    </row>
    <row r="343">
      <c r="A343" s="27">
        <f>IF(Responses!AS339="","",IF(Responses!AT339&gt;0,Responses!AT339,"Check date"))</f>
        <v/>
      </c>
      <c r="B343" s="28">
        <f>Responses!AS339</f>
        <v/>
      </c>
      <c r="C343" s="29">
        <f>IF(Responses!AS339="","",IF(Responses!AU339&gt;=0,IF(Responses!AU339="","",RIGHT("0"&amp;INT(Responses!AU339/60),2)&amp;":"&amp;RIGHT("0"&amp;MOD(Responses!AU339,60),2)),"Check"))</f>
        <v/>
      </c>
      <c r="D343" s="29">
        <f>IF(Responses!AS339="","",IF(Responses!AV339&gt;=0,IF(Responses!AV339="","",RIGHT("0"&amp;INT(Responses!AV339/60),2)&amp;":"&amp;RIGHT("0"&amp;MOD(Responses!AV339,60),2)),"Check"))</f>
        <v/>
      </c>
      <c r="E343" s="28">
        <f>Responses!AW339</f>
        <v/>
      </c>
      <c r="F343" s="29">
        <f>Responses!AX339</f>
        <v/>
      </c>
      <c r="G343" s="29">
        <f>IF(Responses!AS339="","",IF(AND(ISNUMBER(Responses!AX339),ISNUMBER(IFERROR(VALUE(INDEX(Spaces!$B$5:$B$16,MATCH(Responses!AS339,Spaces!$A$5:$A$16,0))&amp;""),""))),IF(Responses!AX339&gt;IFERROR(VALUE(INDEX(Spaces!$B$5:$B$16,MATCH(Responses!AS339,Spaces!$A$5:$A$16,0))&amp;""),""),"Over by "&amp;(Responses!AX339-IFERROR(VALUE(INDEX(Spaces!$B$5:$B$16,MATCH(Responses!AS339,Spaces!$A$5:$A$16,0))&amp;""),"")),"OK"),""))</f>
        <v/>
      </c>
      <c r="H343" s="28">
        <f>Responses!BF339</f>
        <v/>
      </c>
      <c r="I343" s="28">
        <f>IF(Responses!AS339="","",Responses!AO339&amp;"")</f>
        <v/>
      </c>
      <c r="J343" s="28">
        <f>IF(Responses!AS339="","",Responses!AZ339&amp;"")</f>
        <v/>
      </c>
      <c r="K343" s="29">
        <f>Responses!AY339</f>
        <v/>
      </c>
      <c r="L343" s="28">
        <f>IF(Responses!AS339="","",IF(Responses!AY339="Declined","",IF(Responses!BA339=0,"Check date and times",IF(Responses!BB339&gt;0,Responses!BC339,"No clash"))))</f>
        <v/>
      </c>
    </row>
    <row r="344">
      <c r="A344" s="27">
        <f>IF(Responses!AS340="","",IF(Responses!AT340&gt;0,Responses!AT340,"Check date"))</f>
        <v/>
      </c>
      <c r="B344" s="28">
        <f>Responses!AS340</f>
        <v/>
      </c>
      <c r="C344" s="29">
        <f>IF(Responses!AS340="","",IF(Responses!AU340&gt;=0,IF(Responses!AU340="","",RIGHT("0"&amp;INT(Responses!AU340/60),2)&amp;":"&amp;RIGHT("0"&amp;MOD(Responses!AU340,60),2)),"Check"))</f>
        <v/>
      </c>
      <c r="D344" s="29">
        <f>IF(Responses!AS340="","",IF(Responses!AV340&gt;=0,IF(Responses!AV340="","",RIGHT("0"&amp;INT(Responses!AV340/60),2)&amp;":"&amp;RIGHT("0"&amp;MOD(Responses!AV340,60),2)),"Check"))</f>
        <v/>
      </c>
      <c r="E344" s="28">
        <f>Responses!AW340</f>
        <v/>
      </c>
      <c r="F344" s="29">
        <f>Responses!AX340</f>
        <v/>
      </c>
      <c r="G344" s="29">
        <f>IF(Responses!AS340="","",IF(AND(ISNUMBER(Responses!AX340),ISNUMBER(IFERROR(VALUE(INDEX(Spaces!$B$5:$B$16,MATCH(Responses!AS340,Spaces!$A$5:$A$16,0))&amp;""),""))),IF(Responses!AX340&gt;IFERROR(VALUE(INDEX(Spaces!$B$5:$B$16,MATCH(Responses!AS340,Spaces!$A$5:$A$16,0))&amp;""),""),"Over by "&amp;(Responses!AX340-IFERROR(VALUE(INDEX(Spaces!$B$5:$B$16,MATCH(Responses!AS340,Spaces!$A$5:$A$16,0))&amp;""),"")),"OK"),""))</f>
        <v/>
      </c>
      <c r="H344" s="28">
        <f>Responses!BF340</f>
        <v/>
      </c>
      <c r="I344" s="28">
        <f>IF(Responses!AS340="","",Responses!AO340&amp;"")</f>
        <v/>
      </c>
      <c r="J344" s="28">
        <f>IF(Responses!AS340="","",Responses!AZ340&amp;"")</f>
        <v/>
      </c>
      <c r="K344" s="29">
        <f>Responses!AY340</f>
        <v/>
      </c>
      <c r="L344" s="28">
        <f>IF(Responses!AS340="","",IF(Responses!AY340="Declined","",IF(Responses!BA340=0,"Check date and times",IF(Responses!BB340&gt;0,Responses!BC340,"No clash"))))</f>
        <v/>
      </c>
    </row>
    <row r="345">
      <c r="A345" s="27">
        <f>IF(Responses!AS341="","",IF(Responses!AT341&gt;0,Responses!AT341,"Check date"))</f>
        <v/>
      </c>
      <c r="B345" s="28">
        <f>Responses!AS341</f>
        <v/>
      </c>
      <c r="C345" s="29">
        <f>IF(Responses!AS341="","",IF(Responses!AU341&gt;=0,IF(Responses!AU341="","",RIGHT("0"&amp;INT(Responses!AU341/60),2)&amp;":"&amp;RIGHT("0"&amp;MOD(Responses!AU341,60),2)),"Check"))</f>
        <v/>
      </c>
      <c r="D345" s="29">
        <f>IF(Responses!AS341="","",IF(Responses!AV341&gt;=0,IF(Responses!AV341="","",RIGHT("0"&amp;INT(Responses!AV341/60),2)&amp;":"&amp;RIGHT("0"&amp;MOD(Responses!AV341,60),2)),"Check"))</f>
        <v/>
      </c>
      <c r="E345" s="28">
        <f>Responses!AW341</f>
        <v/>
      </c>
      <c r="F345" s="29">
        <f>Responses!AX341</f>
        <v/>
      </c>
      <c r="G345" s="29">
        <f>IF(Responses!AS341="","",IF(AND(ISNUMBER(Responses!AX341),ISNUMBER(IFERROR(VALUE(INDEX(Spaces!$B$5:$B$16,MATCH(Responses!AS341,Spaces!$A$5:$A$16,0))&amp;""),""))),IF(Responses!AX341&gt;IFERROR(VALUE(INDEX(Spaces!$B$5:$B$16,MATCH(Responses!AS341,Spaces!$A$5:$A$16,0))&amp;""),""),"Over by "&amp;(Responses!AX341-IFERROR(VALUE(INDEX(Spaces!$B$5:$B$16,MATCH(Responses!AS341,Spaces!$A$5:$A$16,0))&amp;""),"")),"OK"),""))</f>
        <v/>
      </c>
      <c r="H345" s="28">
        <f>Responses!BF341</f>
        <v/>
      </c>
      <c r="I345" s="28">
        <f>IF(Responses!AS341="","",Responses!AO341&amp;"")</f>
        <v/>
      </c>
      <c r="J345" s="28">
        <f>IF(Responses!AS341="","",Responses!AZ341&amp;"")</f>
        <v/>
      </c>
      <c r="K345" s="29">
        <f>Responses!AY341</f>
        <v/>
      </c>
      <c r="L345" s="28">
        <f>IF(Responses!AS341="","",IF(Responses!AY341="Declined","",IF(Responses!BA341=0,"Check date and times",IF(Responses!BB341&gt;0,Responses!BC341,"No clash"))))</f>
        <v/>
      </c>
    </row>
    <row r="346">
      <c r="A346" s="27">
        <f>IF(Responses!AS342="","",IF(Responses!AT342&gt;0,Responses!AT342,"Check date"))</f>
        <v/>
      </c>
      <c r="B346" s="28">
        <f>Responses!AS342</f>
        <v/>
      </c>
      <c r="C346" s="29">
        <f>IF(Responses!AS342="","",IF(Responses!AU342&gt;=0,IF(Responses!AU342="","",RIGHT("0"&amp;INT(Responses!AU342/60),2)&amp;":"&amp;RIGHT("0"&amp;MOD(Responses!AU342,60),2)),"Check"))</f>
        <v/>
      </c>
      <c r="D346" s="29">
        <f>IF(Responses!AS342="","",IF(Responses!AV342&gt;=0,IF(Responses!AV342="","",RIGHT("0"&amp;INT(Responses!AV342/60),2)&amp;":"&amp;RIGHT("0"&amp;MOD(Responses!AV342,60),2)),"Check"))</f>
        <v/>
      </c>
      <c r="E346" s="28">
        <f>Responses!AW342</f>
        <v/>
      </c>
      <c r="F346" s="29">
        <f>Responses!AX342</f>
        <v/>
      </c>
      <c r="G346" s="29">
        <f>IF(Responses!AS342="","",IF(AND(ISNUMBER(Responses!AX342),ISNUMBER(IFERROR(VALUE(INDEX(Spaces!$B$5:$B$16,MATCH(Responses!AS342,Spaces!$A$5:$A$16,0))&amp;""),""))),IF(Responses!AX342&gt;IFERROR(VALUE(INDEX(Spaces!$B$5:$B$16,MATCH(Responses!AS342,Spaces!$A$5:$A$16,0))&amp;""),""),"Over by "&amp;(Responses!AX342-IFERROR(VALUE(INDEX(Spaces!$B$5:$B$16,MATCH(Responses!AS342,Spaces!$A$5:$A$16,0))&amp;""),"")),"OK"),""))</f>
        <v/>
      </c>
      <c r="H346" s="28">
        <f>Responses!BF342</f>
        <v/>
      </c>
      <c r="I346" s="28">
        <f>IF(Responses!AS342="","",Responses!AO342&amp;"")</f>
        <v/>
      </c>
      <c r="J346" s="28">
        <f>IF(Responses!AS342="","",Responses!AZ342&amp;"")</f>
        <v/>
      </c>
      <c r="K346" s="29">
        <f>Responses!AY342</f>
        <v/>
      </c>
      <c r="L346" s="28">
        <f>IF(Responses!AS342="","",IF(Responses!AY342="Declined","",IF(Responses!BA342=0,"Check date and times",IF(Responses!BB342&gt;0,Responses!BC342,"No clash"))))</f>
        <v/>
      </c>
    </row>
    <row r="347">
      <c r="A347" s="27">
        <f>IF(Responses!AS343="","",IF(Responses!AT343&gt;0,Responses!AT343,"Check date"))</f>
        <v/>
      </c>
      <c r="B347" s="28">
        <f>Responses!AS343</f>
        <v/>
      </c>
      <c r="C347" s="29">
        <f>IF(Responses!AS343="","",IF(Responses!AU343&gt;=0,IF(Responses!AU343="","",RIGHT("0"&amp;INT(Responses!AU343/60),2)&amp;":"&amp;RIGHT("0"&amp;MOD(Responses!AU343,60),2)),"Check"))</f>
        <v/>
      </c>
      <c r="D347" s="29">
        <f>IF(Responses!AS343="","",IF(Responses!AV343&gt;=0,IF(Responses!AV343="","",RIGHT("0"&amp;INT(Responses!AV343/60),2)&amp;":"&amp;RIGHT("0"&amp;MOD(Responses!AV343,60),2)),"Check"))</f>
        <v/>
      </c>
      <c r="E347" s="28">
        <f>Responses!AW343</f>
        <v/>
      </c>
      <c r="F347" s="29">
        <f>Responses!AX343</f>
        <v/>
      </c>
      <c r="G347" s="29">
        <f>IF(Responses!AS343="","",IF(AND(ISNUMBER(Responses!AX343),ISNUMBER(IFERROR(VALUE(INDEX(Spaces!$B$5:$B$16,MATCH(Responses!AS343,Spaces!$A$5:$A$16,0))&amp;""),""))),IF(Responses!AX343&gt;IFERROR(VALUE(INDEX(Spaces!$B$5:$B$16,MATCH(Responses!AS343,Spaces!$A$5:$A$16,0))&amp;""),""),"Over by "&amp;(Responses!AX343-IFERROR(VALUE(INDEX(Spaces!$B$5:$B$16,MATCH(Responses!AS343,Spaces!$A$5:$A$16,0))&amp;""),"")),"OK"),""))</f>
        <v/>
      </c>
      <c r="H347" s="28">
        <f>Responses!BF343</f>
        <v/>
      </c>
      <c r="I347" s="28">
        <f>IF(Responses!AS343="","",Responses!AO343&amp;"")</f>
        <v/>
      </c>
      <c r="J347" s="28">
        <f>IF(Responses!AS343="","",Responses!AZ343&amp;"")</f>
        <v/>
      </c>
      <c r="K347" s="29">
        <f>Responses!AY343</f>
        <v/>
      </c>
      <c r="L347" s="28">
        <f>IF(Responses!AS343="","",IF(Responses!AY343="Declined","",IF(Responses!BA343=0,"Check date and times",IF(Responses!BB343&gt;0,Responses!BC343,"No clash"))))</f>
        <v/>
      </c>
    </row>
    <row r="348">
      <c r="A348" s="27">
        <f>IF(Responses!AS344="","",IF(Responses!AT344&gt;0,Responses!AT344,"Check date"))</f>
        <v/>
      </c>
      <c r="B348" s="28">
        <f>Responses!AS344</f>
        <v/>
      </c>
      <c r="C348" s="29">
        <f>IF(Responses!AS344="","",IF(Responses!AU344&gt;=0,IF(Responses!AU344="","",RIGHT("0"&amp;INT(Responses!AU344/60),2)&amp;":"&amp;RIGHT("0"&amp;MOD(Responses!AU344,60),2)),"Check"))</f>
        <v/>
      </c>
      <c r="D348" s="29">
        <f>IF(Responses!AS344="","",IF(Responses!AV344&gt;=0,IF(Responses!AV344="","",RIGHT("0"&amp;INT(Responses!AV344/60),2)&amp;":"&amp;RIGHT("0"&amp;MOD(Responses!AV344,60),2)),"Check"))</f>
        <v/>
      </c>
      <c r="E348" s="28">
        <f>Responses!AW344</f>
        <v/>
      </c>
      <c r="F348" s="29">
        <f>Responses!AX344</f>
        <v/>
      </c>
      <c r="G348" s="29">
        <f>IF(Responses!AS344="","",IF(AND(ISNUMBER(Responses!AX344),ISNUMBER(IFERROR(VALUE(INDEX(Spaces!$B$5:$B$16,MATCH(Responses!AS344,Spaces!$A$5:$A$16,0))&amp;""),""))),IF(Responses!AX344&gt;IFERROR(VALUE(INDEX(Spaces!$B$5:$B$16,MATCH(Responses!AS344,Spaces!$A$5:$A$16,0))&amp;""),""),"Over by "&amp;(Responses!AX344-IFERROR(VALUE(INDEX(Spaces!$B$5:$B$16,MATCH(Responses!AS344,Spaces!$A$5:$A$16,0))&amp;""),"")),"OK"),""))</f>
        <v/>
      </c>
      <c r="H348" s="28">
        <f>Responses!BF344</f>
        <v/>
      </c>
      <c r="I348" s="28">
        <f>IF(Responses!AS344="","",Responses!AO344&amp;"")</f>
        <v/>
      </c>
      <c r="J348" s="28">
        <f>IF(Responses!AS344="","",Responses!AZ344&amp;"")</f>
        <v/>
      </c>
      <c r="K348" s="29">
        <f>Responses!AY344</f>
        <v/>
      </c>
      <c r="L348" s="28">
        <f>IF(Responses!AS344="","",IF(Responses!AY344="Declined","",IF(Responses!BA344=0,"Check date and times",IF(Responses!BB344&gt;0,Responses!BC344,"No clash"))))</f>
        <v/>
      </c>
    </row>
    <row r="349">
      <c r="A349" s="27">
        <f>IF(Responses!AS345="","",IF(Responses!AT345&gt;0,Responses!AT345,"Check date"))</f>
        <v/>
      </c>
      <c r="B349" s="28">
        <f>Responses!AS345</f>
        <v/>
      </c>
      <c r="C349" s="29">
        <f>IF(Responses!AS345="","",IF(Responses!AU345&gt;=0,IF(Responses!AU345="","",RIGHT("0"&amp;INT(Responses!AU345/60),2)&amp;":"&amp;RIGHT("0"&amp;MOD(Responses!AU345,60),2)),"Check"))</f>
        <v/>
      </c>
      <c r="D349" s="29">
        <f>IF(Responses!AS345="","",IF(Responses!AV345&gt;=0,IF(Responses!AV345="","",RIGHT("0"&amp;INT(Responses!AV345/60),2)&amp;":"&amp;RIGHT("0"&amp;MOD(Responses!AV345,60),2)),"Check"))</f>
        <v/>
      </c>
      <c r="E349" s="28">
        <f>Responses!AW345</f>
        <v/>
      </c>
      <c r="F349" s="29">
        <f>Responses!AX345</f>
        <v/>
      </c>
      <c r="G349" s="29">
        <f>IF(Responses!AS345="","",IF(AND(ISNUMBER(Responses!AX345),ISNUMBER(IFERROR(VALUE(INDEX(Spaces!$B$5:$B$16,MATCH(Responses!AS345,Spaces!$A$5:$A$16,0))&amp;""),""))),IF(Responses!AX345&gt;IFERROR(VALUE(INDEX(Spaces!$B$5:$B$16,MATCH(Responses!AS345,Spaces!$A$5:$A$16,0))&amp;""),""),"Over by "&amp;(Responses!AX345-IFERROR(VALUE(INDEX(Spaces!$B$5:$B$16,MATCH(Responses!AS345,Spaces!$A$5:$A$16,0))&amp;""),"")),"OK"),""))</f>
        <v/>
      </c>
      <c r="H349" s="28">
        <f>Responses!BF345</f>
        <v/>
      </c>
      <c r="I349" s="28">
        <f>IF(Responses!AS345="","",Responses!AO345&amp;"")</f>
        <v/>
      </c>
      <c r="J349" s="28">
        <f>IF(Responses!AS345="","",Responses!AZ345&amp;"")</f>
        <v/>
      </c>
      <c r="K349" s="29">
        <f>Responses!AY345</f>
        <v/>
      </c>
      <c r="L349" s="28">
        <f>IF(Responses!AS345="","",IF(Responses!AY345="Declined","",IF(Responses!BA345=0,"Check date and times",IF(Responses!BB345&gt;0,Responses!BC345,"No clash"))))</f>
        <v/>
      </c>
    </row>
    <row r="350">
      <c r="A350" s="27">
        <f>IF(Responses!AS346="","",IF(Responses!AT346&gt;0,Responses!AT346,"Check date"))</f>
        <v/>
      </c>
      <c r="B350" s="28">
        <f>Responses!AS346</f>
        <v/>
      </c>
      <c r="C350" s="29">
        <f>IF(Responses!AS346="","",IF(Responses!AU346&gt;=0,IF(Responses!AU346="","",RIGHT("0"&amp;INT(Responses!AU346/60),2)&amp;":"&amp;RIGHT("0"&amp;MOD(Responses!AU346,60),2)),"Check"))</f>
        <v/>
      </c>
      <c r="D350" s="29">
        <f>IF(Responses!AS346="","",IF(Responses!AV346&gt;=0,IF(Responses!AV346="","",RIGHT("0"&amp;INT(Responses!AV346/60),2)&amp;":"&amp;RIGHT("0"&amp;MOD(Responses!AV346,60),2)),"Check"))</f>
        <v/>
      </c>
      <c r="E350" s="28">
        <f>Responses!AW346</f>
        <v/>
      </c>
      <c r="F350" s="29">
        <f>Responses!AX346</f>
        <v/>
      </c>
      <c r="G350" s="29">
        <f>IF(Responses!AS346="","",IF(AND(ISNUMBER(Responses!AX346),ISNUMBER(IFERROR(VALUE(INDEX(Spaces!$B$5:$B$16,MATCH(Responses!AS346,Spaces!$A$5:$A$16,0))&amp;""),""))),IF(Responses!AX346&gt;IFERROR(VALUE(INDEX(Spaces!$B$5:$B$16,MATCH(Responses!AS346,Spaces!$A$5:$A$16,0))&amp;""),""),"Over by "&amp;(Responses!AX346-IFERROR(VALUE(INDEX(Spaces!$B$5:$B$16,MATCH(Responses!AS346,Spaces!$A$5:$A$16,0))&amp;""),"")),"OK"),""))</f>
        <v/>
      </c>
      <c r="H350" s="28">
        <f>Responses!BF346</f>
        <v/>
      </c>
      <c r="I350" s="28">
        <f>IF(Responses!AS346="","",Responses!AO346&amp;"")</f>
        <v/>
      </c>
      <c r="J350" s="28">
        <f>IF(Responses!AS346="","",Responses!AZ346&amp;"")</f>
        <v/>
      </c>
      <c r="K350" s="29">
        <f>Responses!AY346</f>
        <v/>
      </c>
      <c r="L350" s="28">
        <f>IF(Responses!AS346="","",IF(Responses!AY346="Declined","",IF(Responses!BA346=0,"Check date and times",IF(Responses!BB346&gt;0,Responses!BC346,"No clash"))))</f>
        <v/>
      </c>
    </row>
    <row r="351">
      <c r="A351" s="27">
        <f>IF(Responses!AS347="","",IF(Responses!AT347&gt;0,Responses!AT347,"Check date"))</f>
        <v/>
      </c>
      <c r="B351" s="28">
        <f>Responses!AS347</f>
        <v/>
      </c>
      <c r="C351" s="29">
        <f>IF(Responses!AS347="","",IF(Responses!AU347&gt;=0,IF(Responses!AU347="","",RIGHT("0"&amp;INT(Responses!AU347/60),2)&amp;":"&amp;RIGHT("0"&amp;MOD(Responses!AU347,60),2)),"Check"))</f>
        <v/>
      </c>
      <c r="D351" s="29">
        <f>IF(Responses!AS347="","",IF(Responses!AV347&gt;=0,IF(Responses!AV347="","",RIGHT("0"&amp;INT(Responses!AV347/60),2)&amp;":"&amp;RIGHT("0"&amp;MOD(Responses!AV347,60),2)),"Check"))</f>
        <v/>
      </c>
      <c r="E351" s="28">
        <f>Responses!AW347</f>
        <v/>
      </c>
      <c r="F351" s="29">
        <f>Responses!AX347</f>
        <v/>
      </c>
      <c r="G351" s="29">
        <f>IF(Responses!AS347="","",IF(AND(ISNUMBER(Responses!AX347),ISNUMBER(IFERROR(VALUE(INDEX(Spaces!$B$5:$B$16,MATCH(Responses!AS347,Spaces!$A$5:$A$16,0))&amp;""),""))),IF(Responses!AX347&gt;IFERROR(VALUE(INDEX(Spaces!$B$5:$B$16,MATCH(Responses!AS347,Spaces!$A$5:$A$16,0))&amp;""),""),"Over by "&amp;(Responses!AX347-IFERROR(VALUE(INDEX(Spaces!$B$5:$B$16,MATCH(Responses!AS347,Spaces!$A$5:$A$16,0))&amp;""),"")),"OK"),""))</f>
        <v/>
      </c>
      <c r="H351" s="28">
        <f>Responses!BF347</f>
        <v/>
      </c>
      <c r="I351" s="28">
        <f>IF(Responses!AS347="","",Responses!AO347&amp;"")</f>
        <v/>
      </c>
      <c r="J351" s="28">
        <f>IF(Responses!AS347="","",Responses!AZ347&amp;"")</f>
        <v/>
      </c>
      <c r="K351" s="29">
        <f>Responses!AY347</f>
        <v/>
      </c>
      <c r="L351" s="28">
        <f>IF(Responses!AS347="","",IF(Responses!AY347="Declined","",IF(Responses!BA347=0,"Check date and times",IF(Responses!BB347&gt;0,Responses!BC347,"No clash"))))</f>
        <v/>
      </c>
    </row>
    <row r="352">
      <c r="A352" s="27">
        <f>IF(Responses!AS348="","",IF(Responses!AT348&gt;0,Responses!AT348,"Check date"))</f>
        <v/>
      </c>
      <c r="B352" s="28">
        <f>Responses!AS348</f>
        <v/>
      </c>
      <c r="C352" s="29">
        <f>IF(Responses!AS348="","",IF(Responses!AU348&gt;=0,IF(Responses!AU348="","",RIGHT("0"&amp;INT(Responses!AU348/60),2)&amp;":"&amp;RIGHT("0"&amp;MOD(Responses!AU348,60),2)),"Check"))</f>
        <v/>
      </c>
      <c r="D352" s="29">
        <f>IF(Responses!AS348="","",IF(Responses!AV348&gt;=0,IF(Responses!AV348="","",RIGHT("0"&amp;INT(Responses!AV348/60),2)&amp;":"&amp;RIGHT("0"&amp;MOD(Responses!AV348,60),2)),"Check"))</f>
        <v/>
      </c>
      <c r="E352" s="28">
        <f>Responses!AW348</f>
        <v/>
      </c>
      <c r="F352" s="29">
        <f>Responses!AX348</f>
        <v/>
      </c>
      <c r="G352" s="29">
        <f>IF(Responses!AS348="","",IF(AND(ISNUMBER(Responses!AX348),ISNUMBER(IFERROR(VALUE(INDEX(Spaces!$B$5:$B$16,MATCH(Responses!AS348,Spaces!$A$5:$A$16,0))&amp;""),""))),IF(Responses!AX348&gt;IFERROR(VALUE(INDEX(Spaces!$B$5:$B$16,MATCH(Responses!AS348,Spaces!$A$5:$A$16,0))&amp;""),""),"Over by "&amp;(Responses!AX348-IFERROR(VALUE(INDEX(Spaces!$B$5:$B$16,MATCH(Responses!AS348,Spaces!$A$5:$A$16,0))&amp;""),"")),"OK"),""))</f>
        <v/>
      </c>
      <c r="H352" s="28">
        <f>Responses!BF348</f>
        <v/>
      </c>
      <c r="I352" s="28">
        <f>IF(Responses!AS348="","",Responses!AO348&amp;"")</f>
        <v/>
      </c>
      <c r="J352" s="28">
        <f>IF(Responses!AS348="","",Responses!AZ348&amp;"")</f>
        <v/>
      </c>
      <c r="K352" s="29">
        <f>Responses!AY348</f>
        <v/>
      </c>
      <c r="L352" s="28">
        <f>IF(Responses!AS348="","",IF(Responses!AY348="Declined","",IF(Responses!BA348=0,"Check date and times",IF(Responses!BB348&gt;0,Responses!BC348,"No clash"))))</f>
        <v/>
      </c>
    </row>
    <row r="353">
      <c r="A353" s="27">
        <f>IF(Responses!AS349="","",IF(Responses!AT349&gt;0,Responses!AT349,"Check date"))</f>
        <v/>
      </c>
      <c r="B353" s="28">
        <f>Responses!AS349</f>
        <v/>
      </c>
      <c r="C353" s="29">
        <f>IF(Responses!AS349="","",IF(Responses!AU349&gt;=0,IF(Responses!AU349="","",RIGHT("0"&amp;INT(Responses!AU349/60),2)&amp;":"&amp;RIGHT("0"&amp;MOD(Responses!AU349,60),2)),"Check"))</f>
        <v/>
      </c>
      <c r="D353" s="29">
        <f>IF(Responses!AS349="","",IF(Responses!AV349&gt;=0,IF(Responses!AV349="","",RIGHT("0"&amp;INT(Responses!AV349/60),2)&amp;":"&amp;RIGHT("0"&amp;MOD(Responses!AV349,60),2)),"Check"))</f>
        <v/>
      </c>
      <c r="E353" s="28">
        <f>Responses!AW349</f>
        <v/>
      </c>
      <c r="F353" s="29">
        <f>Responses!AX349</f>
        <v/>
      </c>
      <c r="G353" s="29">
        <f>IF(Responses!AS349="","",IF(AND(ISNUMBER(Responses!AX349),ISNUMBER(IFERROR(VALUE(INDEX(Spaces!$B$5:$B$16,MATCH(Responses!AS349,Spaces!$A$5:$A$16,0))&amp;""),""))),IF(Responses!AX349&gt;IFERROR(VALUE(INDEX(Spaces!$B$5:$B$16,MATCH(Responses!AS349,Spaces!$A$5:$A$16,0))&amp;""),""),"Over by "&amp;(Responses!AX349-IFERROR(VALUE(INDEX(Spaces!$B$5:$B$16,MATCH(Responses!AS349,Spaces!$A$5:$A$16,0))&amp;""),"")),"OK"),""))</f>
        <v/>
      </c>
      <c r="H353" s="28">
        <f>Responses!BF349</f>
        <v/>
      </c>
      <c r="I353" s="28">
        <f>IF(Responses!AS349="","",Responses!AO349&amp;"")</f>
        <v/>
      </c>
      <c r="J353" s="28">
        <f>IF(Responses!AS349="","",Responses!AZ349&amp;"")</f>
        <v/>
      </c>
      <c r="K353" s="29">
        <f>Responses!AY349</f>
        <v/>
      </c>
      <c r="L353" s="28">
        <f>IF(Responses!AS349="","",IF(Responses!AY349="Declined","",IF(Responses!BA349=0,"Check date and times",IF(Responses!BB349&gt;0,Responses!BC349,"No clash"))))</f>
        <v/>
      </c>
    </row>
    <row r="354">
      <c r="A354" s="27">
        <f>IF(Responses!AS350="","",IF(Responses!AT350&gt;0,Responses!AT350,"Check date"))</f>
        <v/>
      </c>
      <c r="B354" s="28">
        <f>Responses!AS350</f>
        <v/>
      </c>
      <c r="C354" s="29">
        <f>IF(Responses!AS350="","",IF(Responses!AU350&gt;=0,IF(Responses!AU350="","",RIGHT("0"&amp;INT(Responses!AU350/60),2)&amp;":"&amp;RIGHT("0"&amp;MOD(Responses!AU350,60),2)),"Check"))</f>
        <v/>
      </c>
      <c r="D354" s="29">
        <f>IF(Responses!AS350="","",IF(Responses!AV350&gt;=0,IF(Responses!AV350="","",RIGHT("0"&amp;INT(Responses!AV350/60),2)&amp;":"&amp;RIGHT("0"&amp;MOD(Responses!AV350,60),2)),"Check"))</f>
        <v/>
      </c>
      <c r="E354" s="28">
        <f>Responses!AW350</f>
        <v/>
      </c>
      <c r="F354" s="29">
        <f>Responses!AX350</f>
        <v/>
      </c>
      <c r="G354" s="29">
        <f>IF(Responses!AS350="","",IF(AND(ISNUMBER(Responses!AX350),ISNUMBER(IFERROR(VALUE(INDEX(Spaces!$B$5:$B$16,MATCH(Responses!AS350,Spaces!$A$5:$A$16,0))&amp;""),""))),IF(Responses!AX350&gt;IFERROR(VALUE(INDEX(Spaces!$B$5:$B$16,MATCH(Responses!AS350,Spaces!$A$5:$A$16,0))&amp;""),""),"Over by "&amp;(Responses!AX350-IFERROR(VALUE(INDEX(Spaces!$B$5:$B$16,MATCH(Responses!AS350,Spaces!$A$5:$A$16,0))&amp;""),"")),"OK"),""))</f>
        <v/>
      </c>
      <c r="H354" s="28">
        <f>Responses!BF350</f>
        <v/>
      </c>
      <c r="I354" s="28">
        <f>IF(Responses!AS350="","",Responses!AO350&amp;"")</f>
        <v/>
      </c>
      <c r="J354" s="28">
        <f>IF(Responses!AS350="","",Responses!AZ350&amp;"")</f>
        <v/>
      </c>
      <c r="K354" s="29">
        <f>Responses!AY350</f>
        <v/>
      </c>
      <c r="L354" s="28">
        <f>IF(Responses!AS350="","",IF(Responses!AY350="Declined","",IF(Responses!BA350=0,"Check date and times",IF(Responses!BB350&gt;0,Responses!BC350,"No clash"))))</f>
        <v/>
      </c>
    </row>
    <row r="355">
      <c r="A355" s="27">
        <f>IF(Responses!AS351="","",IF(Responses!AT351&gt;0,Responses!AT351,"Check date"))</f>
        <v/>
      </c>
      <c r="B355" s="28">
        <f>Responses!AS351</f>
        <v/>
      </c>
      <c r="C355" s="29">
        <f>IF(Responses!AS351="","",IF(Responses!AU351&gt;=0,IF(Responses!AU351="","",RIGHT("0"&amp;INT(Responses!AU351/60),2)&amp;":"&amp;RIGHT("0"&amp;MOD(Responses!AU351,60),2)),"Check"))</f>
        <v/>
      </c>
      <c r="D355" s="29">
        <f>IF(Responses!AS351="","",IF(Responses!AV351&gt;=0,IF(Responses!AV351="","",RIGHT("0"&amp;INT(Responses!AV351/60),2)&amp;":"&amp;RIGHT("0"&amp;MOD(Responses!AV351,60),2)),"Check"))</f>
        <v/>
      </c>
      <c r="E355" s="28">
        <f>Responses!AW351</f>
        <v/>
      </c>
      <c r="F355" s="29">
        <f>Responses!AX351</f>
        <v/>
      </c>
      <c r="G355" s="29">
        <f>IF(Responses!AS351="","",IF(AND(ISNUMBER(Responses!AX351),ISNUMBER(IFERROR(VALUE(INDEX(Spaces!$B$5:$B$16,MATCH(Responses!AS351,Spaces!$A$5:$A$16,0))&amp;""),""))),IF(Responses!AX351&gt;IFERROR(VALUE(INDEX(Spaces!$B$5:$B$16,MATCH(Responses!AS351,Spaces!$A$5:$A$16,0))&amp;""),""),"Over by "&amp;(Responses!AX351-IFERROR(VALUE(INDEX(Spaces!$B$5:$B$16,MATCH(Responses!AS351,Spaces!$A$5:$A$16,0))&amp;""),"")),"OK"),""))</f>
        <v/>
      </c>
      <c r="H355" s="28">
        <f>Responses!BF351</f>
        <v/>
      </c>
      <c r="I355" s="28">
        <f>IF(Responses!AS351="","",Responses!AO351&amp;"")</f>
        <v/>
      </c>
      <c r="J355" s="28">
        <f>IF(Responses!AS351="","",Responses!AZ351&amp;"")</f>
        <v/>
      </c>
      <c r="K355" s="29">
        <f>Responses!AY351</f>
        <v/>
      </c>
      <c r="L355" s="28">
        <f>IF(Responses!AS351="","",IF(Responses!AY351="Declined","",IF(Responses!BA351=0,"Check date and times",IF(Responses!BB351&gt;0,Responses!BC351,"No clash"))))</f>
        <v/>
      </c>
    </row>
    <row r="356">
      <c r="A356" s="27">
        <f>IF(Responses!AS352="","",IF(Responses!AT352&gt;0,Responses!AT352,"Check date"))</f>
        <v/>
      </c>
      <c r="B356" s="28">
        <f>Responses!AS352</f>
        <v/>
      </c>
      <c r="C356" s="29">
        <f>IF(Responses!AS352="","",IF(Responses!AU352&gt;=0,IF(Responses!AU352="","",RIGHT("0"&amp;INT(Responses!AU352/60),2)&amp;":"&amp;RIGHT("0"&amp;MOD(Responses!AU352,60),2)),"Check"))</f>
        <v/>
      </c>
      <c r="D356" s="29">
        <f>IF(Responses!AS352="","",IF(Responses!AV352&gt;=0,IF(Responses!AV352="","",RIGHT("0"&amp;INT(Responses!AV352/60),2)&amp;":"&amp;RIGHT("0"&amp;MOD(Responses!AV352,60),2)),"Check"))</f>
        <v/>
      </c>
      <c r="E356" s="28">
        <f>Responses!AW352</f>
        <v/>
      </c>
      <c r="F356" s="29">
        <f>Responses!AX352</f>
        <v/>
      </c>
      <c r="G356" s="29">
        <f>IF(Responses!AS352="","",IF(AND(ISNUMBER(Responses!AX352),ISNUMBER(IFERROR(VALUE(INDEX(Spaces!$B$5:$B$16,MATCH(Responses!AS352,Spaces!$A$5:$A$16,0))&amp;""),""))),IF(Responses!AX352&gt;IFERROR(VALUE(INDEX(Spaces!$B$5:$B$16,MATCH(Responses!AS352,Spaces!$A$5:$A$16,0))&amp;""),""),"Over by "&amp;(Responses!AX352-IFERROR(VALUE(INDEX(Spaces!$B$5:$B$16,MATCH(Responses!AS352,Spaces!$A$5:$A$16,0))&amp;""),"")),"OK"),""))</f>
        <v/>
      </c>
      <c r="H356" s="28">
        <f>Responses!BF352</f>
        <v/>
      </c>
      <c r="I356" s="28">
        <f>IF(Responses!AS352="","",Responses!AO352&amp;"")</f>
        <v/>
      </c>
      <c r="J356" s="28">
        <f>IF(Responses!AS352="","",Responses!AZ352&amp;"")</f>
        <v/>
      </c>
      <c r="K356" s="29">
        <f>Responses!AY352</f>
        <v/>
      </c>
      <c r="L356" s="28">
        <f>IF(Responses!AS352="","",IF(Responses!AY352="Declined","",IF(Responses!BA352=0,"Check date and times",IF(Responses!BB352&gt;0,Responses!BC352,"No clash"))))</f>
        <v/>
      </c>
    </row>
    <row r="357">
      <c r="A357" s="27">
        <f>IF(Responses!AS353="","",IF(Responses!AT353&gt;0,Responses!AT353,"Check date"))</f>
        <v/>
      </c>
      <c r="B357" s="28">
        <f>Responses!AS353</f>
        <v/>
      </c>
      <c r="C357" s="29">
        <f>IF(Responses!AS353="","",IF(Responses!AU353&gt;=0,IF(Responses!AU353="","",RIGHT("0"&amp;INT(Responses!AU353/60),2)&amp;":"&amp;RIGHT("0"&amp;MOD(Responses!AU353,60),2)),"Check"))</f>
        <v/>
      </c>
      <c r="D357" s="29">
        <f>IF(Responses!AS353="","",IF(Responses!AV353&gt;=0,IF(Responses!AV353="","",RIGHT("0"&amp;INT(Responses!AV353/60),2)&amp;":"&amp;RIGHT("0"&amp;MOD(Responses!AV353,60),2)),"Check"))</f>
        <v/>
      </c>
      <c r="E357" s="28">
        <f>Responses!AW353</f>
        <v/>
      </c>
      <c r="F357" s="29">
        <f>Responses!AX353</f>
        <v/>
      </c>
      <c r="G357" s="29">
        <f>IF(Responses!AS353="","",IF(AND(ISNUMBER(Responses!AX353),ISNUMBER(IFERROR(VALUE(INDEX(Spaces!$B$5:$B$16,MATCH(Responses!AS353,Spaces!$A$5:$A$16,0))&amp;""),""))),IF(Responses!AX353&gt;IFERROR(VALUE(INDEX(Spaces!$B$5:$B$16,MATCH(Responses!AS353,Spaces!$A$5:$A$16,0))&amp;""),""),"Over by "&amp;(Responses!AX353-IFERROR(VALUE(INDEX(Spaces!$B$5:$B$16,MATCH(Responses!AS353,Spaces!$A$5:$A$16,0))&amp;""),"")),"OK"),""))</f>
        <v/>
      </c>
      <c r="H357" s="28">
        <f>Responses!BF353</f>
        <v/>
      </c>
      <c r="I357" s="28">
        <f>IF(Responses!AS353="","",Responses!AO353&amp;"")</f>
        <v/>
      </c>
      <c r="J357" s="28">
        <f>IF(Responses!AS353="","",Responses!AZ353&amp;"")</f>
        <v/>
      </c>
      <c r="K357" s="29">
        <f>Responses!AY353</f>
        <v/>
      </c>
      <c r="L357" s="28">
        <f>IF(Responses!AS353="","",IF(Responses!AY353="Declined","",IF(Responses!BA353=0,"Check date and times",IF(Responses!BB353&gt;0,Responses!BC353,"No clash"))))</f>
        <v/>
      </c>
    </row>
    <row r="358">
      <c r="A358" s="27">
        <f>IF(Responses!AS354="","",IF(Responses!AT354&gt;0,Responses!AT354,"Check date"))</f>
        <v/>
      </c>
      <c r="B358" s="28">
        <f>Responses!AS354</f>
        <v/>
      </c>
      <c r="C358" s="29">
        <f>IF(Responses!AS354="","",IF(Responses!AU354&gt;=0,IF(Responses!AU354="","",RIGHT("0"&amp;INT(Responses!AU354/60),2)&amp;":"&amp;RIGHT("0"&amp;MOD(Responses!AU354,60),2)),"Check"))</f>
        <v/>
      </c>
      <c r="D358" s="29">
        <f>IF(Responses!AS354="","",IF(Responses!AV354&gt;=0,IF(Responses!AV354="","",RIGHT("0"&amp;INT(Responses!AV354/60),2)&amp;":"&amp;RIGHT("0"&amp;MOD(Responses!AV354,60),2)),"Check"))</f>
        <v/>
      </c>
      <c r="E358" s="28">
        <f>Responses!AW354</f>
        <v/>
      </c>
      <c r="F358" s="29">
        <f>Responses!AX354</f>
        <v/>
      </c>
      <c r="G358" s="29">
        <f>IF(Responses!AS354="","",IF(AND(ISNUMBER(Responses!AX354),ISNUMBER(IFERROR(VALUE(INDEX(Spaces!$B$5:$B$16,MATCH(Responses!AS354,Spaces!$A$5:$A$16,0))&amp;""),""))),IF(Responses!AX354&gt;IFERROR(VALUE(INDEX(Spaces!$B$5:$B$16,MATCH(Responses!AS354,Spaces!$A$5:$A$16,0))&amp;""),""),"Over by "&amp;(Responses!AX354-IFERROR(VALUE(INDEX(Spaces!$B$5:$B$16,MATCH(Responses!AS354,Spaces!$A$5:$A$16,0))&amp;""),"")),"OK"),""))</f>
        <v/>
      </c>
      <c r="H358" s="28">
        <f>Responses!BF354</f>
        <v/>
      </c>
      <c r="I358" s="28">
        <f>IF(Responses!AS354="","",Responses!AO354&amp;"")</f>
        <v/>
      </c>
      <c r="J358" s="28">
        <f>IF(Responses!AS354="","",Responses!AZ354&amp;"")</f>
        <v/>
      </c>
      <c r="K358" s="29">
        <f>Responses!AY354</f>
        <v/>
      </c>
      <c r="L358" s="28">
        <f>IF(Responses!AS354="","",IF(Responses!AY354="Declined","",IF(Responses!BA354=0,"Check date and times",IF(Responses!BB354&gt;0,Responses!BC354,"No clash"))))</f>
        <v/>
      </c>
    </row>
    <row r="359">
      <c r="A359" s="27">
        <f>IF(Responses!AS355="","",IF(Responses!AT355&gt;0,Responses!AT355,"Check date"))</f>
        <v/>
      </c>
      <c r="B359" s="28">
        <f>Responses!AS355</f>
        <v/>
      </c>
      <c r="C359" s="29">
        <f>IF(Responses!AS355="","",IF(Responses!AU355&gt;=0,IF(Responses!AU355="","",RIGHT("0"&amp;INT(Responses!AU355/60),2)&amp;":"&amp;RIGHT("0"&amp;MOD(Responses!AU355,60),2)),"Check"))</f>
        <v/>
      </c>
      <c r="D359" s="29">
        <f>IF(Responses!AS355="","",IF(Responses!AV355&gt;=0,IF(Responses!AV355="","",RIGHT("0"&amp;INT(Responses!AV355/60),2)&amp;":"&amp;RIGHT("0"&amp;MOD(Responses!AV355,60),2)),"Check"))</f>
        <v/>
      </c>
      <c r="E359" s="28">
        <f>Responses!AW355</f>
        <v/>
      </c>
      <c r="F359" s="29">
        <f>Responses!AX355</f>
        <v/>
      </c>
      <c r="G359" s="29">
        <f>IF(Responses!AS355="","",IF(AND(ISNUMBER(Responses!AX355),ISNUMBER(IFERROR(VALUE(INDEX(Spaces!$B$5:$B$16,MATCH(Responses!AS355,Spaces!$A$5:$A$16,0))&amp;""),""))),IF(Responses!AX355&gt;IFERROR(VALUE(INDEX(Spaces!$B$5:$B$16,MATCH(Responses!AS355,Spaces!$A$5:$A$16,0))&amp;""),""),"Over by "&amp;(Responses!AX355-IFERROR(VALUE(INDEX(Spaces!$B$5:$B$16,MATCH(Responses!AS355,Spaces!$A$5:$A$16,0))&amp;""),"")),"OK"),""))</f>
        <v/>
      </c>
      <c r="H359" s="28">
        <f>Responses!BF355</f>
        <v/>
      </c>
      <c r="I359" s="28">
        <f>IF(Responses!AS355="","",Responses!AO355&amp;"")</f>
        <v/>
      </c>
      <c r="J359" s="28">
        <f>IF(Responses!AS355="","",Responses!AZ355&amp;"")</f>
        <v/>
      </c>
      <c r="K359" s="29">
        <f>Responses!AY355</f>
        <v/>
      </c>
      <c r="L359" s="28">
        <f>IF(Responses!AS355="","",IF(Responses!AY355="Declined","",IF(Responses!BA355=0,"Check date and times",IF(Responses!BB355&gt;0,Responses!BC355,"No clash"))))</f>
        <v/>
      </c>
    </row>
    <row r="360">
      <c r="A360" s="27">
        <f>IF(Responses!AS356="","",IF(Responses!AT356&gt;0,Responses!AT356,"Check date"))</f>
        <v/>
      </c>
      <c r="B360" s="28">
        <f>Responses!AS356</f>
        <v/>
      </c>
      <c r="C360" s="29">
        <f>IF(Responses!AS356="","",IF(Responses!AU356&gt;=0,IF(Responses!AU356="","",RIGHT("0"&amp;INT(Responses!AU356/60),2)&amp;":"&amp;RIGHT("0"&amp;MOD(Responses!AU356,60),2)),"Check"))</f>
        <v/>
      </c>
      <c r="D360" s="29">
        <f>IF(Responses!AS356="","",IF(Responses!AV356&gt;=0,IF(Responses!AV356="","",RIGHT("0"&amp;INT(Responses!AV356/60),2)&amp;":"&amp;RIGHT("0"&amp;MOD(Responses!AV356,60),2)),"Check"))</f>
        <v/>
      </c>
      <c r="E360" s="28">
        <f>Responses!AW356</f>
        <v/>
      </c>
      <c r="F360" s="29">
        <f>Responses!AX356</f>
        <v/>
      </c>
      <c r="G360" s="29">
        <f>IF(Responses!AS356="","",IF(AND(ISNUMBER(Responses!AX356),ISNUMBER(IFERROR(VALUE(INDEX(Spaces!$B$5:$B$16,MATCH(Responses!AS356,Spaces!$A$5:$A$16,0))&amp;""),""))),IF(Responses!AX356&gt;IFERROR(VALUE(INDEX(Spaces!$B$5:$B$16,MATCH(Responses!AS356,Spaces!$A$5:$A$16,0))&amp;""),""),"Over by "&amp;(Responses!AX356-IFERROR(VALUE(INDEX(Spaces!$B$5:$B$16,MATCH(Responses!AS356,Spaces!$A$5:$A$16,0))&amp;""),"")),"OK"),""))</f>
        <v/>
      </c>
      <c r="H360" s="28">
        <f>Responses!BF356</f>
        <v/>
      </c>
      <c r="I360" s="28">
        <f>IF(Responses!AS356="","",Responses!AO356&amp;"")</f>
        <v/>
      </c>
      <c r="J360" s="28">
        <f>IF(Responses!AS356="","",Responses!AZ356&amp;"")</f>
        <v/>
      </c>
      <c r="K360" s="29">
        <f>Responses!AY356</f>
        <v/>
      </c>
      <c r="L360" s="28">
        <f>IF(Responses!AS356="","",IF(Responses!AY356="Declined","",IF(Responses!BA356=0,"Check date and times",IF(Responses!BB356&gt;0,Responses!BC356,"No clash"))))</f>
        <v/>
      </c>
    </row>
    <row r="361">
      <c r="A361" s="27">
        <f>IF(Responses!AS357="","",IF(Responses!AT357&gt;0,Responses!AT357,"Check date"))</f>
        <v/>
      </c>
      <c r="B361" s="28">
        <f>Responses!AS357</f>
        <v/>
      </c>
      <c r="C361" s="29">
        <f>IF(Responses!AS357="","",IF(Responses!AU357&gt;=0,IF(Responses!AU357="","",RIGHT("0"&amp;INT(Responses!AU357/60),2)&amp;":"&amp;RIGHT("0"&amp;MOD(Responses!AU357,60),2)),"Check"))</f>
        <v/>
      </c>
      <c r="D361" s="29">
        <f>IF(Responses!AS357="","",IF(Responses!AV357&gt;=0,IF(Responses!AV357="","",RIGHT("0"&amp;INT(Responses!AV357/60),2)&amp;":"&amp;RIGHT("0"&amp;MOD(Responses!AV357,60),2)),"Check"))</f>
        <v/>
      </c>
      <c r="E361" s="28">
        <f>Responses!AW357</f>
        <v/>
      </c>
      <c r="F361" s="29">
        <f>Responses!AX357</f>
        <v/>
      </c>
      <c r="G361" s="29">
        <f>IF(Responses!AS357="","",IF(AND(ISNUMBER(Responses!AX357),ISNUMBER(IFERROR(VALUE(INDEX(Spaces!$B$5:$B$16,MATCH(Responses!AS357,Spaces!$A$5:$A$16,0))&amp;""),""))),IF(Responses!AX357&gt;IFERROR(VALUE(INDEX(Spaces!$B$5:$B$16,MATCH(Responses!AS357,Spaces!$A$5:$A$16,0))&amp;""),""),"Over by "&amp;(Responses!AX357-IFERROR(VALUE(INDEX(Spaces!$B$5:$B$16,MATCH(Responses!AS357,Spaces!$A$5:$A$16,0))&amp;""),"")),"OK"),""))</f>
        <v/>
      </c>
      <c r="H361" s="28">
        <f>Responses!BF357</f>
        <v/>
      </c>
      <c r="I361" s="28">
        <f>IF(Responses!AS357="","",Responses!AO357&amp;"")</f>
        <v/>
      </c>
      <c r="J361" s="28">
        <f>IF(Responses!AS357="","",Responses!AZ357&amp;"")</f>
        <v/>
      </c>
      <c r="K361" s="29">
        <f>Responses!AY357</f>
        <v/>
      </c>
      <c r="L361" s="28">
        <f>IF(Responses!AS357="","",IF(Responses!AY357="Declined","",IF(Responses!BA357=0,"Check date and times",IF(Responses!BB357&gt;0,Responses!BC357,"No clash"))))</f>
        <v/>
      </c>
    </row>
    <row r="362">
      <c r="A362" s="27">
        <f>IF(Responses!AS358="","",IF(Responses!AT358&gt;0,Responses!AT358,"Check date"))</f>
        <v/>
      </c>
      <c r="B362" s="28">
        <f>Responses!AS358</f>
        <v/>
      </c>
      <c r="C362" s="29">
        <f>IF(Responses!AS358="","",IF(Responses!AU358&gt;=0,IF(Responses!AU358="","",RIGHT("0"&amp;INT(Responses!AU358/60),2)&amp;":"&amp;RIGHT("0"&amp;MOD(Responses!AU358,60),2)),"Check"))</f>
        <v/>
      </c>
      <c r="D362" s="29">
        <f>IF(Responses!AS358="","",IF(Responses!AV358&gt;=0,IF(Responses!AV358="","",RIGHT("0"&amp;INT(Responses!AV358/60),2)&amp;":"&amp;RIGHT("0"&amp;MOD(Responses!AV358,60),2)),"Check"))</f>
        <v/>
      </c>
      <c r="E362" s="28">
        <f>Responses!AW358</f>
        <v/>
      </c>
      <c r="F362" s="29">
        <f>Responses!AX358</f>
        <v/>
      </c>
      <c r="G362" s="29">
        <f>IF(Responses!AS358="","",IF(AND(ISNUMBER(Responses!AX358),ISNUMBER(IFERROR(VALUE(INDEX(Spaces!$B$5:$B$16,MATCH(Responses!AS358,Spaces!$A$5:$A$16,0))&amp;""),""))),IF(Responses!AX358&gt;IFERROR(VALUE(INDEX(Spaces!$B$5:$B$16,MATCH(Responses!AS358,Spaces!$A$5:$A$16,0))&amp;""),""),"Over by "&amp;(Responses!AX358-IFERROR(VALUE(INDEX(Spaces!$B$5:$B$16,MATCH(Responses!AS358,Spaces!$A$5:$A$16,0))&amp;""),"")),"OK"),""))</f>
        <v/>
      </c>
      <c r="H362" s="28">
        <f>Responses!BF358</f>
        <v/>
      </c>
      <c r="I362" s="28">
        <f>IF(Responses!AS358="","",Responses!AO358&amp;"")</f>
        <v/>
      </c>
      <c r="J362" s="28">
        <f>IF(Responses!AS358="","",Responses!AZ358&amp;"")</f>
        <v/>
      </c>
      <c r="K362" s="29">
        <f>Responses!AY358</f>
        <v/>
      </c>
      <c r="L362" s="28">
        <f>IF(Responses!AS358="","",IF(Responses!AY358="Declined","",IF(Responses!BA358=0,"Check date and times",IF(Responses!BB358&gt;0,Responses!BC358,"No clash"))))</f>
        <v/>
      </c>
    </row>
    <row r="363">
      <c r="A363" s="27">
        <f>IF(Responses!AS359="","",IF(Responses!AT359&gt;0,Responses!AT359,"Check date"))</f>
        <v/>
      </c>
      <c r="B363" s="28">
        <f>Responses!AS359</f>
        <v/>
      </c>
      <c r="C363" s="29">
        <f>IF(Responses!AS359="","",IF(Responses!AU359&gt;=0,IF(Responses!AU359="","",RIGHT("0"&amp;INT(Responses!AU359/60),2)&amp;":"&amp;RIGHT("0"&amp;MOD(Responses!AU359,60),2)),"Check"))</f>
        <v/>
      </c>
      <c r="D363" s="29">
        <f>IF(Responses!AS359="","",IF(Responses!AV359&gt;=0,IF(Responses!AV359="","",RIGHT("0"&amp;INT(Responses!AV359/60),2)&amp;":"&amp;RIGHT("0"&amp;MOD(Responses!AV359,60),2)),"Check"))</f>
        <v/>
      </c>
      <c r="E363" s="28">
        <f>Responses!AW359</f>
        <v/>
      </c>
      <c r="F363" s="29">
        <f>Responses!AX359</f>
        <v/>
      </c>
      <c r="G363" s="29">
        <f>IF(Responses!AS359="","",IF(AND(ISNUMBER(Responses!AX359),ISNUMBER(IFERROR(VALUE(INDEX(Spaces!$B$5:$B$16,MATCH(Responses!AS359,Spaces!$A$5:$A$16,0))&amp;""),""))),IF(Responses!AX359&gt;IFERROR(VALUE(INDEX(Spaces!$B$5:$B$16,MATCH(Responses!AS359,Spaces!$A$5:$A$16,0))&amp;""),""),"Over by "&amp;(Responses!AX359-IFERROR(VALUE(INDEX(Spaces!$B$5:$B$16,MATCH(Responses!AS359,Spaces!$A$5:$A$16,0))&amp;""),"")),"OK"),""))</f>
        <v/>
      </c>
      <c r="H363" s="28">
        <f>Responses!BF359</f>
        <v/>
      </c>
      <c r="I363" s="28">
        <f>IF(Responses!AS359="","",Responses!AO359&amp;"")</f>
        <v/>
      </c>
      <c r="J363" s="28">
        <f>IF(Responses!AS359="","",Responses!AZ359&amp;"")</f>
        <v/>
      </c>
      <c r="K363" s="29">
        <f>Responses!AY359</f>
        <v/>
      </c>
      <c r="L363" s="28">
        <f>IF(Responses!AS359="","",IF(Responses!AY359="Declined","",IF(Responses!BA359=0,"Check date and times",IF(Responses!BB359&gt;0,Responses!BC359,"No clash"))))</f>
        <v/>
      </c>
    </row>
    <row r="364">
      <c r="A364" s="27">
        <f>IF(Responses!AS360="","",IF(Responses!AT360&gt;0,Responses!AT360,"Check date"))</f>
        <v/>
      </c>
      <c r="B364" s="28">
        <f>Responses!AS360</f>
        <v/>
      </c>
      <c r="C364" s="29">
        <f>IF(Responses!AS360="","",IF(Responses!AU360&gt;=0,IF(Responses!AU360="","",RIGHT("0"&amp;INT(Responses!AU360/60),2)&amp;":"&amp;RIGHT("0"&amp;MOD(Responses!AU360,60),2)),"Check"))</f>
        <v/>
      </c>
      <c r="D364" s="29">
        <f>IF(Responses!AS360="","",IF(Responses!AV360&gt;=0,IF(Responses!AV360="","",RIGHT("0"&amp;INT(Responses!AV360/60),2)&amp;":"&amp;RIGHT("0"&amp;MOD(Responses!AV360,60),2)),"Check"))</f>
        <v/>
      </c>
      <c r="E364" s="28">
        <f>Responses!AW360</f>
        <v/>
      </c>
      <c r="F364" s="29">
        <f>Responses!AX360</f>
        <v/>
      </c>
      <c r="G364" s="29">
        <f>IF(Responses!AS360="","",IF(AND(ISNUMBER(Responses!AX360),ISNUMBER(IFERROR(VALUE(INDEX(Spaces!$B$5:$B$16,MATCH(Responses!AS360,Spaces!$A$5:$A$16,0))&amp;""),""))),IF(Responses!AX360&gt;IFERROR(VALUE(INDEX(Spaces!$B$5:$B$16,MATCH(Responses!AS360,Spaces!$A$5:$A$16,0))&amp;""),""),"Over by "&amp;(Responses!AX360-IFERROR(VALUE(INDEX(Spaces!$B$5:$B$16,MATCH(Responses!AS360,Spaces!$A$5:$A$16,0))&amp;""),"")),"OK"),""))</f>
        <v/>
      </c>
      <c r="H364" s="28">
        <f>Responses!BF360</f>
        <v/>
      </c>
      <c r="I364" s="28">
        <f>IF(Responses!AS360="","",Responses!AO360&amp;"")</f>
        <v/>
      </c>
      <c r="J364" s="28">
        <f>IF(Responses!AS360="","",Responses!AZ360&amp;"")</f>
        <v/>
      </c>
      <c r="K364" s="29">
        <f>Responses!AY360</f>
        <v/>
      </c>
      <c r="L364" s="28">
        <f>IF(Responses!AS360="","",IF(Responses!AY360="Declined","",IF(Responses!BA360=0,"Check date and times",IF(Responses!BB360&gt;0,Responses!BC360,"No clash"))))</f>
        <v/>
      </c>
    </row>
    <row r="365">
      <c r="A365" s="27">
        <f>IF(Responses!AS361="","",IF(Responses!AT361&gt;0,Responses!AT361,"Check date"))</f>
        <v/>
      </c>
      <c r="B365" s="28">
        <f>Responses!AS361</f>
        <v/>
      </c>
      <c r="C365" s="29">
        <f>IF(Responses!AS361="","",IF(Responses!AU361&gt;=0,IF(Responses!AU361="","",RIGHT("0"&amp;INT(Responses!AU361/60),2)&amp;":"&amp;RIGHT("0"&amp;MOD(Responses!AU361,60),2)),"Check"))</f>
        <v/>
      </c>
      <c r="D365" s="29">
        <f>IF(Responses!AS361="","",IF(Responses!AV361&gt;=0,IF(Responses!AV361="","",RIGHT("0"&amp;INT(Responses!AV361/60),2)&amp;":"&amp;RIGHT("0"&amp;MOD(Responses!AV361,60),2)),"Check"))</f>
        <v/>
      </c>
      <c r="E365" s="28">
        <f>Responses!AW361</f>
        <v/>
      </c>
      <c r="F365" s="29">
        <f>Responses!AX361</f>
        <v/>
      </c>
      <c r="G365" s="29">
        <f>IF(Responses!AS361="","",IF(AND(ISNUMBER(Responses!AX361),ISNUMBER(IFERROR(VALUE(INDEX(Spaces!$B$5:$B$16,MATCH(Responses!AS361,Spaces!$A$5:$A$16,0))&amp;""),""))),IF(Responses!AX361&gt;IFERROR(VALUE(INDEX(Spaces!$B$5:$B$16,MATCH(Responses!AS361,Spaces!$A$5:$A$16,0))&amp;""),""),"Over by "&amp;(Responses!AX361-IFERROR(VALUE(INDEX(Spaces!$B$5:$B$16,MATCH(Responses!AS361,Spaces!$A$5:$A$16,0))&amp;""),"")),"OK"),""))</f>
        <v/>
      </c>
      <c r="H365" s="28">
        <f>Responses!BF361</f>
        <v/>
      </c>
      <c r="I365" s="28">
        <f>IF(Responses!AS361="","",Responses!AO361&amp;"")</f>
        <v/>
      </c>
      <c r="J365" s="28">
        <f>IF(Responses!AS361="","",Responses!AZ361&amp;"")</f>
        <v/>
      </c>
      <c r="K365" s="29">
        <f>Responses!AY361</f>
        <v/>
      </c>
      <c r="L365" s="28">
        <f>IF(Responses!AS361="","",IF(Responses!AY361="Declined","",IF(Responses!BA361=0,"Check date and times",IF(Responses!BB361&gt;0,Responses!BC361,"No clash"))))</f>
        <v/>
      </c>
    </row>
    <row r="366">
      <c r="A366" s="27">
        <f>IF(Responses!AS362="","",IF(Responses!AT362&gt;0,Responses!AT362,"Check date"))</f>
        <v/>
      </c>
      <c r="B366" s="28">
        <f>Responses!AS362</f>
        <v/>
      </c>
      <c r="C366" s="29">
        <f>IF(Responses!AS362="","",IF(Responses!AU362&gt;=0,IF(Responses!AU362="","",RIGHT("0"&amp;INT(Responses!AU362/60),2)&amp;":"&amp;RIGHT("0"&amp;MOD(Responses!AU362,60),2)),"Check"))</f>
        <v/>
      </c>
      <c r="D366" s="29">
        <f>IF(Responses!AS362="","",IF(Responses!AV362&gt;=0,IF(Responses!AV362="","",RIGHT("0"&amp;INT(Responses!AV362/60),2)&amp;":"&amp;RIGHT("0"&amp;MOD(Responses!AV362,60),2)),"Check"))</f>
        <v/>
      </c>
      <c r="E366" s="28">
        <f>Responses!AW362</f>
        <v/>
      </c>
      <c r="F366" s="29">
        <f>Responses!AX362</f>
        <v/>
      </c>
      <c r="G366" s="29">
        <f>IF(Responses!AS362="","",IF(AND(ISNUMBER(Responses!AX362),ISNUMBER(IFERROR(VALUE(INDEX(Spaces!$B$5:$B$16,MATCH(Responses!AS362,Spaces!$A$5:$A$16,0))&amp;""),""))),IF(Responses!AX362&gt;IFERROR(VALUE(INDEX(Spaces!$B$5:$B$16,MATCH(Responses!AS362,Spaces!$A$5:$A$16,0))&amp;""),""),"Over by "&amp;(Responses!AX362-IFERROR(VALUE(INDEX(Spaces!$B$5:$B$16,MATCH(Responses!AS362,Spaces!$A$5:$A$16,0))&amp;""),"")),"OK"),""))</f>
        <v/>
      </c>
      <c r="H366" s="28">
        <f>Responses!BF362</f>
        <v/>
      </c>
      <c r="I366" s="28">
        <f>IF(Responses!AS362="","",Responses!AO362&amp;"")</f>
        <v/>
      </c>
      <c r="J366" s="28">
        <f>IF(Responses!AS362="","",Responses!AZ362&amp;"")</f>
        <v/>
      </c>
      <c r="K366" s="29">
        <f>Responses!AY362</f>
        <v/>
      </c>
      <c r="L366" s="28">
        <f>IF(Responses!AS362="","",IF(Responses!AY362="Declined","",IF(Responses!BA362=0,"Check date and times",IF(Responses!BB362&gt;0,Responses!BC362,"No clash"))))</f>
        <v/>
      </c>
    </row>
    <row r="367">
      <c r="A367" s="27">
        <f>IF(Responses!AS363="","",IF(Responses!AT363&gt;0,Responses!AT363,"Check date"))</f>
        <v/>
      </c>
      <c r="B367" s="28">
        <f>Responses!AS363</f>
        <v/>
      </c>
      <c r="C367" s="29">
        <f>IF(Responses!AS363="","",IF(Responses!AU363&gt;=0,IF(Responses!AU363="","",RIGHT("0"&amp;INT(Responses!AU363/60),2)&amp;":"&amp;RIGHT("0"&amp;MOD(Responses!AU363,60),2)),"Check"))</f>
        <v/>
      </c>
      <c r="D367" s="29">
        <f>IF(Responses!AS363="","",IF(Responses!AV363&gt;=0,IF(Responses!AV363="","",RIGHT("0"&amp;INT(Responses!AV363/60),2)&amp;":"&amp;RIGHT("0"&amp;MOD(Responses!AV363,60),2)),"Check"))</f>
        <v/>
      </c>
      <c r="E367" s="28">
        <f>Responses!AW363</f>
        <v/>
      </c>
      <c r="F367" s="29">
        <f>Responses!AX363</f>
        <v/>
      </c>
      <c r="G367" s="29">
        <f>IF(Responses!AS363="","",IF(AND(ISNUMBER(Responses!AX363),ISNUMBER(IFERROR(VALUE(INDEX(Spaces!$B$5:$B$16,MATCH(Responses!AS363,Spaces!$A$5:$A$16,0))&amp;""),""))),IF(Responses!AX363&gt;IFERROR(VALUE(INDEX(Spaces!$B$5:$B$16,MATCH(Responses!AS363,Spaces!$A$5:$A$16,0))&amp;""),""),"Over by "&amp;(Responses!AX363-IFERROR(VALUE(INDEX(Spaces!$B$5:$B$16,MATCH(Responses!AS363,Spaces!$A$5:$A$16,0))&amp;""),"")),"OK"),""))</f>
        <v/>
      </c>
      <c r="H367" s="28">
        <f>Responses!BF363</f>
        <v/>
      </c>
      <c r="I367" s="28">
        <f>IF(Responses!AS363="","",Responses!AO363&amp;"")</f>
        <v/>
      </c>
      <c r="J367" s="28">
        <f>IF(Responses!AS363="","",Responses!AZ363&amp;"")</f>
        <v/>
      </c>
      <c r="K367" s="29">
        <f>Responses!AY363</f>
        <v/>
      </c>
      <c r="L367" s="28">
        <f>IF(Responses!AS363="","",IF(Responses!AY363="Declined","",IF(Responses!BA363=0,"Check date and times",IF(Responses!BB363&gt;0,Responses!BC363,"No clash"))))</f>
        <v/>
      </c>
    </row>
    <row r="368">
      <c r="A368" s="27">
        <f>IF(Responses!AS364="","",IF(Responses!AT364&gt;0,Responses!AT364,"Check date"))</f>
        <v/>
      </c>
      <c r="B368" s="28">
        <f>Responses!AS364</f>
        <v/>
      </c>
      <c r="C368" s="29">
        <f>IF(Responses!AS364="","",IF(Responses!AU364&gt;=0,IF(Responses!AU364="","",RIGHT("0"&amp;INT(Responses!AU364/60),2)&amp;":"&amp;RIGHT("0"&amp;MOD(Responses!AU364,60),2)),"Check"))</f>
        <v/>
      </c>
      <c r="D368" s="29">
        <f>IF(Responses!AS364="","",IF(Responses!AV364&gt;=0,IF(Responses!AV364="","",RIGHT("0"&amp;INT(Responses!AV364/60),2)&amp;":"&amp;RIGHT("0"&amp;MOD(Responses!AV364,60),2)),"Check"))</f>
        <v/>
      </c>
      <c r="E368" s="28">
        <f>Responses!AW364</f>
        <v/>
      </c>
      <c r="F368" s="29">
        <f>Responses!AX364</f>
        <v/>
      </c>
      <c r="G368" s="29">
        <f>IF(Responses!AS364="","",IF(AND(ISNUMBER(Responses!AX364),ISNUMBER(IFERROR(VALUE(INDEX(Spaces!$B$5:$B$16,MATCH(Responses!AS364,Spaces!$A$5:$A$16,0))&amp;""),""))),IF(Responses!AX364&gt;IFERROR(VALUE(INDEX(Spaces!$B$5:$B$16,MATCH(Responses!AS364,Spaces!$A$5:$A$16,0))&amp;""),""),"Over by "&amp;(Responses!AX364-IFERROR(VALUE(INDEX(Spaces!$B$5:$B$16,MATCH(Responses!AS364,Spaces!$A$5:$A$16,0))&amp;""),"")),"OK"),""))</f>
        <v/>
      </c>
      <c r="H368" s="28">
        <f>Responses!BF364</f>
        <v/>
      </c>
      <c r="I368" s="28">
        <f>IF(Responses!AS364="","",Responses!AO364&amp;"")</f>
        <v/>
      </c>
      <c r="J368" s="28">
        <f>IF(Responses!AS364="","",Responses!AZ364&amp;"")</f>
        <v/>
      </c>
      <c r="K368" s="29">
        <f>Responses!AY364</f>
        <v/>
      </c>
      <c r="L368" s="28">
        <f>IF(Responses!AS364="","",IF(Responses!AY364="Declined","",IF(Responses!BA364=0,"Check date and times",IF(Responses!BB364&gt;0,Responses!BC364,"No clash"))))</f>
        <v/>
      </c>
    </row>
    <row r="369">
      <c r="A369" s="27">
        <f>IF(Responses!AS365="","",IF(Responses!AT365&gt;0,Responses!AT365,"Check date"))</f>
        <v/>
      </c>
      <c r="B369" s="28">
        <f>Responses!AS365</f>
        <v/>
      </c>
      <c r="C369" s="29">
        <f>IF(Responses!AS365="","",IF(Responses!AU365&gt;=0,IF(Responses!AU365="","",RIGHT("0"&amp;INT(Responses!AU365/60),2)&amp;":"&amp;RIGHT("0"&amp;MOD(Responses!AU365,60),2)),"Check"))</f>
        <v/>
      </c>
      <c r="D369" s="29">
        <f>IF(Responses!AS365="","",IF(Responses!AV365&gt;=0,IF(Responses!AV365="","",RIGHT("0"&amp;INT(Responses!AV365/60),2)&amp;":"&amp;RIGHT("0"&amp;MOD(Responses!AV365,60),2)),"Check"))</f>
        <v/>
      </c>
      <c r="E369" s="28">
        <f>Responses!AW365</f>
        <v/>
      </c>
      <c r="F369" s="29">
        <f>Responses!AX365</f>
        <v/>
      </c>
      <c r="G369" s="29">
        <f>IF(Responses!AS365="","",IF(AND(ISNUMBER(Responses!AX365),ISNUMBER(IFERROR(VALUE(INDEX(Spaces!$B$5:$B$16,MATCH(Responses!AS365,Spaces!$A$5:$A$16,0))&amp;""),""))),IF(Responses!AX365&gt;IFERROR(VALUE(INDEX(Spaces!$B$5:$B$16,MATCH(Responses!AS365,Spaces!$A$5:$A$16,0))&amp;""),""),"Over by "&amp;(Responses!AX365-IFERROR(VALUE(INDEX(Spaces!$B$5:$B$16,MATCH(Responses!AS365,Spaces!$A$5:$A$16,0))&amp;""),"")),"OK"),""))</f>
        <v/>
      </c>
      <c r="H369" s="28">
        <f>Responses!BF365</f>
        <v/>
      </c>
      <c r="I369" s="28">
        <f>IF(Responses!AS365="","",Responses!AO365&amp;"")</f>
        <v/>
      </c>
      <c r="J369" s="28">
        <f>IF(Responses!AS365="","",Responses!AZ365&amp;"")</f>
        <v/>
      </c>
      <c r="K369" s="29">
        <f>Responses!AY365</f>
        <v/>
      </c>
      <c r="L369" s="28">
        <f>IF(Responses!AS365="","",IF(Responses!AY365="Declined","",IF(Responses!BA365=0,"Check date and times",IF(Responses!BB365&gt;0,Responses!BC365,"No clash"))))</f>
        <v/>
      </c>
    </row>
    <row r="370">
      <c r="A370" s="27">
        <f>IF(Responses!AS366="","",IF(Responses!AT366&gt;0,Responses!AT366,"Check date"))</f>
        <v/>
      </c>
      <c r="B370" s="28">
        <f>Responses!AS366</f>
        <v/>
      </c>
      <c r="C370" s="29">
        <f>IF(Responses!AS366="","",IF(Responses!AU366&gt;=0,IF(Responses!AU366="","",RIGHT("0"&amp;INT(Responses!AU366/60),2)&amp;":"&amp;RIGHT("0"&amp;MOD(Responses!AU366,60),2)),"Check"))</f>
        <v/>
      </c>
      <c r="D370" s="29">
        <f>IF(Responses!AS366="","",IF(Responses!AV366&gt;=0,IF(Responses!AV366="","",RIGHT("0"&amp;INT(Responses!AV366/60),2)&amp;":"&amp;RIGHT("0"&amp;MOD(Responses!AV366,60),2)),"Check"))</f>
        <v/>
      </c>
      <c r="E370" s="28">
        <f>Responses!AW366</f>
        <v/>
      </c>
      <c r="F370" s="29">
        <f>Responses!AX366</f>
        <v/>
      </c>
      <c r="G370" s="29">
        <f>IF(Responses!AS366="","",IF(AND(ISNUMBER(Responses!AX366),ISNUMBER(IFERROR(VALUE(INDEX(Spaces!$B$5:$B$16,MATCH(Responses!AS366,Spaces!$A$5:$A$16,0))&amp;""),""))),IF(Responses!AX366&gt;IFERROR(VALUE(INDEX(Spaces!$B$5:$B$16,MATCH(Responses!AS366,Spaces!$A$5:$A$16,0))&amp;""),""),"Over by "&amp;(Responses!AX366-IFERROR(VALUE(INDEX(Spaces!$B$5:$B$16,MATCH(Responses!AS366,Spaces!$A$5:$A$16,0))&amp;""),"")),"OK"),""))</f>
        <v/>
      </c>
      <c r="H370" s="28">
        <f>Responses!BF366</f>
        <v/>
      </c>
      <c r="I370" s="28">
        <f>IF(Responses!AS366="","",Responses!AO366&amp;"")</f>
        <v/>
      </c>
      <c r="J370" s="28">
        <f>IF(Responses!AS366="","",Responses!AZ366&amp;"")</f>
        <v/>
      </c>
      <c r="K370" s="29">
        <f>Responses!AY366</f>
        <v/>
      </c>
      <c r="L370" s="28">
        <f>IF(Responses!AS366="","",IF(Responses!AY366="Declined","",IF(Responses!BA366=0,"Check date and times",IF(Responses!BB366&gt;0,Responses!BC366,"No clash"))))</f>
        <v/>
      </c>
    </row>
    <row r="371">
      <c r="A371" s="27">
        <f>IF(Responses!AS367="","",IF(Responses!AT367&gt;0,Responses!AT367,"Check date"))</f>
        <v/>
      </c>
      <c r="B371" s="28">
        <f>Responses!AS367</f>
        <v/>
      </c>
      <c r="C371" s="29">
        <f>IF(Responses!AS367="","",IF(Responses!AU367&gt;=0,IF(Responses!AU367="","",RIGHT("0"&amp;INT(Responses!AU367/60),2)&amp;":"&amp;RIGHT("0"&amp;MOD(Responses!AU367,60),2)),"Check"))</f>
        <v/>
      </c>
      <c r="D371" s="29">
        <f>IF(Responses!AS367="","",IF(Responses!AV367&gt;=0,IF(Responses!AV367="","",RIGHT("0"&amp;INT(Responses!AV367/60),2)&amp;":"&amp;RIGHT("0"&amp;MOD(Responses!AV367,60),2)),"Check"))</f>
        <v/>
      </c>
      <c r="E371" s="28">
        <f>Responses!AW367</f>
        <v/>
      </c>
      <c r="F371" s="29">
        <f>Responses!AX367</f>
        <v/>
      </c>
      <c r="G371" s="29">
        <f>IF(Responses!AS367="","",IF(AND(ISNUMBER(Responses!AX367),ISNUMBER(IFERROR(VALUE(INDEX(Spaces!$B$5:$B$16,MATCH(Responses!AS367,Spaces!$A$5:$A$16,0))&amp;""),""))),IF(Responses!AX367&gt;IFERROR(VALUE(INDEX(Spaces!$B$5:$B$16,MATCH(Responses!AS367,Spaces!$A$5:$A$16,0))&amp;""),""),"Over by "&amp;(Responses!AX367-IFERROR(VALUE(INDEX(Spaces!$B$5:$B$16,MATCH(Responses!AS367,Spaces!$A$5:$A$16,0))&amp;""),"")),"OK"),""))</f>
        <v/>
      </c>
      <c r="H371" s="28">
        <f>Responses!BF367</f>
        <v/>
      </c>
      <c r="I371" s="28">
        <f>IF(Responses!AS367="","",Responses!AO367&amp;"")</f>
        <v/>
      </c>
      <c r="J371" s="28">
        <f>IF(Responses!AS367="","",Responses!AZ367&amp;"")</f>
        <v/>
      </c>
      <c r="K371" s="29">
        <f>Responses!AY367</f>
        <v/>
      </c>
      <c r="L371" s="28">
        <f>IF(Responses!AS367="","",IF(Responses!AY367="Declined","",IF(Responses!BA367=0,"Check date and times",IF(Responses!BB367&gt;0,Responses!BC367,"No clash"))))</f>
        <v/>
      </c>
    </row>
    <row r="372">
      <c r="A372" s="27">
        <f>IF(Responses!AS368="","",IF(Responses!AT368&gt;0,Responses!AT368,"Check date"))</f>
        <v/>
      </c>
      <c r="B372" s="28">
        <f>Responses!AS368</f>
        <v/>
      </c>
      <c r="C372" s="29">
        <f>IF(Responses!AS368="","",IF(Responses!AU368&gt;=0,IF(Responses!AU368="","",RIGHT("0"&amp;INT(Responses!AU368/60),2)&amp;":"&amp;RIGHT("0"&amp;MOD(Responses!AU368,60),2)),"Check"))</f>
        <v/>
      </c>
      <c r="D372" s="29">
        <f>IF(Responses!AS368="","",IF(Responses!AV368&gt;=0,IF(Responses!AV368="","",RIGHT("0"&amp;INT(Responses!AV368/60),2)&amp;":"&amp;RIGHT("0"&amp;MOD(Responses!AV368,60),2)),"Check"))</f>
        <v/>
      </c>
      <c r="E372" s="28">
        <f>Responses!AW368</f>
        <v/>
      </c>
      <c r="F372" s="29">
        <f>Responses!AX368</f>
        <v/>
      </c>
      <c r="G372" s="29">
        <f>IF(Responses!AS368="","",IF(AND(ISNUMBER(Responses!AX368),ISNUMBER(IFERROR(VALUE(INDEX(Spaces!$B$5:$B$16,MATCH(Responses!AS368,Spaces!$A$5:$A$16,0))&amp;""),""))),IF(Responses!AX368&gt;IFERROR(VALUE(INDEX(Spaces!$B$5:$B$16,MATCH(Responses!AS368,Spaces!$A$5:$A$16,0))&amp;""),""),"Over by "&amp;(Responses!AX368-IFERROR(VALUE(INDEX(Spaces!$B$5:$B$16,MATCH(Responses!AS368,Spaces!$A$5:$A$16,0))&amp;""),"")),"OK"),""))</f>
        <v/>
      </c>
      <c r="H372" s="28">
        <f>Responses!BF368</f>
        <v/>
      </c>
      <c r="I372" s="28">
        <f>IF(Responses!AS368="","",Responses!AO368&amp;"")</f>
        <v/>
      </c>
      <c r="J372" s="28">
        <f>IF(Responses!AS368="","",Responses!AZ368&amp;"")</f>
        <v/>
      </c>
      <c r="K372" s="29">
        <f>Responses!AY368</f>
        <v/>
      </c>
      <c r="L372" s="28">
        <f>IF(Responses!AS368="","",IF(Responses!AY368="Declined","",IF(Responses!BA368=0,"Check date and times",IF(Responses!BB368&gt;0,Responses!BC368,"No clash"))))</f>
        <v/>
      </c>
    </row>
    <row r="373">
      <c r="A373" s="27">
        <f>IF(Responses!AS369="","",IF(Responses!AT369&gt;0,Responses!AT369,"Check date"))</f>
        <v/>
      </c>
      <c r="B373" s="28">
        <f>Responses!AS369</f>
        <v/>
      </c>
      <c r="C373" s="29">
        <f>IF(Responses!AS369="","",IF(Responses!AU369&gt;=0,IF(Responses!AU369="","",RIGHT("0"&amp;INT(Responses!AU369/60),2)&amp;":"&amp;RIGHT("0"&amp;MOD(Responses!AU369,60),2)),"Check"))</f>
        <v/>
      </c>
      <c r="D373" s="29">
        <f>IF(Responses!AS369="","",IF(Responses!AV369&gt;=0,IF(Responses!AV369="","",RIGHT("0"&amp;INT(Responses!AV369/60),2)&amp;":"&amp;RIGHT("0"&amp;MOD(Responses!AV369,60),2)),"Check"))</f>
        <v/>
      </c>
      <c r="E373" s="28">
        <f>Responses!AW369</f>
        <v/>
      </c>
      <c r="F373" s="29">
        <f>Responses!AX369</f>
        <v/>
      </c>
      <c r="G373" s="29">
        <f>IF(Responses!AS369="","",IF(AND(ISNUMBER(Responses!AX369),ISNUMBER(IFERROR(VALUE(INDEX(Spaces!$B$5:$B$16,MATCH(Responses!AS369,Spaces!$A$5:$A$16,0))&amp;""),""))),IF(Responses!AX369&gt;IFERROR(VALUE(INDEX(Spaces!$B$5:$B$16,MATCH(Responses!AS369,Spaces!$A$5:$A$16,0))&amp;""),""),"Over by "&amp;(Responses!AX369-IFERROR(VALUE(INDEX(Spaces!$B$5:$B$16,MATCH(Responses!AS369,Spaces!$A$5:$A$16,0))&amp;""),"")),"OK"),""))</f>
        <v/>
      </c>
      <c r="H373" s="28">
        <f>Responses!BF369</f>
        <v/>
      </c>
      <c r="I373" s="28">
        <f>IF(Responses!AS369="","",Responses!AO369&amp;"")</f>
        <v/>
      </c>
      <c r="J373" s="28">
        <f>IF(Responses!AS369="","",Responses!AZ369&amp;"")</f>
        <v/>
      </c>
      <c r="K373" s="29">
        <f>Responses!AY369</f>
        <v/>
      </c>
      <c r="L373" s="28">
        <f>IF(Responses!AS369="","",IF(Responses!AY369="Declined","",IF(Responses!BA369=0,"Check date and times",IF(Responses!BB369&gt;0,Responses!BC369,"No clash"))))</f>
        <v/>
      </c>
    </row>
    <row r="374">
      <c r="A374" s="27">
        <f>IF(Responses!AS370="","",IF(Responses!AT370&gt;0,Responses!AT370,"Check date"))</f>
        <v/>
      </c>
      <c r="B374" s="28">
        <f>Responses!AS370</f>
        <v/>
      </c>
      <c r="C374" s="29">
        <f>IF(Responses!AS370="","",IF(Responses!AU370&gt;=0,IF(Responses!AU370="","",RIGHT("0"&amp;INT(Responses!AU370/60),2)&amp;":"&amp;RIGHT("0"&amp;MOD(Responses!AU370,60),2)),"Check"))</f>
        <v/>
      </c>
      <c r="D374" s="29">
        <f>IF(Responses!AS370="","",IF(Responses!AV370&gt;=0,IF(Responses!AV370="","",RIGHT("0"&amp;INT(Responses!AV370/60),2)&amp;":"&amp;RIGHT("0"&amp;MOD(Responses!AV370,60),2)),"Check"))</f>
        <v/>
      </c>
      <c r="E374" s="28">
        <f>Responses!AW370</f>
        <v/>
      </c>
      <c r="F374" s="29">
        <f>Responses!AX370</f>
        <v/>
      </c>
      <c r="G374" s="29">
        <f>IF(Responses!AS370="","",IF(AND(ISNUMBER(Responses!AX370),ISNUMBER(IFERROR(VALUE(INDEX(Spaces!$B$5:$B$16,MATCH(Responses!AS370,Spaces!$A$5:$A$16,0))&amp;""),""))),IF(Responses!AX370&gt;IFERROR(VALUE(INDEX(Spaces!$B$5:$B$16,MATCH(Responses!AS370,Spaces!$A$5:$A$16,0))&amp;""),""),"Over by "&amp;(Responses!AX370-IFERROR(VALUE(INDEX(Spaces!$B$5:$B$16,MATCH(Responses!AS370,Spaces!$A$5:$A$16,0))&amp;""),"")),"OK"),""))</f>
        <v/>
      </c>
      <c r="H374" s="28">
        <f>Responses!BF370</f>
        <v/>
      </c>
      <c r="I374" s="28">
        <f>IF(Responses!AS370="","",Responses!AO370&amp;"")</f>
        <v/>
      </c>
      <c r="J374" s="28">
        <f>IF(Responses!AS370="","",Responses!AZ370&amp;"")</f>
        <v/>
      </c>
      <c r="K374" s="29">
        <f>Responses!AY370</f>
        <v/>
      </c>
      <c r="L374" s="28">
        <f>IF(Responses!AS370="","",IF(Responses!AY370="Declined","",IF(Responses!BA370=0,"Check date and times",IF(Responses!BB370&gt;0,Responses!BC370,"No clash"))))</f>
        <v/>
      </c>
    </row>
    <row r="375">
      <c r="A375" s="27">
        <f>IF(Responses!AS371="","",IF(Responses!AT371&gt;0,Responses!AT371,"Check date"))</f>
        <v/>
      </c>
      <c r="B375" s="28">
        <f>Responses!AS371</f>
        <v/>
      </c>
      <c r="C375" s="29">
        <f>IF(Responses!AS371="","",IF(Responses!AU371&gt;=0,IF(Responses!AU371="","",RIGHT("0"&amp;INT(Responses!AU371/60),2)&amp;":"&amp;RIGHT("0"&amp;MOD(Responses!AU371,60),2)),"Check"))</f>
        <v/>
      </c>
      <c r="D375" s="29">
        <f>IF(Responses!AS371="","",IF(Responses!AV371&gt;=0,IF(Responses!AV371="","",RIGHT("0"&amp;INT(Responses!AV371/60),2)&amp;":"&amp;RIGHT("0"&amp;MOD(Responses!AV371,60),2)),"Check"))</f>
        <v/>
      </c>
      <c r="E375" s="28">
        <f>Responses!AW371</f>
        <v/>
      </c>
      <c r="F375" s="29">
        <f>Responses!AX371</f>
        <v/>
      </c>
      <c r="G375" s="29">
        <f>IF(Responses!AS371="","",IF(AND(ISNUMBER(Responses!AX371),ISNUMBER(IFERROR(VALUE(INDEX(Spaces!$B$5:$B$16,MATCH(Responses!AS371,Spaces!$A$5:$A$16,0))&amp;""),""))),IF(Responses!AX371&gt;IFERROR(VALUE(INDEX(Spaces!$B$5:$B$16,MATCH(Responses!AS371,Spaces!$A$5:$A$16,0))&amp;""),""),"Over by "&amp;(Responses!AX371-IFERROR(VALUE(INDEX(Spaces!$B$5:$B$16,MATCH(Responses!AS371,Spaces!$A$5:$A$16,0))&amp;""),"")),"OK"),""))</f>
        <v/>
      </c>
      <c r="H375" s="28">
        <f>Responses!BF371</f>
        <v/>
      </c>
      <c r="I375" s="28">
        <f>IF(Responses!AS371="","",Responses!AO371&amp;"")</f>
        <v/>
      </c>
      <c r="J375" s="28">
        <f>IF(Responses!AS371="","",Responses!AZ371&amp;"")</f>
        <v/>
      </c>
      <c r="K375" s="29">
        <f>Responses!AY371</f>
        <v/>
      </c>
      <c r="L375" s="28">
        <f>IF(Responses!AS371="","",IF(Responses!AY371="Declined","",IF(Responses!BA371=0,"Check date and times",IF(Responses!BB371&gt;0,Responses!BC371,"No clash"))))</f>
        <v/>
      </c>
    </row>
    <row r="376">
      <c r="A376" s="27">
        <f>IF(Responses!AS372="","",IF(Responses!AT372&gt;0,Responses!AT372,"Check date"))</f>
        <v/>
      </c>
      <c r="B376" s="28">
        <f>Responses!AS372</f>
        <v/>
      </c>
      <c r="C376" s="29">
        <f>IF(Responses!AS372="","",IF(Responses!AU372&gt;=0,IF(Responses!AU372="","",RIGHT("0"&amp;INT(Responses!AU372/60),2)&amp;":"&amp;RIGHT("0"&amp;MOD(Responses!AU372,60),2)),"Check"))</f>
        <v/>
      </c>
      <c r="D376" s="29">
        <f>IF(Responses!AS372="","",IF(Responses!AV372&gt;=0,IF(Responses!AV372="","",RIGHT("0"&amp;INT(Responses!AV372/60),2)&amp;":"&amp;RIGHT("0"&amp;MOD(Responses!AV372,60),2)),"Check"))</f>
        <v/>
      </c>
      <c r="E376" s="28">
        <f>Responses!AW372</f>
        <v/>
      </c>
      <c r="F376" s="29">
        <f>Responses!AX372</f>
        <v/>
      </c>
      <c r="G376" s="29">
        <f>IF(Responses!AS372="","",IF(AND(ISNUMBER(Responses!AX372),ISNUMBER(IFERROR(VALUE(INDEX(Spaces!$B$5:$B$16,MATCH(Responses!AS372,Spaces!$A$5:$A$16,0))&amp;""),""))),IF(Responses!AX372&gt;IFERROR(VALUE(INDEX(Spaces!$B$5:$B$16,MATCH(Responses!AS372,Spaces!$A$5:$A$16,0))&amp;""),""),"Over by "&amp;(Responses!AX372-IFERROR(VALUE(INDEX(Spaces!$B$5:$B$16,MATCH(Responses!AS372,Spaces!$A$5:$A$16,0))&amp;""),"")),"OK"),""))</f>
        <v/>
      </c>
      <c r="H376" s="28">
        <f>Responses!BF372</f>
        <v/>
      </c>
      <c r="I376" s="28">
        <f>IF(Responses!AS372="","",Responses!AO372&amp;"")</f>
        <v/>
      </c>
      <c r="J376" s="28">
        <f>IF(Responses!AS372="","",Responses!AZ372&amp;"")</f>
        <v/>
      </c>
      <c r="K376" s="29">
        <f>Responses!AY372</f>
        <v/>
      </c>
      <c r="L376" s="28">
        <f>IF(Responses!AS372="","",IF(Responses!AY372="Declined","",IF(Responses!BA372=0,"Check date and times",IF(Responses!BB372&gt;0,Responses!BC372,"No clash"))))</f>
        <v/>
      </c>
    </row>
    <row r="377">
      <c r="A377" s="27">
        <f>IF(Responses!AS373="","",IF(Responses!AT373&gt;0,Responses!AT373,"Check date"))</f>
        <v/>
      </c>
      <c r="B377" s="28">
        <f>Responses!AS373</f>
        <v/>
      </c>
      <c r="C377" s="29">
        <f>IF(Responses!AS373="","",IF(Responses!AU373&gt;=0,IF(Responses!AU373="","",RIGHT("0"&amp;INT(Responses!AU373/60),2)&amp;":"&amp;RIGHT("0"&amp;MOD(Responses!AU373,60),2)),"Check"))</f>
        <v/>
      </c>
      <c r="D377" s="29">
        <f>IF(Responses!AS373="","",IF(Responses!AV373&gt;=0,IF(Responses!AV373="","",RIGHT("0"&amp;INT(Responses!AV373/60),2)&amp;":"&amp;RIGHT("0"&amp;MOD(Responses!AV373,60),2)),"Check"))</f>
        <v/>
      </c>
      <c r="E377" s="28">
        <f>Responses!AW373</f>
        <v/>
      </c>
      <c r="F377" s="29">
        <f>Responses!AX373</f>
        <v/>
      </c>
      <c r="G377" s="29">
        <f>IF(Responses!AS373="","",IF(AND(ISNUMBER(Responses!AX373),ISNUMBER(IFERROR(VALUE(INDEX(Spaces!$B$5:$B$16,MATCH(Responses!AS373,Spaces!$A$5:$A$16,0))&amp;""),""))),IF(Responses!AX373&gt;IFERROR(VALUE(INDEX(Spaces!$B$5:$B$16,MATCH(Responses!AS373,Spaces!$A$5:$A$16,0))&amp;""),""),"Over by "&amp;(Responses!AX373-IFERROR(VALUE(INDEX(Spaces!$B$5:$B$16,MATCH(Responses!AS373,Spaces!$A$5:$A$16,0))&amp;""),"")),"OK"),""))</f>
        <v/>
      </c>
      <c r="H377" s="28">
        <f>Responses!BF373</f>
        <v/>
      </c>
      <c r="I377" s="28">
        <f>IF(Responses!AS373="","",Responses!AO373&amp;"")</f>
        <v/>
      </c>
      <c r="J377" s="28">
        <f>IF(Responses!AS373="","",Responses!AZ373&amp;"")</f>
        <v/>
      </c>
      <c r="K377" s="29">
        <f>Responses!AY373</f>
        <v/>
      </c>
      <c r="L377" s="28">
        <f>IF(Responses!AS373="","",IF(Responses!AY373="Declined","",IF(Responses!BA373=0,"Check date and times",IF(Responses!BB373&gt;0,Responses!BC373,"No clash"))))</f>
        <v/>
      </c>
    </row>
    <row r="378">
      <c r="A378" s="27">
        <f>IF(Responses!AS374="","",IF(Responses!AT374&gt;0,Responses!AT374,"Check date"))</f>
        <v/>
      </c>
      <c r="B378" s="28">
        <f>Responses!AS374</f>
        <v/>
      </c>
      <c r="C378" s="29">
        <f>IF(Responses!AS374="","",IF(Responses!AU374&gt;=0,IF(Responses!AU374="","",RIGHT("0"&amp;INT(Responses!AU374/60),2)&amp;":"&amp;RIGHT("0"&amp;MOD(Responses!AU374,60),2)),"Check"))</f>
        <v/>
      </c>
      <c r="D378" s="29">
        <f>IF(Responses!AS374="","",IF(Responses!AV374&gt;=0,IF(Responses!AV374="","",RIGHT("0"&amp;INT(Responses!AV374/60),2)&amp;":"&amp;RIGHT("0"&amp;MOD(Responses!AV374,60),2)),"Check"))</f>
        <v/>
      </c>
      <c r="E378" s="28">
        <f>Responses!AW374</f>
        <v/>
      </c>
      <c r="F378" s="29">
        <f>Responses!AX374</f>
        <v/>
      </c>
      <c r="G378" s="29">
        <f>IF(Responses!AS374="","",IF(AND(ISNUMBER(Responses!AX374),ISNUMBER(IFERROR(VALUE(INDEX(Spaces!$B$5:$B$16,MATCH(Responses!AS374,Spaces!$A$5:$A$16,0))&amp;""),""))),IF(Responses!AX374&gt;IFERROR(VALUE(INDEX(Spaces!$B$5:$B$16,MATCH(Responses!AS374,Spaces!$A$5:$A$16,0))&amp;""),""),"Over by "&amp;(Responses!AX374-IFERROR(VALUE(INDEX(Spaces!$B$5:$B$16,MATCH(Responses!AS374,Spaces!$A$5:$A$16,0))&amp;""),"")),"OK"),""))</f>
        <v/>
      </c>
      <c r="H378" s="28">
        <f>Responses!BF374</f>
        <v/>
      </c>
      <c r="I378" s="28">
        <f>IF(Responses!AS374="","",Responses!AO374&amp;"")</f>
        <v/>
      </c>
      <c r="J378" s="28">
        <f>IF(Responses!AS374="","",Responses!AZ374&amp;"")</f>
        <v/>
      </c>
      <c r="K378" s="29">
        <f>Responses!AY374</f>
        <v/>
      </c>
      <c r="L378" s="28">
        <f>IF(Responses!AS374="","",IF(Responses!AY374="Declined","",IF(Responses!BA374=0,"Check date and times",IF(Responses!BB374&gt;0,Responses!BC374,"No clash"))))</f>
        <v/>
      </c>
    </row>
    <row r="379">
      <c r="A379" s="27">
        <f>IF(Responses!AS375="","",IF(Responses!AT375&gt;0,Responses!AT375,"Check date"))</f>
        <v/>
      </c>
      <c r="B379" s="28">
        <f>Responses!AS375</f>
        <v/>
      </c>
      <c r="C379" s="29">
        <f>IF(Responses!AS375="","",IF(Responses!AU375&gt;=0,IF(Responses!AU375="","",RIGHT("0"&amp;INT(Responses!AU375/60),2)&amp;":"&amp;RIGHT("0"&amp;MOD(Responses!AU375,60),2)),"Check"))</f>
        <v/>
      </c>
      <c r="D379" s="29">
        <f>IF(Responses!AS375="","",IF(Responses!AV375&gt;=0,IF(Responses!AV375="","",RIGHT("0"&amp;INT(Responses!AV375/60),2)&amp;":"&amp;RIGHT("0"&amp;MOD(Responses!AV375,60),2)),"Check"))</f>
        <v/>
      </c>
      <c r="E379" s="28">
        <f>Responses!AW375</f>
        <v/>
      </c>
      <c r="F379" s="29">
        <f>Responses!AX375</f>
        <v/>
      </c>
      <c r="G379" s="29">
        <f>IF(Responses!AS375="","",IF(AND(ISNUMBER(Responses!AX375),ISNUMBER(IFERROR(VALUE(INDEX(Spaces!$B$5:$B$16,MATCH(Responses!AS375,Spaces!$A$5:$A$16,0))&amp;""),""))),IF(Responses!AX375&gt;IFERROR(VALUE(INDEX(Spaces!$B$5:$B$16,MATCH(Responses!AS375,Spaces!$A$5:$A$16,0))&amp;""),""),"Over by "&amp;(Responses!AX375-IFERROR(VALUE(INDEX(Spaces!$B$5:$B$16,MATCH(Responses!AS375,Spaces!$A$5:$A$16,0))&amp;""),"")),"OK"),""))</f>
        <v/>
      </c>
      <c r="H379" s="28">
        <f>Responses!BF375</f>
        <v/>
      </c>
      <c r="I379" s="28">
        <f>IF(Responses!AS375="","",Responses!AO375&amp;"")</f>
        <v/>
      </c>
      <c r="J379" s="28">
        <f>IF(Responses!AS375="","",Responses!AZ375&amp;"")</f>
        <v/>
      </c>
      <c r="K379" s="29">
        <f>Responses!AY375</f>
        <v/>
      </c>
      <c r="L379" s="28">
        <f>IF(Responses!AS375="","",IF(Responses!AY375="Declined","",IF(Responses!BA375=0,"Check date and times",IF(Responses!BB375&gt;0,Responses!BC375,"No clash"))))</f>
        <v/>
      </c>
    </row>
    <row r="380">
      <c r="A380" s="27">
        <f>IF(Responses!AS376="","",IF(Responses!AT376&gt;0,Responses!AT376,"Check date"))</f>
        <v/>
      </c>
      <c r="B380" s="28">
        <f>Responses!AS376</f>
        <v/>
      </c>
      <c r="C380" s="29">
        <f>IF(Responses!AS376="","",IF(Responses!AU376&gt;=0,IF(Responses!AU376="","",RIGHT("0"&amp;INT(Responses!AU376/60),2)&amp;":"&amp;RIGHT("0"&amp;MOD(Responses!AU376,60),2)),"Check"))</f>
        <v/>
      </c>
      <c r="D380" s="29">
        <f>IF(Responses!AS376="","",IF(Responses!AV376&gt;=0,IF(Responses!AV376="","",RIGHT("0"&amp;INT(Responses!AV376/60),2)&amp;":"&amp;RIGHT("0"&amp;MOD(Responses!AV376,60),2)),"Check"))</f>
        <v/>
      </c>
      <c r="E380" s="28">
        <f>Responses!AW376</f>
        <v/>
      </c>
      <c r="F380" s="29">
        <f>Responses!AX376</f>
        <v/>
      </c>
      <c r="G380" s="29">
        <f>IF(Responses!AS376="","",IF(AND(ISNUMBER(Responses!AX376),ISNUMBER(IFERROR(VALUE(INDEX(Spaces!$B$5:$B$16,MATCH(Responses!AS376,Spaces!$A$5:$A$16,0))&amp;""),""))),IF(Responses!AX376&gt;IFERROR(VALUE(INDEX(Spaces!$B$5:$B$16,MATCH(Responses!AS376,Spaces!$A$5:$A$16,0))&amp;""),""),"Over by "&amp;(Responses!AX376-IFERROR(VALUE(INDEX(Spaces!$B$5:$B$16,MATCH(Responses!AS376,Spaces!$A$5:$A$16,0))&amp;""),"")),"OK"),""))</f>
        <v/>
      </c>
      <c r="H380" s="28">
        <f>Responses!BF376</f>
        <v/>
      </c>
      <c r="I380" s="28">
        <f>IF(Responses!AS376="","",Responses!AO376&amp;"")</f>
        <v/>
      </c>
      <c r="J380" s="28">
        <f>IF(Responses!AS376="","",Responses!AZ376&amp;"")</f>
        <v/>
      </c>
      <c r="K380" s="29">
        <f>Responses!AY376</f>
        <v/>
      </c>
      <c r="L380" s="28">
        <f>IF(Responses!AS376="","",IF(Responses!AY376="Declined","",IF(Responses!BA376=0,"Check date and times",IF(Responses!BB376&gt;0,Responses!BC376,"No clash"))))</f>
        <v/>
      </c>
    </row>
    <row r="381">
      <c r="A381" s="27">
        <f>IF(Responses!AS377="","",IF(Responses!AT377&gt;0,Responses!AT377,"Check date"))</f>
        <v/>
      </c>
      <c r="B381" s="28">
        <f>Responses!AS377</f>
        <v/>
      </c>
      <c r="C381" s="29">
        <f>IF(Responses!AS377="","",IF(Responses!AU377&gt;=0,IF(Responses!AU377="","",RIGHT("0"&amp;INT(Responses!AU377/60),2)&amp;":"&amp;RIGHT("0"&amp;MOD(Responses!AU377,60),2)),"Check"))</f>
        <v/>
      </c>
      <c r="D381" s="29">
        <f>IF(Responses!AS377="","",IF(Responses!AV377&gt;=0,IF(Responses!AV377="","",RIGHT("0"&amp;INT(Responses!AV377/60),2)&amp;":"&amp;RIGHT("0"&amp;MOD(Responses!AV377,60),2)),"Check"))</f>
        <v/>
      </c>
      <c r="E381" s="28">
        <f>Responses!AW377</f>
        <v/>
      </c>
      <c r="F381" s="29">
        <f>Responses!AX377</f>
        <v/>
      </c>
      <c r="G381" s="29">
        <f>IF(Responses!AS377="","",IF(AND(ISNUMBER(Responses!AX377),ISNUMBER(IFERROR(VALUE(INDEX(Spaces!$B$5:$B$16,MATCH(Responses!AS377,Spaces!$A$5:$A$16,0))&amp;""),""))),IF(Responses!AX377&gt;IFERROR(VALUE(INDEX(Spaces!$B$5:$B$16,MATCH(Responses!AS377,Spaces!$A$5:$A$16,0))&amp;""),""),"Over by "&amp;(Responses!AX377-IFERROR(VALUE(INDEX(Spaces!$B$5:$B$16,MATCH(Responses!AS377,Spaces!$A$5:$A$16,0))&amp;""),"")),"OK"),""))</f>
        <v/>
      </c>
      <c r="H381" s="28">
        <f>Responses!BF377</f>
        <v/>
      </c>
      <c r="I381" s="28">
        <f>IF(Responses!AS377="","",Responses!AO377&amp;"")</f>
        <v/>
      </c>
      <c r="J381" s="28">
        <f>IF(Responses!AS377="","",Responses!AZ377&amp;"")</f>
        <v/>
      </c>
      <c r="K381" s="29">
        <f>Responses!AY377</f>
        <v/>
      </c>
      <c r="L381" s="28">
        <f>IF(Responses!AS377="","",IF(Responses!AY377="Declined","",IF(Responses!BA377=0,"Check date and times",IF(Responses!BB377&gt;0,Responses!BC377,"No clash"))))</f>
        <v/>
      </c>
    </row>
    <row r="382">
      <c r="A382" s="27">
        <f>IF(Responses!AS378="","",IF(Responses!AT378&gt;0,Responses!AT378,"Check date"))</f>
        <v/>
      </c>
      <c r="B382" s="28">
        <f>Responses!AS378</f>
        <v/>
      </c>
      <c r="C382" s="29">
        <f>IF(Responses!AS378="","",IF(Responses!AU378&gt;=0,IF(Responses!AU378="","",RIGHT("0"&amp;INT(Responses!AU378/60),2)&amp;":"&amp;RIGHT("0"&amp;MOD(Responses!AU378,60),2)),"Check"))</f>
        <v/>
      </c>
      <c r="D382" s="29">
        <f>IF(Responses!AS378="","",IF(Responses!AV378&gt;=0,IF(Responses!AV378="","",RIGHT("0"&amp;INT(Responses!AV378/60),2)&amp;":"&amp;RIGHT("0"&amp;MOD(Responses!AV378,60),2)),"Check"))</f>
        <v/>
      </c>
      <c r="E382" s="28">
        <f>Responses!AW378</f>
        <v/>
      </c>
      <c r="F382" s="29">
        <f>Responses!AX378</f>
        <v/>
      </c>
      <c r="G382" s="29">
        <f>IF(Responses!AS378="","",IF(AND(ISNUMBER(Responses!AX378),ISNUMBER(IFERROR(VALUE(INDEX(Spaces!$B$5:$B$16,MATCH(Responses!AS378,Spaces!$A$5:$A$16,0))&amp;""),""))),IF(Responses!AX378&gt;IFERROR(VALUE(INDEX(Spaces!$B$5:$B$16,MATCH(Responses!AS378,Spaces!$A$5:$A$16,0))&amp;""),""),"Over by "&amp;(Responses!AX378-IFERROR(VALUE(INDEX(Spaces!$B$5:$B$16,MATCH(Responses!AS378,Spaces!$A$5:$A$16,0))&amp;""),"")),"OK"),""))</f>
        <v/>
      </c>
      <c r="H382" s="28">
        <f>Responses!BF378</f>
        <v/>
      </c>
      <c r="I382" s="28">
        <f>IF(Responses!AS378="","",Responses!AO378&amp;"")</f>
        <v/>
      </c>
      <c r="J382" s="28">
        <f>IF(Responses!AS378="","",Responses!AZ378&amp;"")</f>
        <v/>
      </c>
      <c r="K382" s="29">
        <f>Responses!AY378</f>
        <v/>
      </c>
      <c r="L382" s="28">
        <f>IF(Responses!AS378="","",IF(Responses!AY378="Declined","",IF(Responses!BA378=0,"Check date and times",IF(Responses!BB378&gt;0,Responses!BC378,"No clash"))))</f>
        <v/>
      </c>
    </row>
    <row r="383">
      <c r="A383" s="27">
        <f>IF(Responses!AS379="","",IF(Responses!AT379&gt;0,Responses!AT379,"Check date"))</f>
        <v/>
      </c>
      <c r="B383" s="28">
        <f>Responses!AS379</f>
        <v/>
      </c>
      <c r="C383" s="29">
        <f>IF(Responses!AS379="","",IF(Responses!AU379&gt;=0,IF(Responses!AU379="","",RIGHT("0"&amp;INT(Responses!AU379/60),2)&amp;":"&amp;RIGHT("0"&amp;MOD(Responses!AU379,60),2)),"Check"))</f>
        <v/>
      </c>
      <c r="D383" s="29">
        <f>IF(Responses!AS379="","",IF(Responses!AV379&gt;=0,IF(Responses!AV379="","",RIGHT("0"&amp;INT(Responses!AV379/60),2)&amp;":"&amp;RIGHT("0"&amp;MOD(Responses!AV379,60),2)),"Check"))</f>
        <v/>
      </c>
      <c r="E383" s="28">
        <f>Responses!AW379</f>
        <v/>
      </c>
      <c r="F383" s="29">
        <f>Responses!AX379</f>
        <v/>
      </c>
      <c r="G383" s="29">
        <f>IF(Responses!AS379="","",IF(AND(ISNUMBER(Responses!AX379),ISNUMBER(IFERROR(VALUE(INDEX(Spaces!$B$5:$B$16,MATCH(Responses!AS379,Spaces!$A$5:$A$16,0))&amp;""),""))),IF(Responses!AX379&gt;IFERROR(VALUE(INDEX(Spaces!$B$5:$B$16,MATCH(Responses!AS379,Spaces!$A$5:$A$16,0))&amp;""),""),"Over by "&amp;(Responses!AX379-IFERROR(VALUE(INDEX(Spaces!$B$5:$B$16,MATCH(Responses!AS379,Spaces!$A$5:$A$16,0))&amp;""),"")),"OK"),""))</f>
        <v/>
      </c>
      <c r="H383" s="28">
        <f>Responses!BF379</f>
        <v/>
      </c>
      <c r="I383" s="28">
        <f>IF(Responses!AS379="","",Responses!AO379&amp;"")</f>
        <v/>
      </c>
      <c r="J383" s="28">
        <f>IF(Responses!AS379="","",Responses!AZ379&amp;"")</f>
        <v/>
      </c>
      <c r="K383" s="29">
        <f>Responses!AY379</f>
        <v/>
      </c>
      <c r="L383" s="28">
        <f>IF(Responses!AS379="","",IF(Responses!AY379="Declined","",IF(Responses!BA379=0,"Check date and times",IF(Responses!BB379&gt;0,Responses!BC379,"No clash"))))</f>
        <v/>
      </c>
    </row>
    <row r="384">
      <c r="A384" s="27">
        <f>IF(Responses!AS380="","",IF(Responses!AT380&gt;0,Responses!AT380,"Check date"))</f>
        <v/>
      </c>
      <c r="B384" s="28">
        <f>Responses!AS380</f>
        <v/>
      </c>
      <c r="C384" s="29">
        <f>IF(Responses!AS380="","",IF(Responses!AU380&gt;=0,IF(Responses!AU380="","",RIGHT("0"&amp;INT(Responses!AU380/60),2)&amp;":"&amp;RIGHT("0"&amp;MOD(Responses!AU380,60),2)),"Check"))</f>
        <v/>
      </c>
      <c r="D384" s="29">
        <f>IF(Responses!AS380="","",IF(Responses!AV380&gt;=0,IF(Responses!AV380="","",RIGHT("0"&amp;INT(Responses!AV380/60),2)&amp;":"&amp;RIGHT("0"&amp;MOD(Responses!AV380,60),2)),"Check"))</f>
        <v/>
      </c>
      <c r="E384" s="28">
        <f>Responses!AW380</f>
        <v/>
      </c>
      <c r="F384" s="29">
        <f>Responses!AX380</f>
        <v/>
      </c>
      <c r="G384" s="29">
        <f>IF(Responses!AS380="","",IF(AND(ISNUMBER(Responses!AX380),ISNUMBER(IFERROR(VALUE(INDEX(Spaces!$B$5:$B$16,MATCH(Responses!AS380,Spaces!$A$5:$A$16,0))&amp;""),""))),IF(Responses!AX380&gt;IFERROR(VALUE(INDEX(Spaces!$B$5:$B$16,MATCH(Responses!AS380,Spaces!$A$5:$A$16,0))&amp;""),""),"Over by "&amp;(Responses!AX380-IFERROR(VALUE(INDEX(Spaces!$B$5:$B$16,MATCH(Responses!AS380,Spaces!$A$5:$A$16,0))&amp;""),"")),"OK"),""))</f>
        <v/>
      </c>
      <c r="H384" s="28">
        <f>Responses!BF380</f>
        <v/>
      </c>
      <c r="I384" s="28">
        <f>IF(Responses!AS380="","",Responses!AO380&amp;"")</f>
        <v/>
      </c>
      <c r="J384" s="28">
        <f>IF(Responses!AS380="","",Responses!AZ380&amp;"")</f>
        <v/>
      </c>
      <c r="K384" s="29">
        <f>Responses!AY380</f>
        <v/>
      </c>
      <c r="L384" s="28">
        <f>IF(Responses!AS380="","",IF(Responses!AY380="Declined","",IF(Responses!BA380=0,"Check date and times",IF(Responses!BB380&gt;0,Responses!BC380,"No clash"))))</f>
        <v/>
      </c>
    </row>
    <row r="385">
      <c r="A385" s="27">
        <f>IF(Responses!AS381="","",IF(Responses!AT381&gt;0,Responses!AT381,"Check date"))</f>
        <v/>
      </c>
      <c r="B385" s="28">
        <f>Responses!AS381</f>
        <v/>
      </c>
      <c r="C385" s="29">
        <f>IF(Responses!AS381="","",IF(Responses!AU381&gt;=0,IF(Responses!AU381="","",RIGHT("0"&amp;INT(Responses!AU381/60),2)&amp;":"&amp;RIGHT("0"&amp;MOD(Responses!AU381,60),2)),"Check"))</f>
        <v/>
      </c>
      <c r="D385" s="29">
        <f>IF(Responses!AS381="","",IF(Responses!AV381&gt;=0,IF(Responses!AV381="","",RIGHT("0"&amp;INT(Responses!AV381/60),2)&amp;":"&amp;RIGHT("0"&amp;MOD(Responses!AV381,60),2)),"Check"))</f>
        <v/>
      </c>
      <c r="E385" s="28">
        <f>Responses!AW381</f>
        <v/>
      </c>
      <c r="F385" s="29">
        <f>Responses!AX381</f>
        <v/>
      </c>
      <c r="G385" s="29">
        <f>IF(Responses!AS381="","",IF(AND(ISNUMBER(Responses!AX381),ISNUMBER(IFERROR(VALUE(INDEX(Spaces!$B$5:$B$16,MATCH(Responses!AS381,Spaces!$A$5:$A$16,0))&amp;""),""))),IF(Responses!AX381&gt;IFERROR(VALUE(INDEX(Spaces!$B$5:$B$16,MATCH(Responses!AS381,Spaces!$A$5:$A$16,0))&amp;""),""),"Over by "&amp;(Responses!AX381-IFERROR(VALUE(INDEX(Spaces!$B$5:$B$16,MATCH(Responses!AS381,Spaces!$A$5:$A$16,0))&amp;""),"")),"OK"),""))</f>
        <v/>
      </c>
      <c r="H385" s="28">
        <f>Responses!BF381</f>
        <v/>
      </c>
      <c r="I385" s="28">
        <f>IF(Responses!AS381="","",Responses!AO381&amp;"")</f>
        <v/>
      </c>
      <c r="J385" s="28">
        <f>IF(Responses!AS381="","",Responses!AZ381&amp;"")</f>
        <v/>
      </c>
      <c r="K385" s="29">
        <f>Responses!AY381</f>
        <v/>
      </c>
      <c r="L385" s="28">
        <f>IF(Responses!AS381="","",IF(Responses!AY381="Declined","",IF(Responses!BA381=0,"Check date and times",IF(Responses!BB381&gt;0,Responses!BC381,"No clash"))))</f>
        <v/>
      </c>
    </row>
    <row r="386">
      <c r="A386" s="27">
        <f>IF(Responses!AS382="","",IF(Responses!AT382&gt;0,Responses!AT382,"Check date"))</f>
        <v/>
      </c>
      <c r="B386" s="28">
        <f>Responses!AS382</f>
        <v/>
      </c>
      <c r="C386" s="29">
        <f>IF(Responses!AS382="","",IF(Responses!AU382&gt;=0,IF(Responses!AU382="","",RIGHT("0"&amp;INT(Responses!AU382/60),2)&amp;":"&amp;RIGHT("0"&amp;MOD(Responses!AU382,60),2)),"Check"))</f>
        <v/>
      </c>
      <c r="D386" s="29">
        <f>IF(Responses!AS382="","",IF(Responses!AV382&gt;=0,IF(Responses!AV382="","",RIGHT("0"&amp;INT(Responses!AV382/60),2)&amp;":"&amp;RIGHT("0"&amp;MOD(Responses!AV382,60),2)),"Check"))</f>
        <v/>
      </c>
      <c r="E386" s="28">
        <f>Responses!AW382</f>
        <v/>
      </c>
      <c r="F386" s="29">
        <f>Responses!AX382</f>
        <v/>
      </c>
      <c r="G386" s="29">
        <f>IF(Responses!AS382="","",IF(AND(ISNUMBER(Responses!AX382),ISNUMBER(IFERROR(VALUE(INDEX(Spaces!$B$5:$B$16,MATCH(Responses!AS382,Spaces!$A$5:$A$16,0))&amp;""),""))),IF(Responses!AX382&gt;IFERROR(VALUE(INDEX(Spaces!$B$5:$B$16,MATCH(Responses!AS382,Spaces!$A$5:$A$16,0))&amp;""),""),"Over by "&amp;(Responses!AX382-IFERROR(VALUE(INDEX(Spaces!$B$5:$B$16,MATCH(Responses!AS382,Spaces!$A$5:$A$16,0))&amp;""),"")),"OK"),""))</f>
        <v/>
      </c>
      <c r="H386" s="28">
        <f>Responses!BF382</f>
        <v/>
      </c>
      <c r="I386" s="28">
        <f>IF(Responses!AS382="","",Responses!AO382&amp;"")</f>
        <v/>
      </c>
      <c r="J386" s="28">
        <f>IF(Responses!AS382="","",Responses!AZ382&amp;"")</f>
        <v/>
      </c>
      <c r="K386" s="29">
        <f>Responses!AY382</f>
        <v/>
      </c>
      <c r="L386" s="28">
        <f>IF(Responses!AS382="","",IF(Responses!AY382="Declined","",IF(Responses!BA382=0,"Check date and times",IF(Responses!BB382&gt;0,Responses!BC382,"No clash"))))</f>
        <v/>
      </c>
    </row>
    <row r="387">
      <c r="A387" s="27">
        <f>IF(Responses!AS383="","",IF(Responses!AT383&gt;0,Responses!AT383,"Check date"))</f>
        <v/>
      </c>
      <c r="B387" s="28">
        <f>Responses!AS383</f>
        <v/>
      </c>
      <c r="C387" s="29">
        <f>IF(Responses!AS383="","",IF(Responses!AU383&gt;=0,IF(Responses!AU383="","",RIGHT("0"&amp;INT(Responses!AU383/60),2)&amp;":"&amp;RIGHT("0"&amp;MOD(Responses!AU383,60),2)),"Check"))</f>
        <v/>
      </c>
      <c r="D387" s="29">
        <f>IF(Responses!AS383="","",IF(Responses!AV383&gt;=0,IF(Responses!AV383="","",RIGHT("0"&amp;INT(Responses!AV383/60),2)&amp;":"&amp;RIGHT("0"&amp;MOD(Responses!AV383,60),2)),"Check"))</f>
        <v/>
      </c>
      <c r="E387" s="28">
        <f>Responses!AW383</f>
        <v/>
      </c>
      <c r="F387" s="29">
        <f>Responses!AX383</f>
        <v/>
      </c>
      <c r="G387" s="29">
        <f>IF(Responses!AS383="","",IF(AND(ISNUMBER(Responses!AX383),ISNUMBER(IFERROR(VALUE(INDEX(Spaces!$B$5:$B$16,MATCH(Responses!AS383,Spaces!$A$5:$A$16,0))&amp;""),""))),IF(Responses!AX383&gt;IFERROR(VALUE(INDEX(Spaces!$B$5:$B$16,MATCH(Responses!AS383,Spaces!$A$5:$A$16,0))&amp;""),""),"Over by "&amp;(Responses!AX383-IFERROR(VALUE(INDEX(Spaces!$B$5:$B$16,MATCH(Responses!AS383,Spaces!$A$5:$A$16,0))&amp;""),"")),"OK"),""))</f>
        <v/>
      </c>
      <c r="H387" s="28">
        <f>Responses!BF383</f>
        <v/>
      </c>
      <c r="I387" s="28">
        <f>IF(Responses!AS383="","",Responses!AO383&amp;"")</f>
        <v/>
      </c>
      <c r="J387" s="28">
        <f>IF(Responses!AS383="","",Responses!AZ383&amp;"")</f>
        <v/>
      </c>
      <c r="K387" s="29">
        <f>Responses!AY383</f>
        <v/>
      </c>
      <c r="L387" s="28">
        <f>IF(Responses!AS383="","",IF(Responses!AY383="Declined","",IF(Responses!BA383=0,"Check date and times",IF(Responses!BB383&gt;0,Responses!BC383,"No clash"))))</f>
        <v/>
      </c>
    </row>
    <row r="388">
      <c r="A388" s="27">
        <f>IF(Responses!AS384="","",IF(Responses!AT384&gt;0,Responses!AT384,"Check date"))</f>
        <v/>
      </c>
      <c r="B388" s="28">
        <f>Responses!AS384</f>
        <v/>
      </c>
      <c r="C388" s="29">
        <f>IF(Responses!AS384="","",IF(Responses!AU384&gt;=0,IF(Responses!AU384="","",RIGHT("0"&amp;INT(Responses!AU384/60),2)&amp;":"&amp;RIGHT("0"&amp;MOD(Responses!AU384,60),2)),"Check"))</f>
        <v/>
      </c>
      <c r="D388" s="29">
        <f>IF(Responses!AS384="","",IF(Responses!AV384&gt;=0,IF(Responses!AV384="","",RIGHT("0"&amp;INT(Responses!AV384/60),2)&amp;":"&amp;RIGHT("0"&amp;MOD(Responses!AV384,60),2)),"Check"))</f>
        <v/>
      </c>
      <c r="E388" s="28">
        <f>Responses!AW384</f>
        <v/>
      </c>
      <c r="F388" s="29">
        <f>Responses!AX384</f>
        <v/>
      </c>
      <c r="G388" s="29">
        <f>IF(Responses!AS384="","",IF(AND(ISNUMBER(Responses!AX384),ISNUMBER(IFERROR(VALUE(INDEX(Spaces!$B$5:$B$16,MATCH(Responses!AS384,Spaces!$A$5:$A$16,0))&amp;""),""))),IF(Responses!AX384&gt;IFERROR(VALUE(INDEX(Spaces!$B$5:$B$16,MATCH(Responses!AS384,Spaces!$A$5:$A$16,0))&amp;""),""),"Over by "&amp;(Responses!AX384-IFERROR(VALUE(INDEX(Spaces!$B$5:$B$16,MATCH(Responses!AS384,Spaces!$A$5:$A$16,0))&amp;""),"")),"OK"),""))</f>
        <v/>
      </c>
      <c r="H388" s="28">
        <f>Responses!BF384</f>
        <v/>
      </c>
      <c r="I388" s="28">
        <f>IF(Responses!AS384="","",Responses!AO384&amp;"")</f>
        <v/>
      </c>
      <c r="J388" s="28">
        <f>IF(Responses!AS384="","",Responses!AZ384&amp;"")</f>
        <v/>
      </c>
      <c r="K388" s="29">
        <f>Responses!AY384</f>
        <v/>
      </c>
      <c r="L388" s="28">
        <f>IF(Responses!AS384="","",IF(Responses!AY384="Declined","",IF(Responses!BA384=0,"Check date and times",IF(Responses!BB384&gt;0,Responses!BC384,"No clash"))))</f>
        <v/>
      </c>
    </row>
    <row r="389">
      <c r="A389" s="27">
        <f>IF(Responses!AS385="","",IF(Responses!AT385&gt;0,Responses!AT385,"Check date"))</f>
        <v/>
      </c>
      <c r="B389" s="28">
        <f>Responses!AS385</f>
        <v/>
      </c>
      <c r="C389" s="29">
        <f>IF(Responses!AS385="","",IF(Responses!AU385&gt;=0,IF(Responses!AU385="","",RIGHT("0"&amp;INT(Responses!AU385/60),2)&amp;":"&amp;RIGHT("0"&amp;MOD(Responses!AU385,60),2)),"Check"))</f>
        <v/>
      </c>
      <c r="D389" s="29">
        <f>IF(Responses!AS385="","",IF(Responses!AV385&gt;=0,IF(Responses!AV385="","",RIGHT("0"&amp;INT(Responses!AV385/60),2)&amp;":"&amp;RIGHT("0"&amp;MOD(Responses!AV385,60),2)),"Check"))</f>
        <v/>
      </c>
      <c r="E389" s="28">
        <f>Responses!AW385</f>
        <v/>
      </c>
      <c r="F389" s="29">
        <f>Responses!AX385</f>
        <v/>
      </c>
      <c r="G389" s="29">
        <f>IF(Responses!AS385="","",IF(AND(ISNUMBER(Responses!AX385),ISNUMBER(IFERROR(VALUE(INDEX(Spaces!$B$5:$B$16,MATCH(Responses!AS385,Spaces!$A$5:$A$16,0))&amp;""),""))),IF(Responses!AX385&gt;IFERROR(VALUE(INDEX(Spaces!$B$5:$B$16,MATCH(Responses!AS385,Spaces!$A$5:$A$16,0))&amp;""),""),"Over by "&amp;(Responses!AX385-IFERROR(VALUE(INDEX(Spaces!$B$5:$B$16,MATCH(Responses!AS385,Spaces!$A$5:$A$16,0))&amp;""),"")),"OK"),""))</f>
        <v/>
      </c>
      <c r="H389" s="28">
        <f>Responses!BF385</f>
        <v/>
      </c>
      <c r="I389" s="28">
        <f>IF(Responses!AS385="","",Responses!AO385&amp;"")</f>
        <v/>
      </c>
      <c r="J389" s="28">
        <f>IF(Responses!AS385="","",Responses!AZ385&amp;"")</f>
        <v/>
      </c>
      <c r="K389" s="29">
        <f>Responses!AY385</f>
        <v/>
      </c>
      <c r="L389" s="28">
        <f>IF(Responses!AS385="","",IF(Responses!AY385="Declined","",IF(Responses!BA385=0,"Check date and times",IF(Responses!BB385&gt;0,Responses!BC385,"No clash"))))</f>
        <v/>
      </c>
    </row>
    <row r="390">
      <c r="A390" s="27">
        <f>IF(Responses!AS386="","",IF(Responses!AT386&gt;0,Responses!AT386,"Check date"))</f>
        <v/>
      </c>
      <c r="B390" s="28">
        <f>Responses!AS386</f>
        <v/>
      </c>
      <c r="C390" s="29">
        <f>IF(Responses!AS386="","",IF(Responses!AU386&gt;=0,IF(Responses!AU386="","",RIGHT("0"&amp;INT(Responses!AU386/60),2)&amp;":"&amp;RIGHT("0"&amp;MOD(Responses!AU386,60),2)),"Check"))</f>
        <v/>
      </c>
      <c r="D390" s="29">
        <f>IF(Responses!AS386="","",IF(Responses!AV386&gt;=0,IF(Responses!AV386="","",RIGHT("0"&amp;INT(Responses!AV386/60),2)&amp;":"&amp;RIGHT("0"&amp;MOD(Responses!AV386,60),2)),"Check"))</f>
        <v/>
      </c>
      <c r="E390" s="28">
        <f>Responses!AW386</f>
        <v/>
      </c>
      <c r="F390" s="29">
        <f>Responses!AX386</f>
        <v/>
      </c>
      <c r="G390" s="29">
        <f>IF(Responses!AS386="","",IF(AND(ISNUMBER(Responses!AX386),ISNUMBER(IFERROR(VALUE(INDEX(Spaces!$B$5:$B$16,MATCH(Responses!AS386,Spaces!$A$5:$A$16,0))&amp;""),""))),IF(Responses!AX386&gt;IFERROR(VALUE(INDEX(Spaces!$B$5:$B$16,MATCH(Responses!AS386,Spaces!$A$5:$A$16,0))&amp;""),""),"Over by "&amp;(Responses!AX386-IFERROR(VALUE(INDEX(Spaces!$B$5:$B$16,MATCH(Responses!AS386,Spaces!$A$5:$A$16,0))&amp;""),"")),"OK"),""))</f>
        <v/>
      </c>
      <c r="H390" s="28">
        <f>Responses!BF386</f>
        <v/>
      </c>
      <c r="I390" s="28">
        <f>IF(Responses!AS386="","",Responses!AO386&amp;"")</f>
        <v/>
      </c>
      <c r="J390" s="28">
        <f>IF(Responses!AS386="","",Responses!AZ386&amp;"")</f>
        <v/>
      </c>
      <c r="K390" s="29">
        <f>Responses!AY386</f>
        <v/>
      </c>
      <c r="L390" s="28">
        <f>IF(Responses!AS386="","",IF(Responses!AY386="Declined","",IF(Responses!BA386=0,"Check date and times",IF(Responses!BB386&gt;0,Responses!BC386,"No clash"))))</f>
        <v/>
      </c>
    </row>
    <row r="391">
      <c r="A391" s="27">
        <f>IF(Responses!AS387="","",IF(Responses!AT387&gt;0,Responses!AT387,"Check date"))</f>
        <v/>
      </c>
      <c r="B391" s="28">
        <f>Responses!AS387</f>
        <v/>
      </c>
      <c r="C391" s="29">
        <f>IF(Responses!AS387="","",IF(Responses!AU387&gt;=0,IF(Responses!AU387="","",RIGHT("0"&amp;INT(Responses!AU387/60),2)&amp;":"&amp;RIGHT("0"&amp;MOD(Responses!AU387,60),2)),"Check"))</f>
        <v/>
      </c>
      <c r="D391" s="29">
        <f>IF(Responses!AS387="","",IF(Responses!AV387&gt;=0,IF(Responses!AV387="","",RIGHT("0"&amp;INT(Responses!AV387/60),2)&amp;":"&amp;RIGHT("0"&amp;MOD(Responses!AV387,60),2)),"Check"))</f>
        <v/>
      </c>
      <c r="E391" s="28">
        <f>Responses!AW387</f>
        <v/>
      </c>
      <c r="F391" s="29">
        <f>Responses!AX387</f>
        <v/>
      </c>
      <c r="G391" s="29">
        <f>IF(Responses!AS387="","",IF(AND(ISNUMBER(Responses!AX387),ISNUMBER(IFERROR(VALUE(INDEX(Spaces!$B$5:$B$16,MATCH(Responses!AS387,Spaces!$A$5:$A$16,0))&amp;""),""))),IF(Responses!AX387&gt;IFERROR(VALUE(INDEX(Spaces!$B$5:$B$16,MATCH(Responses!AS387,Spaces!$A$5:$A$16,0))&amp;""),""),"Over by "&amp;(Responses!AX387-IFERROR(VALUE(INDEX(Spaces!$B$5:$B$16,MATCH(Responses!AS387,Spaces!$A$5:$A$16,0))&amp;""),"")),"OK"),""))</f>
        <v/>
      </c>
      <c r="H391" s="28">
        <f>Responses!BF387</f>
        <v/>
      </c>
      <c r="I391" s="28">
        <f>IF(Responses!AS387="","",Responses!AO387&amp;"")</f>
        <v/>
      </c>
      <c r="J391" s="28">
        <f>IF(Responses!AS387="","",Responses!AZ387&amp;"")</f>
        <v/>
      </c>
      <c r="K391" s="29">
        <f>Responses!AY387</f>
        <v/>
      </c>
      <c r="L391" s="28">
        <f>IF(Responses!AS387="","",IF(Responses!AY387="Declined","",IF(Responses!BA387=0,"Check date and times",IF(Responses!BB387&gt;0,Responses!BC387,"No clash"))))</f>
        <v/>
      </c>
    </row>
    <row r="392">
      <c r="A392" s="27">
        <f>IF(Responses!AS388="","",IF(Responses!AT388&gt;0,Responses!AT388,"Check date"))</f>
        <v/>
      </c>
      <c r="B392" s="28">
        <f>Responses!AS388</f>
        <v/>
      </c>
      <c r="C392" s="29">
        <f>IF(Responses!AS388="","",IF(Responses!AU388&gt;=0,IF(Responses!AU388="","",RIGHT("0"&amp;INT(Responses!AU388/60),2)&amp;":"&amp;RIGHT("0"&amp;MOD(Responses!AU388,60),2)),"Check"))</f>
        <v/>
      </c>
      <c r="D392" s="29">
        <f>IF(Responses!AS388="","",IF(Responses!AV388&gt;=0,IF(Responses!AV388="","",RIGHT("0"&amp;INT(Responses!AV388/60),2)&amp;":"&amp;RIGHT("0"&amp;MOD(Responses!AV388,60),2)),"Check"))</f>
        <v/>
      </c>
      <c r="E392" s="28">
        <f>Responses!AW388</f>
        <v/>
      </c>
      <c r="F392" s="29">
        <f>Responses!AX388</f>
        <v/>
      </c>
      <c r="G392" s="29">
        <f>IF(Responses!AS388="","",IF(AND(ISNUMBER(Responses!AX388),ISNUMBER(IFERROR(VALUE(INDEX(Spaces!$B$5:$B$16,MATCH(Responses!AS388,Spaces!$A$5:$A$16,0))&amp;""),""))),IF(Responses!AX388&gt;IFERROR(VALUE(INDEX(Spaces!$B$5:$B$16,MATCH(Responses!AS388,Spaces!$A$5:$A$16,0))&amp;""),""),"Over by "&amp;(Responses!AX388-IFERROR(VALUE(INDEX(Spaces!$B$5:$B$16,MATCH(Responses!AS388,Spaces!$A$5:$A$16,0))&amp;""),"")),"OK"),""))</f>
        <v/>
      </c>
      <c r="H392" s="28">
        <f>Responses!BF388</f>
        <v/>
      </c>
      <c r="I392" s="28">
        <f>IF(Responses!AS388="","",Responses!AO388&amp;"")</f>
        <v/>
      </c>
      <c r="J392" s="28">
        <f>IF(Responses!AS388="","",Responses!AZ388&amp;"")</f>
        <v/>
      </c>
      <c r="K392" s="29">
        <f>Responses!AY388</f>
        <v/>
      </c>
      <c r="L392" s="28">
        <f>IF(Responses!AS388="","",IF(Responses!AY388="Declined","",IF(Responses!BA388=0,"Check date and times",IF(Responses!BB388&gt;0,Responses!BC388,"No clash"))))</f>
        <v/>
      </c>
    </row>
    <row r="393">
      <c r="A393" s="27">
        <f>IF(Responses!AS389="","",IF(Responses!AT389&gt;0,Responses!AT389,"Check date"))</f>
        <v/>
      </c>
      <c r="B393" s="28">
        <f>Responses!AS389</f>
        <v/>
      </c>
      <c r="C393" s="29">
        <f>IF(Responses!AS389="","",IF(Responses!AU389&gt;=0,IF(Responses!AU389="","",RIGHT("0"&amp;INT(Responses!AU389/60),2)&amp;":"&amp;RIGHT("0"&amp;MOD(Responses!AU389,60),2)),"Check"))</f>
        <v/>
      </c>
      <c r="D393" s="29">
        <f>IF(Responses!AS389="","",IF(Responses!AV389&gt;=0,IF(Responses!AV389="","",RIGHT("0"&amp;INT(Responses!AV389/60),2)&amp;":"&amp;RIGHT("0"&amp;MOD(Responses!AV389,60),2)),"Check"))</f>
        <v/>
      </c>
      <c r="E393" s="28">
        <f>Responses!AW389</f>
        <v/>
      </c>
      <c r="F393" s="29">
        <f>Responses!AX389</f>
        <v/>
      </c>
      <c r="G393" s="29">
        <f>IF(Responses!AS389="","",IF(AND(ISNUMBER(Responses!AX389),ISNUMBER(IFERROR(VALUE(INDEX(Spaces!$B$5:$B$16,MATCH(Responses!AS389,Spaces!$A$5:$A$16,0))&amp;""),""))),IF(Responses!AX389&gt;IFERROR(VALUE(INDEX(Spaces!$B$5:$B$16,MATCH(Responses!AS389,Spaces!$A$5:$A$16,0))&amp;""),""),"Over by "&amp;(Responses!AX389-IFERROR(VALUE(INDEX(Spaces!$B$5:$B$16,MATCH(Responses!AS389,Spaces!$A$5:$A$16,0))&amp;""),"")),"OK"),""))</f>
        <v/>
      </c>
      <c r="H393" s="28">
        <f>Responses!BF389</f>
        <v/>
      </c>
      <c r="I393" s="28">
        <f>IF(Responses!AS389="","",Responses!AO389&amp;"")</f>
        <v/>
      </c>
      <c r="J393" s="28">
        <f>IF(Responses!AS389="","",Responses!AZ389&amp;"")</f>
        <v/>
      </c>
      <c r="K393" s="29">
        <f>Responses!AY389</f>
        <v/>
      </c>
      <c r="L393" s="28">
        <f>IF(Responses!AS389="","",IF(Responses!AY389="Declined","",IF(Responses!BA389=0,"Check date and times",IF(Responses!BB389&gt;0,Responses!BC389,"No clash"))))</f>
        <v/>
      </c>
    </row>
    <row r="394">
      <c r="A394" s="27">
        <f>IF(Responses!AS390="","",IF(Responses!AT390&gt;0,Responses!AT390,"Check date"))</f>
        <v/>
      </c>
      <c r="B394" s="28">
        <f>Responses!AS390</f>
        <v/>
      </c>
      <c r="C394" s="29">
        <f>IF(Responses!AS390="","",IF(Responses!AU390&gt;=0,IF(Responses!AU390="","",RIGHT("0"&amp;INT(Responses!AU390/60),2)&amp;":"&amp;RIGHT("0"&amp;MOD(Responses!AU390,60),2)),"Check"))</f>
        <v/>
      </c>
      <c r="D394" s="29">
        <f>IF(Responses!AS390="","",IF(Responses!AV390&gt;=0,IF(Responses!AV390="","",RIGHT("0"&amp;INT(Responses!AV390/60),2)&amp;":"&amp;RIGHT("0"&amp;MOD(Responses!AV390,60),2)),"Check"))</f>
        <v/>
      </c>
      <c r="E394" s="28">
        <f>Responses!AW390</f>
        <v/>
      </c>
      <c r="F394" s="29">
        <f>Responses!AX390</f>
        <v/>
      </c>
      <c r="G394" s="29">
        <f>IF(Responses!AS390="","",IF(AND(ISNUMBER(Responses!AX390),ISNUMBER(IFERROR(VALUE(INDEX(Spaces!$B$5:$B$16,MATCH(Responses!AS390,Spaces!$A$5:$A$16,0))&amp;""),""))),IF(Responses!AX390&gt;IFERROR(VALUE(INDEX(Spaces!$B$5:$B$16,MATCH(Responses!AS390,Spaces!$A$5:$A$16,0))&amp;""),""),"Over by "&amp;(Responses!AX390-IFERROR(VALUE(INDEX(Spaces!$B$5:$B$16,MATCH(Responses!AS390,Spaces!$A$5:$A$16,0))&amp;""),"")),"OK"),""))</f>
        <v/>
      </c>
      <c r="H394" s="28">
        <f>Responses!BF390</f>
        <v/>
      </c>
      <c r="I394" s="28">
        <f>IF(Responses!AS390="","",Responses!AO390&amp;"")</f>
        <v/>
      </c>
      <c r="J394" s="28">
        <f>IF(Responses!AS390="","",Responses!AZ390&amp;"")</f>
        <v/>
      </c>
      <c r="K394" s="29">
        <f>Responses!AY390</f>
        <v/>
      </c>
      <c r="L394" s="28">
        <f>IF(Responses!AS390="","",IF(Responses!AY390="Declined","",IF(Responses!BA390=0,"Check date and times",IF(Responses!BB390&gt;0,Responses!BC390,"No clash"))))</f>
        <v/>
      </c>
    </row>
    <row r="395">
      <c r="A395" s="27">
        <f>IF(Responses!AS391="","",IF(Responses!AT391&gt;0,Responses!AT391,"Check date"))</f>
        <v/>
      </c>
      <c r="B395" s="28">
        <f>Responses!AS391</f>
        <v/>
      </c>
      <c r="C395" s="29">
        <f>IF(Responses!AS391="","",IF(Responses!AU391&gt;=0,IF(Responses!AU391="","",RIGHT("0"&amp;INT(Responses!AU391/60),2)&amp;":"&amp;RIGHT("0"&amp;MOD(Responses!AU391,60),2)),"Check"))</f>
        <v/>
      </c>
      <c r="D395" s="29">
        <f>IF(Responses!AS391="","",IF(Responses!AV391&gt;=0,IF(Responses!AV391="","",RIGHT("0"&amp;INT(Responses!AV391/60),2)&amp;":"&amp;RIGHT("0"&amp;MOD(Responses!AV391,60),2)),"Check"))</f>
        <v/>
      </c>
      <c r="E395" s="28">
        <f>Responses!AW391</f>
        <v/>
      </c>
      <c r="F395" s="29">
        <f>Responses!AX391</f>
        <v/>
      </c>
      <c r="G395" s="29">
        <f>IF(Responses!AS391="","",IF(AND(ISNUMBER(Responses!AX391),ISNUMBER(IFERROR(VALUE(INDEX(Spaces!$B$5:$B$16,MATCH(Responses!AS391,Spaces!$A$5:$A$16,0))&amp;""),""))),IF(Responses!AX391&gt;IFERROR(VALUE(INDEX(Spaces!$B$5:$B$16,MATCH(Responses!AS391,Spaces!$A$5:$A$16,0))&amp;""),""),"Over by "&amp;(Responses!AX391-IFERROR(VALUE(INDEX(Spaces!$B$5:$B$16,MATCH(Responses!AS391,Spaces!$A$5:$A$16,0))&amp;""),"")),"OK"),""))</f>
        <v/>
      </c>
      <c r="H395" s="28">
        <f>Responses!BF391</f>
        <v/>
      </c>
      <c r="I395" s="28">
        <f>IF(Responses!AS391="","",Responses!AO391&amp;"")</f>
        <v/>
      </c>
      <c r="J395" s="28">
        <f>IF(Responses!AS391="","",Responses!AZ391&amp;"")</f>
        <v/>
      </c>
      <c r="K395" s="29">
        <f>Responses!AY391</f>
        <v/>
      </c>
      <c r="L395" s="28">
        <f>IF(Responses!AS391="","",IF(Responses!AY391="Declined","",IF(Responses!BA391=0,"Check date and times",IF(Responses!BB391&gt;0,Responses!BC391,"No clash"))))</f>
        <v/>
      </c>
    </row>
    <row r="396">
      <c r="A396" s="27">
        <f>IF(Responses!AS392="","",IF(Responses!AT392&gt;0,Responses!AT392,"Check date"))</f>
        <v/>
      </c>
      <c r="B396" s="28">
        <f>Responses!AS392</f>
        <v/>
      </c>
      <c r="C396" s="29">
        <f>IF(Responses!AS392="","",IF(Responses!AU392&gt;=0,IF(Responses!AU392="","",RIGHT("0"&amp;INT(Responses!AU392/60),2)&amp;":"&amp;RIGHT("0"&amp;MOD(Responses!AU392,60),2)),"Check"))</f>
        <v/>
      </c>
      <c r="D396" s="29">
        <f>IF(Responses!AS392="","",IF(Responses!AV392&gt;=0,IF(Responses!AV392="","",RIGHT("0"&amp;INT(Responses!AV392/60),2)&amp;":"&amp;RIGHT("0"&amp;MOD(Responses!AV392,60),2)),"Check"))</f>
        <v/>
      </c>
      <c r="E396" s="28">
        <f>Responses!AW392</f>
        <v/>
      </c>
      <c r="F396" s="29">
        <f>Responses!AX392</f>
        <v/>
      </c>
      <c r="G396" s="29">
        <f>IF(Responses!AS392="","",IF(AND(ISNUMBER(Responses!AX392),ISNUMBER(IFERROR(VALUE(INDEX(Spaces!$B$5:$B$16,MATCH(Responses!AS392,Spaces!$A$5:$A$16,0))&amp;""),""))),IF(Responses!AX392&gt;IFERROR(VALUE(INDEX(Spaces!$B$5:$B$16,MATCH(Responses!AS392,Spaces!$A$5:$A$16,0))&amp;""),""),"Over by "&amp;(Responses!AX392-IFERROR(VALUE(INDEX(Spaces!$B$5:$B$16,MATCH(Responses!AS392,Spaces!$A$5:$A$16,0))&amp;""),"")),"OK"),""))</f>
        <v/>
      </c>
      <c r="H396" s="28">
        <f>Responses!BF392</f>
        <v/>
      </c>
      <c r="I396" s="28">
        <f>IF(Responses!AS392="","",Responses!AO392&amp;"")</f>
        <v/>
      </c>
      <c r="J396" s="28">
        <f>IF(Responses!AS392="","",Responses!AZ392&amp;"")</f>
        <v/>
      </c>
      <c r="K396" s="29">
        <f>Responses!AY392</f>
        <v/>
      </c>
      <c r="L396" s="28">
        <f>IF(Responses!AS392="","",IF(Responses!AY392="Declined","",IF(Responses!BA392=0,"Check date and times",IF(Responses!BB392&gt;0,Responses!BC392,"No clash"))))</f>
        <v/>
      </c>
    </row>
    <row r="397">
      <c r="A397" s="27">
        <f>IF(Responses!AS393="","",IF(Responses!AT393&gt;0,Responses!AT393,"Check date"))</f>
        <v/>
      </c>
      <c r="B397" s="28">
        <f>Responses!AS393</f>
        <v/>
      </c>
      <c r="C397" s="29">
        <f>IF(Responses!AS393="","",IF(Responses!AU393&gt;=0,IF(Responses!AU393="","",RIGHT("0"&amp;INT(Responses!AU393/60),2)&amp;":"&amp;RIGHT("0"&amp;MOD(Responses!AU393,60),2)),"Check"))</f>
        <v/>
      </c>
      <c r="D397" s="29">
        <f>IF(Responses!AS393="","",IF(Responses!AV393&gt;=0,IF(Responses!AV393="","",RIGHT("0"&amp;INT(Responses!AV393/60),2)&amp;":"&amp;RIGHT("0"&amp;MOD(Responses!AV393,60),2)),"Check"))</f>
        <v/>
      </c>
      <c r="E397" s="28">
        <f>Responses!AW393</f>
        <v/>
      </c>
      <c r="F397" s="29">
        <f>Responses!AX393</f>
        <v/>
      </c>
      <c r="G397" s="29">
        <f>IF(Responses!AS393="","",IF(AND(ISNUMBER(Responses!AX393),ISNUMBER(IFERROR(VALUE(INDEX(Spaces!$B$5:$B$16,MATCH(Responses!AS393,Spaces!$A$5:$A$16,0))&amp;""),""))),IF(Responses!AX393&gt;IFERROR(VALUE(INDEX(Spaces!$B$5:$B$16,MATCH(Responses!AS393,Spaces!$A$5:$A$16,0))&amp;""),""),"Over by "&amp;(Responses!AX393-IFERROR(VALUE(INDEX(Spaces!$B$5:$B$16,MATCH(Responses!AS393,Spaces!$A$5:$A$16,0))&amp;""),"")),"OK"),""))</f>
        <v/>
      </c>
      <c r="H397" s="28">
        <f>Responses!BF393</f>
        <v/>
      </c>
      <c r="I397" s="28">
        <f>IF(Responses!AS393="","",Responses!AO393&amp;"")</f>
        <v/>
      </c>
      <c r="J397" s="28">
        <f>IF(Responses!AS393="","",Responses!AZ393&amp;"")</f>
        <v/>
      </c>
      <c r="K397" s="29">
        <f>Responses!AY393</f>
        <v/>
      </c>
      <c r="L397" s="28">
        <f>IF(Responses!AS393="","",IF(Responses!AY393="Declined","",IF(Responses!BA393=0,"Check date and times",IF(Responses!BB393&gt;0,Responses!BC393,"No clash"))))</f>
        <v/>
      </c>
    </row>
    <row r="398">
      <c r="A398" s="27">
        <f>IF(Responses!AS394="","",IF(Responses!AT394&gt;0,Responses!AT394,"Check date"))</f>
        <v/>
      </c>
      <c r="B398" s="28">
        <f>Responses!AS394</f>
        <v/>
      </c>
      <c r="C398" s="29">
        <f>IF(Responses!AS394="","",IF(Responses!AU394&gt;=0,IF(Responses!AU394="","",RIGHT("0"&amp;INT(Responses!AU394/60),2)&amp;":"&amp;RIGHT("0"&amp;MOD(Responses!AU394,60),2)),"Check"))</f>
        <v/>
      </c>
      <c r="D398" s="29">
        <f>IF(Responses!AS394="","",IF(Responses!AV394&gt;=0,IF(Responses!AV394="","",RIGHT("0"&amp;INT(Responses!AV394/60),2)&amp;":"&amp;RIGHT("0"&amp;MOD(Responses!AV394,60),2)),"Check"))</f>
        <v/>
      </c>
      <c r="E398" s="28">
        <f>Responses!AW394</f>
        <v/>
      </c>
      <c r="F398" s="29">
        <f>Responses!AX394</f>
        <v/>
      </c>
      <c r="G398" s="29">
        <f>IF(Responses!AS394="","",IF(AND(ISNUMBER(Responses!AX394),ISNUMBER(IFERROR(VALUE(INDEX(Spaces!$B$5:$B$16,MATCH(Responses!AS394,Spaces!$A$5:$A$16,0))&amp;""),""))),IF(Responses!AX394&gt;IFERROR(VALUE(INDEX(Spaces!$B$5:$B$16,MATCH(Responses!AS394,Spaces!$A$5:$A$16,0))&amp;""),""),"Over by "&amp;(Responses!AX394-IFERROR(VALUE(INDEX(Spaces!$B$5:$B$16,MATCH(Responses!AS394,Spaces!$A$5:$A$16,0))&amp;""),"")),"OK"),""))</f>
        <v/>
      </c>
      <c r="H398" s="28">
        <f>Responses!BF394</f>
        <v/>
      </c>
      <c r="I398" s="28">
        <f>IF(Responses!AS394="","",Responses!AO394&amp;"")</f>
        <v/>
      </c>
      <c r="J398" s="28">
        <f>IF(Responses!AS394="","",Responses!AZ394&amp;"")</f>
        <v/>
      </c>
      <c r="K398" s="29">
        <f>Responses!AY394</f>
        <v/>
      </c>
      <c r="L398" s="28">
        <f>IF(Responses!AS394="","",IF(Responses!AY394="Declined","",IF(Responses!BA394=0,"Check date and times",IF(Responses!BB394&gt;0,Responses!BC394,"No clash"))))</f>
        <v/>
      </c>
    </row>
    <row r="399">
      <c r="A399" s="27">
        <f>IF(Responses!AS395="","",IF(Responses!AT395&gt;0,Responses!AT395,"Check date"))</f>
        <v/>
      </c>
      <c r="B399" s="28">
        <f>Responses!AS395</f>
        <v/>
      </c>
      <c r="C399" s="29">
        <f>IF(Responses!AS395="","",IF(Responses!AU395&gt;=0,IF(Responses!AU395="","",RIGHT("0"&amp;INT(Responses!AU395/60),2)&amp;":"&amp;RIGHT("0"&amp;MOD(Responses!AU395,60),2)),"Check"))</f>
        <v/>
      </c>
      <c r="D399" s="29">
        <f>IF(Responses!AS395="","",IF(Responses!AV395&gt;=0,IF(Responses!AV395="","",RIGHT("0"&amp;INT(Responses!AV395/60),2)&amp;":"&amp;RIGHT("0"&amp;MOD(Responses!AV395,60),2)),"Check"))</f>
        <v/>
      </c>
      <c r="E399" s="28">
        <f>Responses!AW395</f>
        <v/>
      </c>
      <c r="F399" s="29">
        <f>Responses!AX395</f>
        <v/>
      </c>
      <c r="G399" s="29">
        <f>IF(Responses!AS395="","",IF(AND(ISNUMBER(Responses!AX395),ISNUMBER(IFERROR(VALUE(INDEX(Spaces!$B$5:$B$16,MATCH(Responses!AS395,Spaces!$A$5:$A$16,0))&amp;""),""))),IF(Responses!AX395&gt;IFERROR(VALUE(INDEX(Spaces!$B$5:$B$16,MATCH(Responses!AS395,Spaces!$A$5:$A$16,0))&amp;""),""),"Over by "&amp;(Responses!AX395-IFERROR(VALUE(INDEX(Spaces!$B$5:$B$16,MATCH(Responses!AS395,Spaces!$A$5:$A$16,0))&amp;""),"")),"OK"),""))</f>
        <v/>
      </c>
      <c r="H399" s="28">
        <f>Responses!BF395</f>
        <v/>
      </c>
      <c r="I399" s="28">
        <f>IF(Responses!AS395="","",Responses!AO395&amp;"")</f>
        <v/>
      </c>
      <c r="J399" s="28">
        <f>IF(Responses!AS395="","",Responses!AZ395&amp;"")</f>
        <v/>
      </c>
      <c r="K399" s="29">
        <f>Responses!AY395</f>
        <v/>
      </c>
      <c r="L399" s="28">
        <f>IF(Responses!AS395="","",IF(Responses!AY395="Declined","",IF(Responses!BA395=0,"Check date and times",IF(Responses!BB395&gt;0,Responses!BC395,"No clash"))))</f>
        <v/>
      </c>
    </row>
    <row r="400">
      <c r="A400" s="27">
        <f>IF(Responses!AS396="","",IF(Responses!AT396&gt;0,Responses!AT396,"Check date"))</f>
        <v/>
      </c>
      <c r="B400" s="28">
        <f>Responses!AS396</f>
        <v/>
      </c>
      <c r="C400" s="29">
        <f>IF(Responses!AS396="","",IF(Responses!AU396&gt;=0,IF(Responses!AU396="","",RIGHT("0"&amp;INT(Responses!AU396/60),2)&amp;":"&amp;RIGHT("0"&amp;MOD(Responses!AU396,60),2)),"Check"))</f>
        <v/>
      </c>
      <c r="D400" s="29">
        <f>IF(Responses!AS396="","",IF(Responses!AV396&gt;=0,IF(Responses!AV396="","",RIGHT("0"&amp;INT(Responses!AV396/60),2)&amp;":"&amp;RIGHT("0"&amp;MOD(Responses!AV396,60),2)),"Check"))</f>
        <v/>
      </c>
      <c r="E400" s="28">
        <f>Responses!AW396</f>
        <v/>
      </c>
      <c r="F400" s="29">
        <f>Responses!AX396</f>
        <v/>
      </c>
      <c r="G400" s="29">
        <f>IF(Responses!AS396="","",IF(AND(ISNUMBER(Responses!AX396),ISNUMBER(IFERROR(VALUE(INDEX(Spaces!$B$5:$B$16,MATCH(Responses!AS396,Spaces!$A$5:$A$16,0))&amp;""),""))),IF(Responses!AX396&gt;IFERROR(VALUE(INDEX(Spaces!$B$5:$B$16,MATCH(Responses!AS396,Spaces!$A$5:$A$16,0))&amp;""),""),"Over by "&amp;(Responses!AX396-IFERROR(VALUE(INDEX(Spaces!$B$5:$B$16,MATCH(Responses!AS396,Spaces!$A$5:$A$16,0))&amp;""),"")),"OK"),""))</f>
        <v/>
      </c>
      <c r="H400" s="28">
        <f>Responses!BF396</f>
        <v/>
      </c>
      <c r="I400" s="28">
        <f>IF(Responses!AS396="","",Responses!AO396&amp;"")</f>
        <v/>
      </c>
      <c r="J400" s="28">
        <f>IF(Responses!AS396="","",Responses!AZ396&amp;"")</f>
        <v/>
      </c>
      <c r="K400" s="29">
        <f>Responses!AY396</f>
        <v/>
      </c>
      <c r="L400" s="28">
        <f>IF(Responses!AS396="","",IF(Responses!AY396="Declined","",IF(Responses!BA396=0,"Check date and times",IF(Responses!BB396&gt;0,Responses!BC396,"No clash"))))</f>
        <v/>
      </c>
    </row>
    <row r="401">
      <c r="A401" s="27">
        <f>IF(Responses!AS397="","",IF(Responses!AT397&gt;0,Responses!AT397,"Check date"))</f>
        <v/>
      </c>
      <c r="B401" s="28">
        <f>Responses!AS397</f>
        <v/>
      </c>
      <c r="C401" s="29">
        <f>IF(Responses!AS397="","",IF(Responses!AU397&gt;=0,IF(Responses!AU397="","",RIGHT("0"&amp;INT(Responses!AU397/60),2)&amp;":"&amp;RIGHT("0"&amp;MOD(Responses!AU397,60),2)),"Check"))</f>
        <v/>
      </c>
      <c r="D401" s="29">
        <f>IF(Responses!AS397="","",IF(Responses!AV397&gt;=0,IF(Responses!AV397="","",RIGHT("0"&amp;INT(Responses!AV397/60),2)&amp;":"&amp;RIGHT("0"&amp;MOD(Responses!AV397,60),2)),"Check"))</f>
        <v/>
      </c>
      <c r="E401" s="28">
        <f>Responses!AW397</f>
        <v/>
      </c>
      <c r="F401" s="29">
        <f>Responses!AX397</f>
        <v/>
      </c>
      <c r="G401" s="29">
        <f>IF(Responses!AS397="","",IF(AND(ISNUMBER(Responses!AX397),ISNUMBER(IFERROR(VALUE(INDEX(Spaces!$B$5:$B$16,MATCH(Responses!AS397,Spaces!$A$5:$A$16,0))&amp;""),""))),IF(Responses!AX397&gt;IFERROR(VALUE(INDEX(Spaces!$B$5:$B$16,MATCH(Responses!AS397,Spaces!$A$5:$A$16,0))&amp;""),""),"Over by "&amp;(Responses!AX397-IFERROR(VALUE(INDEX(Spaces!$B$5:$B$16,MATCH(Responses!AS397,Spaces!$A$5:$A$16,0))&amp;""),"")),"OK"),""))</f>
        <v/>
      </c>
      <c r="H401" s="28">
        <f>Responses!BF397</f>
        <v/>
      </c>
      <c r="I401" s="28">
        <f>IF(Responses!AS397="","",Responses!AO397&amp;"")</f>
        <v/>
      </c>
      <c r="J401" s="28">
        <f>IF(Responses!AS397="","",Responses!AZ397&amp;"")</f>
        <v/>
      </c>
      <c r="K401" s="29">
        <f>Responses!AY397</f>
        <v/>
      </c>
      <c r="L401" s="28">
        <f>IF(Responses!AS397="","",IF(Responses!AY397="Declined","",IF(Responses!BA397=0,"Check date and times",IF(Responses!BB397&gt;0,Responses!BC397,"No clash"))))</f>
        <v/>
      </c>
    </row>
    <row r="402">
      <c r="A402" s="27">
        <f>IF(Responses!AS398="","",IF(Responses!AT398&gt;0,Responses!AT398,"Check date"))</f>
        <v/>
      </c>
      <c r="B402" s="28">
        <f>Responses!AS398</f>
        <v/>
      </c>
      <c r="C402" s="29">
        <f>IF(Responses!AS398="","",IF(Responses!AU398&gt;=0,IF(Responses!AU398="","",RIGHT("0"&amp;INT(Responses!AU398/60),2)&amp;":"&amp;RIGHT("0"&amp;MOD(Responses!AU398,60),2)),"Check"))</f>
        <v/>
      </c>
      <c r="D402" s="29">
        <f>IF(Responses!AS398="","",IF(Responses!AV398&gt;=0,IF(Responses!AV398="","",RIGHT("0"&amp;INT(Responses!AV398/60),2)&amp;":"&amp;RIGHT("0"&amp;MOD(Responses!AV398,60),2)),"Check"))</f>
        <v/>
      </c>
      <c r="E402" s="28">
        <f>Responses!AW398</f>
        <v/>
      </c>
      <c r="F402" s="29">
        <f>Responses!AX398</f>
        <v/>
      </c>
      <c r="G402" s="29">
        <f>IF(Responses!AS398="","",IF(AND(ISNUMBER(Responses!AX398),ISNUMBER(IFERROR(VALUE(INDEX(Spaces!$B$5:$B$16,MATCH(Responses!AS398,Spaces!$A$5:$A$16,0))&amp;""),""))),IF(Responses!AX398&gt;IFERROR(VALUE(INDEX(Spaces!$B$5:$B$16,MATCH(Responses!AS398,Spaces!$A$5:$A$16,0))&amp;""),""),"Over by "&amp;(Responses!AX398-IFERROR(VALUE(INDEX(Spaces!$B$5:$B$16,MATCH(Responses!AS398,Spaces!$A$5:$A$16,0))&amp;""),"")),"OK"),""))</f>
        <v/>
      </c>
      <c r="H402" s="28">
        <f>Responses!BF398</f>
        <v/>
      </c>
      <c r="I402" s="28">
        <f>IF(Responses!AS398="","",Responses!AO398&amp;"")</f>
        <v/>
      </c>
      <c r="J402" s="28">
        <f>IF(Responses!AS398="","",Responses!AZ398&amp;"")</f>
        <v/>
      </c>
      <c r="K402" s="29">
        <f>Responses!AY398</f>
        <v/>
      </c>
      <c r="L402" s="28">
        <f>IF(Responses!AS398="","",IF(Responses!AY398="Declined","",IF(Responses!BA398=0,"Check date and times",IF(Responses!BB398&gt;0,Responses!BC398,"No clash"))))</f>
        <v/>
      </c>
    </row>
    <row r="403">
      <c r="A403" s="27">
        <f>IF(Responses!AS399="","",IF(Responses!AT399&gt;0,Responses!AT399,"Check date"))</f>
        <v/>
      </c>
      <c r="B403" s="28">
        <f>Responses!AS399</f>
        <v/>
      </c>
      <c r="C403" s="29">
        <f>IF(Responses!AS399="","",IF(Responses!AU399&gt;=0,IF(Responses!AU399="","",RIGHT("0"&amp;INT(Responses!AU399/60),2)&amp;":"&amp;RIGHT("0"&amp;MOD(Responses!AU399,60),2)),"Check"))</f>
        <v/>
      </c>
      <c r="D403" s="29">
        <f>IF(Responses!AS399="","",IF(Responses!AV399&gt;=0,IF(Responses!AV399="","",RIGHT("0"&amp;INT(Responses!AV399/60),2)&amp;":"&amp;RIGHT("0"&amp;MOD(Responses!AV399,60),2)),"Check"))</f>
        <v/>
      </c>
      <c r="E403" s="28">
        <f>Responses!AW399</f>
        <v/>
      </c>
      <c r="F403" s="29">
        <f>Responses!AX399</f>
        <v/>
      </c>
      <c r="G403" s="29">
        <f>IF(Responses!AS399="","",IF(AND(ISNUMBER(Responses!AX399),ISNUMBER(IFERROR(VALUE(INDEX(Spaces!$B$5:$B$16,MATCH(Responses!AS399,Spaces!$A$5:$A$16,0))&amp;""),""))),IF(Responses!AX399&gt;IFERROR(VALUE(INDEX(Spaces!$B$5:$B$16,MATCH(Responses!AS399,Spaces!$A$5:$A$16,0))&amp;""),""),"Over by "&amp;(Responses!AX399-IFERROR(VALUE(INDEX(Spaces!$B$5:$B$16,MATCH(Responses!AS399,Spaces!$A$5:$A$16,0))&amp;""),"")),"OK"),""))</f>
        <v/>
      </c>
      <c r="H403" s="28">
        <f>Responses!BF399</f>
        <v/>
      </c>
      <c r="I403" s="28">
        <f>IF(Responses!AS399="","",Responses!AO399&amp;"")</f>
        <v/>
      </c>
      <c r="J403" s="28">
        <f>IF(Responses!AS399="","",Responses!AZ399&amp;"")</f>
        <v/>
      </c>
      <c r="K403" s="29">
        <f>Responses!AY399</f>
        <v/>
      </c>
      <c r="L403" s="28">
        <f>IF(Responses!AS399="","",IF(Responses!AY399="Declined","",IF(Responses!BA399=0,"Check date and times",IF(Responses!BB399&gt;0,Responses!BC399,"No clash"))))</f>
        <v/>
      </c>
    </row>
    <row r="404">
      <c r="A404" s="27">
        <f>IF(Responses!AS400="","",IF(Responses!AT400&gt;0,Responses!AT400,"Check date"))</f>
        <v/>
      </c>
      <c r="B404" s="28">
        <f>Responses!AS400</f>
        <v/>
      </c>
      <c r="C404" s="29">
        <f>IF(Responses!AS400="","",IF(Responses!AU400&gt;=0,IF(Responses!AU400="","",RIGHT("0"&amp;INT(Responses!AU400/60),2)&amp;":"&amp;RIGHT("0"&amp;MOD(Responses!AU400,60),2)),"Check"))</f>
        <v/>
      </c>
      <c r="D404" s="29">
        <f>IF(Responses!AS400="","",IF(Responses!AV400&gt;=0,IF(Responses!AV400="","",RIGHT("0"&amp;INT(Responses!AV400/60),2)&amp;":"&amp;RIGHT("0"&amp;MOD(Responses!AV400,60),2)),"Check"))</f>
        <v/>
      </c>
      <c r="E404" s="28">
        <f>Responses!AW400</f>
        <v/>
      </c>
      <c r="F404" s="29">
        <f>Responses!AX400</f>
        <v/>
      </c>
      <c r="G404" s="29">
        <f>IF(Responses!AS400="","",IF(AND(ISNUMBER(Responses!AX400),ISNUMBER(IFERROR(VALUE(INDEX(Spaces!$B$5:$B$16,MATCH(Responses!AS400,Spaces!$A$5:$A$16,0))&amp;""),""))),IF(Responses!AX400&gt;IFERROR(VALUE(INDEX(Spaces!$B$5:$B$16,MATCH(Responses!AS400,Spaces!$A$5:$A$16,0))&amp;""),""),"Over by "&amp;(Responses!AX400-IFERROR(VALUE(INDEX(Spaces!$B$5:$B$16,MATCH(Responses!AS400,Spaces!$A$5:$A$16,0))&amp;""),"")),"OK"),""))</f>
        <v/>
      </c>
      <c r="H404" s="28">
        <f>Responses!BF400</f>
        <v/>
      </c>
      <c r="I404" s="28">
        <f>IF(Responses!AS400="","",Responses!AO400&amp;"")</f>
        <v/>
      </c>
      <c r="J404" s="28">
        <f>IF(Responses!AS400="","",Responses!AZ400&amp;"")</f>
        <v/>
      </c>
      <c r="K404" s="29">
        <f>Responses!AY400</f>
        <v/>
      </c>
      <c r="L404" s="28">
        <f>IF(Responses!AS400="","",IF(Responses!AY400="Declined","",IF(Responses!BA400=0,"Check date and times",IF(Responses!BB400&gt;0,Responses!BC400,"No clash"))))</f>
        <v/>
      </c>
    </row>
    <row r="405">
      <c r="A405" s="27">
        <f>IF(Responses!AS401="","",IF(Responses!AT401&gt;0,Responses!AT401,"Check date"))</f>
        <v/>
      </c>
      <c r="B405" s="28">
        <f>Responses!AS401</f>
        <v/>
      </c>
      <c r="C405" s="29">
        <f>IF(Responses!AS401="","",IF(Responses!AU401&gt;=0,IF(Responses!AU401="","",RIGHT("0"&amp;INT(Responses!AU401/60),2)&amp;":"&amp;RIGHT("0"&amp;MOD(Responses!AU401,60),2)),"Check"))</f>
        <v/>
      </c>
      <c r="D405" s="29">
        <f>IF(Responses!AS401="","",IF(Responses!AV401&gt;=0,IF(Responses!AV401="","",RIGHT("0"&amp;INT(Responses!AV401/60),2)&amp;":"&amp;RIGHT("0"&amp;MOD(Responses!AV401,60),2)),"Check"))</f>
        <v/>
      </c>
      <c r="E405" s="28">
        <f>Responses!AW401</f>
        <v/>
      </c>
      <c r="F405" s="29">
        <f>Responses!AX401</f>
        <v/>
      </c>
      <c r="G405" s="29">
        <f>IF(Responses!AS401="","",IF(AND(ISNUMBER(Responses!AX401),ISNUMBER(IFERROR(VALUE(INDEX(Spaces!$B$5:$B$16,MATCH(Responses!AS401,Spaces!$A$5:$A$16,0))&amp;""),""))),IF(Responses!AX401&gt;IFERROR(VALUE(INDEX(Spaces!$B$5:$B$16,MATCH(Responses!AS401,Spaces!$A$5:$A$16,0))&amp;""),""),"Over by "&amp;(Responses!AX401-IFERROR(VALUE(INDEX(Spaces!$B$5:$B$16,MATCH(Responses!AS401,Spaces!$A$5:$A$16,0))&amp;""),"")),"OK"),""))</f>
        <v/>
      </c>
      <c r="H405" s="28">
        <f>Responses!BF401</f>
        <v/>
      </c>
      <c r="I405" s="28">
        <f>IF(Responses!AS401="","",Responses!AO401&amp;"")</f>
        <v/>
      </c>
      <c r="J405" s="28">
        <f>IF(Responses!AS401="","",Responses!AZ401&amp;"")</f>
        <v/>
      </c>
      <c r="K405" s="29">
        <f>Responses!AY401</f>
        <v/>
      </c>
      <c r="L405" s="28">
        <f>IF(Responses!AS401="","",IF(Responses!AY401="Declined","",IF(Responses!BA401=0,"Check date and times",IF(Responses!BB401&gt;0,Responses!BC401,"No clash"))))</f>
        <v/>
      </c>
    </row>
    <row r="406">
      <c r="A406" s="27">
        <f>IF(Responses!AS402="","",IF(Responses!AT402&gt;0,Responses!AT402,"Check date"))</f>
        <v/>
      </c>
      <c r="B406" s="28">
        <f>Responses!AS402</f>
        <v/>
      </c>
      <c r="C406" s="29">
        <f>IF(Responses!AS402="","",IF(Responses!AU402&gt;=0,IF(Responses!AU402="","",RIGHT("0"&amp;INT(Responses!AU402/60),2)&amp;":"&amp;RIGHT("0"&amp;MOD(Responses!AU402,60),2)),"Check"))</f>
        <v/>
      </c>
      <c r="D406" s="29">
        <f>IF(Responses!AS402="","",IF(Responses!AV402&gt;=0,IF(Responses!AV402="","",RIGHT("0"&amp;INT(Responses!AV402/60),2)&amp;":"&amp;RIGHT("0"&amp;MOD(Responses!AV402,60),2)),"Check"))</f>
        <v/>
      </c>
      <c r="E406" s="28">
        <f>Responses!AW402</f>
        <v/>
      </c>
      <c r="F406" s="29">
        <f>Responses!AX402</f>
        <v/>
      </c>
      <c r="G406" s="29">
        <f>IF(Responses!AS402="","",IF(AND(ISNUMBER(Responses!AX402),ISNUMBER(IFERROR(VALUE(INDEX(Spaces!$B$5:$B$16,MATCH(Responses!AS402,Spaces!$A$5:$A$16,0))&amp;""),""))),IF(Responses!AX402&gt;IFERROR(VALUE(INDEX(Spaces!$B$5:$B$16,MATCH(Responses!AS402,Spaces!$A$5:$A$16,0))&amp;""),""),"Over by "&amp;(Responses!AX402-IFERROR(VALUE(INDEX(Spaces!$B$5:$B$16,MATCH(Responses!AS402,Spaces!$A$5:$A$16,0))&amp;""),"")),"OK"),""))</f>
        <v/>
      </c>
      <c r="H406" s="28">
        <f>Responses!BF402</f>
        <v/>
      </c>
      <c r="I406" s="28">
        <f>IF(Responses!AS402="","",Responses!AO402&amp;"")</f>
        <v/>
      </c>
      <c r="J406" s="28">
        <f>IF(Responses!AS402="","",Responses!AZ402&amp;"")</f>
        <v/>
      </c>
      <c r="K406" s="29">
        <f>Responses!AY402</f>
        <v/>
      </c>
      <c r="L406" s="28">
        <f>IF(Responses!AS402="","",IF(Responses!AY402="Declined","",IF(Responses!BA402=0,"Check date and times",IF(Responses!BB402&gt;0,Responses!BC402,"No clash"))))</f>
        <v/>
      </c>
    </row>
    <row r="407">
      <c r="A407" s="27">
        <f>IF(Responses!AS403="","",IF(Responses!AT403&gt;0,Responses!AT403,"Check date"))</f>
        <v/>
      </c>
      <c r="B407" s="28">
        <f>Responses!AS403</f>
        <v/>
      </c>
      <c r="C407" s="29">
        <f>IF(Responses!AS403="","",IF(Responses!AU403&gt;=0,IF(Responses!AU403="","",RIGHT("0"&amp;INT(Responses!AU403/60),2)&amp;":"&amp;RIGHT("0"&amp;MOD(Responses!AU403,60),2)),"Check"))</f>
        <v/>
      </c>
      <c r="D407" s="29">
        <f>IF(Responses!AS403="","",IF(Responses!AV403&gt;=0,IF(Responses!AV403="","",RIGHT("0"&amp;INT(Responses!AV403/60),2)&amp;":"&amp;RIGHT("0"&amp;MOD(Responses!AV403,60),2)),"Check"))</f>
        <v/>
      </c>
      <c r="E407" s="28">
        <f>Responses!AW403</f>
        <v/>
      </c>
      <c r="F407" s="29">
        <f>Responses!AX403</f>
        <v/>
      </c>
      <c r="G407" s="29">
        <f>IF(Responses!AS403="","",IF(AND(ISNUMBER(Responses!AX403),ISNUMBER(IFERROR(VALUE(INDEX(Spaces!$B$5:$B$16,MATCH(Responses!AS403,Spaces!$A$5:$A$16,0))&amp;""),""))),IF(Responses!AX403&gt;IFERROR(VALUE(INDEX(Spaces!$B$5:$B$16,MATCH(Responses!AS403,Spaces!$A$5:$A$16,0))&amp;""),""),"Over by "&amp;(Responses!AX403-IFERROR(VALUE(INDEX(Spaces!$B$5:$B$16,MATCH(Responses!AS403,Spaces!$A$5:$A$16,0))&amp;""),"")),"OK"),""))</f>
        <v/>
      </c>
      <c r="H407" s="28">
        <f>Responses!BF403</f>
        <v/>
      </c>
      <c r="I407" s="28">
        <f>IF(Responses!AS403="","",Responses!AO403&amp;"")</f>
        <v/>
      </c>
      <c r="J407" s="28">
        <f>IF(Responses!AS403="","",Responses!AZ403&amp;"")</f>
        <v/>
      </c>
      <c r="K407" s="29">
        <f>Responses!AY403</f>
        <v/>
      </c>
      <c r="L407" s="28">
        <f>IF(Responses!AS403="","",IF(Responses!AY403="Declined","",IF(Responses!BA403=0,"Check date and times",IF(Responses!BB403&gt;0,Responses!BC403,"No clash"))))</f>
        <v/>
      </c>
    </row>
    <row r="408">
      <c r="A408" s="27">
        <f>IF(Responses!AS404="","",IF(Responses!AT404&gt;0,Responses!AT404,"Check date"))</f>
        <v/>
      </c>
      <c r="B408" s="28">
        <f>Responses!AS404</f>
        <v/>
      </c>
      <c r="C408" s="29">
        <f>IF(Responses!AS404="","",IF(Responses!AU404&gt;=0,IF(Responses!AU404="","",RIGHT("0"&amp;INT(Responses!AU404/60),2)&amp;":"&amp;RIGHT("0"&amp;MOD(Responses!AU404,60),2)),"Check"))</f>
        <v/>
      </c>
      <c r="D408" s="29">
        <f>IF(Responses!AS404="","",IF(Responses!AV404&gt;=0,IF(Responses!AV404="","",RIGHT("0"&amp;INT(Responses!AV404/60),2)&amp;":"&amp;RIGHT("0"&amp;MOD(Responses!AV404,60),2)),"Check"))</f>
        <v/>
      </c>
      <c r="E408" s="28">
        <f>Responses!AW404</f>
        <v/>
      </c>
      <c r="F408" s="29">
        <f>Responses!AX404</f>
        <v/>
      </c>
      <c r="G408" s="29">
        <f>IF(Responses!AS404="","",IF(AND(ISNUMBER(Responses!AX404),ISNUMBER(IFERROR(VALUE(INDEX(Spaces!$B$5:$B$16,MATCH(Responses!AS404,Spaces!$A$5:$A$16,0))&amp;""),""))),IF(Responses!AX404&gt;IFERROR(VALUE(INDEX(Spaces!$B$5:$B$16,MATCH(Responses!AS404,Spaces!$A$5:$A$16,0))&amp;""),""),"Over by "&amp;(Responses!AX404-IFERROR(VALUE(INDEX(Spaces!$B$5:$B$16,MATCH(Responses!AS404,Spaces!$A$5:$A$16,0))&amp;""),"")),"OK"),""))</f>
        <v/>
      </c>
      <c r="H408" s="28">
        <f>Responses!BF404</f>
        <v/>
      </c>
      <c r="I408" s="28">
        <f>IF(Responses!AS404="","",Responses!AO404&amp;"")</f>
        <v/>
      </c>
      <c r="J408" s="28">
        <f>IF(Responses!AS404="","",Responses!AZ404&amp;"")</f>
        <v/>
      </c>
      <c r="K408" s="29">
        <f>Responses!AY404</f>
        <v/>
      </c>
      <c r="L408" s="28">
        <f>IF(Responses!AS404="","",IF(Responses!AY404="Declined","",IF(Responses!BA404=0,"Check date and times",IF(Responses!BB404&gt;0,Responses!BC404,"No clash"))))</f>
        <v/>
      </c>
    </row>
    <row r="409">
      <c r="A409" s="27">
        <f>IF(Responses!AS405="","",IF(Responses!AT405&gt;0,Responses!AT405,"Check date"))</f>
        <v/>
      </c>
      <c r="B409" s="28">
        <f>Responses!AS405</f>
        <v/>
      </c>
      <c r="C409" s="29">
        <f>IF(Responses!AS405="","",IF(Responses!AU405&gt;=0,IF(Responses!AU405="","",RIGHT("0"&amp;INT(Responses!AU405/60),2)&amp;":"&amp;RIGHT("0"&amp;MOD(Responses!AU405,60),2)),"Check"))</f>
        <v/>
      </c>
      <c r="D409" s="29">
        <f>IF(Responses!AS405="","",IF(Responses!AV405&gt;=0,IF(Responses!AV405="","",RIGHT("0"&amp;INT(Responses!AV405/60),2)&amp;":"&amp;RIGHT("0"&amp;MOD(Responses!AV405,60),2)),"Check"))</f>
        <v/>
      </c>
      <c r="E409" s="28">
        <f>Responses!AW405</f>
        <v/>
      </c>
      <c r="F409" s="29">
        <f>Responses!AX405</f>
        <v/>
      </c>
      <c r="G409" s="29">
        <f>IF(Responses!AS405="","",IF(AND(ISNUMBER(Responses!AX405),ISNUMBER(IFERROR(VALUE(INDEX(Spaces!$B$5:$B$16,MATCH(Responses!AS405,Spaces!$A$5:$A$16,0))&amp;""),""))),IF(Responses!AX405&gt;IFERROR(VALUE(INDEX(Spaces!$B$5:$B$16,MATCH(Responses!AS405,Spaces!$A$5:$A$16,0))&amp;""),""),"Over by "&amp;(Responses!AX405-IFERROR(VALUE(INDEX(Spaces!$B$5:$B$16,MATCH(Responses!AS405,Spaces!$A$5:$A$16,0))&amp;""),"")),"OK"),""))</f>
        <v/>
      </c>
      <c r="H409" s="28">
        <f>Responses!BF405</f>
        <v/>
      </c>
      <c r="I409" s="28">
        <f>IF(Responses!AS405="","",Responses!AO405&amp;"")</f>
        <v/>
      </c>
      <c r="J409" s="28">
        <f>IF(Responses!AS405="","",Responses!AZ405&amp;"")</f>
        <v/>
      </c>
      <c r="K409" s="29">
        <f>Responses!AY405</f>
        <v/>
      </c>
      <c r="L409" s="28">
        <f>IF(Responses!AS405="","",IF(Responses!AY405="Declined","",IF(Responses!BA405=0,"Check date and times",IF(Responses!BB405&gt;0,Responses!BC405,"No clash"))))</f>
        <v/>
      </c>
    </row>
    <row r="410">
      <c r="A410" s="27">
        <f>IF(Responses!AS406="","",IF(Responses!AT406&gt;0,Responses!AT406,"Check date"))</f>
        <v/>
      </c>
      <c r="B410" s="28">
        <f>Responses!AS406</f>
        <v/>
      </c>
      <c r="C410" s="29">
        <f>IF(Responses!AS406="","",IF(Responses!AU406&gt;=0,IF(Responses!AU406="","",RIGHT("0"&amp;INT(Responses!AU406/60),2)&amp;":"&amp;RIGHT("0"&amp;MOD(Responses!AU406,60),2)),"Check"))</f>
        <v/>
      </c>
      <c r="D410" s="29">
        <f>IF(Responses!AS406="","",IF(Responses!AV406&gt;=0,IF(Responses!AV406="","",RIGHT("0"&amp;INT(Responses!AV406/60),2)&amp;":"&amp;RIGHT("0"&amp;MOD(Responses!AV406,60),2)),"Check"))</f>
        <v/>
      </c>
      <c r="E410" s="28">
        <f>Responses!AW406</f>
        <v/>
      </c>
      <c r="F410" s="29">
        <f>Responses!AX406</f>
        <v/>
      </c>
      <c r="G410" s="29">
        <f>IF(Responses!AS406="","",IF(AND(ISNUMBER(Responses!AX406),ISNUMBER(IFERROR(VALUE(INDEX(Spaces!$B$5:$B$16,MATCH(Responses!AS406,Spaces!$A$5:$A$16,0))&amp;""),""))),IF(Responses!AX406&gt;IFERROR(VALUE(INDEX(Spaces!$B$5:$B$16,MATCH(Responses!AS406,Spaces!$A$5:$A$16,0))&amp;""),""),"Over by "&amp;(Responses!AX406-IFERROR(VALUE(INDEX(Spaces!$B$5:$B$16,MATCH(Responses!AS406,Spaces!$A$5:$A$16,0))&amp;""),"")),"OK"),""))</f>
        <v/>
      </c>
      <c r="H410" s="28">
        <f>Responses!BF406</f>
        <v/>
      </c>
      <c r="I410" s="28">
        <f>IF(Responses!AS406="","",Responses!AO406&amp;"")</f>
        <v/>
      </c>
      <c r="J410" s="28">
        <f>IF(Responses!AS406="","",Responses!AZ406&amp;"")</f>
        <v/>
      </c>
      <c r="K410" s="29">
        <f>Responses!AY406</f>
        <v/>
      </c>
      <c r="L410" s="28">
        <f>IF(Responses!AS406="","",IF(Responses!AY406="Declined","",IF(Responses!BA406=0,"Check date and times",IF(Responses!BB406&gt;0,Responses!BC406,"No clash"))))</f>
        <v/>
      </c>
    </row>
    <row r="411">
      <c r="A411" s="27">
        <f>IF(Responses!AS407="","",IF(Responses!AT407&gt;0,Responses!AT407,"Check date"))</f>
        <v/>
      </c>
      <c r="B411" s="28">
        <f>Responses!AS407</f>
        <v/>
      </c>
      <c r="C411" s="29">
        <f>IF(Responses!AS407="","",IF(Responses!AU407&gt;=0,IF(Responses!AU407="","",RIGHT("0"&amp;INT(Responses!AU407/60),2)&amp;":"&amp;RIGHT("0"&amp;MOD(Responses!AU407,60),2)),"Check"))</f>
        <v/>
      </c>
      <c r="D411" s="29">
        <f>IF(Responses!AS407="","",IF(Responses!AV407&gt;=0,IF(Responses!AV407="","",RIGHT("0"&amp;INT(Responses!AV407/60),2)&amp;":"&amp;RIGHT("0"&amp;MOD(Responses!AV407,60),2)),"Check"))</f>
        <v/>
      </c>
      <c r="E411" s="28">
        <f>Responses!AW407</f>
        <v/>
      </c>
      <c r="F411" s="29">
        <f>Responses!AX407</f>
        <v/>
      </c>
      <c r="G411" s="29">
        <f>IF(Responses!AS407="","",IF(AND(ISNUMBER(Responses!AX407),ISNUMBER(IFERROR(VALUE(INDEX(Spaces!$B$5:$B$16,MATCH(Responses!AS407,Spaces!$A$5:$A$16,0))&amp;""),""))),IF(Responses!AX407&gt;IFERROR(VALUE(INDEX(Spaces!$B$5:$B$16,MATCH(Responses!AS407,Spaces!$A$5:$A$16,0))&amp;""),""),"Over by "&amp;(Responses!AX407-IFERROR(VALUE(INDEX(Spaces!$B$5:$B$16,MATCH(Responses!AS407,Spaces!$A$5:$A$16,0))&amp;""),"")),"OK"),""))</f>
        <v/>
      </c>
      <c r="H411" s="28">
        <f>Responses!BF407</f>
        <v/>
      </c>
      <c r="I411" s="28">
        <f>IF(Responses!AS407="","",Responses!AO407&amp;"")</f>
        <v/>
      </c>
      <c r="J411" s="28">
        <f>IF(Responses!AS407="","",Responses!AZ407&amp;"")</f>
        <v/>
      </c>
      <c r="K411" s="29">
        <f>Responses!AY407</f>
        <v/>
      </c>
      <c r="L411" s="28">
        <f>IF(Responses!AS407="","",IF(Responses!AY407="Declined","",IF(Responses!BA407=0,"Check date and times",IF(Responses!BB407&gt;0,Responses!BC407,"No clash"))))</f>
        <v/>
      </c>
    </row>
    <row r="412">
      <c r="A412" s="27">
        <f>IF(Responses!AS408="","",IF(Responses!AT408&gt;0,Responses!AT408,"Check date"))</f>
        <v/>
      </c>
      <c r="B412" s="28">
        <f>Responses!AS408</f>
        <v/>
      </c>
      <c r="C412" s="29">
        <f>IF(Responses!AS408="","",IF(Responses!AU408&gt;=0,IF(Responses!AU408="","",RIGHT("0"&amp;INT(Responses!AU408/60),2)&amp;":"&amp;RIGHT("0"&amp;MOD(Responses!AU408,60),2)),"Check"))</f>
        <v/>
      </c>
      <c r="D412" s="29">
        <f>IF(Responses!AS408="","",IF(Responses!AV408&gt;=0,IF(Responses!AV408="","",RIGHT("0"&amp;INT(Responses!AV408/60),2)&amp;":"&amp;RIGHT("0"&amp;MOD(Responses!AV408,60),2)),"Check"))</f>
        <v/>
      </c>
      <c r="E412" s="28">
        <f>Responses!AW408</f>
        <v/>
      </c>
      <c r="F412" s="29">
        <f>Responses!AX408</f>
        <v/>
      </c>
      <c r="G412" s="29">
        <f>IF(Responses!AS408="","",IF(AND(ISNUMBER(Responses!AX408),ISNUMBER(IFERROR(VALUE(INDEX(Spaces!$B$5:$B$16,MATCH(Responses!AS408,Spaces!$A$5:$A$16,0))&amp;""),""))),IF(Responses!AX408&gt;IFERROR(VALUE(INDEX(Spaces!$B$5:$B$16,MATCH(Responses!AS408,Spaces!$A$5:$A$16,0))&amp;""),""),"Over by "&amp;(Responses!AX408-IFERROR(VALUE(INDEX(Spaces!$B$5:$B$16,MATCH(Responses!AS408,Spaces!$A$5:$A$16,0))&amp;""),"")),"OK"),""))</f>
        <v/>
      </c>
      <c r="H412" s="28">
        <f>Responses!BF408</f>
        <v/>
      </c>
      <c r="I412" s="28">
        <f>IF(Responses!AS408="","",Responses!AO408&amp;"")</f>
        <v/>
      </c>
      <c r="J412" s="28">
        <f>IF(Responses!AS408="","",Responses!AZ408&amp;"")</f>
        <v/>
      </c>
      <c r="K412" s="29">
        <f>Responses!AY408</f>
        <v/>
      </c>
      <c r="L412" s="28">
        <f>IF(Responses!AS408="","",IF(Responses!AY408="Declined","",IF(Responses!BA408=0,"Check date and times",IF(Responses!BB408&gt;0,Responses!BC408,"No clash"))))</f>
        <v/>
      </c>
    </row>
    <row r="413">
      <c r="A413" s="27">
        <f>IF(Responses!AS409="","",IF(Responses!AT409&gt;0,Responses!AT409,"Check date"))</f>
        <v/>
      </c>
      <c r="B413" s="28">
        <f>Responses!AS409</f>
        <v/>
      </c>
      <c r="C413" s="29">
        <f>IF(Responses!AS409="","",IF(Responses!AU409&gt;=0,IF(Responses!AU409="","",RIGHT("0"&amp;INT(Responses!AU409/60),2)&amp;":"&amp;RIGHT("0"&amp;MOD(Responses!AU409,60),2)),"Check"))</f>
        <v/>
      </c>
      <c r="D413" s="29">
        <f>IF(Responses!AS409="","",IF(Responses!AV409&gt;=0,IF(Responses!AV409="","",RIGHT("0"&amp;INT(Responses!AV409/60),2)&amp;":"&amp;RIGHT("0"&amp;MOD(Responses!AV409,60),2)),"Check"))</f>
        <v/>
      </c>
      <c r="E413" s="28">
        <f>Responses!AW409</f>
        <v/>
      </c>
      <c r="F413" s="29">
        <f>Responses!AX409</f>
        <v/>
      </c>
      <c r="G413" s="29">
        <f>IF(Responses!AS409="","",IF(AND(ISNUMBER(Responses!AX409),ISNUMBER(IFERROR(VALUE(INDEX(Spaces!$B$5:$B$16,MATCH(Responses!AS409,Spaces!$A$5:$A$16,0))&amp;""),""))),IF(Responses!AX409&gt;IFERROR(VALUE(INDEX(Spaces!$B$5:$B$16,MATCH(Responses!AS409,Spaces!$A$5:$A$16,0))&amp;""),""),"Over by "&amp;(Responses!AX409-IFERROR(VALUE(INDEX(Spaces!$B$5:$B$16,MATCH(Responses!AS409,Spaces!$A$5:$A$16,0))&amp;""),"")),"OK"),""))</f>
        <v/>
      </c>
      <c r="H413" s="28">
        <f>Responses!BF409</f>
        <v/>
      </c>
      <c r="I413" s="28">
        <f>IF(Responses!AS409="","",Responses!AO409&amp;"")</f>
        <v/>
      </c>
      <c r="J413" s="28">
        <f>IF(Responses!AS409="","",Responses!AZ409&amp;"")</f>
        <v/>
      </c>
      <c r="K413" s="29">
        <f>Responses!AY409</f>
        <v/>
      </c>
      <c r="L413" s="28">
        <f>IF(Responses!AS409="","",IF(Responses!AY409="Declined","",IF(Responses!BA409=0,"Check date and times",IF(Responses!BB409&gt;0,Responses!BC409,"No clash"))))</f>
        <v/>
      </c>
    </row>
    <row r="414">
      <c r="A414" s="27">
        <f>IF(Responses!AS410="","",IF(Responses!AT410&gt;0,Responses!AT410,"Check date"))</f>
        <v/>
      </c>
      <c r="B414" s="28">
        <f>Responses!AS410</f>
        <v/>
      </c>
      <c r="C414" s="29">
        <f>IF(Responses!AS410="","",IF(Responses!AU410&gt;=0,IF(Responses!AU410="","",RIGHT("0"&amp;INT(Responses!AU410/60),2)&amp;":"&amp;RIGHT("0"&amp;MOD(Responses!AU410,60),2)),"Check"))</f>
        <v/>
      </c>
      <c r="D414" s="29">
        <f>IF(Responses!AS410="","",IF(Responses!AV410&gt;=0,IF(Responses!AV410="","",RIGHT("0"&amp;INT(Responses!AV410/60),2)&amp;":"&amp;RIGHT("0"&amp;MOD(Responses!AV410,60),2)),"Check"))</f>
        <v/>
      </c>
      <c r="E414" s="28">
        <f>Responses!AW410</f>
        <v/>
      </c>
      <c r="F414" s="29">
        <f>Responses!AX410</f>
        <v/>
      </c>
      <c r="G414" s="29">
        <f>IF(Responses!AS410="","",IF(AND(ISNUMBER(Responses!AX410),ISNUMBER(IFERROR(VALUE(INDEX(Spaces!$B$5:$B$16,MATCH(Responses!AS410,Spaces!$A$5:$A$16,0))&amp;""),""))),IF(Responses!AX410&gt;IFERROR(VALUE(INDEX(Spaces!$B$5:$B$16,MATCH(Responses!AS410,Spaces!$A$5:$A$16,0))&amp;""),""),"Over by "&amp;(Responses!AX410-IFERROR(VALUE(INDEX(Spaces!$B$5:$B$16,MATCH(Responses!AS410,Spaces!$A$5:$A$16,0))&amp;""),"")),"OK"),""))</f>
        <v/>
      </c>
      <c r="H414" s="28">
        <f>Responses!BF410</f>
        <v/>
      </c>
      <c r="I414" s="28">
        <f>IF(Responses!AS410="","",Responses!AO410&amp;"")</f>
        <v/>
      </c>
      <c r="J414" s="28">
        <f>IF(Responses!AS410="","",Responses!AZ410&amp;"")</f>
        <v/>
      </c>
      <c r="K414" s="29">
        <f>Responses!AY410</f>
        <v/>
      </c>
      <c r="L414" s="28">
        <f>IF(Responses!AS410="","",IF(Responses!AY410="Declined","",IF(Responses!BA410=0,"Check date and times",IF(Responses!BB410&gt;0,Responses!BC410,"No clash"))))</f>
        <v/>
      </c>
    </row>
    <row r="415">
      <c r="A415" s="27">
        <f>IF(Responses!AS411="","",IF(Responses!AT411&gt;0,Responses!AT411,"Check date"))</f>
        <v/>
      </c>
      <c r="B415" s="28">
        <f>Responses!AS411</f>
        <v/>
      </c>
      <c r="C415" s="29">
        <f>IF(Responses!AS411="","",IF(Responses!AU411&gt;=0,IF(Responses!AU411="","",RIGHT("0"&amp;INT(Responses!AU411/60),2)&amp;":"&amp;RIGHT("0"&amp;MOD(Responses!AU411,60),2)),"Check"))</f>
        <v/>
      </c>
      <c r="D415" s="29">
        <f>IF(Responses!AS411="","",IF(Responses!AV411&gt;=0,IF(Responses!AV411="","",RIGHT("0"&amp;INT(Responses!AV411/60),2)&amp;":"&amp;RIGHT("0"&amp;MOD(Responses!AV411,60),2)),"Check"))</f>
        <v/>
      </c>
      <c r="E415" s="28">
        <f>Responses!AW411</f>
        <v/>
      </c>
      <c r="F415" s="29">
        <f>Responses!AX411</f>
        <v/>
      </c>
      <c r="G415" s="29">
        <f>IF(Responses!AS411="","",IF(AND(ISNUMBER(Responses!AX411),ISNUMBER(IFERROR(VALUE(INDEX(Spaces!$B$5:$B$16,MATCH(Responses!AS411,Spaces!$A$5:$A$16,0))&amp;""),""))),IF(Responses!AX411&gt;IFERROR(VALUE(INDEX(Spaces!$B$5:$B$16,MATCH(Responses!AS411,Spaces!$A$5:$A$16,0))&amp;""),""),"Over by "&amp;(Responses!AX411-IFERROR(VALUE(INDEX(Spaces!$B$5:$B$16,MATCH(Responses!AS411,Spaces!$A$5:$A$16,0))&amp;""),"")),"OK"),""))</f>
        <v/>
      </c>
      <c r="H415" s="28">
        <f>Responses!BF411</f>
        <v/>
      </c>
      <c r="I415" s="28">
        <f>IF(Responses!AS411="","",Responses!AO411&amp;"")</f>
        <v/>
      </c>
      <c r="J415" s="28">
        <f>IF(Responses!AS411="","",Responses!AZ411&amp;"")</f>
        <v/>
      </c>
      <c r="K415" s="29">
        <f>Responses!AY411</f>
        <v/>
      </c>
      <c r="L415" s="28">
        <f>IF(Responses!AS411="","",IF(Responses!AY411="Declined","",IF(Responses!BA411=0,"Check date and times",IF(Responses!BB411&gt;0,Responses!BC411,"No clash"))))</f>
        <v/>
      </c>
    </row>
    <row r="416">
      <c r="A416" s="27">
        <f>IF(Responses!AS412="","",IF(Responses!AT412&gt;0,Responses!AT412,"Check date"))</f>
        <v/>
      </c>
      <c r="B416" s="28">
        <f>Responses!AS412</f>
        <v/>
      </c>
      <c r="C416" s="29">
        <f>IF(Responses!AS412="","",IF(Responses!AU412&gt;=0,IF(Responses!AU412="","",RIGHT("0"&amp;INT(Responses!AU412/60),2)&amp;":"&amp;RIGHT("0"&amp;MOD(Responses!AU412,60),2)),"Check"))</f>
        <v/>
      </c>
      <c r="D416" s="29">
        <f>IF(Responses!AS412="","",IF(Responses!AV412&gt;=0,IF(Responses!AV412="","",RIGHT("0"&amp;INT(Responses!AV412/60),2)&amp;":"&amp;RIGHT("0"&amp;MOD(Responses!AV412,60),2)),"Check"))</f>
        <v/>
      </c>
      <c r="E416" s="28">
        <f>Responses!AW412</f>
        <v/>
      </c>
      <c r="F416" s="29">
        <f>Responses!AX412</f>
        <v/>
      </c>
      <c r="G416" s="29">
        <f>IF(Responses!AS412="","",IF(AND(ISNUMBER(Responses!AX412),ISNUMBER(IFERROR(VALUE(INDEX(Spaces!$B$5:$B$16,MATCH(Responses!AS412,Spaces!$A$5:$A$16,0))&amp;""),""))),IF(Responses!AX412&gt;IFERROR(VALUE(INDEX(Spaces!$B$5:$B$16,MATCH(Responses!AS412,Spaces!$A$5:$A$16,0))&amp;""),""),"Over by "&amp;(Responses!AX412-IFERROR(VALUE(INDEX(Spaces!$B$5:$B$16,MATCH(Responses!AS412,Spaces!$A$5:$A$16,0))&amp;""),"")),"OK"),""))</f>
        <v/>
      </c>
      <c r="H416" s="28">
        <f>Responses!BF412</f>
        <v/>
      </c>
      <c r="I416" s="28">
        <f>IF(Responses!AS412="","",Responses!AO412&amp;"")</f>
        <v/>
      </c>
      <c r="J416" s="28">
        <f>IF(Responses!AS412="","",Responses!AZ412&amp;"")</f>
        <v/>
      </c>
      <c r="K416" s="29">
        <f>Responses!AY412</f>
        <v/>
      </c>
      <c r="L416" s="28">
        <f>IF(Responses!AS412="","",IF(Responses!AY412="Declined","",IF(Responses!BA412=0,"Check date and times",IF(Responses!BB412&gt;0,Responses!BC412,"No clash"))))</f>
        <v/>
      </c>
    </row>
    <row r="417">
      <c r="A417" s="27">
        <f>IF(Responses!AS413="","",IF(Responses!AT413&gt;0,Responses!AT413,"Check date"))</f>
        <v/>
      </c>
      <c r="B417" s="28">
        <f>Responses!AS413</f>
        <v/>
      </c>
      <c r="C417" s="29">
        <f>IF(Responses!AS413="","",IF(Responses!AU413&gt;=0,IF(Responses!AU413="","",RIGHT("0"&amp;INT(Responses!AU413/60),2)&amp;":"&amp;RIGHT("0"&amp;MOD(Responses!AU413,60),2)),"Check"))</f>
        <v/>
      </c>
      <c r="D417" s="29">
        <f>IF(Responses!AS413="","",IF(Responses!AV413&gt;=0,IF(Responses!AV413="","",RIGHT("0"&amp;INT(Responses!AV413/60),2)&amp;":"&amp;RIGHT("0"&amp;MOD(Responses!AV413,60),2)),"Check"))</f>
        <v/>
      </c>
      <c r="E417" s="28">
        <f>Responses!AW413</f>
        <v/>
      </c>
      <c r="F417" s="29">
        <f>Responses!AX413</f>
        <v/>
      </c>
      <c r="G417" s="29">
        <f>IF(Responses!AS413="","",IF(AND(ISNUMBER(Responses!AX413),ISNUMBER(IFERROR(VALUE(INDEX(Spaces!$B$5:$B$16,MATCH(Responses!AS413,Spaces!$A$5:$A$16,0))&amp;""),""))),IF(Responses!AX413&gt;IFERROR(VALUE(INDEX(Spaces!$B$5:$B$16,MATCH(Responses!AS413,Spaces!$A$5:$A$16,0))&amp;""),""),"Over by "&amp;(Responses!AX413-IFERROR(VALUE(INDEX(Spaces!$B$5:$B$16,MATCH(Responses!AS413,Spaces!$A$5:$A$16,0))&amp;""),"")),"OK"),""))</f>
        <v/>
      </c>
      <c r="H417" s="28">
        <f>Responses!BF413</f>
        <v/>
      </c>
      <c r="I417" s="28">
        <f>IF(Responses!AS413="","",Responses!AO413&amp;"")</f>
        <v/>
      </c>
      <c r="J417" s="28">
        <f>IF(Responses!AS413="","",Responses!AZ413&amp;"")</f>
        <v/>
      </c>
      <c r="K417" s="29">
        <f>Responses!AY413</f>
        <v/>
      </c>
      <c r="L417" s="28">
        <f>IF(Responses!AS413="","",IF(Responses!AY413="Declined","",IF(Responses!BA413=0,"Check date and times",IF(Responses!BB413&gt;0,Responses!BC413,"No clash"))))</f>
        <v/>
      </c>
    </row>
    <row r="418">
      <c r="A418" s="27">
        <f>IF(Responses!AS414="","",IF(Responses!AT414&gt;0,Responses!AT414,"Check date"))</f>
        <v/>
      </c>
      <c r="B418" s="28">
        <f>Responses!AS414</f>
        <v/>
      </c>
      <c r="C418" s="29">
        <f>IF(Responses!AS414="","",IF(Responses!AU414&gt;=0,IF(Responses!AU414="","",RIGHT("0"&amp;INT(Responses!AU414/60),2)&amp;":"&amp;RIGHT("0"&amp;MOD(Responses!AU414,60),2)),"Check"))</f>
        <v/>
      </c>
      <c r="D418" s="29">
        <f>IF(Responses!AS414="","",IF(Responses!AV414&gt;=0,IF(Responses!AV414="","",RIGHT("0"&amp;INT(Responses!AV414/60),2)&amp;":"&amp;RIGHT("0"&amp;MOD(Responses!AV414,60),2)),"Check"))</f>
        <v/>
      </c>
      <c r="E418" s="28">
        <f>Responses!AW414</f>
        <v/>
      </c>
      <c r="F418" s="29">
        <f>Responses!AX414</f>
        <v/>
      </c>
      <c r="G418" s="29">
        <f>IF(Responses!AS414="","",IF(AND(ISNUMBER(Responses!AX414),ISNUMBER(IFERROR(VALUE(INDEX(Spaces!$B$5:$B$16,MATCH(Responses!AS414,Spaces!$A$5:$A$16,0))&amp;""),""))),IF(Responses!AX414&gt;IFERROR(VALUE(INDEX(Spaces!$B$5:$B$16,MATCH(Responses!AS414,Spaces!$A$5:$A$16,0))&amp;""),""),"Over by "&amp;(Responses!AX414-IFERROR(VALUE(INDEX(Spaces!$B$5:$B$16,MATCH(Responses!AS414,Spaces!$A$5:$A$16,0))&amp;""),"")),"OK"),""))</f>
        <v/>
      </c>
      <c r="H418" s="28">
        <f>Responses!BF414</f>
        <v/>
      </c>
      <c r="I418" s="28">
        <f>IF(Responses!AS414="","",Responses!AO414&amp;"")</f>
        <v/>
      </c>
      <c r="J418" s="28">
        <f>IF(Responses!AS414="","",Responses!AZ414&amp;"")</f>
        <v/>
      </c>
      <c r="K418" s="29">
        <f>Responses!AY414</f>
        <v/>
      </c>
      <c r="L418" s="28">
        <f>IF(Responses!AS414="","",IF(Responses!AY414="Declined","",IF(Responses!BA414=0,"Check date and times",IF(Responses!BB414&gt;0,Responses!BC414,"No clash"))))</f>
        <v/>
      </c>
    </row>
    <row r="419">
      <c r="A419" s="27">
        <f>IF(Responses!AS415="","",IF(Responses!AT415&gt;0,Responses!AT415,"Check date"))</f>
        <v/>
      </c>
      <c r="B419" s="28">
        <f>Responses!AS415</f>
        <v/>
      </c>
      <c r="C419" s="29">
        <f>IF(Responses!AS415="","",IF(Responses!AU415&gt;=0,IF(Responses!AU415="","",RIGHT("0"&amp;INT(Responses!AU415/60),2)&amp;":"&amp;RIGHT("0"&amp;MOD(Responses!AU415,60),2)),"Check"))</f>
        <v/>
      </c>
      <c r="D419" s="29">
        <f>IF(Responses!AS415="","",IF(Responses!AV415&gt;=0,IF(Responses!AV415="","",RIGHT("0"&amp;INT(Responses!AV415/60),2)&amp;":"&amp;RIGHT("0"&amp;MOD(Responses!AV415,60),2)),"Check"))</f>
        <v/>
      </c>
      <c r="E419" s="28">
        <f>Responses!AW415</f>
        <v/>
      </c>
      <c r="F419" s="29">
        <f>Responses!AX415</f>
        <v/>
      </c>
      <c r="G419" s="29">
        <f>IF(Responses!AS415="","",IF(AND(ISNUMBER(Responses!AX415),ISNUMBER(IFERROR(VALUE(INDEX(Spaces!$B$5:$B$16,MATCH(Responses!AS415,Spaces!$A$5:$A$16,0))&amp;""),""))),IF(Responses!AX415&gt;IFERROR(VALUE(INDEX(Spaces!$B$5:$B$16,MATCH(Responses!AS415,Spaces!$A$5:$A$16,0))&amp;""),""),"Over by "&amp;(Responses!AX415-IFERROR(VALUE(INDEX(Spaces!$B$5:$B$16,MATCH(Responses!AS415,Spaces!$A$5:$A$16,0))&amp;""),"")),"OK"),""))</f>
        <v/>
      </c>
      <c r="H419" s="28">
        <f>Responses!BF415</f>
        <v/>
      </c>
      <c r="I419" s="28">
        <f>IF(Responses!AS415="","",Responses!AO415&amp;"")</f>
        <v/>
      </c>
      <c r="J419" s="28">
        <f>IF(Responses!AS415="","",Responses!AZ415&amp;"")</f>
        <v/>
      </c>
      <c r="K419" s="29">
        <f>Responses!AY415</f>
        <v/>
      </c>
      <c r="L419" s="28">
        <f>IF(Responses!AS415="","",IF(Responses!AY415="Declined","",IF(Responses!BA415=0,"Check date and times",IF(Responses!BB415&gt;0,Responses!BC415,"No clash"))))</f>
        <v/>
      </c>
    </row>
    <row r="420">
      <c r="A420" s="27">
        <f>IF(Responses!AS416="","",IF(Responses!AT416&gt;0,Responses!AT416,"Check date"))</f>
        <v/>
      </c>
      <c r="B420" s="28">
        <f>Responses!AS416</f>
        <v/>
      </c>
      <c r="C420" s="29">
        <f>IF(Responses!AS416="","",IF(Responses!AU416&gt;=0,IF(Responses!AU416="","",RIGHT("0"&amp;INT(Responses!AU416/60),2)&amp;":"&amp;RIGHT("0"&amp;MOD(Responses!AU416,60),2)),"Check"))</f>
        <v/>
      </c>
      <c r="D420" s="29">
        <f>IF(Responses!AS416="","",IF(Responses!AV416&gt;=0,IF(Responses!AV416="","",RIGHT("0"&amp;INT(Responses!AV416/60),2)&amp;":"&amp;RIGHT("0"&amp;MOD(Responses!AV416,60),2)),"Check"))</f>
        <v/>
      </c>
      <c r="E420" s="28">
        <f>Responses!AW416</f>
        <v/>
      </c>
      <c r="F420" s="29">
        <f>Responses!AX416</f>
        <v/>
      </c>
      <c r="G420" s="29">
        <f>IF(Responses!AS416="","",IF(AND(ISNUMBER(Responses!AX416),ISNUMBER(IFERROR(VALUE(INDEX(Spaces!$B$5:$B$16,MATCH(Responses!AS416,Spaces!$A$5:$A$16,0))&amp;""),""))),IF(Responses!AX416&gt;IFERROR(VALUE(INDEX(Spaces!$B$5:$B$16,MATCH(Responses!AS416,Spaces!$A$5:$A$16,0))&amp;""),""),"Over by "&amp;(Responses!AX416-IFERROR(VALUE(INDEX(Spaces!$B$5:$B$16,MATCH(Responses!AS416,Spaces!$A$5:$A$16,0))&amp;""),"")),"OK"),""))</f>
        <v/>
      </c>
      <c r="H420" s="28">
        <f>Responses!BF416</f>
        <v/>
      </c>
      <c r="I420" s="28">
        <f>IF(Responses!AS416="","",Responses!AO416&amp;"")</f>
        <v/>
      </c>
      <c r="J420" s="28">
        <f>IF(Responses!AS416="","",Responses!AZ416&amp;"")</f>
        <v/>
      </c>
      <c r="K420" s="29">
        <f>Responses!AY416</f>
        <v/>
      </c>
      <c r="L420" s="28">
        <f>IF(Responses!AS416="","",IF(Responses!AY416="Declined","",IF(Responses!BA416=0,"Check date and times",IF(Responses!BB416&gt;0,Responses!BC416,"No clash"))))</f>
        <v/>
      </c>
    </row>
    <row r="421">
      <c r="A421" s="27">
        <f>IF(Responses!AS417="","",IF(Responses!AT417&gt;0,Responses!AT417,"Check date"))</f>
        <v/>
      </c>
      <c r="B421" s="28">
        <f>Responses!AS417</f>
        <v/>
      </c>
      <c r="C421" s="29">
        <f>IF(Responses!AS417="","",IF(Responses!AU417&gt;=0,IF(Responses!AU417="","",RIGHT("0"&amp;INT(Responses!AU417/60),2)&amp;":"&amp;RIGHT("0"&amp;MOD(Responses!AU417,60),2)),"Check"))</f>
        <v/>
      </c>
      <c r="D421" s="29">
        <f>IF(Responses!AS417="","",IF(Responses!AV417&gt;=0,IF(Responses!AV417="","",RIGHT("0"&amp;INT(Responses!AV417/60),2)&amp;":"&amp;RIGHT("0"&amp;MOD(Responses!AV417,60),2)),"Check"))</f>
        <v/>
      </c>
      <c r="E421" s="28">
        <f>Responses!AW417</f>
        <v/>
      </c>
      <c r="F421" s="29">
        <f>Responses!AX417</f>
        <v/>
      </c>
      <c r="G421" s="29">
        <f>IF(Responses!AS417="","",IF(AND(ISNUMBER(Responses!AX417),ISNUMBER(IFERROR(VALUE(INDEX(Spaces!$B$5:$B$16,MATCH(Responses!AS417,Spaces!$A$5:$A$16,0))&amp;""),""))),IF(Responses!AX417&gt;IFERROR(VALUE(INDEX(Spaces!$B$5:$B$16,MATCH(Responses!AS417,Spaces!$A$5:$A$16,0))&amp;""),""),"Over by "&amp;(Responses!AX417-IFERROR(VALUE(INDEX(Spaces!$B$5:$B$16,MATCH(Responses!AS417,Spaces!$A$5:$A$16,0))&amp;""),"")),"OK"),""))</f>
        <v/>
      </c>
      <c r="H421" s="28">
        <f>Responses!BF417</f>
        <v/>
      </c>
      <c r="I421" s="28">
        <f>IF(Responses!AS417="","",Responses!AO417&amp;"")</f>
        <v/>
      </c>
      <c r="J421" s="28">
        <f>IF(Responses!AS417="","",Responses!AZ417&amp;"")</f>
        <v/>
      </c>
      <c r="K421" s="29">
        <f>Responses!AY417</f>
        <v/>
      </c>
      <c r="L421" s="28">
        <f>IF(Responses!AS417="","",IF(Responses!AY417="Declined","",IF(Responses!BA417=0,"Check date and times",IF(Responses!BB417&gt;0,Responses!BC417,"No clash"))))</f>
        <v/>
      </c>
    </row>
    <row r="422">
      <c r="A422" s="27">
        <f>IF(Responses!AS418="","",IF(Responses!AT418&gt;0,Responses!AT418,"Check date"))</f>
        <v/>
      </c>
      <c r="B422" s="28">
        <f>Responses!AS418</f>
        <v/>
      </c>
      <c r="C422" s="29">
        <f>IF(Responses!AS418="","",IF(Responses!AU418&gt;=0,IF(Responses!AU418="","",RIGHT("0"&amp;INT(Responses!AU418/60),2)&amp;":"&amp;RIGHT("0"&amp;MOD(Responses!AU418,60),2)),"Check"))</f>
        <v/>
      </c>
      <c r="D422" s="29">
        <f>IF(Responses!AS418="","",IF(Responses!AV418&gt;=0,IF(Responses!AV418="","",RIGHT("0"&amp;INT(Responses!AV418/60),2)&amp;":"&amp;RIGHT("0"&amp;MOD(Responses!AV418,60),2)),"Check"))</f>
        <v/>
      </c>
      <c r="E422" s="28">
        <f>Responses!AW418</f>
        <v/>
      </c>
      <c r="F422" s="29">
        <f>Responses!AX418</f>
        <v/>
      </c>
      <c r="G422" s="29">
        <f>IF(Responses!AS418="","",IF(AND(ISNUMBER(Responses!AX418),ISNUMBER(IFERROR(VALUE(INDEX(Spaces!$B$5:$B$16,MATCH(Responses!AS418,Spaces!$A$5:$A$16,0))&amp;""),""))),IF(Responses!AX418&gt;IFERROR(VALUE(INDEX(Spaces!$B$5:$B$16,MATCH(Responses!AS418,Spaces!$A$5:$A$16,0))&amp;""),""),"Over by "&amp;(Responses!AX418-IFERROR(VALUE(INDEX(Spaces!$B$5:$B$16,MATCH(Responses!AS418,Spaces!$A$5:$A$16,0))&amp;""),"")),"OK"),""))</f>
        <v/>
      </c>
      <c r="H422" s="28">
        <f>Responses!BF418</f>
        <v/>
      </c>
      <c r="I422" s="28">
        <f>IF(Responses!AS418="","",Responses!AO418&amp;"")</f>
        <v/>
      </c>
      <c r="J422" s="28">
        <f>IF(Responses!AS418="","",Responses!AZ418&amp;"")</f>
        <v/>
      </c>
      <c r="K422" s="29">
        <f>Responses!AY418</f>
        <v/>
      </c>
      <c r="L422" s="28">
        <f>IF(Responses!AS418="","",IF(Responses!AY418="Declined","",IF(Responses!BA418=0,"Check date and times",IF(Responses!BB418&gt;0,Responses!BC418,"No clash"))))</f>
        <v/>
      </c>
    </row>
    <row r="423">
      <c r="A423" s="27">
        <f>IF(Responses!AS419="","",IF(Responses!AT419&gt;0,Responses!AT419,"Check date"))</f>
        <v/>
      </c>
      <c r="B423" s="28">
        <f>Responses!AS419</f>
        <v/>
      </c>
      <c r="C423" s="29">
        <f>IF(Responses!AS419="","",IF(Responses!AU419&gt;=0,IF(Responses!AU419="","",RIGHT("0"&amp;INT(Responses!AU419/60),2)&amp;":"&amp;RIGHT("0"&amp;MOD(Responses!AU419,60),2)),"Check"))</f>
        <v/>
      </c>
      <c r="D423" s="29">
        <f>IF(Responses!AS419="","",IF(Responses!AV419&gt;=0,IF(Responses!AV419="","",RIGHT("0"&amp;INT(Responses!AV419/60),2)&amp;":"&amp;RIGHT("0"&amp;MOD(Responses!AV419,60),2)),"Check"))</f>
        <v/>
      </c>
      <c r="E423" s="28">
        <f>Responses!AW419</f>
        <v/>
      </c>
      <c r="F423" s="29">
        <f>Responses!AX419</f>
        <v/>
      </c>
      <c r="G423" s="29">
        <f>IF(Responses!AS419="","",IF(AND(ISNUMBER(Responses!AX419),ISNUMBER(IFERROR(VALUE(INDEX(Spaces!$B$5:$B$16,MATCH(Responses!AS419,Spaces!$A$5:$A$16,0))&amp;""),""))),IF(Responses!AX419&gt;IFERROR(VALUE(INDEX(Spaces!$B$5:$B$16,MATCH(Responses!AS419,Spaces!$A$5:$A$16,0))&amp;""),""),"Over by "&amp;(Responses!AX419-IFERROR(VALUE(INDEX(Spaces!$B$5:$B$16,MATCH(Responses!AS419,Spaces!$A$5:$A$16,0))&amp;""),"")),"OK"),""))</f>
        <v/>
      </c>
      <c r="H423" s="28">
        <f>Responses!BF419</f>
        <v/>
      </c>
      <c r="I423" s="28">
        <f>IF(Responses!AS419="","",Responses!AO419&amp;"")</f>
        <v/>
      </c>
      <c r="J423" s="28">
        <f>IF(Responses!AS419="","",Responses!AZ419&amp;"")</f>
        <v/>
      </c>
      <c r="K423" s="29">
        <f>Responses!AY419</f>
        <v/>
      </c>
      <c r="L423" s="28">
        <f>IF(Responses!AS419="","",IF(Responses!AY419="Declined","",IF(Responses!BA419=0,"Check date and times",IF(Responses!BB419&gt;0,Responses!BC419,"No clash"))))</f>
        <v/>
      </c>
    </row>
    <row r="424">
      <c r="A424" s="27">
        <f>IF(Responses!AS420="","",IF(Responses!AT420&gt;0,Responses!AT420,"Check date"))</f>
        <v/>
      </c>
      <c r="B424" s="28">
        <f>Responses!AS420</f>
        <v/>
      </c>
      <c r="C424" s="29">
        <f>IF(Responses!AS420="","",IF(Responses!AU420&gt;=0,IF(Responses!AU420="","",RIGHT("0"&amp;INT(Responses!AU420/60),2)&amp;":"&amp;RIGHT("0"&amp;MOD(Responses!AU420,60),2)),"Check"))</f>
        <v/>
      </c>
      <c r="D424" s="29">
        <f>IF(Responses!AS420="","",IF(Responses!AV420&gt;=0,IF(Responses!AV420="","",RIGHT("0"&amp;INT(Responses!AV420/60),2)&amp;":"&amp;RIGHT("0"&amp;MOD(Responses!AV420,60),2)),"Check"))</f>
        <v/>
      </c>
      <c r="E424" s="28">
        <f>Responses!AW420</f>
        <v/>
      </c>
      <c r="F424" s="29">
        <f>Responses!AX420</f>
        <v/>
      </c>
      <c r="G424" s="29">
        <f>IF(Responses!AS420="","",IF(AND(ISNUMBER(Responses!AX420),ISNUMBER(IFERROR(VALUE(INDEX(Spaces!$B$5:$B$16,MATCH(Responses!AS420,Spaces!$A$5:$A$16,0))&amp;""),""))),IF(Responses!AX420&gt;IFERROR(VALUE(INDEX(Spaces!$B$5:$B$16,MATCH(Responses!AS420,Spaces!$A$5:$A$16,0))&amp;""),""),"Over by "&amp;(Responses!AX420-IFERROR(VALUE(INDEX(Spaces!$B$5:$B$16,MATCH(Responses!AS420,Spaces!$A$5:$A$16,0))&amp;""),"")),"OK"),""))</f>
        <v/>
      </c>
      <c r="H424" s="28">
        <f>Responses!BF420</f>
        <v/>
      </c>
      <c r="I424" s="28">
        <f>IF(Responses!AS420="","",Responses!AO420&amp;"")</f>
        <v/>
      </c>
      <c r="J424" s="28">
        <f>IF(Responses!AS420="","",Responses!AZ420&amp;"")</f>
        <v/>
      </c>
      <c r="K424" s="29">
        <f>Responses!AY420</f>
        <v/>
      </c>
      <c r="L424" s="28">
        <f>IF(Responses!AS420="","",IF(Responses!AY420="Declined","",IF(Responses!BA420=0,"Check date and times",IF(Responses!BB420&gt;0,Responses!BC420,"No clash"))))</f>
        <v/>
      </c>
    </row>
    <row r="425">
      <c r="A425" s="27">
        <f>IF(Responses!AS421="","",IF(Responses!AT421&gt;0,Responses!AT421,"Check date"))</f>
        <v/>
      </c>
      <c r="B425" s="28">
        <f>Responses!AS421</f>
        <v/>
      </c>
      <c r="C425" s="29">
        <f>IF(Responses!AS421="","",IF(Responses!AU421&gt;=0,IF(Responses!AU421="","",RIGHT("0"&amp;INT(Responses!AU421/60),2)&amp;":"&amp;RIGHT("0"&amp;MOD(Responses!AU421,60),2)),"Check"))</f>
        <v/>
      </c>
      <c r="D425" s="29">
        <f>IF(Responses!AS421="","",IF(Responses!AV421&gt;=0,IF(Responses!AV421="","",RIGHT("0"&amp;INT(Responses!AV421/60),2)&amp;":"&amp;RIGHT("0"&amp;MOD(Responses!AV421,60),2)),"Check"))</f>
        <v/>
      </c>
      <c r="E425" s="28">
        <f>Responses!AW421</f>
        <v/>
      </c>
      <c r="F425" s="29">
        <f>Responses!AX421</f>
        <v/>
      </c>
      <c r="G425" s="29">
        <f>IF(Responses!AS421="","",IF(AND(ISNUMBER(Responses!AX421),ISNUMBER(IFERROR(VALUE(INDEX(Spaces!$B$5:$B$16,MATCH(Responses!AS421,Spaces!$A$5:$A$16,0))&amp;""),""))),IF(Responses!AX421&gt;IFERROR(VALUE(INDEX(Spaces!$B$5:$B$16,MATCH(Responses!AS421,Spaces!$A$5:$A$16,0))&amp;""),""),"Over by "&amp;(Responses!AX421-IFERROR(VALUE(INDEX(Spaces!$B$5:$B$16,MATCH(Responses!AS421,Spaces!$A$5:$A$16,0))&amp;""),"")),"OK"),""))</f>
        <v/>
      </c>
      <c r="H425" s="28">
        <f>Responses!BF421</f>
        <v/>
      </c>
      <c r="I425" s="28">
        <f>IF(Responses!AS421="","",Responses!AO421&amp;"")</f>
        <v/>
      </c>
      <c r="J425" s="28">
        <f>IF(Responses!AS421="","",Responses!AZ421&amp;"")</f>
        <v/>
      </c>
      <c r="K425" s="29">
        <f>Responses!AY421</f>
        <v/>
      </c>
      <c r="L425" s="28">
        <f>IF(Responses!AS421="","",IF(Responses!AY421="Declined","",IF(Responses!BA421=0,"Check date and times",IF(Responses!BB421&gt;0,Responses!BC421,"No clash"))))</f>
        <v/>
      </c>
    </row>
    <row r="426">
      <c r="A426" s="27">
        <f>IF(Responses!AS422="","",IF(Responses!AT422&gt;0,Responses!AT422,"Check date"))</f>
        <v/>
      </c>
      <c r="B426" s="28">
        <f>Responses!AS422</f>
        <v/>
      </c>
      <c r="C426" s="29">
        <f>IF(Responses!AS422="","",IF(Responses!AU422&gt;=0,IF(Responses!AU422="","",RIGHT("0"&amp;INT(Responses!AU422/60),2)&amp;":"&amp;RIGHT("0"&amp;MOD(Responses!AU422,60),2)),"Check"))</f>
        <v/>
      </c>
      <c r="D426" s="29">
        <f>IF(Responses!AS422="","",IF(Responses!AV422&gt;=0,IF(Responses!AV422="","",RIGHT("0"&amp;INT(Responses!AV422/60),2)&amp;":"&amp;RIGHT("0"&amp;MOD(Responses!AV422,60),2)),"Check"))</f>
        <v/>
      </c>
      <c r="E426" s="28">
        <f>Responses!AW422</f>
        <v/>
      </c>
      <c r="F426" s="29">
        <f>Responses!AX422</f>
        <v/>
      </c>
      <c r="G426" s="29">
        <f>IF(Responses!AS422="","",IF(AND(ISNUMBER(Responses!AX422),ISNUMBER(IFERROR(VALUE(INDEX(Spaces!$B$5:$B$16,MATCH(Responses!AS422,Spaces!$A$5:$A$16,0))&amp;""),""))),IF(Responses!AX422&gt;IFERROR(VALUE(INDEX(Spaces!$B$5:$B$16,MATCH(Responses!AS422,Spaces!$A$5:$A$16,0))&amp;""),""),"Over by "&amp;(Responses!AX422-IFERROR(VALUE(INDEX(Spaces!$B$5:$B$16,MATCH(Responses!AS422,Spaces!$A$5:$A$16,0))&amp;""),"")),"OK"),""))</f>
        <v/>
      </c>
      <c r="H426" s="28">
        <f>Responses!BF422</f>
        <v/>
      </c>
      <c r="I426" s="28">
        <f>IF(Responses!AS422="","",Responses!AO422&amp;"")</f>
        <v/>
      </c>
      <c r="J426" s="28">
        <f>IF(Responses!AS422="","",Responses!AZ422&amp;"")</f>
        <v/>
      </c>
      <c r="K426" s="29">
        <f>Responses!AY422</f>
        <v/>
      </c>
      <c r="L426" s="28">
        <f>IF(Responses!AS422="","",IF(Responses!AY422="Declined","",IF(Responses!BA422=0,"Check date and times",IF(Responses!BB422&gt;0,Responses!BC422,"No clash"))))</f>
        <v/>
      </c>
    </row>
    <row r="427">
      <c r="A427" s="27">
        <f>IF(Responses!AS423="","",IF(Responses!AT423&gt;0,Responses!AT423,"Check date"))</f>
        <v/>
      </c>
      <c r="B427" s="28">
        <f>Responses!AS423</f>
        <v/>
      </c>
      <c r="C427" s="29">
        <f>IF(Responses!AS423="","",IF(Responses!AU423&gt;=0,IF(Responses!AU423="","",RIGHT("0"&amp;INT(Responses!AU423/60),2)&amp;":"&amp;RIGHT("0"&amp;MOD(Responses!AU423,60),2)),"Check"))</f>
        <v/>
      </c>
      <c r="D427" s="29">
        <f>IF(Responses!AS423="","",IF(Responses!AV423&gt;=0,IF(Responses!AV423="","",RIGHT("0"&amp;INT(Responses!AV423/60),2)&amp;":"&amp;RIGHT("0"&amp;MOD(Responses!AV423,60),2)),"Check"))</f>
        <v/>
      </c>
      <c r="E427" s="28">
        <f>Responses!AW423</f>
        <v/>
      </c>
      <c r="F427" s="29">
        <f>Responses!AX423</f>
        <v/>
      </c>
      <c r="G427" s="29">
        <f>IF(Responses!AS423="","",IF(AND(ISNUMBER(Responses!AX423),ISNUMBER(IFERROR(VALUE(INDEX(Spaces!$B$5:$B$16,MATCH(Responses!AS423,Spaces!$A$5:$A$16,0))&amp;""),""))),IF(Responses!AX423&gt;IFERROR(VALUE(INDEX(Spaces!$B$5:$B$16,MATCH(Responses!AS423,Spaces!$A$5:$A$16,0))&amp;""),""),"Over by "&amp;(Responses!AX423-IFERROR(VALUE(INDEX(Spaces!$B$5:$B$16,MATCH(Responses!AS423,Spaces!$A$5:$A$16,0))&amp;""),"")),"OK"),""))</f>
        <v/>
      </c>
      <c r="H427" s="28">
        <f>Responses!BF423</f>
        <v/>
      </c>
      <c r="I427" s="28">
        <f>IF(Responses!AS423="","",Responses!AO423&amp;"")</f>
        <v/>
      </c>
      <c r="J427" s="28">
        <f>IF(Responses!AS423="","",Responses!AZ423&amp;"")</f>
        <v/>
      </c>
      <c r="K427" s="29">
        <f>Responses!AY423</f>
        <v/>
      </c>
      <c r="L427" s="28">
        <f>IF(Responses!AS423="","",IF(Responses!AY423="Declined","",IF(Responses!BA423=0,"Check date and times",IF(Responses!BB423&gt;0,Responses!BC423,"No clash"))))</f>
        <v/>
      </c>
    </row>
    <row r="428">
      <c r="A428" s="27">
        <f>IF(Responses!AS424="","",IF(Responses!AT424&gt;0,Responses!AT424,"Check date"))</f>
        <v/>
      </c>
      <c r="B428" s="28">
        <f>Responses!AS424</f>
        <v/>
      </c>
      <c r="C428" s="29">
        <f>IF(Responses!AS424="","",IF(Responses!AU424&gt;=0,IF(Responses!AU424="","",RIGHT("0"&amp;INT(Responses!AU424/60),2)&amp;":"&amp;RIGHT("0"&amp;MOD(Responses!AU424,60),2)),"Check"))</f>
        <v/>
      </c>
      <c r="D428" s="29">
        <f>IF(Responses!AS424="","",IF(Responses!AV424&gt;=0,IF(Responses!AV424="","",RIGHT("0"&amp;INT(Responses!AV424/60),2)&amp;":"&amp;RIGHT("0"&amp;MOD(Responses!AV424,60),2)),"Check"))</f>
        <v/>
      </c>
      <c r="E428" s="28">
        <f>Responses!AW424</f>
        <v/>
      </c>
      <c r="F428" s="29">
        <f>Responses!AX424</f>
        <v/>
      </c>
      <c r="G428" s="29">
        <f>IF(Responses!AS424="","",IF(AND(ISNUMBER(Responses!AX424),ISNUMBER(IFERROR(VALUE(INDEX(Spaces!$B$5:$B$16,MATCH(Responses!AS424,Spaces!$A$5:$A$16,0))&amp;""),""))),IF(Responses!AX424&gt;IFERROR(VALUE(INDEX(Spaces!$B$5:$B$16,MATCH(Responses!AS424,Spaces!$A$5:$A$16,0))&amp;""),""),"Over by "&amp;(Responses!AX424-IFERROR(VALUE(INDEX(Spaces!$B$5:$B$16,MATCH(Responses!AS424,Spaces!$A$5:$A$16,0))&amp;""),"")),"OK"),""))</f>
        <v/>
      </c>
      <c r="H428" s="28">
        <f>Responses!BF424</f>
        <v/>
      </c>
      <c r="I428" s="28">
        <f>IF(Responses!AS424="","",Responses!AO424&amp;"")</f>
        <v/>
      </c>
      <c r="J428" s="28">
        <f>IF(Responses!AS424="","",Responses!AZ424&amp;"")</f>
        <v/>
      </c>
      <c r="K428" s="29">
        <f>Responses!AY424</f>
        <v/>
      </c>
      <c r="L428" s="28">
        <f>IF(Responses!AS424="","",IF(Responses!AY424="Declined","",IF(Responses!BA424=0,"Check date and times",IF(Responses!BB424&gt;0,Responses!BC424,"No clash"))))</f>
        <v/>
      </c>
    </row>
    <row r="429">
      <c r="A429" s="27">
        <f>IF(Responses!AS425="","",IF(Responses!AT425&gt;0,Responses!AT425,"Check date"))</f>
        <v/>
      </c>
      <c r="B429" s="28">
        <f>Responses!AS425</f>
        <v/>
      </c>
      <c r="C429" s="29">
        <f>IF(Responses!AS425="","",IF(Responses!AU425&gt;=0,IF(Responses!AU425="","",RIGHT("0"&amp;INT(Responses!AU425/60),2)&amp;":"&amp;RIGHT("0"&amp;MOD(Responses!AU425,60),2)),"Check"))</f>
        <v/>
      </c>
      <c r="D429" s="29">
        <f>IF(Responses!AS425="","",IF(Responses!AV425&gt;=0,IF(Responses!AV425="","",RIGHT("0"&amp;INT(Responses!AV425/60),2)&amp;":"&amp;RIGHT("0"&amp;MOD(Responses!AV425,60),2)),"Check"))</f>
        <v/>
      </c>
      <c r="E429" s="28">
        <f>Responses!AW425</f>
        <v/>
      </c>
      <c r="F429" s="29">
        <f>Responses!AX425</f>
        <v/>
      </c>
      <c r="G429" s="29">
        <f>IF(Responses!AS425="","",IF(AND(ISNUMBER(Responses!AX425),ISNUMBER(IFERROR(VALUE(INDEX(Spaces!$B$5:$B$16,MATCH(Responses!AS425,Spaces!$A$5:$A$16,0))&amp;""),""))),IF(Responses!AX425&gt;IFERROR(VALUE(INDEX(Spaces!$B$5:$B$16,MATCH(Responses!AS425,Spaces!$A$5:$A$16,0))&amp;""),""),"Over by "&amp;(Responses!AX425-IFERROR(VALUE(INDEX(Spaces!$B$5:$B$16,MATCH(Responses!AS425,Spaces!$A$5:$A$16,0))&amp;""),"")),"OK"),""))</f>
        <v/>
      </c>
      <c r="H429" s="28">
        <f>Responses!BF425</f>
        <v/>
      </c>
      <c r="I429" s="28">
        <f>IF(Responses!AS425="","",Responses!AO425&amp;"")</f>
        <v/>
      </c>
      <c r="J429" s="28">
        <f>IF(Responses!AS425="","",Responses!AZ425&amp;"")</f>
        <v/>
      </c>
      <c r="K429" s="29">
        <f>Responses!AY425</f>
        <v/>
      </c>
      <c r="L429" s="28">
        <f>IF(Responses!AS425="","",IF(Responses!AY425="Declined","",IF(Responses!BA425=0,"Check date and times",IF(Responses!BB425&gt;0,Responses!BC425,"No clash"))))</f>
        <v/>
      </c>
    </row>
    <row r="430">
      <c r="A430" s="27">
        <f>IF(Responses!AS426="","",IF(Responses!AT426&gt;0,Responses!AT426,"Check date"))</f>
        <v/>
      </c>
      <c r="B430" s="28">
        <f>Responses!AS426</f>
        <v/>
      </c>
      <c r="C430" s="29">
        <f>IF(Responses!AS426="","",IF(Responses!AU426&gt;=0,IF(Responses!AU426="","",RIGHT("0"&amp;INT(Responses!AU426/60),2)&amp;":"&amp;RIGHT("0"&amp;MOD(Responses!AU426,60),2)),"Check"))</f>
        <v/>
      </c>
      <c r="D430" s="29">
        <f>IF(Responses!AS426="","",IF(Responses!AV426&gt;=0,IF(Responses!AV426="","",RIGHT("0"&amp;INT(Responses!AV426/60),2)&amp;":"&amp;RIGHT("0"&amp;MOD(Responses!AV426,60),2)),"Check"))</f>
        <v/>
      </c>
      <c r="E430" s="28">
        <f>Responses!AW426</f>
        <v/>
      </c>
      <c r="F430" s="29">
        <f>Responses!AX426</f>
        <v/>
      </c>
      <c r="G430" s="29">
        <f>IF(Responses!AS426="","",IF(AND(ISNUMBER(Responses!AX426),ISNUMBER(IFERROR(VALUE(INDEX(Spaces!$B$5:$B$16,MATCH(Responses!AS426,Spaces!$A$5:$A$16,0))&amp;""),""))),IF(Responses!AX426&gt;IFERROR(VALUE(INDEX(Spaces!$B$5:$B$16,MATCH(Responses!AS426,Spaces!$A$5:$A$16,0))&amp;""),""),"Over by "&amp;(Responses!AX426-IFERROR(VALUE(INDEX(Spaces!$B$5:$B$16,MATCH(Responses!AS426,Spaces!$A$5:$A$16,0))&amp;""),"")),"OK"),""))</f>
        <v/>
      </c>
      <c r="H430" s="28">
        <f>Responses!BF426</f>
        <v/>
      </c>
      <c r="I430" s="28">
        <f>IF(Responses!AS426="","",Responses!AO426&amp;"")</f>
        <v/>
      </c>
      <c r="J430" s="28">
        <f>IF(Responses!AS426="","",Responses!AZ426&amp;"")</f>
        <v/>
      </c>
      <c r="K430" s="29">
        <f>Responses!AY426</f>
        <v/>
      </c>
      <c r="L430" s="28">
        <f>IF(Responses!AS426="","",IF(Responses!AY426="Declined","",IF(Responses!BA426=0,"Check date and times",IF(Responses!BB426&gt;0,Responses!BC426,"No clash"))))</f>
        <v/>
      </c>
    </row>
    <row r="431">
      <c r="A431" s="27">
        <f>IF(Responses!AS427="","",IF(Responses!AT427&gt;0,Responses!AT427,"Check date"))</f>
        <v/>
      </c>
      <c r="B431" s="28">
        <f>Responses!AS427</f>
        <v/>
      </c>
      <c r="C431" s="29">
        <f>IF(Responses!AS427="","",IF(Responses!AU427&gt;=0,IF(Responses!AU427="","",RIGHT("0"&amp;INT(Responses!AU427/60),2)&amp;":"&amp;RIGHT("0"&amp;MOD(Responses!AU427,60),2)),"Check"))</f>
        <v/>
      </c>
      <c r="D431" s="29">
        <f>IF(Responses!AS427="","",IF(Responses!AV427&gt;=0,IF(Responses!AV427="","",RIGHT("0"&amp;INT(Responses!AV427/60),2)&amp;":"&amp;RIGHT("0"&amp;MOD(Responses!AV427,60),2)),"Check"))</f>
        <v/>
      </c>
      <c r="E431" s="28">
        <f>Responses!AW427</f>
        <v/>
      </c>
      <c r="F431" s="29">
        <f>Responses!AX427</f>
        <v/>
      </c>
      <c r="G431" s="29">
        <f>IF(Responses!AS427="","",IF(AND(ISNUMBER(Responses!AX427),ISNUMBER(IFERROR(VALUE(INDEX(Spaces!$B$5:$B$16,MATCH(Responses!AS427,Spaces!$A$5:$A$16,0))&amp;""),""))),IF(Responses!AX427&gt;IFERROR(VALUE(INDEX(Spaces!$B$5:$B$16,MATCH(Responses!AS427,Spaces!$A$5:$A$16,0))&amp;""),""),"Over by "&amp;(Responses!AX427-IFERROR(VALUE(INDEX(Spaces!$B$5:$B$16,MATCH(Responses!AS427,Spaces!$A$5:$A$16,0))&amp;""),"")),"OK"),""))</f>
        <v/>
      </c>
      <c r="H431" s="28">
        <f>Responses!BF427</f>
        <v/>
      </c>
      <c r="I431" s="28">
        <f>IF(Responses!AS427="","",Responses!AO427&amp;"")</f>
        <v/>
      </c>
      <c r="J431" s="28">
        <f>IF(Responses!AS427="","",Responses!AZ427&amp;"")</f>
        <v/>
      </c>
      <c r="K431" s="29">
        <f>Responses!AY427</f>
        <v/>
      </c>
      <c r="L431" s="28">
        <f>IF(Responses!AS427="","",IF(Responses!AY427="Declined","",IF(Responses!BA427=0,"Check date and times",IF(Responses!BB427&gt;0,Responses!BC427,"No clash"))))</f>
        <v/>
      </c>
    </row>
    <row r="432">
      <c r="A432" s="27">
        <f>IF(Responses!AS428="","",IF(Responses!AT428&gt;0,Responses!AT428,"Check date"))</f>
        <v/>
      </c>
      <c r="B432" s="28">
        <f>Responses!AS428</f>
        <v/>
      </c>
      <c r="C432" s="29">
        <f>IF(Responses!AS428="","",IF(Responses!AU428&gt;=0,IF(Responses!AU428="","",RIGHT("0"&amp;INT(Responses!AU428/60),2)&amp;":"&amp;RIGHT("0"&amp;MOD(Responses!AU428,60),2)),"Check"))</f>
        <v/>
      </c>
      <c r="D432" s="29">
        <f>IF(Responses!AS428="","",IF(Responses!AV428&gt;=0,IF(Responses!AV428="","",RIGHT("0"&amp;INT(Responses!AV428/60),2)&amp;":"&amp;RIGHT("0"&amp;MOD(Responses!AV428,60),2)),"Check"))</f>
        <v/>
      </c>
      <c r="E432" s="28">
        <f>Responses!AW428</f>
        <v/>
      </c>
      <c r="F432" s="29">
        <f>Responses!AX428</f>
        <v/>
      </c>
      <c r="G432" s="29">
        <f>IF(Responses!AS428="","",IF(AND(ISNUMBER(Responses!AX428),ISNUMBER(IFERROR(VALUE(INDEX(Spaces!$B$5:$B$16,MATCH(Responses!AS428,Spaces!$A$5:$A$16,0))&amp;""),""))),IF(Responses!AX428&gt;IFERROR(VALUE(INDEX(Spaces!$B$5:$B$16,MATCH(Responses!AS428,Spaces!$A$5:$A$16,0))&amp;""),""),"Over by "&amp;(Responses!AX428-IFERROR(VALUE(INDEX(Spaces!$B$5:$B$16,MATCH(Responses!AS428,Spaces!$A$5:$A$16,0))&amp;""),"")),"OK"),""))</f>
        <v/>
      </c>
      <c r="H432" s="28">
        <f>Responses!BF428</f>
        <v/>
      </c>
      <c r="I432" s="28">
        <f>IF(Responses!AS428="","",Responses!AO428&amp;"")</f>
        <v/>
      </c>
      <c r="J432" s="28">
        <f>IF(Responses!AS428="","",Responses!AZ428&amp;"")</f>
        <v/>
      </c>
      <c r="K432" s="29">
        <f>Responses!AY428</f>
        <v/>
      </c>
      <c r="L432" s="28">
        <f>IF(Responses!AS428="","",IF(Responses!AY428="Declined","",IF(Responses!BA428=0,"Check date and times",IF(Responses!BB428&gt;0,Responses!BC428,"No clash"))))</f>
        <v/>
      </c>
    </row>
    <row r="433">
      <c r="A433" s="27">
        <f>IF(Responses!AS429="","",IF(Responses!AT429&gt;0,Responses!AT429,"Check date"))</f>
        <v/>
      </c>
      <c r="B433" s="28">
        <f>Responses!AS429</f>
        <v/>
      </c>
      <c r="C433" s="29">
        <f>IF(Responses!AS429="","",IF(Responses!AU429&gt;=0,IF(Responses!AU429="","",RIGHT("0"&amp;INT(Responses!AU429/60),2)&amp;":"&amp;RIGHT("0"&amp;MOD(Responses!AU429,60),2)),"Check"))</f>
        <v/>
      </c>
      <c r="D433" s="29">
        <f>IF(Responses!AS429="","",IF(Responses!AV429&gt;=0,IF(Responses!AV429="","",RIGHT("0"&amp;INT(Responses!AV429/60),2)&amp;":"&amp;RIGHT("0"&amp;MOD(Responses!AV429,60),2)),"Check"))</f>
        <v/>
      </c>
      <c r="E433" s="28">
        <f>Responses!AW429</f>
        <v/>
      </c>
      <c r="F433" s="29">
        <f>Responses!AX429</f>
        <v/>
      </c>
      <c r="G433" s="29">
        <f>IF(Responses!AS429="","",IF(AND(ISNUMBER(Responses!AX429),ISNUMBER(IFERROR(VALUE(INDEX(Spaces!$B$5:$B$16,MATCH(Responses!AS429,Spaces!$A$5:$A$16,0))&amp;""),""))),IF(Responses!AX429&gt;IFERROR(VALUE(INDEX(Spaces!$B$5:$B$16,MATCH(Responses!AS429,Spaces!$A$5:$A$16,0))&amp;""),""),"Over by "&amp;(Responses!AX429-IFERROR(VALUE(INDEX(Spaces!$B$5:$B$16,MATCH(Responses!AS429,Spaces!$A$5:$A$16,0))&amp;""),"")),"OK"),""))</f>
        <v/>
      </c>
      <c r="H433" s="28">
        <f>Responses!BF429</f>
        <v/>
      </c>
      <c r="I433" s="28">
        <f>IF(Responses!AS429="","",Responses!AO429&amp;"")</f>
        <v/>
      </c>
      <c r="J433" s="28">
        <f>IF(Responses!AS429="","",Responses!AZ429&amp;"")</f>
        <v/>
      </c>
      <c r="K433" s="29">
        <f>Responses!AY429</f>
        <v/>
      </c>
      <c r="L433" s="28">
        <f>IF(Responses!AS429="","",IF(Responses!AY429="Declined","",IF(Responses!BA429=0,"Check date and times",IF(Responses!BB429&gt;0,Responses!BC429,"No clash"))))</f>
        <v/>
      </c>
    </row>
    <row r="434">
      <c r="A434" s="27">
        <f>IF(Responses!AS430="","",IF(Responses!AT430&gt;0,Responses!AT430,"Check date"))</f>
        <v/>
      </c>
      <c r="B434" s="28">
        <f>Responses!AS430</f>
        <v/>
      </c>
      <c r="C434" s="29">
        <f>IF(Responses!AS430="","",IF(Responses!AU430&gt;=0,IF(Responses!AU430="","",RIGHT("0"&amp;INT(Responses!AU430/60),2)&amp;":"&amp;RIGHT("0"&amp;MOD(Responses!AU430,60),2)),"Check"))</f>
        <v/>
      </c>
      <c r="D434" s="29">
        <f>IF(Responses!AS430="","",IF(Responses!AV430&gt;=0,IF(Responses!AV430="","",RIGHT("0"&amp;INT(Responses!AV430/60),2)&amp;":"&amp;RIGHT("0"&amp;MOD(Responses!AV430,60),2)),"Check"))</f>
        <v/>
      </c>
      <c r="E434" s="28">
        <f>Responses!AW430</f>
        <v/>
      </c>
      <c r="F434" s="29">
        <f>Responses!AX430</f>
        <v/>
      </c>
      <c r="G434" s="29">
        <f>IF(Responses!AS430="","",IF(AND(ISNUMBER(Responses!AX430),ISNUMBER(IFERROR(VALUE(INDEX(Spaces!$B$5:$B$16,MATCH(Responses!AS430,Spaces!$A$5:$A$16,0))&amp;""),""))),IF(Responses!AX430&gt;IFERROR(VALUE(INDEX(Spaces!$B$5:$B$16,MATCH(Responses!AS430,Spaces!$A$5:$A$16,0))&amp;""),""),"Over by "&amp;(Responses!AX430-IFERROR(VALUE(INDEX(Spaces!$B$5:$B$16,MATCH(Responses!AS430,Spaces!$A$5:$A$16,0))&amp;""),"")),"OK"),""))</f>
        <v/>
      </c>
      <c r="H434" s="28">
        <f>Responses!BF430</f>
        <v/>
      </c>
      <c r="I434" s="28">
        <f>IF(Responses!AS430="","",Responses!AO430&amp;"")</f>
        <v/>
      </c>
      <c r="J434" s="28">
        <f>IF(Responses!AS430="","",Responses!AZ430&amp;"")</f>
        <v/>
      </c>
      <c r="K434" s="29">
        <f>Responses!AY430</f>
        <v/>
      </c>
      <c r="L434" s="28">
        <f>IF(Responses!AS430="","",IF(Responses!AY430="Declined","",IF(Responses!BA430=0,"Check date and times",IF(Responses!BB430&gt;0,Responses!BC430,"No clash"))))</f>
        <v/>
      </c>
    </row>
    <row r="435">
      <c r="A435" s="27">
        <f>IF(Responses!AS431="","",IF(Responses!AT431&gt;0,Responses!AT431,"Check date"))</f>
        <v/>
      </c>
      <c r="B435" s="28">
        <f>Responses!AS431</f>
        <v/>
      </c>
      <c r="C435" s="29">
        <f>IF(Responses!AS431="","",IF(Responses!AU431&gt;=0,IF(Responses!AU431="","",RIGHT("0"&amp;INT(Responses!AU431/60),2)&amp;":"&amp;RIGHT("0"&amp;MOD(Responses!AU431,60),2)),"Check"))</f>
        <v/>
      </c>
      <c r="D435" s="29">
        <f>IF(Responses!AS431="","",IF(Responses!AV431&gt;=0,IF(Responses!AV431="","",RIGHT("0"&amp;INT(Responses!AV431/60),2)&amp;":"&amp;RIGHT("0"&amp;MOD(Responses!AV431,60),2)),"Check"))</f>
        <v/>
      </c>
      <c r="E435" s="28">
        <f>Responses!AW431</f>
        <v/>
      </c>
      <c r="F435" s="29">
        <f>Responses!AX431</f>
        <v/>
      </c>
      <c r="G435" s="29">
        <f>IF(Responses!AS431="","",IF(AND(ISNUMBER(Responses!AX431),ISNUMBER(IFERROR(VALUE(INDEX(Spaces!$B$5:$B$16,MATCH(Responses!AS431,Spaces!$A$5:$A$16,0))&amp;""),""))),IF(Responses!AX431&gt;IFERROR(VALUE(INDEX(Spaces!$B$5:$B$16,MATCH(Responses!AS431,Spaces!$A$5:$A$16,0))&amp;""),""),"Over by "&amp;(Responses!AX431-IFERROR(VALUE(INDEX(Spaces!$B$5:$B$16,MATCH(Responses!AS431,Spaces!$A$5:$A$16,0))&amp;""),"")),"OK"),""))</f>
        <v/>
      </c>
      <c r="H435" s="28">
        <f>Responses!BF431</f>
        <v/>
      </c>
      <c r="I435" s="28">
        <f>IF(Responses!AS431="","",Responses!AO431&amp;"")</f>
        <v/>
      </c>
      <c r="J435" s="28">
        <f>IF(Responses!AS431="","",Responses!AZ431&amp;"")</f>
        <v/>
      </c>
      <c r="K435" s="29">
        <f>Responses!AY431</f>
        <v/>
      </c>
      <c r="L435" s="28">
        <f>IF(Responses!AS431="","",IF(Responses!AY431="Declined","",IF(Responses!BA431=0,"Check date and times",IF(Responses!BB431&gt;0,Responses!BC431,"No clash"))))</f>
        <v/>
      </c>
    </row>
    <row r="436">
      <c r="A436" s="27">
        <f>IF(Responses!AS432="","",IF(Responses!AT432&gt;0,Responses!AT432,"Check date"))</f>
        <v/>
      </c>
      <c r="B436" s="28">
        <f>Responses!AS432</f>
        <v/>
      </c>
      <c r="C436" s="29">
        <f>IF(Responses!AS432="","",IF(Responses!AU432&gt;=0,IF(Responses!AU432="","",RIGHT("0"&amp;INT(Responses!AU432/60),2)&amp;":"&amp;RIGHT("0"&amp;MOD(Responses!AU432,60),2)),"Check"))</f>
        <v/>
      </c>
      <c r="D436" s="29">
        <f>IF(Responses!AS432="","",IF(Responses!AV432&gt;=0,IF(Responses!AV432="","",RIGHT("0"&amp;INT(Responses!AV432/60),2)&amp;":"&amp;RIGHT("0"&amp;MOD(Responses!AV432,60),2)),"Check"))</f>
        <v/>
      </c>
      <c r="E436" s="28">
        <f>Responses!AW432</f>
        <v/>
      </c>
      <c r="F436" s="29">
        <f>Responses!AX432</f>
        <v/>
      </c>
      <c r="G436" s="29">
        <f>IF(Responses!AS432="","",IF(AND(ISNUMBER(Responses!AX432),ISNUMBER(IFERROR(VALUE(INDEX(Spaces!$B$5:$B$16,MATCH(Responses!AS432,Spaces!$A$5:$A$16,0))&amp;""),""))),IF(Responses!AX432&gt;IFERROR(VALUE(INDEX(Spaces!$B$5:$B$16,MATCH(Responses!AS432,Spaces!$A$5:$A$16,0))&amp;""),""),"Over by "&amp;(Responses!AX432-IFERROR(VALUE(INDEX(Spaces!$B$5:$B$16,MATCH(Responses!AS432,Spaces!$A$5:$A$16,0))&amp;""),"")),"OK"),""))</f>
        <v/>
      </c>
      <c r="H436" s="28">
        <f>Responses!BF432</f>
        <v/>
      </c>
      <c r="I436" s="28">
        <f>IF(Responses!AS432="","",Responses!AO432&amp;"")</f>
        <v/>
      </c>
      <c r="J436" s="28">
        <f>IF(Responses!AS432="","",Responses!AZ432&amp;"")</f>
        <v/>
      </c>
      <c r="K436" s="29">
        <f>Responses!AY432</f>
        <v/>
      </c>
      <c r="L436" s="28">
        <f>IF(Responses!AS432="","",IF(Responses!AY432="Declined","",IF(Responses!BA432=0,"Check date and times",IF(Responses!BB432&gt;0,Responses!BC432,"No clash"))))</f>
        <v/>
      </c>
    </row>
    <row r="437">
      <c r="A437" s="27">
        <f>IF(Responses!AS433="","",IF(Responses!AT433&gt;0,Responses!AT433,"Check date"))</f>
        <v/>
      </c>
      <c r="B437" s="28">
        <f>Responses!AS433</f>
        <v/>
      </c>
      <c r="C437" s="29">
        <f>IF(Responses!AS433="","",IF(Responses!AU433&gt;=0,IF(Responses!AU433="","",RIGHT("0"&amp;INT(Responses!AU433/60),2)&amp;":"&amp;RIGHT("0"&amp;MOD(Responses!AU433,60),2)),"Check"))</f>
        <v/>
      </c>
      <c r="D437" s="29">
        <f>IF(Responses!AS433="","",IF(Responses!AV433&gt;=0,IF(Responses!AV433="","",RIGHT("0"&amp;INT(Responses!AV433/60),2)&amp;":"&amp;RIGHT("0"&amp;MOD(Responses!AV433,60),2)),"Check"))</f>
        <v/>
      </c>
      <c r="E437" s="28">
        <f>Responses!AW433</f>
        <v/>
      </c>
      <c r="F437" s="29">
        <f>Responses!AX433</f>
        <v/>
      </c>
      <c r="G437" s="29">
        <f>IF(Responses!AS433="","",IF(AND(ISNUMBER(Responses!AX433),ISNUMBER(IFERROR(VALUE(INDEX(Spaces!$B$5:$B$16,MATCH(Responses!AS433,Spaces!$A$5:$A$16,0))&amp;""),""))),IF(Responses!AX433&gt;IFERROR(VALUE(INDEX(Spaces!$B$5:$B$16,MATCH(Responses!AS433,Spaces!$A$5:$A$16,0))&amp;""),""),"Over by "&amp;(Responses!AX433-IFERROR(VALUE(INDEX(Spaces!$B$5:$B$16,MATCH(Responses!AS433,Spaces!$A$5:$A$16,0))&amp;""),"")),"OK"),""))</f>
        <v/>
      </c>
      <c r="H437" s="28">
        <f>Responses!BF433</f>
        <v/>
      </c>
      <c r="I437" s="28">
        <f>IF(Responses!AS433="","",Responses!AO433&amp;"")</f>
        <v/>
      </c>
      <c r="J437" s="28">
        <f>IF(Responses!AS433="","",Responses!AZ433&amp;"")</f>
        <v/>
      </c>
      <c r="K437" s="29">
        <f>Responses!AY433</f>
        <v/>
      </c>
      <c r="L437" s="28">
        <f>IF(Responses!AS433="","",IF(Responses!AY433="Declined","",IF(Responses!BA433=0,"Check date and times",IF(Responses!BB433&gt;0,Responses!BC433,"No clash"))))</f>
        <v/>
      </c>
    </row>
    <row r="438">
      <c r="A438" s="27">
        <f>IF(Responses!AS434="","",IF(Responses!AT434&gt;0,Responses!AT434,"Check date"))</f>
        <v/>
      </c>
      <c r="B438" s="28">
        <f>Responses!AS434</f>
        <v/>
      </c>
      <c r="C438" s="29">
        <f>IF(Responses!AS434="","",IF(Responses!AU434&gt;=0,IF(Responses!AU434="","",RIGHT("0"&amp;INT(Responses!AU434/60),2)&amp;":"&amp;RIGHT("0"&amp;MOD(Responses!AU434,60),2)),"Check"))</f>
        <v/>
      </c>
      <c r="D438" s="29">
        <f>IF(Responses!AS434="","",IF(Responses!AV434&gt;=0,IF(Responses!AV434="","",RIGHT("0"&amp;INT(Responses!AV434/60),2)&amp;":"&amp;RIGHT("0"&amp;MOD(Responses!AV434,60),2)),"Check"))</f>
        <v/>
      </c>
      <c r="E438" s="28">
        <f>Responses!AW434</f>
        <v/>
      </c>
      <c r="F438" s="29">
        <f>Responses!AX434</f>
        <v/>
      </c>
      <c r="G438" s="29">
        <f>IF(Responses!AS434="","",IF(AND(ISNUMBER(Responses!AX434),ISNUMBER(IFERROR(VALUE(INDEX(Spaces!$B$5:$B$16,MATCH(Responses!AS434,Spaces!$A$5:$A$16,0))&amp;""),""))),IF(Responses!AX434&gt;IFERROR(VALUE(INDEX(Spaces!$B$5:$B$16,MATCH(Responses!AS434,Spaces!$A$5:$A$16,0))&amp;""),""),"Over by "&amp;(Responses!AX434-IFERROR(VALUE(INDEX(Spaces!$B$5:$B$16,MATCH(Responses!AS434,Spaces!$A$5:$A$16,0))&amp;""),"")),"OK"),""))</f>
        <v/>
      </c>
      <c r="H438" s="28">
        <f>Responses!BF434</f>
        <v/>
      </c>
      <c r="I438" s="28">
        <f>IF(Responses!AS434="","",Responses!AO434&amp;"")</f>
        <v/>
      </c>
      <c r="J438" s="28">
        <f>IF(Responses!AS434="","",Responses!AZ434&amp;"")</f>
        <v/>
      </c>
      <c r="K438" s="29">
        <f>Responses!AY434</f>
        <v/>
      </c>
      <c r="L438" s="28">
        <f>IF(Responses!AS434="","",IF(Responses!AY434="Declined","",IF(Responses!BA434=0,"Check date and times",IF(Responses!BB434&gt;0,Responses!BC434,"No clash"))))</f>
        <v/>
      </c>
    </row>
    <row r="439">
      <c r="A439" s="27">
        <f>IF(Responses!AS435="","",IF(Responses!AT435&gt;0,Responses!AT435,"Check date"))</f>
        <v/>
      </c>
      <c r="B439" s="28">
        <f>Responses!AS435</f>
        <v/>
      </c>
      <c r="C439" s="29">
        <f>IF(Responses!AS435="","",IF(Responses!AU435&gt;=0,IF(Responses!AU435="","",RIGHT("0"&amp;INT(Responses!AU435/60),2)&amp;":"&amp;RIGHT("0"&amp;MOD(Responses!AU435,60),2)),"Check"))</f>
        <v/>
      </c>
      <c r="D439" s="29">
        <f>IF(Responses!AS435="","",IF(Responses!AV435&gt;=0,IF(Responses!AV435="","",RIGHT("0"&amp;INT(Responses!AV435/60),2)&amp;":"&amp;RIGHT("0"&amp;MOD(Responses!AV435,60),2)),"Check"))</f>
        <v/>
      </c>
      <c r="E439" s="28">
        <f>Responses!AW435</f>
        <v/>
      </c>
      <c r="F439" s="29">
        <f>Responses!AX435</f>
        <v/>
      </c>
      <c r="G439" s="29">
        <f>IF(Responses!AS435="","",IF(AND(ISNUMBER(Responses!AX435),ISNUMBER(IFERROR(VALUE(INDEX(Spaces!$B$5:$B$16,MATCH(Responses!AS435,Spaces!$A$5:$A$16,0))&amp;""),""))),IF(Responses!AX435&gt;IFERROR(VALUE(INDEX(Spaces!$B$5:$B$16,MATCH(Responses!AS435,Spaces!$A$5:$A$16,0))&amp;""),""),"Over by "&amp;(Responses!AX435-IFERROR(VALUE(INDEX(Spaces!$B$5:$B$16,MATCH(Responses!AS435,Spaces!$A$5:$A$16,0))&amp;""),"")),"OK"),""))</f>
        <v/>
      </c>
      <c r="H439" s="28">
        <f>Responses!BF435</f>
        <v/>
      </c>
      <c r="I439" s="28">
        <f>IF(Responses!AS435="","",Responses!AO435&amp;"")</f>
        <v/>
      </c>
      <c r="J439" s="28">
        <f>IF(Responses!AS435="","",Responses!AZ435&amp;"")</f>
        <v/>
      </c>
      <c r="K439" s="29">
        <f>Responses!AY435</f>
        <v/>
      </c>
      <c r="L439" s="28">
        <f>IF(Responses!AS435="","",IF(Responses!AY435="Declined","",IF(Responses!BA435=0,"Check date and times",IF(Responses!BB435&gt;0,Responses!BC435,"No clash"))))</f>
        <v/>
      </c>
    </row>
    <row r="440">
      <c r="A440" s="27">
        <f>IF(Responses!AS436="","",IF(Responses!AT436&gt;0,Responses!AT436,"Check date"))</f>
        <v/>
      </c>
      <c r="B440" s="28">
        <f>Responses!AS436</f>
        <v/>
      </c>
      <c r="C440" s="29">
        <f>IF(Responses!AS436="","",IF(Responses!AU436&gt;=0,IF(Responses!AU436="","",RIGHT("0"&amp;INT(Responses!AU436/60),2)&amp;":"&amp;RIGHT("0"&amp;MOD(Responses!AU436,60),2)),"Check"))</f>
        <v/>
      </c>
      <c r="D440" s="29">
        <f>IF(Responses!AS436="","",IF(Responses!AV436&gt;=0,IF(Responses!AV436="","",RIGHT("0"&amp;INT(Responses!AV436/60),2)&amp;":"&amp;RIGHT("0"&amp;MOD(Responses!AV436,60),2)),"Check"))</f>
        <v/>
      </c>
      <c r="E440" s="28">
        <f>Responses!AW436</f>
        <v/>
      </c>
      <c r="F440" s="29">
        <f>Responses!AX436</f>
        <v/>
      </c>
      <c r="G440" s="29">
        <f>IF(Responses!AS436="","",IF(AND(ISNUMBER(Responses!AX436),ISNUMBER(IFERROR(VALUE(INDEX(Spaces!$B$5:$B$16,MATCH(Responses!AS436,Spaces!$A$5:$A$16,0))&amp;""),""))),IF(Responses!AX436&gt;IFERROR(VALUE(INDEX(Spaces!$B$5:$B$16,MATCH(Responses!AS436,Spaces!$A$5:$A$16,0))&amp;""),""),"Over by "&amp;(Responses!AX436-IFERROR(VALUE(INDEX(Spaces!$B$5:$B$16,MATCH(Responses!AS436,Spaces!$A$5:$A$16,0))&amp;""),"")),"OK"),""))</f>
        <v/>
      </c>
      <c r="H440" s="28">
        <f>Responses!BF436</f>
        <v/>
      </c>
      <c r="I440" s="28">
        <f>IF(Responses!AS436="","",Responses!AO436&amp;"")</f>
        <v/>
      </c>
      <c r="J440" s="28">
        <f>IF(Responses!AS436="","",Responses!AZ436&amp;"")</f>
        <v/>
      </c>
      <c r="K440" s="29">
        <f>Responses!AY436</f>
        <v/>
      </c>
      <c r="L440" s="28">
        <f>IF(Responses!AS436="","",IF(Responses!AY436="Declined","",IF(Responses!BA436=0,"Check date and times",IF(Responses!BB436&gt;0,Responses!BC436,"No clash"))))</f>
        <v/>
      </c>
    </row>
    <row r="441">
      <c r="A441" s="27">
        <f>IF(Responses!AS437="","",IF(Responses!AT437&gt;0,Responses!AT437,"Check date"))</f>
        <v/>
      </c>
      <c r="B441" s="28">
        <f>Responses!AS437</f>
        <v/>
      </c>
      <c r="C441" s="29">
        <f>IF(Responses!AS437="","",IF(Responses!AU437&gt;=0,IF(Responses!AU437="","",RIGHT("0"&amp;INT(Responses!AU437/60),2)&amp;":"&amp;RIGHT("0"&amp;MOD(Responses!AU437,60),2)),"Check"))</f>
        <v/>
      </c>
      <c r="D441" s="29">
        <f>IF(Responses!AS437="","",IF(Responses!AV437&gt;=0,IF(Responses!AV437="","",RIGHT("0"&amp;INT(Responses!AV437/60),2)&amp;":"&amp;RIGHT("0"&amp;MOD(Responses!AV437,60),2)),"Check"))</f>
        <v/>
      </c>
      <c r="E441" s="28">
        <f>Responses!AW437</f>
        <v/>
      </c>
      <c r="F441" s="29">
        <f>Responses!AX437</f>
        <v/>
      </c>
      <c r="G441" s="29">
        <f>IF(Responses!AS437="","",IF(AND(ISNUMBER(Responses!AX437),ISNUMBER(IFERROR(VALUE(INDEX(Spaces!$B$5:$B$16,MATCH(Responses!AS437,Spaces!$A$5:$A$16,0))&amp;""),""))),IF(Responses!AX437&gt;IFERROR(VALUE(INDEX(Spaces!$B$5:$B$16,MATCH(Responses!AS437,Spaces!$A$5:$A$16,0))&amp;""),""),"Over by "&amp;(Responses!AX437-IFERROR(VALUE(INDEX(Spaces!$B$5:$B$16,MATCH(Responses!AS437,Spaces!$A$5:$A$16,0))&amp;""),"")),"OK"),""))</f>
        <v/>
      </c>
      <c r="H441" s="28">
        <f>Responses!BF437</f>
        <v/>
      </c>
      <c r="I441" s="28">
        <f>IF(Responses!AS437="","",Responses!AO437&amp;"")</f>
        <v/>
      </c>
      <c r="J441" s="28">
        <f>IF(Responses!AS437="","",Responses!AZ437&amp;"")</f>
        <v/>
      </c>
      <c r="K441" s="29">
        <f>Responses!AY437</f>
        <v/>
      </c>
      <c r="L441" s="28">
        <f>IF(Responses!AS437="","",IF(Responses!AY437="Declined","",IF(Responses!BA437=0,"Check date and times",IF(Responses!BB437&gt;0,Responses!BC437,"No clash"))))</f>
        <v/>
      </c>
    </row>
    <row r="442">
      <c r="A442" s="27">
        <f>IF(Responses!AS438="","",IF(Responses!AT438&gt;0,Responses!AT438,"Check date"))</f>
        <v/>
      </c>
      <c r="B442" s="28">
        <f>Responses!AS438</f>
        <v/>
      </c>
      <c r="C442" s="29">
        <f>IF(Responses!AS438="","",IF(Responses!AU438&gt;=0,IF(Responses!AU438="","",RIGHT("0"&amp;INT(Responses!AU438/60),2)&amp;":"&amp;RIGHT("0"&amp;MOD(Responses!AU438,60),2)),"Check"))</f>
        <v/>
      </c>
      <c r="D442" s="29">
        <f>IF(Responses!AS438="","",IF(Responses!AV438&gt;=0,IF(Responses!AV438="","",RIGHT("0"&amp;INT(Responses!AV438/60),2)&amp;":"&amp;RIGHT("0"&amp;MOD(Responses!AV438,60),2)),"Check"))</f>
        <v/>
      </c>
      <c r="E442" s="28">
        <f>Responses!AW438</f>
        <v/>
      </c>
      <c r="F442" s="29">
        <f>Responses!AX438</f>
        <v/>
      </c>
      <c r="G442" s="29">
        <f>IF(Responses!AS438="","",IF(AND(ISNUMBER(Responses!AX438),ISNUMBER(IFERROR(VALUE(INDEX(Spaces!$B$5:$B$16,MATCH(Responses!AS438,Spaces!$A$5:$A$16,0))&amp;""),""))),IF(Responses!AX438&gt;IFERROR(VALUE(INDEX(Spaces!$B$5:$B$16,MATCH(Responses!AS438,Spaces!$A$5:$A$16,0))&amp;""),""),"Over by "&amp;(Responses!AX438-IFERROR(VALUE(INDEX(Spaces!$B$5:$B$16,MATCH(Responses!AS438,Spaces!$A$5:$A$16,0))&amp;""),"")),"OK"),""))</f>
        <v/>
      </c>
      <c r="H442" s="28">
        <f>Responses!BF438</f>
        <v/>
      </c>
      <c r="I442" s="28">
        <f>IF(Responses!AS438="","",Responses!AO438&amp;"")</f>
        <v/>
      </c>
      <c r="J442" s="28">
        <f>IF(Responses!AS438="","",Responses!AZ438&amp;"")</f>
        <v/>
      </c>
      <c r="K442" s="29">
        <f>Responses!AY438</f>
        <v/>
      </c>
      <c r="L442" s="28">
        <f>IF(Responses!AS438="","",IF(Responses!AY438="Declined","",IF(Responses!BA438=0,"Check date and times",IF(Responses!BB438&gt;0,Responses!BC438,"No clash"))))</f>
        <v/>
      </c>
    </row>
    <row r="443">
      <c r="A443" s="27">
        <f>IF(Responses!AS439="","",IF(Responses!AT439&gt;0,Responses!AT439,"Check date"))</f>
        <v/>
      </c>
      <c r="B443" s="28">
        <f>Responses!AS439</f>
        <v/>
      </c>
      <c r="C443" s="29">
        <f>IF(Responses!AS439="","",IF(Responses!AU439&gt;=0,IF(Responses!AU439="","",RIGHT("0"&amp;INT(Responses!AU439/60),2)&amp;":"&amp;RIGHT("0"&amp;MOD(Responses!AU439,60),2)),"Check"))</f>
        <v/>
      </c>
      <c r="D443" s="29">
        <f>IF(Responses!AS439="","",IF(Responses!AV439&gt;=0,IF(Responses!AV439="","",RIGHT("0"&amp;INT(Responses!AV439/60),2)&amp;":"&amp;RIGHT("0"&amp;MOD(Responses!AV439,60),2)),"Check"))</f>
        <v/>
      </c>
      <c r="E443" s="28">
        <f>Responses!AW439</f>
        <v/>
      </c>
      <c r="F443" s="29">
        <f>Responses!AX439</f>
        <v/>
      </c>
      <c r="G443" s="29">
        <f>IF(Responses!AS439="","",IF(AND(ISNUMBER(Responses!AX439),ISNUMBER(IFERROR(VALUE(INDEX(Spaces!$B$5:$B$16,MATCH(Responses!AS439,Spaces!$A$5:$A$16,0))&amp;""),""))),IF(Responses!AX439&gt;IFERROR(VALUE(INDEX(Spaces!$B$5:$B$16,MATCH(Responses!AS439,Spaces!$A$5:$A$16,0))&amp;""),""),"Over by "&amp;(Responses!AX439-IFERROR(VALUE(INDEX(Spaces!$B$5:$B$16,MATCH(Responses!AS439,Spaces!$A$5:$A$16,0))&amp;""),"")),"OK"),""))</f>
        <v/>
      </c>
      <c r="H443" s="28">
        <f>Responses!BF439</f>
        <v/>
      </c>
      <c r="I443" s="28">
        <f>IF(Responses!AS439="","",Responses!AO439&amp;"")</f>
        <v/>
      </c>
      <c r="J443" s="28">
        <f>IF(Responses!AS439="","",Responses!AZ439&amp;"")</f>
        <v/>
      </c>
      <c r="K443" s="29">
        <f>Responses!AY439</f>
        <v/>
      </c>
      <c r="L443" s="28">
        <f>IF(Responses!AS439="","",IF(Responses!AY439="Declined","",IF(Responses!BA439=0,"Check date and times",IF(Responses!BB439&gt;0,Responses!BC439,"No clash"))))</f>
        <v/>
      </c>
    </row>
    <row r="444">
      <c r="A444" s="27">
        <f>IF(Responses!AS440="","",IF(Responses!AT440&gt;0,Responses!AT440,"Check date"))</f>
        <v/>
      </c>
      <c r="B444" s="28">
        <f>Responses!AS440</f>
        <v/>
      </c>
      <c r="C444" s="29">
        <f>IF(Responses!AS440="","",IF(Responses!AU440&gt;=0,IF(Responses!AU440="","",RIGHT("0"&amp;INT(Responses!AU440/60),2)&amp;":"&amp;RIGHT("0"&amp;MOD(Responses!AU440,60),2)),"Check"))</f>
        <v/>
      </c>
      <c r="D444" s="29">
        <f>IF(Responses!AS440="","",IF(Responses!AV440&gt;=0,IF(Responses!AV440="","",RIGHT("0"&amp;INT(Responses!AV440/60),2)&amp;":"&amp;RIGHT("0"&amp;MOD(Responses!AV440,60),2)),"Check"))</f>
        <v/>
      </c>
      <c r="E444" s="28">
        <f>Responses!AW440</f>
        <v/>
      </c>
      <c r="F444" s="29">
        <f>Responses!AX440</f>
        <v/>
      </c>
      <c r="G444" s="29">
        <f>IF(Responses!AS440="","",IF(AND(ISNUMBER(Responses!AX440),ISNUMBER(IFERROR(VALUE(INDEX(Spaces!$B$5:$B$16,MATCH(Responses!AS440,Spaces!$A$5:$A$16,0))&amp;""),""))),IF(Responses!AX440&gt;IFERROR(VALUE(INDEX(Spaces!$B$5:$B$16,MATCH(Responses!AS440,Spaces!$A$5:$A$16,0))&amp;""),""),"Over by "&amp;(Responses!AX440-IFERROR(VALUE(INDEX(Spaces!$B$5:$B$16,MATCH(Responses!AS440,Spaces!$A$5:$A$16,0))&amp;""),"")),"OK"),""))</f>
        <v/>
      </c>
      <c r="H444" s="28">
        <f>Responses!BF440</f>
        <v/>
      </c>
      <c r="I444" s="28">
        <f>IF(Responses!AS440="","",Responses!AO440&amp;"")</f>
        <v/>
      </c>
      <c r="J444" s="28">
        <f>IF(Responses!AS440="","",Responses!AZ440&amp;"")</f>
        <v/>
      </c>
      <c r="K444" s="29">
        <f>Responses!AY440</f>
        <v/>
      </c>
      <c r="L444" s="28">
        <f>IF(Responses!AS440="","",IF(Responses!AY440="Declined","",IF(Responses!BA440=0,"Check date and times",IF(Responses!BB440&gt;0,Responses!BC440,"No clash"))))</f>
        <v/>
      </c>
    </row>
    <row r="445">
      <c r="A445" s="27">
        <f>IF(Responses!AS441="","",IF(Responses!AT441&gt;0,Responses!AT441,"Check date"))</f>
        <v/>
      </c>
      <c r="B445" s="28">
        <f>Responses!AS441</f>
        <v/>
      </c>
      <c r="C445" s="29">
        <f>IF(Responses!AS441="","",IF(Responses!AU441&gt;=0,IF(Responses!AU441="","",RIGHT("0"&amp;INT(Responses!AU441/60),2)&amp;":"&amp;RIGHT("0"&amp;MOD(Responses!AU441,60),2)),"Check"))</f>
        <v/>
      </c>
      <c r="D445" s="29">
        <f>IF(Responses!AS441="","",IF(Responses!AV441&gt;=0,IF(Responses!AV441="","",RIGHT("0"&amp;INT(Responses!AV441/60),2)&amp;":"&amp;RIGHT("0"&amp;MOD(Responses!AV441,60),2)),"Check"))</f>
        <v/>
      </c>
      <c r="E445" s="28">
        <f>Responses!AW441</f>
        <v/>
      </c>
      <c r="F445" s="29">
        <f>Responses!AX441</f>
        <v/>
      </c>
      <c r="G445" s="29">
        <f>IF(Responses!AS441="","",IF(AND(ISNUMBER(Responses!AX441),ISNUMBER(IFERROR(VALUE(INDEX(Spaces!$B$5:$B$16,MATCH(Responses!AS441,Spaces!$A$5:$A$16,0))&amp;""),""))),IF(Responses!AX441&gt;IFERROR(VALUE(INDEX(Spaces!$B$5:$B$16,MATCH(Responses!AS441,Spaces!$A$5:$A$16,0))&amp;""),""),"Over by "&amp;(Responses!AX441-IFERROR(VALUE(INDEX(Spaces!$B$5:$B$16,MATCH(Responses!AS441,Spaces!$A$5:$A$16,0))&amp;""),"")),"OK"),""))</f>
        <v/>
      </c>
      <c r="H445" s="28">
        <f>Responses!BF441</f>
        <v/>
      </c>
      <c r="I445" s="28">
        <f>IF(Responses!AS441="","",Responses!AO441&amp;"")</f>
        <v/>
      </c>
      <c r="J445" s="28">
        <f>IF(Responses!AS441="","",Responses!AZ441&amp;"")</f>
        <v/>
      </c>
      <c r="K445" s="29">
        <f>Responses!AY441</f>
        <v/>
      </c>
      <c r="L445" s="28">
        <f>IF(Responses!AS441="","",IF(Responses!AY441="Declined","",IF(Responses!BA441=0,"Check date and times",IF(Responses!BB441&gt;0,Responses!BC441,"No clash"))))</f>
        <v/>
      </c>
    </row>
    <row r="446">
      <c r="A446" s="27">
        <f>IF(Responses!AS442="","",IF(Responses!AT442&gt;0,Responses!AT442,"Check date"))</f>
        <v/>
      </c>
      <c r="B446" s="28">
        <f>Responses!AS442</f>
        <v/>
      </c>
      <c r="C446" s="29">
        <f>IF(Responses!AS442="","",IF(Responses!AU442&gt;=0,IF(Responses!AU442="","",RIGHT("0"&amp;INT(Responses!AU442/60),2)&amp;":"&amp;RIGHT("0"&amp;MOD(Responses!AU442,60),2)),"Check"))</f>
        <v/>
      </c>
      <c r="D446" s="29">
        <f>IF(Responses!AS442="","",IF(Responses!AV442&gt;=0,IF(Responses!AV442="","",RIGHT("0"&amp;INT(Responses!AV442/60),2)&amp;":"&amp;RIGHT("0"&amp;MOD(Responses!AV442,60),2)),"Check"))</f>
        <v/>
      </c>
      <c r="E446" s="28">
        <f>Responses!AW442</f>
        <v/>
      </c>
      <c r="F446" s="29">
        <f>Responses!AX442</f>
        <v/>
      </c>
      <c r="G446" s="29">
        <f>IF(Responses!AS442="","",IF(AND(ISNUMBER(Responses!AX442),ISNUMBER(IFERROR(VALUE(INDEX(Spaces!$B$5:$B$16,MATCH(Responses!AS442,Spaces!$A$5:$A$16,0))&amp;""),""))),IF(Responses!AX442&gt;IFERROR(VALUE(INDEX(Spaces!$B$5:$B$16,MATCH(Responses!AS442,Spaces!$A$5:$A$16,0))&amp;""),""),"Over by "&amp;(Responses!AX442-IFERROR(VALUE(INDEX(Spaces!$B$5:$B$16,MATCH(Responses!AS442,Spaces!$A$5:$A$16,0))&amp;""),"")),"OK"),""))</f>
        <v/>
      </c>
      <c r="H446" s="28">
        <f>Responses!BF442</f>
        <v/>
      </c>
      <c r="I446" s="28">
        <f>IF(Responses!AS442="","",Responses!AO442&amp;"")</f>
        <v/>
      </c>
      <c r="J446" s="28">
        <f>IF(Responses!AS442="","",Responses!AZ442&amp;"")</f>
        <v/>
      </c>
      <c r="K446" s="29">
        <f>Responses!AY442</f>
        <v/>
      </c>
      <c r="L446" s="28">
        <f>IF(Responses!AS442="","",IF(Responses!AY442="Declined","",IF(Responses!BA442=0,"Check date and times",IF(Responses!BB442&gt;0,Responses!BC442,"No clash"))))</f>
        <v/>
      </c>
    </row>
    <row r="447">
      <c r="A447" s="27">
        <f>IF(Responses!AS443="","",IF(Responses!AT443&gt;0,Responses!AT443,"Check date"))</f>
        <v/>
      </c>
      <c r="B447" s="28">
        <f>Responses!AS443</f>
        <v/>
      </c>
      <c r="C447" s="29">
        <f>IF(Responses!AS443="","",IF(Responses!AU443&gt;=0,IF(Responses!AU443="","",RIGHT("0"&amp;INT(Responses!AU443/60),2)&amp;":"&amp;RIGHT("0"&amp;MOD(Responses!AU443,60),2)),"Check"))</f>
        <v/>
      </c>
      <c r="D447" s="29">
        <f>IF(Responses!AS443="","",IF(Responses!AV443&gt;=0,IF(Responses!AV443="","",RIGHT("0"&amp;INT(Responses!AV443/60),2)&amp;":"&amp;RIGHT("0"&amp;MOD(Responses!AV443,60),2)),"Check"))</f>
        <v/>
      </c>
      <c r="E447" s="28">
        <f>Responses!AW443</f>
        <v/>
      </c>
      <c r="F447" s="29">
        <f>Responses!AX443</f>
        <v/>
      </c>
      <c r="G447" s="29">
        <f>IF(Responses!AS443="","",IF(AND(ISNUMBER(Responses!AX443),ISNUMBER(IFERROR(VALUE(INDEX(Spaces!$B$5:$B$16,MATCH(Responses!AS443,Spaces!$A$5:$A$16,0))&amp;""),""))),IF(Responses!AX443&gt;IFERROR(VALUE(INDEX(Spaces!$B$5:$B$16,MATCH(Responses!AS443,Spaces!$A$5:$A$16,0))&amp;""),""),"Over by "&amp;(Responses!AX443-IFERROR(VALUE(INDEX(Spaces!$B$5:$B$16,MATCH(Responses!AS443,Spaces!$A$5:$A$16,0))&amp;""),"")),"OK"),""))</f>
        <v/>
      </c>
      <c r="H447" s="28">
        <f>Responses!BF443</f>
        <v/>
      </c>
      <c r="I447" s="28">
        <f>IF(Responses!AS443="","",Responses!AO443&amp;"")</f>
        <v/>
      </c>
      <c r="J447" s="28">
        <f>IF(Responses!AS443="","",Responses!AZ443&amp;"")</f>
        <v/>
      </c>
      <c r="K447" s="29">
        <f>Responses!AY443</f>
        <v/>
      </c>
      <c r="L447" s="28">
        <f>IF(Responses!AS443="","",IF(Responses!AY443="Declined","",IF(Responses!BA443=0,"Check date and times",IF(Responses!BB443&gt;0,Responses!BC443,"No clash"))))</f>
        <v/>
      </c>
    </row>
    <row r="448">
      <c r="A448" s="27">
        <f>IF(Responses!AS444="","",IF(Responses!AT444&gt;0,Responses!AT444,"Check date"))</f>
        <v/>
      </c>
      <c r="B448" s="28">
        <f>Responses!AS444</f>
        <v/>
      </c>
      <c r="C448" s="29">
        <f>IF(Responses!AS444="","",IF(Responses!AU444&gt;=0,IF(Responses!AU444="","",RIGHT("0"&amp;INT(Responses!AU444/60),2)&amp;":"&amp;RIGHT("0"&amp;MOD(Responses!AU444,60),2)),"Check"))</f>
        <v/>
      </c>
      <c r="D448" s="29">
        <f>IF(Responses!AS444="","",IF(Responses!AV444&gt;=0,IF(Responses!AV444="","",RIGHT("0"&amp;INT(Responses!AV444/60),2)&amp;":"&amp;RIGHT("0"&amp;MOD(Responses!AV444,60),2)),"Check"))</f>
        <v/>
      </c>
      <c r="E448" s="28">
        <f>Responses!AW444</f>
        <v/>
      </c>
      <c r="F448" s="29">
        <f>Responses!AX444</f>
        <v/>
      </c>
      <c r="G448" s="29">
        <f>IF(Responses!AS444="","",IF(AND(ISNUMBER(Responses!AX444),ISNUMBER(IFERROR(VALUE(INDEX(Spaces!$B$5:$B$16,MATCH(Responses!AS444,Spaces!$A$5:$A$16,0))&amp;""),""))),IF(Responses!AX444&gt;IFERROR(VALUE(INDEX(Spaces!$B$5:$B$16,MATCH(Responses!AS444,Spaces!$A$5:$A$16,0))&amp;""),""),"Over by "&amp;(Responses!AX444-IFERROR(VALUE(INDEX(Spaces!$B$5:$B$16,MATCH(Responses!AS444,Spaces!$A$5:$A$16,0))&amp;""),"")),"OK"),""))</f>
        <v/>
      </c>
      <c r="H448" s="28">
        <f>Responses!BF444</f>
        <v/>
      </c>
      <c r="I448" s="28">
        <f>IF(Responses!AS444="","",Responses!AO444&amp;"")</f>
        <v/>
      </c>
      <c r="J448" s="28">
        <f>IF(Responses!AS444="","",Responses!AZ444&amp;"")</f>
        <v/>
      </c>
      <c r="K448" s="29">
        <f>Responses!AY444</f>
        <v/>
      </c>
      <c r="L448" s="28">
        <f>IF(Responses!AS444="","",IF(Responses!AY444="Declined","",IF(Responses!BA444=0,"Check date and times",IF(Responses!BB444&gt;0,Responses!BC444,"No clash"))))</f>
        <v/>
      </c>
    </row>
    <row r="449">
      <c r="A449" s="27">
        <f>IF(Responses!AS445="","",IF(Responses!AT445&gt;0,Responses!AT445,"Check date"))</f>
        <v/>
      </c>
      <c r="B449" s="28">
        <f>Responses!AS445</f>
        <v/>
      </c>
      <c r="C449" s="29">
        <f>IF(Responses!AS445="","",IF(Responses!AU445&gt;=0,IF(Responses!AU445="","",RIGHT("0"&amp;INT(Responses!AU445/60),2)&amp;":"&amp;RIGHT("0"&amp;MOD(Responses!AU445,60),2)),"Check"))</f>
        <v/>
      </c>
      <c r="D449" s="29">
        <f>IF(Responses!AS445="","",IF(Responses!AV445&gt;=0,IF(Responses!AV445="","",RIGHT("0"&amp;INT(Responses!AV445/60),2)&amp;":"&amp;RIGHT("0"&amp;MOD(Responses!AV445,60),2)),"Check"))</f>
        <v/>
      </c>
      <c r="E449" s="28">
        <f>Responses!AW445</f>
        <v/>
      </c>
      <c r="F449" s="29">
        <f>Responses!AX445</f>
        <v/>
      </c>
      <c r="G449" s="29">
        <f>IF(Responses!AS445="","",IF(AND(ISNUMBER(Responses!AX445),ISNUMBER(IFERROR(VALUE(INDEX(Spaces!$B$5:$B$16,MATCH(Responses!AS445,Spaces!$A$5:$A$16,0))&amp;""),""))),IF(Responses!AX445&gt;IFERROR(VALUE(INDEX(Spaces!$B$5:$B$16,MATCH(Responses!AS445,Spaces!$A$5:$A$16,0))&amp;""),""),"Over by "&amp;(Responses!AX445-IFERROR(VALUE(INDEX(Spaces!$B$5:$B$16,MATCH(Responses!AS445,Spaces!$A$5:$A$16,0))&amp;""),"")),"OK"),""))</f>
        <v/>
      </c>
      <c r="H449" s="28">
        <f>Responses!BF445</f>
        <v/>
      </c>
      <c r="I449" s="28">
        <f>IF(Responses!AS445="","",Responses!AO445&amp;"")</f>
        <v/>
      </c>
      <c r="J449" s="28">
        <f>IF(Responses!AS445="","",Responses!AZ445&amp;"")</f>
        <v/>
      </c>
      <c r="K449" s="29">
        <f>Responses!AY445</f>
        <v/>
      </c>
      <c r="L449" s="28">
        <f>IF(Responses!AS445="","",IF(Responses!AY445="Declined","",IF(Responses!BA445=0,"Check date and times",IF(Responses!BB445&gt;0,Responses!BC445,"No clash"))))</f>
        <v/>
      </c>
    </row>
    <row r="450">
      <c r="A450" s="27">
        <f>IF(Responses!AS446="","",IF(Responses!AT446&gt;0,Responses!AT446,"Check date"))</f>
        <v/>
      </c>
      <c r="B450" s="28">
        <f>Responses!AS446</f>
        <v/>
      </c>
      <c r="C450" s="29">
        <f>IF(Responses!AS446="","",IF(Responses!AU446&gt;=0,IF(Responses!AU446="","",RIGHT("0"&amp;INT(Responses!AU446/60),2)&amp;":"&amp;RIGHT("0"&amp;MOD(Responses!AU446,60),2)),"Check"))</f>
        <v/>
      </c>
      <c r="D450" s="29">
        <f>IF(Responses!AS446="","",IF(Responses!AV446&gt;=0,IF(Responses!AV446="","",RIGHT("0"&amp;INT(Responses!AV446/60),2)&amp;":"&amp;RIGHT("0"&amp;MOD(Responses!AV446,60),2)),"Check"))</f>
        <v/>
      </c>
      <c r="E450" s="28">
        <f>Responses!AW446</f>
        <v/>
      </c>
      <c r="F450" s="29">
        <f>Responses!AX446</f>
        <v/>
      </c>
      <c r="G450" s="29">
        <f>IF(Responses!AS446="","",IF(AND(ISNUMBER(Responses!AX446),ISNUMBER(IFERROR(VALUE(INDEX(Spaces!$B$5:$B$16,MATCH(Responses!AS446,Spaces!$A$5:$A$16,0))&amp;""),""))),IF(Responses!AX446&gt;IFERROR(VALUE(INDEX(Spaces!$B$5:$B$16,MATCH(Responses!AS446,Spaces!$A$5:$A$16,0))&amp;""),""),"Over by "&amp;(Responses!AX446-IFERROR(VALUE(INDEX(Spaces!$B$5:$B$16,MATCH(Responses!AS446,Spaces!$A$5:$A$16,0))&amp;""),"")),"OK"),""))</f>
        <v/>
      </c>
      <c r="H450" s="28">
        <f>Responses!BF446</f>
        <v/>
      </c>
      <c r="I450" s="28">
        <f>IF(Responses!AS446="","",Responses!AO446&amp;"")</f>
        <v/>
      </c>
      <c r="J450" s="28">
        <f>IF(Responses!AS446="","",Responses!AZ446&amp;"")</f>
        <v/>
      </c>
      <c r="K450" s="29">
        <f>Responses!AY446</f>
        <v/>
      </c>
      <c r="L450" s="28">
        <f>IF(Responses!AS446="","",IF(Responses!AY446="Declined","",IF(Responses!BA446=0,"Check date and times",IF(Responses!BB446&gt;0,Responses!BC446,"No clash"))))</f>
        <v/>
      </c>
    </row>
    <row r="451">
      <c r="A451" s="27">
        <f>IF(Responses!AS447="","",IF(Responses!AT447&gt;0,Responses!AT447,"Check date"))</f>
        <v/>
      </c>
      <c r="B451" s="28">
        <f>Responses!AS447</f>
        <v/>
      </c>
      <c r="C451" s="29">
        <f>IF(Responses!AS447="","",IF(Responses!AU447&gt;=0,IF(Responses!AU447="","",RIGHT("0"&amp;INT(Responses!AU447/60),2)&amp;":"&amp;RIGHT("0"&amp;MOD(Responses!AU447,60),2)),"Check"))</f>
        <v/>
      </c>
      <c r="D451" s="29">
        <f>IF(Responses!AS447="","",IF(Responses!AV447&gt;=0,IF(Responses!AV447="","",RIGHT("0"&amp;INT(Responses!AV447/60),2)&amp;":"&amp;RIGHT("0"&amp;MOD(Responses!AV447,60),2)),"Check"))</f>
        <v/>
      </c>
      <c r="E451" s="28">
        <f>Responses!AW447</f>
        <v/>
      </c>
      <c r="F451" s="29">
        <f>Responses!AX447</f>
        <v/>
      </c>
      <c r="G451" s="29">
        <f>IF(Responses!AS447="","",IF(AND(ISNUMBER(Responses!AX447),ISNUMBER(IFERROR(VALUE(INDEX(Spaces!$B$5:$B$16,MATCH(Responses!AS447,Spaces!$A$5:$A$16,0))&amp;""),""))),IF(Responses!AX447&gt;IFERROR(VALUE(INDEX(Spaces!$B$5:$B$16,MATCH(Responses!AS447,Spaces!$A$5:$A$16,0))&amp;""),""),"Over by "&amp;(Responses!AX447-IFERROR(VALUE(INDEX(Spaces!$B$5:$B$16,MATCH(Responses!AS447,Spaces!$A$5:$A$16,0))&amp;""),"")),"OK"),""))</f>
        <v/>
      </c>
      <c r="H451" s="28">
        <f>Responses!BF447</f>
        <v/>
      </c>
      <c r="I451" s="28">
        <f>IF(Responses!AS447="","",Responses!AO447&amp;"")</f>
        <v/>
      </c>
      <c r="J451" s="28">
        <f>IF(Responses!AS447="","",Responses!AZ447&amp;"")</f>
        <v/>
      </c>
      <c r="K451" s="29">
        <f>Responses!AY447</f>
        <v/>
      </c>
      <c r="L451" s="28">
        <f>IF(Responses!AS447="","",IF(Responses!AY447="Declined","",IF(Responses!BA447=0,"Check date and times",IF(Responses!BB447&gt;0,Responses!BC447,"No clash"))))</f>
        <v/>
      </c>
    </row>
    <row r="452">
      <c r="A452" s="27">
        <f>IF(Responses!AS448="","",IF(Responses!AT448&gt;0,Responses!AT448,"Check date"))</f>
        <v/>
      </c>
      <c r="B452" s="28">
        <f>Responses!AS448</f>
        <v/>
      </c>
      <c r="C452" s="29">
        <f>IF(Responses!AS448="","",IF(Responses!AU448&gt;=0,IF(Responses!AU448="","",RIGHT("0"&amp;INT(Responses!AU448/60),2)&amp;":"&amp;RIGHT("0"&amp;MOD(Responses!AU448,60),2)),"Check"))</f>
        <v/>
      </c>
      <c r="D452" s="29">
        <f>IF(Responses!AS448="","",IF(Responses!AV448&gt;=0,IF(Responses!AV448="","",RIGHT("0"&amp;INT(Responses!AV448/60),2)&amp;":"&amp;RIGHT("0"&amp;MOD(Responses!AV448,60),2)),"Check"))</f>
        <v/>
      </c>
      <c r="E452" s="28">
        <f>Responses!AW448</f>
        <v/>
      </c>
      <c r="F452" s="29">
        <f>Responses!AX448</f>
        <v/>
      </c>
      <c r="G452" s="29">
        <f>IF(Responses!AS448="","",IF(AND(ISNUMBER(Responses!AX448),ISNUMBER(IFERROR(VALUE(INDEX(Spaces!$B$5:$B$16,MATCH(Responses!AS448,Spaces!$A$5:$A$16,0))&amp;""),""))),IF(Responses!AX448&gt;IFERROR(VALUE(INDEX(Spaces!$B$5:$B$16,MATCH(Responses!AS448,Spaces!$A$5:$A$16,0))&amp;""),""),"Over by "&amp;(Responses!AX448-IFERROR(VALUE(INDEX(Spaces!$B$5:$B$16,MATCH(Responses!AS448,Spaces!$A$5:$A$16,0))&amp;""),"")),"OK"),""))</f>
        <v/>
      </c>
      <c r="H452" s="28">
        <f>Responses!BF448</f>
        <v/>
      </c>
      <c r="I452" s="28">
        <f>IF(Responses!AS448="","",Responses!AO448&amp;"")</f>
        <v/>
      </c>
      <c r="J452" s="28">
        <f>IF(Responses!AS448="","",Responses!AZ448&amp;"")</f>
        <v/>
      </c>
      <c r="K452" s="29">
        <f>Responses!AY448</f>
        <v/>
      </c>
      <c r="L452" s="28">
        <f>IF(Responses!AS448="","",IF(Responses!AY448="Declined","",IF(Responses!BA448=0,"Check date and times",IF(Responses!BB448&gt;0,Responses!BC448,"No clash"))))</f>
        <v/>
      </c>
    </row>
    <row r="453">
      <c r="A453" s="27">
        <f>IF(Responses!AS449="","",IF(Responses!AT449&gt;0,Responses!AT449,"Check date"))</f>
        <v/>
      </c>
      <c r="B453" s="28">
        <f>Responses!AS449</f>
        <v/>
      </c>
      <c r="C453" s="29">
        <f>IF(Responses!AS449="","",IF(Responses!AU449&gt;=0,IF(Responses!AU449="","",RIGHT("0"&amp;INT(Responses!AU449/60),2)&amp;":"&amp;RIGHT("0"&amp;MOD(Responses!AU449,60),2)),"Check"))</f>
        <v/>
      </c>
      <c r="D453" s="29">
        <f>IF(Responses!AS449="","",IF(Responses!AV449&gt;=0,IF(Responses!AV449="","",RIGHT("0"&amp;INT(Responses!AV449/60),2)&amp;":"&amp;RIGHT("0"&amp;MOD(Responses!AV449,60),2)),"Check"))</f>
        <v/>
      </c>
      <c r="E453" s="28">
        <f>Responses!AW449</f>
        <v/>
      </c>
      <c r="F453" s="29">
        <f>Responses!AX449</f>
        <v/>
      </c>
      <c r="G453" s="29">
        <f>IF(Responses!AS449="","",IF(AND(ISNUMBER(Responses!AX449),ISNUMBER(IFERROR(VALUE(INDEX(Spaces!$B$5:$B$16,MATCH(Responses!AS449,Spaces!$A$5:$A$16,0))&amp;""),""))),IF(Responses!AX449&gt;IFERROR(VALUE(INDEX(Spaces!$B$5:$B$16,MATCH(Responses!AS449,Spaces!$A$5:$A$16,0))&amp;""),""),"Over by "&amp;(Responses!AX449-IFERROR(VALUE(INDEX(Spaces!$B$5:$B$16,MATCH(Responses!AS449,Spaces!$A$5:$A$16,0))&amp;""),"")),"OK"),""))</f>
        <v/>
      </c>
      <c r="H453" s="28">
        <f>Responses!BF449</f>
        <v/>
      </c>
      <c r="I453" s="28">
        <f>IF(Responses!AS449="","",Responses!AO449&amp;"")</f>
        <v/>
      </c>
      <c r="J453" s="28">
        <f>IF(Responses!AS449="","",Responses!AZ449&amp;"")</f>
        <v/>
      </c>
      <c r="K453" s="29">
        <f>Responses!AY449</f>
        <v/>
      </c>
      <c r="L453" s="28">
        <f>IF(Responses!AS449="","",IF(Responses!AY449="Declined","",IF(Responses!BA449=0,"Check date and times",IF(Responses!BB449&gt;0,Responses!BC449,"No clash"))))</f>
        <v/>
      </c>
    </row>
    <row r="454">
      <c r="A454" s="27">
        <f>IF(Responses!AS450="","",IF(Responses!AT450&gt;0,Responses!AT450,"Check date"))</f>
        <v/>
      </c>
      <c r="B454" s="28">
        <f>Responses!AS450</f>
        <v/>
      </c>
      <c r="C454" s="29">
        <f>IF(Responses!AS450="","",IF(Responses!AU450&gt;=0,IF(Responses!AU450="","",RIGHT("0"&amp;INT(Responses!AU450/60),2)&amp;":"&amp;RIGHT("0"&amp;MOD(Responses!AU450,60),2)),"Check"))</f>
        <v/>
      </c>
      <c r="D454" s="29">
        <f>IF(Responses!AS450="","",IF(Responses!AV450&gt;=0,IF(Responses!AV450="","",RIGHT("0"&amp;INT(Responses!AV450/60),2)&amp;":"&amp;RIGHT("0"&amp;MOD(Responses!AV450,60),2)),"Check"))</f>
        <v/>
      </c>
      <c r="E454" s="28">
        <f>Responses!AW450</f>
        <v/>
      </c>
      <c r="F454" s="29">
        <f>Responses!AX450</f>
        <v/>
      </c>
      <c r="G454" s="29">
        <f>IF(Responses!AS450="","",IF(AND(ISNUMBER(Responses!AX450),ISNUMBER(IFERROR(VALUE(INDEX(Spaces!$B$5:$B$16,MATCH(Responses!AS450,Spaces!$A$5:$A$16,0))&amp;""),""))),IF(Responses!AX450&gt;IFERROR(VALUE(INDEX(Spaces!$B$5:$B$16,MATCH(Responses!AS450,Spaces!$A$5:$A$16,0))&amp;""),""),"Over by "&amp;(Responses!AX450-IFERROR(VALUE(INDEX(Spaces!$B$5:$B$16,MATCH(Responses!AS450,Spaces!$A$5:$A$16,0))&amp;""),"")),"OK"),""))</f>
        <v/>
      </c>
      <c r="H454" s="28">
        <f>Responses!BF450</f>
        <v/>
      </c>
      <c r="I454" s="28">
        <f>IF(Responses!AS450="","",Responses!AO450&amp;"")</f>
        <v/>
      </c>
      <c r="J454" s="28">
        <f>IF(Responses!AS450="","",Responses!AZ450&amp;"")</f>
        <v/>
      </c>
      <c r="K454" s="29">
        <f>Responses!AY450</f>
        <v/>
      </c>
      <c r="L454" s="28">
        <f>IF(Responses!AS450="","",IF(Responses!AY450="Declined","",IF(Responses!BA450=0,"Check date and times",IF(Responses!BB450&gt;0,Responses!BC450,"No clash"))))</f>
        <v/>
      </c>
    </row>
    <row r="455">
      <c r="A455" s="27">
        <f>IF(Responses!AS451="","",IF(Responses!AT451&gt;0,Responses!AT451,"Check date"))</f>
        <v/>
      </c>
      <c r="B455" s="28">
        <f>Responses!AS451</f>
        <v/>
      </c>
      <c r="C455" s="29">
        <f>IF(Responses!AS451="","",IF(Responses!AU451&gt;=0,IF(Responses!AU451="","",RIGHT("0"&amp;INT(Responses!AU451/60),2)&amp;":"&amp;RIGHT("0"&amp;MOD(Responses!AU451,60),2)),"Check"))</f>
        <v/>
      </c>
      <c r="D455" s="29">
        <f>IF(Responses!AS451="","",IF(Responses!AV451&gt;=0,IF(Responses!AV451="","",RIGHT("0"&amp;INT(Responses!AV451/60),2)&amp;":"&amp;RIGHT("0"&amp;MOD(Responses!AV451,60),2)),"Check"))</f>
        <v/>
      </c>
      <c r="E455" s="28">
        <f>Responses!AW451</f>
        <v/>
      </c>
      <c r="F455" s="29">
        <f>Responses!AX451</f>
        <v/>
      </c>
      <c r="G455" s="29">
        <f>IF(Responses!AS451="","",IF(AND(ISNUMBER(Responses!AX451),ISNUMBER(IFERROR(VALUE(INDEX(Spaces!$B$5:$B$16,MATCH(Responses!AS451,Spaces!$A$5:$A$16,0))&amp;""),""))),IF(Responses!AX451&gt;IFERROR(VALUE(INDEX(Spaces!$B$5:$B$16,MATCH(Responses!AS451,Spaces!$A$5:$A$16,0))&amp;""),""),"Over by "&amp;(Responses!AX451-IFERROR(VALUE(INDEX(Spaces!$B$5:$B$16,MATCH(Responses!AS451,Spaces!$A$5:$A$16,0))&amp;""),"")),"OK"),""))</f>
        <v/>
      </c>
      <c r="H455" s="28">
        <f>Responses!BF451</f>
        <v/>
      </c>
      <c r="I455" s="28">
        <f>IF(Responses!AS451="","",Responses!AO451&amp;"")</f>
        <v/>
      </c>
      <c r="J455" s="28">
        <f>IF(Responses!AS451="","",Responses!AZ451&amp;"")</f>
        <v/>
      </c>
      <c r="K455" s="29">
        <f>Responses!AY451</f>
        <v/>
      </c>
      <c r="L455" s="28">
        <f>IF(Responses!AS451="","",IF(Responses!AY451="Declined","",IF(Responses!BA451=0,"Check date and times",IF(Responses!BB451&gt;0,Responses!BC451,"No clash"))))</f>
        <v/>
      </c>
    </row>
    <row r="456">
      <c r="A456" s="27">
        <f>IF(Responses!AS452="","",IF(Responses!AT452&gt;0,Responses!AT452,"Check date"))</f>
        <v/>
      </c>
      <c r="B456" s="28">
        <f>Responses!AS452</f>
        <v/>
      </c>
      <c r="C456" s="29">
        <f>IF(Responses!AS452="","",IF(Responses!AU452&gt;=0,IF(Responses!AU452="","",RIGHT("0"&amp;INT(Responses!AU452/60),2)&amp;":"&amp;RIGHT("0"&amp;MOD(Responses!AU452,60),2)),"Check"))</f>
        <v/>
      </c>
      <c r="D456" s="29">
        <f>IF(Responses!AS452="","",IF(Responses!AV452&gt;=0,IF(Responses!AV452="","",RIGHT("0"&amp;INT(Responses!AV452/60),2)&amp;":"&amp;RIGHT("0"&amp;MOD(Responses!AV452,60),2)),"Check"))</f>
        <v/>
      </c>
      <c r="E456" s="28">
        <f>Responses!AW452</f>
        <v/>
      </c>
      <c r="F456" s="29">
        <f>Responses!AX452</f>
        <v/>
      </c>
      <c r="G456" s="29">
        <f>IF(Responses!AS452="","",IF(AND(ISNUMBER(Responses!AX452),ISNUMBER(IFERROR(VALUE(INDEX(Spaces!$B$5:$B$16,MATCH(Responses!AS452,Spaces!$A$5:$A$16,0))&amp;""),""))),IF(Responses!AX452&gt;IFERROR(VALUE(INDEX(Spaces!$B$5:$B$16,MATCH(Responses!AS452,Spaces!$A$5:$A$16,0))&amp;""),""),"Over by "&amp;(Responses!AX452-IFERROR(VALUE(INDEX(Spaces!$B$5:$B$16,MATCH(Responses!AS452,Spaces!$A$5:$A$16,0))&amp;""),"")),"OK"),""))</f>
        <v/>
      </c>
      <c r="H456" s="28">
        <f>Responses!BF452</f>
        <v/>
      </c>
      <c r="I456" s="28">
        <f>IF(Responses!AS452="","",Responses!AO452&amp;"")</f>
        <v/>
      </c>
      <c r="J456" s="28">
        <f>IF(Responses!AS452="","",Responses!AZ452&amp;"")</f>
        <v/>
      </c>
      <c r="K456" s="29">
        <f>Responses!AY452</f>
        <v/>
      </c>
      <c r="L456" s="28">
        <f>IF(Responses!AS452="","",IF(Responses!AY452="Declined","",IF(Responses!BA452=0,"Check date and times",IF(Responses!BB452&gt;0,Responses!BC452,"No clash"))))</f>
        <v/>
      </c>
    </row>
    <row r="457">
      <c r="A457" s="27">
        <f>IF(Responses!AS453="","",IF(Responses!AT453&gt;0,Responses!AT453,"Check date"))</f>
        <v/>
      </c>
      <c r="B457" s="28">
        <f>Responses!AS453</f>
        <v/>
      </c>
      <c r="C457" s="29">
        <f>IF(Responses!AS453="","",IF(Responses!AU453&gt;=0,IF(Responses!AU453="","",RIGHT("0"&amp;INT(Responses!AU453/60),2)&amp;":"&amp;RIGHT("0"&amp;MOD(Responses!AU453,60),2)),"Check"))</f>
        <v/>
      </c>
      <c r="D457" s="29">
        <f>IF(Responses!AS453="","",IF(Responses!AV453&gt;=0,IF(Responses!AV453="","",RIGHT("0"&amp;INT(Responses!AV453/60),2)&amp;":"&amp;RIGHT("0"&amp;MOD(Responses!AV453,60),2)),"Check"))</f>
        <v/>
      </c>
      <c r="E457" s="28">
        <f>Responses!AW453</f>
        <v/>
      </c>
      <c r="F457" s="29">
        <f>Responses!AX453</f>
        <v/>
      </c>
      <c r="G457" s="29">
        <f>IF(Responses!AS453="","",IF(AND(ISNUMBER(Responses!AX453),ISNUMBER(IFERROR(VALUE(INDEX(Spaces!$B$5:$B$16,MATCH(Responses!AS453,Spaces!$A$5:$A$16,0))&amp;""),""))),IF(Responses!AX453&gt;IFERROR(VALUE(INDEX(Spaces!$B$5:$B$16,MATCH(Responses!AS453,Spaces!$A$5:$A$16,0))&amp;""),""),"Over by "&amp;(Responses!AX453-IFERROR(VALUE(INDEX(Spaces!$B$5:$B$16,MATCH(Responses!AS453,Spaces!$A$5:$A$16,0))&amp;""),"")),"OK"),""))</f>
        <v/>
      </c>
      <c r="H457" s="28">
        <f>Responses!BF453</f>
        <v/>
      </c>
      <c r="I457" s="28">
        <f>IF(Responses!AS453="","",Responses!AO453&amp;"")</f>
        <v/>
      </c>
      <c r="J457" s="28">
        <f>IF(Responses!AS453="","",Responses!AZ453&amp;"")</f>
        <v/>
      </c>
      <c r="K457" s="29">
        <f>Responses!AY453</f>
        <v/>
      </c>
      <c r="L457" s="28">
        <f>IF(Responses!AS453="","",IF(Responses!AY453="Declined","",IF(Responses!BA453=0,"Check date and times",IF(Responses!BB453&gt;0,Responses!BC453,"No clash"))))</f>
        <v/>
      </c>
    </row>
    <row r="458">
      <c r="A458" s="27">
        <f>IF(Responses!AS454="","",IF(Responses!AT454&gt;0,Responses!AT454,"Check date"))</f>
        <v/>
      </c>
      <c r="B458" s="28">
        <f>Responses!AS454</f>
        <v/>
      </c>
      <c r="C458" s="29">
        <f>IF(Responses!AS454="","",IF(Responses!AU454&gt;=0,IF(Responses!AU454="","",RIGHT("0"&amp;INT(Responses!AU454/60),2)&amp;":"&amp;RIGHT("0"&amp;MOD(Responses!AU454,60),2)),"Check"))</f>
        <v/>
      </c>
      <c r="D458" s="29">
        <f>IF(Responses!AS454="","",IF(Responses!AV454&gt;=0,IF(Responses!AV454="","",RIGHT("0"&amp;INT(Responses!AV454/60),2)&amp;":"&amp;RIGHT("0"&amp;MOD(Responses!AV454,60),2)),"Check"))</f>
        <v/>
      </c>
      <c r="E458" s="28">
        <f>Responses!AW454</f>
        <v/>
      </c>
      <c r="F458" s="29">
        <f>Responses!AX454</f>
        <v/>
      </c>
      <c r="G458" s="29">
        <f>IF(Responses!AS454="","",IF(AND(ISNUMBER(Responses!AX454),ISNUMBER(IFERROR(VALUE(INDEX(Spaces!$B$5:$B$16,MATCH(Responses!AS454,Spaces!$A$5:$A$16,0))&amp;""),""))),IF(Responses!AX454&gt;IFERROR(VALUE(INDEX(Spaces!$B$5:$B$16,MATCH(Responses!AS454,Spaces!$A$5:$A$16,0))&amp;""),""),"Over by "&amp;(Responses!AX454-IFERROR(VALUE(INDEX(Spaces!$B$5:$B$16,MATCH(Responses!AS454,Spaces!$A$5:$A$16,0))&amp;""),"")),"OK"),""))</f>
        <v/>
      </c>
      <c r="H458" s="28">
        <f>Responses!BF454</f>
        <v/>
      </c>
      <c r="I458" s="28">
        <f>IF(Responses!AS454="","",Responses!AO454&amp;"")</f>
        <v/>
      </c>
      <c r="J458" s="28">
        <f>IF(Responses!AS454="","",Responses!AZ454&amp;"")</f>
        <v/>
      </c>
      <c r="K458" s="29">
        <f>Responses!AY454</f>
        <v/>
      </c>
      <c r="L458" s="28">
        <f>IF(Responses!AS454="","",IF(Responses!AY454="Declined","",IF(Responses!BA454=0,"Check date and times",IF(Responses!BB454&gt;0,Responses!BC454,"No clash"))))</f>
        <v/>
      </c>
    </row>
    <row r="459">
      <c r="A459" s="27">
        <f>IF(Responses!AS455="","",IF(Responses!AT455&gt;0,Responses!AT455,"Check date"))</f>
        <v/>
      </c>
      <c r="B459" s="28">
        <f>Responses!AS455</f>
        <v/>
      </c>
      <c r="C459" s="29">
        <f>IF(Responses!AS455="","",IF(Responses!AU455&gt;=0,IF(Responses!AU455="","",RIGHT("0"&amp;INT(Responses!AU455/60),2)&amp;":"&amp;RIGHT("0"&amp;MOD(Responses!AU455,60),2)),"Check"))</f>
        <v/>
      </c>
      <c r="D459" s="29">
        <f>IF(Responses!AS455="","",IF(Responses!AV455&gt;=0,IF(Responses!AV455="","",RIGHT("0"&amp;INT(Responses!AV455/60),2)&amp;":"&amp;RIGHT("0"&amp;MOD(Responses!AV455,60),2)),"Check"))</f>
        <v/>
      </c>
      <c r="E459" s="28">
        <f>Responses!AW455</f>
        <v/>
      </c>
      <c r="F459" s="29">
        <f>Responses!AX455</f>
        <v/>
      </c>
      <c r="G459" s="29">
        <f>IF(Responses!AS455="","",IF(AND(ISNUMBER(Responses!AX455),ISNUMBER(IFERROR(VALUE(INDEX(Spaces!$B$5:$B$16,MATCH(Responses!AS455,Spaces!$A$5:$A$16,0))&amp;""),""))),IF(Responses!AX455&gt;IFERROR(VALUE(INDEX(Spaces!$B$5:$B$16,MATCH(Responses!AS455,Spaces!$A$5:$A$16,0))&amp;""),""),"Over by "&amp;(Responses!AX455-IFERROR(VALUE(INDEX(Spaces!$B$5:$B$16,MATCH(Responses!AS455,Spaces!$A$5:$A$16,0))&amp;""),"")),"OK"),""))</f>
        <v/>
      </c>
      <c r="H459" s="28">
        <f>Responses!BF455</f>
        <v/>
      </c>
      <c r="I459" s="28">
        <f>IF(Responses!AS455="","",Responses!AO455&amp;"")</f>
        <v/>
      </c>
      <c r="J459" s="28">
        <f>IF(Responses!AS455="","",Responses!AZ455&amp;"")</f>
        <v/>
      </c>
      <c r="K459" s="29">
        <f>Responses!AY455</f>
        <v/>
      </c>
      <c r="L459" s="28">
        <f>IF(Responses!AS455="","",IF(Responses!AY455="Declined","",IF(Responses!BA455=0,"Check date and times",IF(Responses!BB455&gt;0,Responses!BC455,"No clash"))))</f>
        <v/>
      </c>
    </row>
    <row r="460">
      <c r="A460" s="27">
        <f>IF(Responses!AS456="","",IF(Responses!AT456&gt;0,Responses!AT456,"Check date"))</f>
        <v/>
      </c>
      <c r="B460" s="28">
        <f>Responses!AS456</f>
        <v/>
      </c>
      <c r="C460" s="29">
        <f>IF(Responses!AS456="","",IF(Responses!AU456&gt;=0,IF(Responses!AU456="","",RIGHT("0"&amp;INT(Responses!AU456/60),2)&amp;":"&amp;RIGHT("0"&amp;MOD(Responses!AU456,60),2)),"Check"))</f>
        <v/>
      </c>
      <c r="D460" s="29">
        <f>IF(Responses!AS456="","",IF(Responses!AV456&gt;=0,IF(Responses!AV456="","",RIGHT("0"&amp;INT(Responses!AV456/60),2)&amp;":"&amp;RIGHT("0"&amp;MOD(Responses!AV456,60),2)),"Check"))</f>
        <v/>
      </c>
      <c r="E460" s="28">
        <f>Responses!AW456</f>
        <v/>
      </c>
      <c r="F460" s="29">
        <f>Responses!AX456</f>
        <v/>
      </c>
      <c r="G460" s="29">
        <f>IF(Responses!AS456="","",IF(AND(ISNUMBER(Responses!AX456),ISNUMBER(IFERROR(VALUE(INDEX(Spaces!$B$5:$B$16,MATCH(Responses!AS456,Spaces!$A$5:$A$16,0))&amp;""),""))),IF(Responses!AX456&gt;IFERROR(VALUE(INDEX(Spaces!$B$5:$B$16,MATCH(Responses!AS456,Spaces!$A$5:$A$16,0))&amp;""),""),"Over by "&amp;(Responses!AX456-IFERROR(VALUE(INDEX(Spaces!$B$5:$B$16,MATCH(Responses!AS456,Spaces!$A$5:$A$16,0))&amp;""),"")),"OK"),""))</f>
        <v/>
      </c>
      <c r="H460" s="28">
        <f>Responses!BF456</f>
        <v/>
      </c>
      <c r="I460" s="28">
        <f>IF(Responses!AS456="","",Responses!AO456&amp;"")</f>
        <v/>
      </c>
      <c r="J460" s="28">
        <f>IF(Responses!AS456="","",Responses!AZ456&amp;"")</f>
        <v/>
      </c>
      <c r="K460" s="29">
        <f>Responses!AY456</f>
        <v/>
      </c>
      <c r="L460" s="28">
        <f>IF(Responses!AS456="","",IF(Responses!AY456="Declined","",IF(Responses!BA456=0,"Check date and times",IF(Responses!BB456&gt;0,Responses!BC456,"No clash"))))</f>
        <v/>
      </c>
    </row>
    <row r="461">
      <c r="A461" s="27">
        <f>IF(Responses!AS457="","",IF(Responses!AT457&gt;0,Responses!AT457,"Check date"))</f>
        <v/>
      </c>
      <c r="B461" s="28">
        <f>Responses!AS457</f>
        <v/>
      </c>
      <c r="C461" s="29">
        <f>IF(Responses!AS457="","",IF(Responses!AU457&gt;=0,IF(Responses!AU457="","",RIGHT("0"&amp;INT(Responses!AU457/60),2)&amp;":"&amp;RIGHT("0"&amp;MOD(Responses!AU457,60),2)),"Check"))</f>
        <v/>
      </c>
      <c r="D461" s="29">
        <f>IF(Responses!AS457="","",IF(Responses!AV457&gt;=0,IF(Responses!AV457="","",RIGHT("0"&amp;INT(Responses!AV457/60),2)&amp;":"&amp;RIGHT("0"&amp;MOD(Responses!AV457,60),2)),"Check"))</f>
        <v/>
      </c>
      <c r="E461" s="28">
        <f>Responses!AW457</f>
        <v/>
      </c>
      <c r="F461" s="29">
        <f>Responses!AX457</f>
        <v/>
      </c>
      <c r="G461" s="29">
        <f>IF(Responses!AS457="","",IF(AND(ISNUMBER(Responses!AX457),ISNUMBER(IFERROR(VALUE(INDEX(Spaces!$B$5:$B$16,MATCH(Responses!AS457,Spaces!$A$5:$A$16,0))&amp;""),""))),IF(Responses!AX457&gt;IFERROR(VALUE(INDEX(Spaces!$B$5:$B$16,MATCH(Responses!AS457,Spaces!$A$5:$A$16,0))&amp;""),""),"Over by "&amp;(Responses!AX457-IFERROR(VALUE(INDEX(Spaces!$B$5:$B$16,MATCH(Responses!AS457,Spaces!$A$5:$A$16,0))&amp;""),"")),"OK"),""))</f>
        <v/>
      </c>
      <c r="H461" s="28">
        <f>Responses!BF457</f>
        <v/>
      </c>
      <c r="I461" s="28">
        <f>IF(Responses!AS457="","",Responses!AO457&amp;"")</f>
        <v/>
      </c>
      <c r="J461" s="28">
        <f>IF(Responses!AS457="","",Responses!AZ457&amp;"")</f>
        <v/>
      </c>
      <c r="K461" s="29">
        <f>Responses!AY457</f>
        <v/>
      </c>
      <c r="L461" s="28">
        <f>IF(Responses!AS457="","",IF(Responses!AY457="Declined","",IF(Responses!BA457=0,"Check date and times",IF(Responses!BB457&gt;0,Responses!BC457,"No clash"))))</f>
        <v/>
      </c>
    </row>
    <row r="462">
      <c r="A462" s="27">
        <f>IF(Responses!AS458="","",IF(Responses!AT458&gt;0,Responses!AT458,"Check date"))</f>
        <v/>
      </c>
      <c r="B462" s="28">
        <f>Responses!AS458</f>
        <v/>
      </c>
      <c r="C462" s="29">
        <f>IF(Responses!AS458="","",IF(Responses!AU458&gt;=0,IF(Responses!AU458="","",RIGHT("0"&amp;INT(Responses!AU458/60),2)&amp;":"&amp;RIGHT("0"&amp;MOD(Responses!AU458,60),2)),"Check"))</f>
        <v/>
      </c>
      <c r="D462" s="29">
        <f>IF(Responses!AS458="","",IF(Responses!AV458&gt;=0,IF(Responses!AV458="","",RIGHT("0"&amp;INT(Responses!AV458/60),2)&amp;":"&amp;RIGHT("0"&amp;MOD(Responses!AV458,60),2)),"Check"))</f>
        <v/>
      </c>
      <c r="E462" s="28">
        <f>Responses!AW458</f>
        <v/>
      </c>
      <c r="F462" s="29">
        <f>Responses!AX458</f>
        <v/>
      </c>
      <c r="G462" s="29">
        <f>IF(Responses!AS458="","",IF(AND(ISNUMBER(Responses!AX458),ISNUMBER(IFERROR(VALUE(INDEX(Spaces!$B$5:$B$16,MATCH(Responses!AS458,Spaces!$A$5:$A$16,0))&amp;""),""))),IF(Responses!AX458&gt;IFERROR(VALUE(INDEX(Spaces!$B$5:$B$16,MATCH(Responses!AS458,Spaces!$A$5:$A$16,0))&amp;""),""),"Over by "&amp;(Responses!AX458-IFERROR(VALUE(INDEX(Spaces!$B$5:$B$16,MATCH(Responses!AS458,Spaces!$A$5:$A$16,0))&amp;""),"")),"OK"),""))</f>
        <v/>
      </c>
      <c r="H462" s="28">
        <f>Responses!BF458</f>
        <v/>
      </c>
      <c r="I462" s="28">
        <f>IF(Responses!AS458="","",Responses!AO458&amp;"")</f>
        <v/>
      </c>
      <c r="J462" s="28">
        <f>IF(Responses!AS458="","",Responses!AZ458&amp;"")</f>
        <v/>
      </c>
      <c r="K462" s="29">
        <f>Responses!AY458</f>
        <v/>
      </c>
      <c r="L462" s="28">
        <f>IF(Responses!AS458="","",IF(Responses!AY458="Declined","",IF(Responses!BA458=0,"Check date and times",IF(Responses!BB458&gt;0,Responses!BC458,"No clash"))))</f>
        <v/>
      </c>
    </row>
    <row r="463">
      <c r="A463" s="27">
        <f>IF(Responses!AS459="","",IF(Responses!AT459&gt;0,Responses!AT459,"Check date"))</f>
        <v/>
      </c>
      <c r="B463" s="28">
        <f>Responses!AS459</f>
        <v/>
      </c>
      <c r="C463" s="29">
        <f>IF(Responses!AS459="","",IF(Responses!AU459&gt;=0,IF(Responses!AU459="","",RIGHT("0"&amp;INT(Responses!AU459/60),2)&amp;":"&amp;RIGHT("0"&amp;MOD(Responses!AU459,60),2)),"Check"))</f>
        <v/>
      </c>
      <c r="D463" s="29">
        <f>IF(Responses!AS459="","",IF(Responses!AV459&gt;=0,IF(Responses!AV459="","",RIGHT("0"&amp;INT(Responses!AV459/60),2)&amp;":"&amp;RIGHT("0"&amp;MOD(Responses!AV459,60),2)),"Check"))</f>
        <v/>
      </c>
      <c r="E463" s="28">
        <f>Responses!AW459</f>
        <v/>
      </c>
      <c r="F463" s="29">
        <f>Responses!AX459</f>
        <v/>
      </c>
      <c r="G463" s="29">
        <f>IF(Responses!AS459="","",IF(AND(ISNUMBER(Responses!AX459),ISNUMBER(IFERROR(VALUE(INDEX(Spaces!$B$5:$B$16,MATCH(Responses!AS459,Spaces!$A$5:$A$16,0))&amp;""),""))),IF(Responses!AX459&gt;IFERROR(VALUE(INDEX(Spaces!$B$5:$B$16,MATCH(Responses!AS459,Spaces!$A$5:$A$16,0))&amp;""),""),"Over by "&amp;(Responses!AX459-IFERROR(VALUE(INDEX(Spaces!$B$5:$B$16,MATCH(Responses!AS459,Spaces!$A$5:$A$16,0))&amp;""),"")),"OK"),""))</f>
        <v/>
      </c>
      <c r="H463" s="28">
        <f>Responses!BF459</f>
        <v/>
      </c>
      <c r="I463" s="28">
        <f>IF(Responses!AS459="","",Responses!AO459&amp;"")</f>
        <v/>
      </c>
      <c r="J463" s="28">
        <f>IF(Responses!AS459="","",Responses!AZ459&amp;"")</f>
        <v/>
      </c>
      <c r="K463" s="29">
        <f>Responses!AY459</f>
        <v/>
      </c>
      <c r="L463" s="28">
        <f>IF(Responses!AS459="","",IF(Responses!AY459="Declined","",IF(Responses!BA459=0,"Check date and times",IF(Responses!BB459&gt;0,Responses!BC459,"No clash"))))</f>
        <v/>
      </c>
    </row>
    <row r="464">
      <c r="A464" s="27">
        <f>IF(Responses!AS460="","",IF(Responses!AT460&gt;0,Responses!AT460,"Check date"))</f>
        <v/>
      </c>
      <c r="B464" s="28">
        <f>Responses!AS460</f>
        <v/>
      </c>
      <c r="C464" s="29">
        <f>IF(Responses!AS460="","",IF(Responses!AU460&gt;=0,IF(Responses!AU460="","",RIGHT("0"&amp;INT(Responses!AU460/60),2)&amp;":"&amp;RIGHT("0"&amp;MOD(Responses!AU460,60),2)),"Check"))</f>
        <v/>
      </c>
      <c r="D464" s="29">
        <f>IF(Responses!AS460="","",IF(Responses!AV460&gt;=0,IF(Responses!AV460="","",RIGHT("0"&amp;INT(Responses!AV460/60),2)&amp;":"&amp;RIGHT("0"&amp;MOD(Responses!AV460,60),2)),"Check"))</f>
        <v/>
      </c>
      <c r="E464" s="28">
        <f>Responses!AW460</f>
        <v/>
      </c>
      <c r="F464" s="29">
        <f>Responses!AX460</f>
        <v/>
      </c>
      <c r="G464" s="29">
        <f>IF(Responses!AS460="","",IF(AND(ISNUMBER(Responses!AX460),ISNUMBER(IFERROR(VALUE(INDEX(Spaces!$B$5:$B$16,MATCH(Responses!AS460,Spaces!$A$5:$A$16,0))&amp;""),""))),IF(Responses!AX460&gt;IFERROR(VALUE(INDEX(Spaces!$B$5:$B$16,MATCH(Responses!AS460,Spaces!$A$5:$A$16,0))&amp;""),""),"Over by "&amp;(Responses!AX460-IFERROR(VALUE(INDEX(Spaces!$B$5:$B$16,MATCH(Responses!AS460,Spaces!$A$5:$A$16,0))&amp;""),"")),"OK"),""))</f>
        <v/>
      </c>
      <c r="H464" s="28">
        <f>Responses!BF460</f>
        <v/>
      </c>
      <c r="I464" s="28">
        <f>IF(Responses!AS460="","",Responses!AO460&amp;"")</f>
        <v/>
      </c>
      <c r="J464" s="28">
        <f>IF(Responses!AS460="","",Responses!AZ460&amp;"")</f>
        <v/>
      </c>
      <c r="K464" s="29">
        <f>Responses!AY460</f>
        <v/>
      </c>
      <c r="L464" s="28">
        <f>IF(Responses!AS460="","",IF(Responses!AY460="Declined","",IF(Responses!BA460=0,"Check date and times",IF(Responses!BB460&gt;0,Responses!BC460,"No clash"))))</f>
        <v/>
      </c>
    </row>
    <row r="465">
      <c r="A465" s="27">
        <f>IF(Responses!AS461="","",IF(Responses!AT461&gt;0,Responses!AT461,"Check date"))</f>
        <v/>
      </c>
      <c r="B465" s="28">
        <f>Responses!AS461</f>
        <v/>
      </c>
      <c r="C465" s="29">
        <f>IF(Responses!AS461="","",IF(Responses!AU461&gt;=0,IF(Responses!AU461="","",RIGHT("0"&amp;INT(Responses!AU461/60),2)&amp;":"&amp;RIGHT("0"&amp;MOD(Responses!AU461,60),2)),"Check"))</f>
        <v/>
      </c>
      <c r="D465" s="29">
        <f>IF(Responses!AS461="","",IF(Responses!AV461&gt;=0,IF(Responses!AV461="","",RIGHT("0"&amp;INT(Responses!AV461/60),2)&amp;":"&amp;RIGHT("0"&amp;MOD(Responses!AV461,60),2)),"Check"))</f>
        <v/>
      </c>
      <c r="E465" s="28">
        <f>Responses!AW461</f>
        <v/>
      </c>
      <c r="F465" s="29">
        <f>Responses!AX461</f>
        <v/>
      </c>
      <c r="G465" s="29">
        <f>IF(Responses!AS461="","",IF(AND(ISNUMBER(Responses!AX461),ISNUMBER(IFERROR(VALUE(INDEX(Spaces!$B$5:$B$16,MATCH(Responses!AS461,Spaces!$A$5:$A$16,0))&amp;""),""))),IF(Responses!AX461&gt;IFERROR(VALUE(INDEX(Spaces!$B$5:$B$16,MATCH(Responses!AS461,Spaces!$A$5:$A$16,0))&amp;""),""),"Over by "&amp;(Responses!AX461-IFERROR(VALUE(INDEX(Spaces!$B$5:$B$16,MATCH(Responses!AS461,Spaces!$A$5:$A$16,0))&amp;""),"")),"OK"),""))</f>
        <v/>
      </c>
      <c r="H465" s="28">
        <f>Responses!BF461</f>
        <v/>
      </c>
      <c r="I465" s="28">
        <f>IF(Responses!AS461="","",Responses!AO461&amp;"")</f>
        <v/>
      </c>
      <c r="J465" s="28">
        <f>IF(Responses!AS461="","",Responses!AZ461&amp;"")</f>
        <v/>
      </c>
      <c r="K465" s="29">
        <f>Responses!AY461</f>
        <v/>
      </c>
      <c r="L465" s="28">
        <f>IF(Responses!AS461="","",IF(Responses!AY461="Declined","",IF(Responses!BA461=0,"Check date and times",IF(Responses!BB461&gt;0,Responses!BC461,"No clash"))))</f>
        <v/>
      </c>
    </row>
    <row r="466">
      <c r="A466" s="27">
        <f>IF(Responses!AS462="","",IF(Responses!AT462&gt;0,Responses!AT462,"Check date"))</f>
        <v/>
      </c>
      <c r="B466" s="28">
        <f>Responses!AS462</f>
        <v/>
      </c>
      <c r="C466" s="29">
        <f>IF(Responses!AS462="","",IF(Responses!AU462&gt;=0,IF(Responses!AU462="","",RIGHT("0"&amp;INT(Responses!AU462/60),2)&amp;":"&amp;RIGHT("0"&amp;MOD(Responses!AU462,60),2)),"Check"))</f>
        <v/>
      </c>
      <c r="D466" s="29">
        <f>IF(Responses!AS462="","",IF(Responses!AV462&gt;=0,IF(Responses!AV462="","",RIGHT("0"&amp;INT(Responses!AV462/60),2)&amp;":"&amp;RIGHT("0"&amp;MOD(Responses!AV462,60),2)),"Check"))</f>
        <v/>
      </c>
      <c r="E466" s="28">
        <f>Responses!AW462</f>
        <v/>
      </c>
      <c r="F466" s="29">
        <f>Responses!AX462</f>
        <v/>
      </c>
      <c r="G466" s="29">
        <f>IF(Responses!AS462="","",IF(AND(ISNUMBER(Responses!AX462),ISNUMBER(IFERROR(VALUE(INDEX(Spaces!$B$5:$B$16,MATCH(Responses!AS462,Spaces!$A$5:$A$16,0))&amp;""),""))),IF(Responses!AX462&gt;IFERROR(VALUE(INDEX(Spaces!$B$5:$B$16,MATCH(Responses!AS462,Spaces!$A$5:$A$16,0))&amp;""),""),"Over by "&amp;(Responses!AX462-IFERROR(VALUE(INDEX(Spaces!$B$5:$B$16,MATCH(Responses!AS462,Spaces!$A$5:$A$16,0))&amp;""),"")),"OK"),""))</f>
        <v/>
      </c>
      <c r="H466" s="28">
        <f>Responses!BF462</f>
        <v/>
      </c>
      <c r="I466" s="28">
        <f>IF(Responses!AS462="","",Responses!AO462&amp;"")</f>
        <v/>
      </c>
      <c r="J466" s="28">
        <f>IF(Responses!AS462="","",Responses!AZ462&amp;"")</f>
        <v/>
      </c>
      <c r="K466" s="29">
        <f>Responses!AY462</f>
        <v/>
      </c>
      <c r="L466" s="28">
        <f>IF(Responses!AS462="","",IF(Responses!AY462="Declined","",IF(Responses!BA462=0,"Check date and times",IF(Responses!BB462&gt;0,Responses!BC462,"No clash"))))</f>
        <v/>
      </c>
    </row>
    <row r="467">
      <c r="A467" s="27">
        <f>IF(Responses!AS463="","",IF(Responses!AT463&gt;0,Responses!AT463,"Check date"))</f>
        <v/>
      </c>
      <c r="B467" s="28">
        <f>Responses!AS463</f>
        <v/>
      </c>
      <c r="C467" s="29">
        <f>IF(Responses!AS463="","",IF(Responses!AU463&gt;=0,IF(Responses!AU463="","",RIGHT("0"&amp;INT(Responses!AU463/60),2)&amp;":"&amp;RIGHT("0"&amp;MOD(Responses!AU463,60),2)),"Check"))</f>
        <v/>
      </c>
      <c r="D467" s="29">
        <f>IF(Responses!AS463="","",IF(Responses!AV463&gt;=0,IF(Responses!AV463="","",RIGHT("0"&amp;INT(Responses!AV463/60),2)&amp;":"&amp;RIGHT("0"&amp;MOD(Responses!AV463,60),2)),"Check"))</f>
        <v/>
      </c>
      <c r="E467" s="28">
        <f>Responses!AW463</f>
        <v/>
      </c>
      <c r="F467" s="29">
        <f>Responses!AX463</f>
        <v/>
      </c>
      <c r="G467" s="29">
        <f>IF(Responses!AS463="","",IF(AND(ISNUMBER(Responses!AX463),ISNUMBER(IFERROR(VALUE(INDEX(Spaces!$B$5:$B$16,MATCH(Responses!AS463,Spaces!$A$5:$A$16,0))&amp;""),""))),IF(Responses!AX463&gt;IFERROR(VALUE(INDEX(Spaces!$B$5:$B$16,MATCH(Responses!AS463,Spaces!$A$5:$A$16,0))&amp;""),""),"Over by "&amp;(Responses!AX463-IFERROR(VALUE(INDEX(Spaces!$B$5:$B$16,MATCH(Responses!AS463,Spaces!$A$5:$A$16,0))&amp;""),"")),"OK"),""))</f>
        <v/>
      </c>
      <c r="H467" s="28">
        <f>Responses!BF463</f>
        <v/>
      </c>
      <c r="I467" s="28">
        <f>IF(Responses!AS463="","",Responses!AO463&amp;"")</f>
        <v/>
      </c>
      <c r="J467" s="28">
        <f>IF(Responses!AS463="","",Responses!AZ463&amp;"")</f>
        <v/>
      </c>
      <c r="K467" s="29">
        <f>Responses!AY463</f>
        <v/>
      </c>
      <c r="L467" s="28">
        <f>IF(Responses!AS463="","",IF(Responses!AY463="Declined","",IF(Responses!BA463=0,"Check date and times",IF(Responses!BB463&gt;0,Responses!BC463,"No clash"))))</f>
        <v/>
      </c>
    </row>
    <row r="468">
      <c r="A468" s="27">
        <f>IF(Responses!AS464="","",IF(Responses!AT464&gt;0,Responses!AT464,"Check date"))</f>
        <v/>
      </c>
      <c r="B468" s="28">
        <f>Responses!AS464</f>
        <v/>
      </c>
      <c r="C468" s="29">
        <f>IF(Responses!AS464="","",IF(Responses!AU464&gt;=0,IF(Responses!AU464="","",RIGHT("0"&amp;INT(Responses!AU464/60),2)&amp;":"&amp;RIGHT("0"&amp;MOD(Responses!AU464,60),2)),"Check"))</f>
        <v/>
      </c>
      <c r="D468" s="29">
        <f>IF(Responses!AS464="","",IF(Responses!AV464&gt;=0,IF(Responses!AV464="","",RIGHT("0"&amp;INT(Responses!AV464/60),2)&amp;":"&amp;RIGHT("0"&amp;MOD(Responses!AV464,60),2)),"Check"))</f>
        <v/>
      </c>
      <c r="E468" s="28">
        <f>Responses!AW464</f>
        <v/>
      </c>
      <c r="F468" s="29">
        <f>Responses!AX464</f>
        <v/>
      </c>
      <c r="G468" s="29">
        <f>IF(Responses!AS464="","",IF(AND(ISNUMBER(Responses!AX464),ISNUMBER(IFERROR(VALUE(INDEX(Spaces!$B$5:$B$16,MATCH(Responses!AS464,Spaces!$A$5:$A$16,0))&amp;""),""))),IF(Responses!AX464&gt;IFERROR(VALUE(INDEX(Spaces!$B$5:$B$16,MATCH(Responses!AS464,Spaces!$A$5:$A$16,0))&amp;""),""),"Over by "&amp;(Responses!AX464-IFERROR(VALUE(INDEX(Spaces!$B$5:$B$16,MATCH(Responses!AS464,Spaces!$A$5:$A$16,0))&amp;""),"")),"OK"),""))</f>
        <v/>
      </c>
      <c r="H468" s="28">
        <f>Responses!BF464</f>
        <v/>
      </c>
      <c r="I468" s="28">
        <f>IF(Responses!AS464="","",Responses!AO464&amp;"")</f>
        <v/>
      </c>
      <c r="J468" s="28">
        <f>IF(Responses!AS464="","",Responses!AZ464&amp;"")</f>
        <v/>
      </c>
      <c r="K468" s="29">
        <f>Responses!AY464</f>
        <v/>
      </c>
      <c r="L468" s="28">
        <f>IF(Responses!AS464="","",IF(Responses!AY464="Declined","",IF(Responses!BA464=0,"Check date and times",IF(Responses!BB464&gt;0,Responses!BC464,"No clash"))))</f>
        <v/>
      </c>
    </row>
    <row r="469">
      <c r="A469" s="27">
        <f>IF(Responses!AS465="","",IF(Responses!AT465&gt;0,Responses!AT465,"Check date"))</f>
        <v/>
      </c>
      <c r="B469" s="28">
        <f>Responses!AS465</f>
        <v/>
      </c>
      <c r="C469" s="29">
        <f>IF(Responses!AS465="","",IF(Responses!AU465&gt;=0,IF(Responses!AU465="","",RIGHT("0"&amp;INT(Responses!AU465/60),2)&amp;":"&amp;RIGHT("0"&amp;MOD(Responses!AU465,60),2)),"Check"))</f>
        <v/>
      </c>
      <c r="D469" s="29">
        <f>IF(Responses!AS465="","",IF(Responses!AV465&gt;=0,IF(Responses!AV465="","",RIGHT("0"&amp;INT(Responses!AV465/60),2)&amp;":"&amp;RIGHT("0"&amp;MOD(Responses!AV465,60),2)),"Check"))</f>
        <v/>
      </c>
      <c r="E469" s="28">
        <f>Responses!AW465</f>
        <v/>
      </c>
      <c r="F469" s="29">
        <f>Responses!AX465</f>
        <v/>
      </c>
      <c r="G469" s="29">
        <f>IF(Responses!AS465="","",IF(AND(ISNUMBER(Responses!AX465),ISNUMBER(IFERROR(VALUE(INDEX(Spaces!$B$5:$B$16,MATCH(Responses!AS465,Spaces!$A$5:$A$16,0))&amp;""),""))),IF(Responses!AX465&gt;IFERROR(VALUE(INDEX(Spaces!$B$5:$B$16,MATCH(Responses!AS465,Spaces!$A$5:$A$16,0))&amp;""),""),"Over by "&amp;(Responses!AX465-IFERROR(VALUE(INDEX(Spaces!$B$5:$B$16,MATCH(Responses!AS465,Spaces!$A$5:$A$16,0))&amp;""),"")),"OK"),""))</f>
        <v/>
      </c>
      <c r="H469" s="28">
        <f>Responses!BF465</f>
        <v/>
      </c>
      <c r="I469" s="28">
        <f>IF(Responses!AS465="","",Responses!AO465&amp;"")</f>
        <v/>
      </c>
      <c r="J469" s="28">
        <f>IF(Responses!AS465="","",Responses!AZ465&amp;"")</f>
        <v/>
      </c>
      <c r="K469" s="29">
        <f>Responses!AY465</f>
        <v/>
      </c>
      <c r="L469" s="28">
        <f>IF(Responses!AS465="","",IF(Responses!AY465="Declined","",IF(Responses!BA465=0,"Check date and times",IF(Responses!BB465&gt;0,Responses!BC465,"No clash"))))</f>
        <v/>
      </c>
    </row>
    <row r="470">
      <c r="A470" s="27">
        <f>IF(Responses!AS466="","",IF(Responses!AT466&gt;0,Responses!AT466,"Check date"))</f>
        <v/>
      </c>
      <c r="B470" s="28">
        <f>Responses!AS466</f>
        <v/>
      </c>
      <c r="C470" s="29">
        <f>IF(Responses!AS466="","",IF(Responses!AU466&gt;=0,IF(Responses!AU466="","",RIGHT("0"&amp;INT(Responses!AU466/60),2)&amp;":"&amp;RIGHT("0"&amp;MOD(Responses!AU466,60),2)),"Check"))</f>
        <v/>
      </c>
      <c r="D470" s="29">
        <f>IF(Responses!AS466="","",IF(Responses!AV466&gt;=0,IF(Responses!AV466="","",RIGHT("0"&amp;INT(Responses!AV466/60),2)&amp;":"&amp;RIGHT("0"&amp;MOD(Responses!AV466,60),2)),"Check"))</f>
        <v/>
      </c>
      <c r="E470" s="28">
        <f>Responses!AW466</f>
        <v/>
      </c>
      <c r="F470" s="29">
        <f>Responses!AX466</f>
        <v/>
      </c>
      <c r="G470" s="29">
        <f>IF(Responses!AS466="","",IF(AND(ISNUMBER(Responses!AX466),ISNUMBER(IFERROR(VALUE(INDEX(Spaces!$B$5:$B$16,MATCH(Responses!AS466,Spaces!$A$5:$A$16,0))&amp;""),""))),IF(Responses!AX466&gt;IFERROR(VALUE(INDEX(Spaces!$B$5:$B$16,MATCH(Responses!AS466,Spaces!$A$5:$A$16,0))&amp;""),""),"Over by "&amp;(Responses!AX466-IFERROR(VALUE(INDEX(Spaces!$B$5:$B$16,MATCH(Responses!AS466,Spaces!$A$5:$A$16,0))&amp;""),"")),"OK"),""))</f>
        <v/>
      </c>
      <c r="H470" s="28">
        <f>Responses!BF466</f>
        <v/>
      </c>
      <c r="I470" s="28">
        <f>IF(Responses!AS466="","",Responses!AO466&amp;"")</f>
        <v/>
      </c>
      <c r="J470" s="28">
        <f>IF(Responses!AS466="","",Responses!AZ466&amp;"")</f>
        <v/>
      </c>
      <c r="K470" s="29">
        <f>Responses!AY466</f>
        <v/>
      </c>
      <c r="L470" s="28">
        <f>IF(Responses!AS466="","",IF(Responses!AY466="Declined","",IF(Responses!BA466=0,"Check date and times",IF(Responses!BB466&gt;0,Responses!BC466,"No clash"))))</f>
        <v/>
      </c>
    </row>
    <row r="471">
      <c r="A471" s="27">
        <f>IF(Responses!AS467="","",IF(Responses!AT467&gt;0,Responses!AT467,"Check date"))</f>
        <v/>
      </c>
      <c r="B471" s="28">
        <f>Responses!AS467</f>
        <v/>
      </c>
      <c r="C471" s="29">
        <f>IF(Responses!AS467="","",IF(Responses!AU467&gt;=0,IF(Responses!AU467="","",RIGHT("0"&amp;INT(Responses!AU467/60),2)&amp;":"&amp;RIGHT("0"&amp;MOD(Responses!AU467,60),2)),"Check"))</f>
        <v/>
      </c>
      <c r="D471" s="29">
        <f>IF(Responses!AS467="","",IF(Responses!AV467&gt;=0,IF(Responses!AV467="","",RIGHT("0"&amp;INT(Responses!AV467/60),2)&amp;":"&amp;RIGHT("0"&amp;MOD(Responses!AV467,60),2)),"Check"))</f>
        <v/>
      </c>
      <c r="E471" s="28">
        <f>Responses!AW467</f>
        <v/>
      </c>
      <c r="F471" s="29">
        <f>Responses!AX467</f>
        <v/>
      </c>
      <c r="G471" s="29">
        <f>IF(Responses!AS467="","",IF(AND(ISNUMBER(Responses!AX467),ISNUMBER(IFERROR(VALUE(INDEX(Spaces!$B$5:$B$16,MATCH(Responses!AS467,Spaces!$A$5:$A$16,0))&amp;""),""))),IF(Responses!AX467&gt;IFERROR(VALUE(INDEX(Spaces!$B$5:$B$16,MATCH(Responses!AS467,Spaces!$A$5:$A$16,0))&amp;""),""),"Over by "&amp;(Responses!AX467-IFERROR(VALUE(INDEX(Spaces!$B$5:$B$16,MATCH(Responses!AS467,Spaces!$A$5:$A$16,0))&amp;""),"")),"OK"),""))</f>
        <v/>
      </c>
      <c r="H471" s="28">
        <f>Responses!BF467</f>
        <v/>
      </c>
      <c r="I471" s="28">
        <f>IF(Responses!AS467="","",Responses!AO467&amp;"")</f>
        <v/>
      </c>
      <c r="J471" s="28">
        <f>IF(Responses!AS467="","",Responses!AZ467&amp;"")</f>
        <v/>
      </c>
      <c r="K471" s="29">
        <f>Responses!AY467</f>
        <v/>
      </c>
      <c r="L471" s="28">
        <f>IF(Responses!AS467="","",IF(Responses!AY467="Declined","",IF(Responses!BA467=0,"Check date and times",IF(Responses!BB467&gt;0,Responses!BC467,"No clash"))))</f>
        <v/>
      </c>
    </row>
    <row r="472">
      <c r="A472" s="27">
        <f>IF(Responses!AS468="","",IF(Responses!AT468&gt;0,Responses!AT468,"Check date"))</f>
        <v/>
      </c>
      <c r="B472" s="28">
        <f>Responses!AS468</f>
        <v/>
      </c>
      <c r="C472" s="29">
        <f>IF(Responses!AS468="","",IF(Responses!AU468&gt;=0,IF(Responses!AU468="","",RIGHT("0"&amp;INT(Responses!AU468/60),2)&amp;":"&amp;RIGHT("0"&amp;MOD(Responses!AU468,60),2)),"Check"))</f>
        <v/>
      </c>
      <c r="D472" s="29">
        <f>IF(Responses!AS468="","",IF(Responses!AV468&gt;=0,IF(Responses!AV468="","",RIGHT("0"&amp;INT(Responses!AV468/60),2)&amp;":"&amp;RIGHT("0"&amp;MOD(Responses!AV468,60),2)),"Check"))</f>
        <v/>
      </c>
      <c r="E472" s="28">
        <f>Responses!AW468</f>
        <v/>
      </c>
      <c r="F472" s="29">
        <f>Responses!AX468</f>
        <v/>
      </c>
      <c r="G472" s="29">
        <f>IF(Responses!AS468="","",IF(AND(ISNUMBER(Responses!AX468),ISNUMBER(IFERROR(VALUE(INDEX(Spaces!$B$5:$B$16,MATCH(Responses!AS468,Spaces!$A$5:$A$16,0))&amp;""),""))),IF(Responses!AX468&gt;IFERROR(VALUE(INDEX(Spaces!$B$5:$B$16,MATCH(Responses!AS468,Spaces!$A$5:$A$16,0))&amp;""),""),"Over by "&amp;(Responses!AX468-IFERROR(VALUE(INDEX(Spaces!$B$5:$B$16,MATCH(Responses!AS468,Spaces!$A$5:$A$16,0))&amp;""),"")),"OK"),""))</f>
        <v/>
      </c>
      <c r="H472" s="28">
        <f>Responses!BF468</f>
        <v/>
      </c>
      <c r="I472" s="28">
        <f>IF(Responses!AS468="","",Responses!AO468&amp;"")</f>
        <v/>
      </c>
      <c r="J472" s="28">
        <f>IF(Responses!AS468="","",Responses!AZ468&amp;"")</f>
        <v/>
      </c>
      <c r="K472" s="29">
        <f>Responses!AY468</f>
        <v/>
      </c>
      <c r="L472" s="28">
        <f>IF(Responses!AS468="","",IF(Responses!AY468="Declined","",IF(Responses!BA468=0,"Check date and times",IF(Responses!BB468&gt;0,Responses!BC468,"No clash"))))</f>
        <v/>
      </c>
    </row>
    <row r="473">
      <c r="A473" s="27">
        <f>IF(Responses!AS469="","",IF(Responses!AT469&gt;0,Responses!AT469,"Check date"))</f>
        <v/>
      </c>
      <c r="B473" s="28">
        <f>Responses!AS469</f>
        <v/>
      </c>
      <c r="C473" s="29">
        <f>IF(Responses!AS469="","",IF(Responses!AU469&gt;=0,IF(Responses!AU469="","",RIGHT("0"&amp;INT(Responses!AU469/60),2)&amp;":"&amp;RIGHT("0"&amp;MOD(Responses!AU469,60),2)),"Check"))</f>
        <v/>
      </c>
      <c r="D473" s="29">
        <f>IF(Responses!AS469="","",IF(Responses!AV469&gt;=0,IF(Responses!AV469="","",RIGHT("0"&amp;INT(Responses!AV469/60),2)&amp;":"&amp;RIGHT("0"&amp;MOD(Responses!AV469,60),2)),"Check"))</f>
        <v/>
      </c>
      <c r="E473" s="28">
        <f>Responses!AW469</f>
        <v/>
      </c>
      <c r="F473" s="29">
        <f>Responses!AX469</f>
        <v/>
      </c>
      <c r="G473" s="29">
        <f>IF(Responses!AS469="","",IF(AND(ISNUMBER(Responses!AX469),ISNUMBER(IFERROR(VALUE(INDEX(Spaces!$B$5:$B$16,MATCH(Responses!AS469,Spaces!$A$5:$A$16,0))&amp;""),""))),IF(Responses!AX469&gt;IFERROR(VALUE(INDEX(Spaces!$B$5:$B$16,MATCH(Responses!AS469,Spaces!$A$5:$A$16,0))&amp;""),""),"Over by "&amp;(Responses!AX469-IFERROR(VALUE(INDEX(Spaces!$B$5:$B$16,MATCH(Responses!AS469,Spaces!$A$5:$A$16,0))&amp;""),"")),"OK"),""))</f>
        <v/>
      </c>
      <c r="H473" s="28">
        <f>Responses!BF469</f>
        <v/>
      </c>
      <c r="I473" s="28">
        <f>IF(Responses!AS469="","",Responses!AO469&amp;"")</f>
        <v/>
      </c>
      <c r="J473" s="28">
        <f>IF(Responses!AS469="","",Responses!AZ469&amp;"")</f>
        <v/>
      </c>
      <c r="K473" s="29">
        <f>Responses!AY469</f>
        <v/>
      </c>
      <c r="L473" s="28">
        <f>IF(Responses!AS469="","",IF(Responses!AY469="Declined","",IF(Responses!BA469=0,"Check date and times",IF(Responses!BB469&gt;0,Responses!BC469,"No clash"))))</f>
        <v/>
      </c>
    </row>
    <row r="474">
      <c r="A474" s="27">
        <f>IF(Responses!AS470="","",IF(Responses!AT470&gt;0,Responses!AT470,"Check date"))</f>
        <v/>
      </c>
      <c r="B474" s="28">
        <f>Responses!AS470</f>
        <v/>
      </c>
      <c r="C474" s="29">
        <f>IF(Responses!AS470="","",IF(Responses!AU470&gt;=0,IF(Responses!AU470="","",RIGHT("0"&amp;INT(Responses!AU470/60),2)&amp;":"&amp;RIGHT("0"&amp;MOD(Responses!AU470,60),2)),"Check"))</f>
        <v/>
      </c>
      <c r="D474" s="29">
        <f>IF(Responses!AS470="","",IF(Responses!AV470&gt;=0,IF(Responses!AV470="","",RIGHT("0"&amp;INT(Responses!AV470/60),2)&amp;":"&amp;RIGHT("0"&amp;MOD(Responses!AV470,60),2)),"Check"))</f>
        <v/>
      </c>
      <c r="E474" s="28">
        <f>Responses!AW470</f>
        <v/>
      </c>
      <c r="F474" s="29">
        <f>Responses!AX470</f>
        <v/>
      </c>
      <c r="G474" s="29">
        <f>IF(Responses!AS470="","",IF(AND(ISNUMBER(Responses!AX470),ISNUMBER(IFERROR(VALUE(INDEX(Spaces!$B$5:$B$16,MATCH(Responses!AS470,Spaces!$A$5:$A$16,0))&amp;""),""))),IF(Responses!AX470&gt;IFERROR(VALUE(INDEX(Spaces!$B$5:$B$16,MATCH(Responses!AS470,Spaces!$A$5:$A$16,0))&amp;""),""),"Over by "&amp;(Responses!AX470-IFERROR(VALUE(INDEX(Spaces!$B$5:$B$16,MATCH(Responses!AS470,Spaces!$A$5:$A$16,0))&amp;""),"")),"OK"),""))</f>
        <v/>
      </c>
      <c r="H474" s="28">
        <f>Responses!BF470</f>
        <v/>
      </c>
      <c r="I474" s="28">
        <f>IF(Responses!AS470="","",Responses!AO470&amp;"")</f>
        <v/>
      </c>
      <c r="J474" s="28">
        <f>IF(Responses!AS470="","",Responses!AZ470&amp;"")</f>
        <v/>
      </c>
      <c r="K474" s="29">
        <f>Responses!AY470</f>
        <v/>
      </c>
      <c r="L474" s="28">
        <f>IF(Responses!AS470="","",IF(Responses!AY470="Declined","",IF(Responses!BA470=0,"Check date and times",IF(Responses!BB470&gt;0,Responses!BC470,"No clash"))))</f>
        <v/>
      </c>
    </row>
    <row r="475">
      <c r="A475" s="27">
        <f>IF(Responses!AS471="","",IF(Responses!AT471&gt;0,Responses!AT471,"Check date"))</f>
        <v/>
      </c>
      <c r="B475" s="28">
        <f>Responses!AS471</f>
        <v/>
      </c>
      <c r="C475" s="29">
        <f>IF(Responses!AS471="","",IF(Responses!AU471&gt;=0,IF(Responses!AU471="","",RIGHT("0"&amp;INT(Responses!AU471/60),2)&amp;":"&amp;RIGHT("0"&amp;MOD(Responses!AU471,60),2)),"Check"))</f>
        <v/>
      </c>
      <c r="D475" s="29">
        <f>IF(Responses!AS471="","",IF(Responses!AV471&gt;=0,IF(Responses!AV471="","",RIGHT("0"&amp;INT(Responses!AV471/60),2)&amp;":"&amp;RIGHT("0"&amp;MOD(Responses!AV471,60),2)),"Check"))</f>
        <v/>
      </c>
      <c r="E475" s="28">
        <f>Responses!AW471</f>
        <v/>
      </c>
      <c r="F475" s="29">
        <f>Responses!AX471</f>
        <v/>
      </c>
      <c r="G475" s="29">
        <f>IF(Responses!AS471="","",IF(AND(ISNUMBER(Responses!AX471),ISNUMBER(IFERROR(VALUE(INDEX(Spaces!$B$5:$B$16,MATCH(Responses!AS471,Spaces!$A$5:$A$16,0))&amp;""),""))),IF(Responses!AX471&gt;IFERROR(VALUE(INDEX(Spaces!$B$5:$B$16,MATCH(Responses!AS471,Spaces!$A$5:$A$16,0))&amp;""),""),"Over by "&amp;(Responses!AX471-IFERROR(VALUE(INDEX(Spaces!$B$5:$B$16,MATCH(Responses!AS471,Spaces!$A$5:$A$16,0))&amp;""),"")),"OK"),""))</f>
        <v/>
      </c>
      <c r="H475" s="28">
        <f>Responses!BF471</f>
        <v/>
      </c>
      <c r="I475" s="28">
        <f>IF(Responses!AS471="","",Responses!AO471&amp;"")</f>
        <v/>
      </c>
      <c r="J475" s="28">
        <f>IF(Responses!AS471="","",Responses!AZ471&amp;"")</f>
        <v/>
      </c>
      <c r="K475" s="29">
        <f>Responses!AY471</f>
        <v/>
      </c>
      <c r="L475" s="28">
        <f>IF(Responses!AS471="","",IF(Responses!AY471="Declined","",IF(Responses!BA471=0,"Check date and times",IF(Responses!BB471&gt;0,Responses!BC471,"No clash"))))</f>
        <v/>
      </c>
    </row>
    <row r="476">
      <c r="A476" s="27">
        <f>IF(Responses!AS472="","",IF(Responses!AT472&gt;0,Responses!AT472,"Check date"))</f>
        <v/>
      </c>
      <c r="B476" s="28">
        <f>Responses!AS472</f>
        <v/>
      </c>
      <c r="C476" s="29">
        <f>IF(Responses!AS472="","",IF(Responses!AU472&gt;=0,IF(Responses!AU472="","",RIGHT("0"&amp;INT(Responses!AU472/60),2)&amp;":"&amp;RIGHT("0"&amp;MOD(Responses!AU472,60),2)),"Check"))</f>
        <v/>
      </c>
      <c r="D476" s="29">
        <f>IF(Responses!AS472="","",IF(Responses!AV472&gt;=0,IF(Responses!AV472="","",RIGHT("0"&amp;INT(Responses!AV472/60),2)&amp;":"&amp;RIGHT("0"&amp;MOD(Responses!AV472,60),2)),"Check"))</f>
        <v/>
      </c>
      <c r="E476" s="28">
        <f>Responses!AW472</f>
        <v/>
      </c>
      <c r="F476" s="29">
        <f>Responses!AX472</f>
        <v/>
      </c>
      <c r="G476" s="29">
        <f>IF(Responses!AS472="","",IF(AND(ISNUMBER(Responses!AX472),ISNUMBER(IFERROR(VALUE(INDEX(Spaces!$B$5:$B$16,MATCH(Responses!AS472,Spaces!$A$5:$A$16,0))&amp;""),""))),IF(Responses!AX472&gt;IFERROR(VALUE(INDEX(Spaces!$B$5:$B$16,MATCH(Responses!AS472,Spaces!$A$5:$A$16,0))&amp;""),""),"Over by "&amp;(Responses!AX472-IFERROR(VALUE(INDEX(Spaces!$B$5:$B$16,MATCH(Responses!AS472,Spaces!$A$5:$A$16,0))&amp;""),"")),"OK"),""))</f>
        <v/>
      </c>
      <c r="H476" s="28">
        <f>Responses!BF472</f>
        <v/>
      </c>
      <c r="I476" s="28">
        <f>IF(Responses!AS472="","",Responses!AO472&amp;"")</f>
        <v/>
      </c>
      <c r="J476" s="28">
        <f>IF(Responses!AS472="","",Responses!AZ472&amp;"")</f>
        <v/>
      </c>
      <c r="K476" s="29">
        <f>Responses!AY472</f>
        <v/>
      </c>
      <c r="L476" s="28">
        <f>IF(Responses!AS472="","",IF(Responses!AY472="Declined","",IF(Responses!BA472=0,"Check date and times",IF(Responses!BB472&gt;0,Responses!BC472,"No clash"))))</f>
        <v/>
      </c>
    </row>
    <row r="477">
      <c r="A477" s="27">
        <f>IF(Responses!AS473="","",IF(Responses!AT473&gt;0,Responses!AT473,"Check date"))</f>
        <v/>
      </c>
      <c r="B477" s="28">
        <f>Responses!AS473</f>
        <v/>
      </c>
      <c r="C477" s="29">
        <f>IF(Responses!AS473="","",IF(Responses!AU473&gt;=0,IF(Responses!AU473="","",RIGHT("0"&amp;INT(Responses!AU473/60),2)&amp;":"&amp;RIGHT("0"&amp;MOD(Responses!AU473,60),2)),"Check"))</f>
        <v/>
      </c>
      <c r="D477" s="29">
        <f>IF(Responses!AS473="","",IF(Responses!AV473&gt;=0,IF(Responses!AV473="","",RIGHT("0"&amp;INT(Responses!AV473/60),2)&amp;":"&amp;RIGHT("0"&amp;MOD(Responses!AV473,60),2)),"Check"))</f>
        <v/>
      </c>
      <c r="E477" s="28">
        <f>Responses!AW473</f>
        <v/>
      </c>
      <c r="F477" s="29">
        <f>Responses!AX473</f>
        <v/>
      </c>
      <c r="G477" s="29">
        <f>IF(Responses!AS473="","",IF(AND(ISNUMBER(Responses!AX473),ISNUMBER(IFERROR(VALUE(INDEX(Spaces!$B$5:$B$16,MATCH(Responses!AS473,Spaces!$A$5:$A$16,0))&amp;""),""))),IF(Responses!AX473&gt;IFERROR(VALUE(INDEX(Spaces!$B$5:$B$16,MATCH(Responses!AS473,Spaces!$A$5:$A$16,0))&amp;""),""),"Over by "&amp;(Responses!AX473-IFERROR(VALUE(INDEX(Spaces!$B$5:$B$16,MATCH(Responses!AS473,Spaces!$A$5:$A$16,0))&amp;""),"")),"OK"),""))</f>
        <v/>
      </c>
      <c r="H477" s="28">
        <f>Responses!BF473</f>
        <v/>
      </c>
      <c r="I477" s="28">
        <f>IF(Responses!AS473="","",Responses!AO473&amp;"")</f>
        <v/>
      </c>
      <c r="J477" s="28">
        <f>IF(Responses!AS473="","",Responses!AZ473&amp;"")</f>
        <v/>
      </c>
      <c r="K477" s="29">
        <f>Responses!AY473</f>
        <v/>
      </c>
      <c r="L477" s="28">
        <f>IF(Responses!AS473="","",IF(Responses!AY473="Declined","",IF(Responses!BA473=0,"Check date and times",IF(Responses!BB473&gt;0,Responses!BC473,"No clash"))))</f>
        <v/>
      </c>
    </row>
    <row r="478">
      <c r="A478" s="27">
        <f>IF(Responses!AS474="","",IF(Responses!AT474&gt;0,Responses!AT474,"Check date"))</f>
        <v/>
      </c>
      <c r="B478" s="28">
        <f>Responses!AS474</f>
        <v/>
      </c>
      <c r="C478" s="29">
        <f>IF(Responses!AS474="","",IF(Responses!AU474&gt;=0,IF(Responses!AU474="","",RIGHT("0"&amp;INT(Responses!AU474/60),2)&amp;":"&amp;RIGHT("0"&amp;MOD(Responses!AU474,60),2)),"Check"))</f>
        <v/>
      </c>
      <c r="D478" s="29">
        <f>IF(Responses!AS474="","",IF(Responses!AV474&gt;=0,IF(Responses!AV474="","",RIGHT("0"&amp;INT(Responses!AV474/60),2)&amp;":"&amp;RIGHT("0"&amp;MOD(Responses!AV474,60),2)),"Check"))</f>
        <v/>
      </c>
      <c r="E478" s="28">
        <f>Responses!AW474</f>
        <v/>
      </c>
      <c r="F478" s="29">
        <f>Responses!AX474</f>
        <v/>
      </c>
      <c r="G478" s="29">
        <f>IF(Responses!AS474="","",IF(AND(ISNUMBER(Responses!AX474),ISNUMBER(IFERROR(VALUE(INDEX(Spaces!$B$5:$B$16,MATCH(Responses!AS474,Spaces!$A$5:$A$16,0))&amp;""),""))),IF(Responses!AX474&gt;IFERROR(VALUE(INDEX(Spaces!$B$5:$B$16,MATCH(Responses!AS474,Spaces!$A$5:$A$16,0))&amp;""),""),"Over by "&amp;(Responses!AX474-IFERROR(VALUE(INDEX(Spaces!$B$5:$B$16,MATCH(Responses!AS474,Spaces!$A$5:$A$16,0))&amp;""),"")),"OK"),""))</f>
        <v/>
      </c>
      <c r="H478" s="28">
        <f>Responses!BF474</f>
        <v/>
      </c>
      <c r="I478" s="28">
        <f>IF(Responses!AS474="","",Responses!AO474&amp;"")</f>
        <v/>
      </c>
      <c r="J478" s="28">
        <f>IF(Responses!AS474="","",Responses!AZ474&amp;"")</f>
        <v/>
      </c>
      <c r="K478" s="29">
        <f>Responses!AY474</f>
        <v/>
      </c>
      <c r="L478" s="28">
        <f>IF(Responses!AS474="","",IF(Responses!AY474="Declined","",IF(Responses!BA474=0,"Check date and times",IF(Responses!BB474&gt;0,Responses!BC474,"No clash"))))</f>
        <v/>
      </c>
    </row>
    <row r="479">
      <c r="A479" s="27">
        <f>IF(Responses!AS475="","",IF(Responses!AT475&gt;0,Responses!AT475,"Check date"))</f>
        <v/>
      </c>
      <c r="B479" s="28">
        <f>Responses!AS475</f>
        <v/>
      </c>
      <c r="C479" s="29">
        <f>IF(Responses!AS475="","",IF(Responses!AU475&gt;=0,IF(Responses!AU475="","",RIGHT("0"&amp;INT(Responses!AU475/60),2)&amp;":"&amp;RIGHT("0"&amp;MOD(Responses!AU475,60),2)),"Check"))</f>
        <v/>
      </c>
      <c r="D479" s="29">
        <f>IF(Responses!AS475="","",IF(Responses!AV475&gt;=0,IF(Responses!AV475="","",RIGHT("0"&amp;INT(Responses!AV475/60),2)&amp;":"&amp;RIGHT("0"&amp;MOD(Responses!AV475,60),2)),"Check"))</f>
        <v/>
      </c>
      <c r="E479" s="28">
        <f>Responses!AW475</f>
        <v/>
      </c>
      <c r="F479" s="29">
        <f>Responses!AX475</f>
        <v/>
      </c>
      <c r="G479" s="29">
        <f>IF(Responses!AS475="","",IF(AND(ISNUMBER(Responses!AX475),ISNUMBER(IFERROR(VALUE(INDEX(Spaces!$B$5:$B$16,MATCH(Responses!AS475,Spaces!$A$5:$A$16,0))&amp;""),""))),IF(Responses!AX475&gt;IFERROR(VALUE(INDEX(Spaces!$B$5:$B$16,MATCH(Responses!AS475,Spaces!$A$5:$A$16,0))&amp;""),""),"Over by "&amp;(Responses!AX475-IFERROR(VALUE(INDEX(Spaces!$B$5:$B$16,MATCH(Responses!AS475,Spaces!$A$5:$A$16,0))&amp;""),"")),"OK"),""))</f>
        <v/>
      </c>
      <c r="H479" s="28">
        <f>Responses!BF475</f>
        <v/>
      </c>
      <c r="I479" s="28">
        <f>IF(Responses!AS475="","",Responses!AO475&amp;"")</f>
        <v/>
      </c>
      <c r="J479" s="28">
        <f>IF(Responses!AS475="","",Responses!AZ475&amp;"")</f>
        <v/>
      </c>
      <c r="K479" s="29">
        <f>Responses!AY475</f>
        <v/>
      </c>
      <c r="L479" s="28">
        <f>IF(Responses!AS475="","",IF(Responses!AY475="Declined","",IF(Responses!BA475=0,"Check date and times",IF(Responses!BB475&gt;0,Responses!BC475,"No clash"))))</f>
        <v/>
      </c>
    </row>
    <row r="480">
      <c r="A480" s="27">
        <f>IF(Responses!AS476="","",IF(Responses!AT476&gt;0,Responses!AT476,"Check date"))</f>
        <v/>
      </c>
      <c r="B480" s="28">
        <f>Responses!AS476</f>
        <v/>
      </c>
      <c r="C480" s="29">
        <f>IF(Responses!AS476="","",IF(Responses!AU476&gt;=0,IF(Responses!AU476="","",RIGHT("0"&amp;INT(Responses!AU476/60),2)&amp;":"&amp;RIGHT("0"&amp;MOD(Responses!AU476,60),2)),"Check"))</f>
        <v/>
      </c>
      <c r="D480" s="29">
        <f>IF(Responses!AS476="","",IF(Responses!AV476&gt;=0,IF(Responses!AV476="","",RIGHT("0"&amp;INT(Responses!AV476/60),2)&amp;":"&amp;RIGHT("0"&amp;MOD(Responses!AV476,60),2)),"Check"))</f>
        <v/>
      </c>
      <c r="E480" s="28">
        <f>Responses!AW476</f>
        <v/>
      </c>
      <c r="F480" s="29">
        <f>Responses!AX476</f>
        <v/>
      </c>
      <c r="G480" s="29">
        <f>IF(Responses!AS476="","",IF(AND(ISNUMBER(Responses!AX476),ISNUMBER(IFERROR(VALUE(INDEX(Spaces!$B$5:$B$16,MATCH(Responses!AS476,Spaces!$A$5:$A$16,0))&amp;""),""))),IF(Responses!AX476&gt;IFERROR(VALUE(INDEX(Spaces!$B$5:$B$16,MATCH(Responses!AS476,Spaces!$A$5:$A$16,0))&amp;""),""),"Over by "&amp;(Responses!AX476-IFERROR(VALUE(INDEX(Spaces!$B$5:$B$16,MATCH(Responses!AS476,Spaces!$A$5:$A$16,0))&amp;""),"")),"OK"),""))</f>
        <v/>
      </c>
      <c r="H480" s="28">
        <f>Responses!BF476</f>
        <v/>
      </c>
      <c r="I480" s="28">
        <f>IF(Responses!AS476="","",Responses!AO476&amp;"")</f>
        <v/>
      </c>
      <c r="J480" s="28">
        <f>IF(Responses!AS476="","",Responses!AZ476&amp;"")</f>
        <v/>
      </c>
      <c r="K480" s="29">
        <f>Responses!AY476</f>
        <v/>
      </c>
      <c r="L480" s="28">
        <f>IF(Responses!AS476="","",IF(Responses!AY476="Declined","",IF(Responses!BA476=0,"Check date and times",IF(Responses!BB476&gt;0,Responses!BC476,"No clash"))))</f>
        <v/>
      </c>
    </row>
    <row r="481">
      <c r="A481" s="27">
        <f>IF(Responses!AS477="","",IF(Responses!AT477&gt;0,Responses!AT477,"Check date"))</f>
        <v/>
      </c>
      <c r="B481" s="28">
        <f>Responses!AS477</f>
        <v/>
      </c>
      <c r="C481" s="29">
        <f>IF(Responses!AS477="","",IF(Responses!AU477&gt;=0,IF(Responses!AU477="","",RIGHT("0"&amp;INT(Responses!AU477/60),2)&amp;":"&amp;RIGHT("0"&amp;MOD(Responses!AU477,60),2)),"Check"))</f>
        <v/>
      </c>
      <c r="D481" s="29">
        <f>IF(Responses!AS477="","",IF(Responses!AV477&gt;=0,IF(Responses!AV477="","",RIGHT("0"&amp;INT(Responses!AV477/60),2)&amp;":"&amp;RIGHT("0"&amp;MOD(Responses!AV477,60),2)),"Check"))</f>
        <v/>
      </c>
      <c r="E481" s="28">
        <f>Responses!AW477</f>
        <v/>
      </c>
      <c r="F481" s="29">
        <f>Responses!AX477</f>
        <v/>
      </c>
      <c r="G481" s="29">
        <f>IF(Responses!AS477="","",IF(AND(ISNUMBER(Responses!AX477),ISNUMBER(IFERROR(VALUE(INDEX(Spaces!$B$5:$B$16,MATCH(Responses!AS477,Spaces!$A$5:$A$16,0))&amp;""),""))),IF(Responses!AX477&gt;IFERROR(VALUE(INDEX(Spaces!$B$5:$B$16,MATCH(Responses!AS477,Spaces!$A$5:$A$16,0))&amp;""),""),"Over by "&amp;(Responses!AX477-IFERROR(VALUE(INDEX(Spaces!$B$5:$B$16,MATCH(Responses!AS477,Spaces!$A$5:$A$16,0))&amp;""),"")),"OK"),""))</f>
        <v/>
      </c>
      <c r="H481" s="28">
        <f>Responses!BF477</f>
        <v/>
      </c>
      <c r="I481" s="28">
        <f>IF(Responses!AS477="","",Responses!AO477&amp;"")</f>
        <v/>
      </c>
      <c r="J481" s="28">
        <f>IF(Responses!AS477="","",Responses!AZ477&amp;"")</f>
        <v/>
      </c>
      <c r="K481" s="29">
        <f>Responses!AY477</f>
        <v/>
      </c>
      <c r="L481" s="28">
        <f>IF(Responses!AS477="","",IF(Responses!AY477="Declined","",IF(Responses!BA477=0,"Check date and times",IF(Responses!BB477&gt;0,Responses!BC477,"No clash"))))</f>
        <v/>
      </c>
    </row>
    <row r="482">
      <c r="A482" s="27">
        <f>IF(Responses!AS478="","",IF(Responses!AT478&gt;0,Responses!AT478,"Check date"))</f>
        <v/>
      </c>
      <c r="B482" s="28">
        <f>Responses!AS478</f>
        <v/>
      </c>
      <c r="C482" s="29">
        <f>IF(Responses!AS478="","",IF(Responses!AU478&gt;=0,IF(Responses!AU478="","",RIGHT("0"&amp;INT(Responses!AU478/60),2)&amp;":"&amp;RIGHT("0"&amp;MOD(Responses!AU478,60),2)),"Check"))</f>
        <v/>
      </c>
      <c r="D482" s="29">
        <f>IF(Responses!AS478="","",IF(Responses!AV478&gt;=0,IF(Responses!AV478="","",RIGHT("0"&amp;INT(Responses!AV478/60),2)&amp;":"&amp;RIGHT("0"&amp;MOD(Responses!AV478,60),2)),"Check"))</f>
        <v/>
      </c>
      <c r="E482" s="28">
        <f>Responses!AW478</f>
        <v/>
      </c>
      <c r="F482" s="29">
        <f>Responses!AX478</f>
        <v/>
      </c>
      <c r="G482" s="29">
        <f>IF(Responses!AS478="","",IF(AND(ISNUMBER(Responses!AX478),ISNUMBER(IFERROR(VALUE(INDEX(Spaces!$B$5:$B$16,MATCH(Responses!AS478,Spaces!$A$5:$A$16,0))&amp;""),""))),IF(Responses!AX478&gt;IFERROR(VALUE(INDEX(Spaces!$B$5:$B$16,MATCH(Responses!AS478,Spaces!$A$5:$A$16,0))&amp;""),""),"Over by "&amp;(Responses!AX478-IFERROR(VALUE(INDEX(Spaces!$B$5:$B$16,MATCH(Responses!AS478,Spaces!$A$5:$A$16,0))&amp;""),"")),"OK"),""))</f>
        <v/>
      </c>
      <c r="H482" s="28">
        <f>Responses!BF478</f>
        <v/>
      </c>
      <c r="I482" s="28">
        <f>IF(Responses!AS478="","",Responses!AO478&amp;"")</f>
        <v/>
      </c>
      <c r="J482" s="28">
        <f>IF(Responses!AS478="","",Responses!AZ478&amp;"")</f>
        <v/>
      </c>
      <c r="K482" s="29">
        <f>Responses!AY478</f>
        <v/>
      </c>
      <c r="L482" s="28">
        <f>IF(Responses!AS478="","",IF(Responses!AY478="Declined","",IF(Responses!BA478=0,"Check date and times",IF(Responses!BB478&gt;0,Responses!BC478,"No clash"))))</f>
        <v/>
      </c>
    </row>
    <row r="483">
      <c r="A483" s="27">
        <f>IF(Responses!AS479="","",IF(Responses!AT479&gt;0,Responses!AT479,"Check date"))</f>
        <v/>
      </c>
      <c r="B483" s="28">
        <f>Responses!AS479</f>
        <v/>
      </c>
      <c r="C483" s="29">
        <f>IF(Responses!AS479="","",IF(Responses!AU479&gt;=0,IF(Responses!AU479="","",RIGHT("0"&amp;INT(Responses!AU479/60),2)&amp;":"&amp;RIGHT("0"&amp;MOD(Responses!AU479,60),2)),"Check"))</f>
        <v/>
      </c>
      <c r="D483" s="29">
        <f>IF(Responses!AS479="","",IF(Responses!AV479&gt;=0,IF(Responses!AV479="","",RIGHT("0"&amp;INT(Responses!AV479/60),2)&amp;":"&amp;RIGHT("0"&amp;MOD(Responses!AV479,60),2)),"Check"))</f>
        <v/>
      </c>
      <c r="E483" s="28">
        <f>Responses!AW479</f>
        <v/>
      </c>
      <c r="F483" s="29">
        <f>Responses!AX479</f>
        <v/>
      </c>
      <c r="G483" s="29">
        <f>IF(Responses!AS479="","",IF(AND(ISNUMBER(Responses!AX479),ISNUMBER(IFERROR(VALUE(INDEX(Spaces!$B$5:$B$16,MATCH(Responses!AS479,Spaces!$A$5:$A$16,0))&amp;""),""))),IF(Responses!AX479&gt;IFERROR(VALUE(INDEX(Spaces!$B$5:$B$16,MATCH(Responses!AS479,Spaces!$A$5:$A$16,0))&amp;""),""),"Over by "&amp;(Responses!AX479-IFERROR(VALUE(INDEX(Spaces!$B$5:$B$16,MATCH(Responses!AS479,Spaces!$A$5:$A$16,0))&amp;""),"")),"OK"),""))</f>
        <v/>
      </c>
      <c r="H483" s="28">
        <f>Responses!BF479</f>
        <v/>
      </c>
      <c r="I483" s="28">
        <f>IF(Responses!AS479="","",Responses!AO479&amp;"")</f>
        <v/>
      </c>
      <c r="J483" s="28">
        <f>IF(Responses!AS479="","",Responses!AZ479&amp;"")</f>
        <v/>
      </c>
      <c r="K483" s="29">
        <f>Responses!AY479</f>
        <v/>
      </c>
      <c r="L483" s="28">
        <f>IF(Responses!AS479="","",IF(Responses!AY479="Declined","",IF(Responses!BA479=0,"Check date and times",IF(Responses!BB479&gt;0,Responses!BC479,"No clash"))))</f>
        <v/>
      </c>
    </row>
    <row r="484">
      <c r="A484" s="27">
        <f>IF(Responses!AS480="","",IF(Responses!AT480&gt;0,Responses!AT480,"Check date"))</f>
        <v/>
      </c>
      <c r="B484" s="28">
        <f>Responses!AS480</f>
        <v/>
      </c>
      <c r="C484" s="29">
        <f>IF(Responses!AS480="","",IF(Responses!AU480&gt;=0,IF(Responses!AU480="","",RIGHT("0"&amp;INT(Responses!AU480/60),2)&amp;":"&amp;RIGHT("0"&amp;MOD(Responses!AU480,60),2)),"Check"))</f>
        <v/>
      </c>
      <c r="D484" s="29">
        <f>IF(Responses!AS480="","",IF(Responses!AV480&gt;=0,IF(Responses!AV480="","",RIGHT("0"&amp;INT(Responses!AV480/60),2)&amp;":"&amp;RIGHT("0"&amp;MOD(Responses!AV480,60),2)),"Check"))</f>
        <v/>
      </c>
      <c r="E484" s="28">
        <f>Responses!AW480</f>
        <v/>
      </c>
      <c r="F484" s="29">
        <f>Responses!AX480</f>
        <v/>
      </c>
      <c r="G484" s="29">
        <f>IF(Responses!AS480="","",IF(AND(ISNUMBER(Responses!AX480),ISNUMBER(IFERROR(VALUE(INDEX(Spaces!$B$5:$B$16,MATCH(Responses!AS480,Spaces!$A$5:$A$16,0))&amp;""),""))),IF(Responses!AX480&gt;IFERROR(VALUE(INDEX(Spaces!$B$5:$B$16,MATCH(Responses!AS480,Spaces!$A$5:$A$16,0))&amp;""),""),"Over by "&amp;(Responses!AX480-IFERROR(VALUE(INDEX(Spaces!$B$5:$B$16,MATCH(Responses!AS480,Spaces!$A$5:$A$16,0))&amp;""),"")),"OK"),""))</f>
        <v/>
      </c>
      <c r="H484" s="28">
        <f>Responses!BF480</f>
        <v/>
      </c>
      <c r="I484" s="28">
        <f>IF(Responses!AS480="","",Responses!AO480&amp;"")</f>
        <v/>
      </c>
      <c r="J484" s="28">
        <f>IF(Responses!AS480="","",Responses!AZ480&amp;"")</f>
        <v/>
      </c>
      <c r="K484" s="29">
        <f>Responses!AY480</f>
        <v/>
      </c>
      <c r="L484" s="28">
        <f>IF(Responses!AS480="","",IF(Responses!AY480="Declined","",IF(Responses!BA480=0,"Check date and times",IF(Responses!BB480&gt;0,Responses!BC480,"No clash"))))</f>
        <v/>
      </c>
    </row>
    <row r="485">
      <c r="A485" s="27">
        <f>IF(Responses!AS481="","",IF(Responses!AT481&gt;0,Responses!AT481,"Check date"))</f>
        <v/>
      </c>
      <c r="B485" s="28">
        <f>Responses!AS481</f>
        <v/>
      </c>
      <c r="C485" s="29">
        <f>IF(Responses!AS481="","",IF(Responses!AU481&gt;=0,IF(Responses!AU481="","",RIGHT("0"&amp;INT(Responses!AU481/60),2)&amp;":"&amp;RIGHT("0"&amp;MOD(Responses!AU481,60),2)),"Check"))</f>
        <v/>
      </c>
      <c r="D485" s="29">
        <f>IF(Responses!AS481="","",IF(Responses!AV481&gt;=0,IF(Responses!AV481="","",RIGHT("0"&amp;INT(Responses!AV481/60),2)&amp;":"&amp;RIGHT("0"&amp;MOD(Responses!AV481,60),2)),"Check"))</f>
        <v/>
      </c>
      <c r="E485" s="28">
        <f>Responses!AW481</f>
        <v/>
      </c>
      <c r="F485" s="29">
        <f>Responses!AX481</f>
        <v/>
      </c>
      <c r="G485" s="29">
        <f>IF(Responses!AS481="","",IF(AND(ISNUMBER(Responses!AX481),ISNUMBER(IFERROR(VALUE(INDEX(Spaces!$B$5:$B$16,MATCH(Responses!AS481,Spaces!$A$5:$A$16,0))&amp;""),""))),IF(Responses!AX481&gt;IFERROR(VALUE(INDEX(Spaces!$B$5:$B$16,MATCH(Responses!AS481,Spaces!$A$5:$A$16,0))&amp;""),""),"Over by "&amp;(Responses!AX481-IFERROR(VALUE(INDEX(Spaces!$B$5:$B$16,MATCH(Responses!AS481,Spaces!$A$5:$A$16,0))&amp;""),"")),"OK"),""))</f>
        <v/>
      </c>
      <c r="H485" s="28">
        <f>Responses!BF481</f>
        <v/>
      </c>
      <c r="I485" s="28">
        <f>IF(Responses!AS481="","",Responses!AO481&amp;"")</f>
        <v/>
      </c>
      <c r="J485" s="28">
        <f>IF(Responses!AS481="","",Responses!AZ481&amp;"")</f>
        <v/>
      </c>
      <c r="K485" s="29">
        <f>Responses!AY481</f>
        <v/>
      </c>
      <c r="L485" s="28">
        <f>IF(Responses!AS481="","",IF(Responses!AY481="Declined","",IF(Responses!BA481=0,"Check date and times",IF(Responses!BB481&gt;0,Responses!BC481,"No clash"))))</f>
        <v/>
      </c>
    </row>
    <row r="486">
      <c r="A486" s="27">
        <f>IF(Responses!AS482="","",IF(Responses!AT482&gt;0,Responses!AT482,"Check date"))</f>
        <v/>
      </c>
      <c r="B486" s="28">
        <f>Responses!AS482</f>
        <v/>
      </c>
      <c r="C486" s="29">
        <f>IF(Responses!AS482="","",IF(Responses!AU482&gt;=0,IF(Responses!AU482="","",RIGHT("0"&amp;INT(Responses!AU482/60),2)&amp;":"&amp;RIGHT("0"&amp;MOD(Responses!AU482,60),2)),"Check"))</f>
        <v/>
      </c>
      <c r="D486" s="29">
        <f>IF(Responses!AS482="","",IF(Responses!AV482&gt;=0,IF(Responses!AV482="","",RIGHT("0"&amp;INT(Responses!AV482/60),2)&amp;":"&amp;RIGHT("0"&amp;MOD(Responses!AV482,60),2)),"Check"))</f>
        <v/>
      </c>
      <c r="E486" s="28">
        <f>Responses!AW482</f>
        <v/>
      </c>
      <c r="F486" s="29">
        <f>Responses!AX482</f>
        <v/>
      </c>
      <c r="G486" s="29">
        <f>IF(Responses!AS482="","",IF(AND(ISNUMBER(Responses!AX482),ISNUMBER(IFERROR(VALUE(INDEX(Spaces!$B$5:$B$16,MATCH(Responses!AS482,Spaces!$A$5:$A$16,0))&amp;""),""))),IF(Responses!AX482&gt;IFERROR(VALUE(INDEX(Spaces!$B$5:$B$16,MATCH(Responses!AS482,Spaces!$A$5:$A$16,0))&amp;""),""),"Over by "&amp;(Responses!AX482-IFERROR(VALUE(INDEX(Spaces!$B$5:$B$16,MATCH(Responses!AS482,Spaces!$A$5:$A$16,0))&amp;""),"")),"OK"),""))</f>
        <v/>
      </c>
      <c r="H486" s="28">
        <f>Responses!BF482</f>
        <v/>
      </c>
      <c r="I486" s="28">
        <f>IF(Responses!AS482="","",Responses!AO482&amp;"")</f>
        <v/>
      </c>
      <c r="J486" s="28">
        <f>IF(Responses!AS482="","",Responses!AZ482&amp;"")</f>
        <v/>
      </c>
      <c r="K486" s="29">
        <f>Responses!AY482</f>
        <v/>
      </c>
      <c r="L486" s="28">
        <f>IF(Responses!AS482="","",IF(Responses!AY482="Declined","",IF(Responses!BA482=0,"Check date and times",IF(Responses!BB482&gt;0,Responses!BC482,"No clash"))))</f>
        <v/>
      </c>
    </row>
    <row r="487">
      <c r="A487" s="27">
        <f>IF(Responses!AS483="","",IF(Responses!AT483&gt;0,Responses!AT483,"Check date"))</f>
        <v/>
      </c>
      <c r="B487" s="28">
        <f>Responses!AS483</f>
        <v/>
      </c>
      <c r="C487" s="29">
        <f>IF(Responses!AS483="","",IF(Responses!AU483&gt;=0,IF(Responses!AU483="","",RIGHT("0"&amp;INT(Responses!AU483/60),2)&amp;":"&amp;RIGHT("0"&amp;MOD(Responses!AU483,60),2)),"Check"))</f>
        <v/>
      </c>
      <c r="D487" s="29">
        <f>IF(Responses!AS483="","",IF(Responses!AV483&gt;=0,IF(Responses!AV483="","",RIGHT("0"&amp;INT(Responses!AV483/60),2)&amp;":"&amp;RIGHT("0"&amp;MOD(Responses!AV483,60),2)),"Check"))</f>
        <v/>
      </c>
      <c r="E487" s="28">
        <f>Responses!AW483</f>
        <v/>
      </c>
      <c r="F487" s="29">
        <f>Responses!AX483</f>
        <v/>
      </c>
      <c r="G487" s="29">
        <f>IF(Responses!AS483="","",IF(AND(ISNUMBER(Responses!AX483),ISNUMBER(IFERROR(VALUE(INDEX(Spaces!$B$5:$B$16,MATCH(Responses!AS483,Spaces!$A$5:$A$16,0))&amp;""),""))),IF(Responses!AX483&gt;IFERROR(VALUE(INDEX(Spaces!$B$5:$B$16,MATCH(Responses!AS483,Spaces!$A$5:$A$16,0))&amp;""),""),"Over by "&amp;(Responses!AX483-IFERROR(VALUE(INDEX(Spaces!$B$5:$B$16,MATCH(Responses!AS483,Spaces!$A$5:$A$16,0))&amp;""),"")),"OK"),""))</f>
        <v/>
      </c>
      <c r="H487" s="28">
        <f>Responses!BF483</f>
        <v/>
      </c>
      <c r="I487" s="28">
        <f>IF(Responses!AS483="","",Responses!AO483&amp;"")</f>
        <v/>
      </c>
      <c r="J487" s="28">
        <f>IF(Responses!AS483="","",Responses!AZ483&amp;"")</f>
        <v/>
      </c>
      <c r="K487" s="29">
        <f>Responses!AY483</f>
        <v/>
      </c>
      <c r="L487" s="28">
        <f>IF(Responses!AS483="","",IF(Responses!AY483="Declined","",IF(Responses!BA483=0,"Check date and times",IF(Responses!BB483&gt;0,Responses!BC483,"No clash"))))</f>
        <v/>
      </c>
    </row>
    <row r="488">
      <c r="A488" s="27">
        <f>IF(Responses!AS484="","",IF(Responses!AT484&gt;0,Responses!AT484,"Check date"))</f>
        <v/>
      </c>
      <c r="B488" s="28">
        <f>Responses!AS484</f>
        <v/>
      </c>
      <c r="C488" s="29">
        <f>IF(Responses!AS484="","",IF(Responses!AU484&gt;=0,IF(Responses!AU484="","",RIGHT("0"&amp;INT(Responses!AU484/60),2)&amp;":"&amp;RIGHT("0"&amp;MOD(Responses!AU484,60),2)),"Check"))</f>
        <v/>
      </c>
      <c r="D488" s="29">
        <f>IF(Responses!AS484="","",IF(Responses!AV484&gt;=0,IF(Responses!AV484="","",RIGHT("0"&amp;INT(Responses!AV484/60),2)&amp;":"&amp;RIGHT("0"&amp;MOD(Responses!AV484,60),2)),"Check"))</f>
        <v/>
      </c>
      <c r="E488" s="28">
        <f>Responses!AW484</f>
        <v/>
      </c>
      <c r="F488" s="29">
        <f>Responses!AX484</f>
        <v/>
      </c>
      <c r="G488" s="29">
        <f>IF(Responses!AS484="","",IF(AND(ISNUMBER(Responses!AX484),ISNUMBER(IFERROR(VALUE(INDEX(Spaces!$B$5:$B$16,MATCH(Responses!AS484,Spaces!$A$5:$A$16,0))&amp;""),""))),IF(Responses!AX484&gt;IFERROR(VALUE(INDEX(Spaces!$B$5:$B$16,MATCH(Responses!AS484,Spaces!$A$5:$A$16,0))&amp;""),""),"Over by "&amp;(Responses!AX484-IFERROR(VALUE(INDEX(Spaces!$B$5:$B$16,MATCH(Responses!AS484,Spaces!$A$5:$A$16,0))&amp;""),"")),"OK"),""))</f>
        <v/>
      </c>
      <c r="H488" s="28">
        <f>Responses!BF484</f>
        <v/>
      </c>
      <c r="I488" s="28">
        <f>IF(Responses!AS484="","",Responses!AO484&amp;"")</f>
        <v/>
      </c>
      <c r="J488" s="28">
        <f>IF(Responses!AS484="","",Responses!AZ484&amp;"")</f>
        <v/>
      </c>
      <c r="K488" s="29">
        <f>Responses!AY484</f>
        <v/>
      </c>
      <c r="L488" s="28">
        <f>IF(Responses!AS484="","",IF(Responses!AY484="Declined","",IF(Responses!BA484=0,"Check date and times",IF(Responses!BB484&gt;0,Responses!BC484,"No clash"))))</f>
        <v/>
      </c>
    </row>
    <row r="489">
      <c r="A489" s="27">
        <f>IF(Responses!AS485="","",IF(Responses!AT485&gt;0,Responses!AT485,"Check date"))</f>
        <v/>
      </c>
      <c r="B489" s="28">
        <f>Responses!AS485</f>
        <v/>
      </c>
      <c r="C489" s="29">
        <f>IF(Responses!AS485="","",IF(Responses!AU485&gt;=0,IF(Responses!AU485="","",RIGHT("0"&amp;INT(Responses!AU485/60),2)&amp;":"&amp;RIGHT("0"&amp;MOD(Responses!AU485,60),2)),"Check"))</f>
        <v/>
      </c>
      <c r="D489" s="29">
        <f>IF(Responses!AS485="","",IF(Responses!AV485&gt;=0,IF(Responses!AV485="","",RIGHT("0"&amp;INT(Responses!AV485/60),2)&amp;":"&amp;RIGHT("0"&amp;MOD(Responses!AV485,60),2)),"Check"))</f>
        <v/>
      </c>
      <c r="E489" s="28">
        <f>Responses!AW485</f>
        <v/>
      </c>
      <c r="F489" s="29">
        <f>Responses!AX485</f>
        <v/>
      </c>
      <c r="G489" s="29">
        <f>IF(Responses!AS485="","",IF(AND(ISNUMBER(Responses!AX485),ISNUMBER(IFERROR(VALUE(INDEX(Spaces!$B$5:$B$16,MATCH(Responses!AS485,Spaces!$A$5:$A$16,0))&amp;""),""))),IF(Responses!AX485&gt;IFERROR(VALUE(INDEX(Spaces!$B$5:$B$16,MATCH(Responses!AS485,Spaces!$A$5:$A$16,0))&amp;""),""),"Over by "&amp;(Responses!AX485-IFERROR(VALUE(INDEX(Spaces!$B$5:$B$16,MATCH(Responses!AS485,Spaces!$A$5:$A$16,0))&amp;""),"")),"OK"),""))</f>
        <v/>
      </c>
      <c r="H489" s="28">
        <f>Responses!BF485</f>
        <v/>
      </c>
      <c r="I489" s="28">
        <f>IF(Responses!AS485="","",Responses!AO485&amp;"")</f>
        <v/>
      </c>
      <c r="J489" s="28">
        <f>IF(Responses!AS485="","",Responses!AZ485&amp;"")</f>
        <v/>
      </c>
      <c r="K489" s="29">
        <f>Responses!AY485</f>
        <v/>
      </c>
      <c r="L489" s="28">
        <f>IF(Responses!AS485="","",IF(Responses!AY485="Declined","",IF(Responses!BA485=0,"Check date and times",IF(Responses!BB485&gt;0,Responses!BC485,"No clash"))))</f>
        <v/>
      </c>
    </row>
    <row r="490">
      <c r="A490" s="27">
        <f>IF(Responses!AS486="","",IF(Responses!AT486&gt;0,Responses!AT486,"Check date"))</f>
        <v/>
      </c>
      <c r="B490" s="28">
        <f>Responses!AS486</f>
        <v/>
      </c>
      <c r="C490" s="29">
        <f>IF(Responses!AS486="","",IF(Responses!AU486&gt;=0,IF(Responses!AU486="","",RIGHT("0"&amp;INT(Responses!AU486/60),2)&amp;":"&amp;RIGHT("0"&amp;MOD(Responses!AU486,60),2)),"Check"))</f>
        <v/>
      </c>
      <c r="D490" s="29">
        <f>IF(Responses!AS486="","",IF(Responses!AV486&gt;=0,IF(Responses!AV486="","",RIGHT("0"&amp;INT(Responses!AV486/60),2)&amp;":"&amp;RIGHT("0"&amp;MOD(Responses!AV486,60),2)),"Check"))</f>
        <v/>
      </c>
      <c r="E490" s="28">
        <f>Responses!AW486</f>
        <v/>
      </c>
      <c r="F490" s="29">
        <f>Responses!AX486</f>
        <v/>
      </c>
      <c r="G490" s="29">
        <f>IF(Responses!AS486="","",IF(AND(ISNUMBER(Responses!AX486),ISNUMBER(IFERROR(VALUE(INDEX(Spaces!$B$5:$B$16,MATCH(Responses!AS486,Spaces!$A$5:$A$16,0))&amp;""),""))),IF(Responses!AX486&gt;IFERROR(VALUE(INDEX(Spaces!$B$5:$B$16,MATCH(Responses!AS486,Spaces!$A$5:$A$16,0))&amp;""),""),"Over by "&amp;(Responses!AX486-IFERROR(VALUE(INDEX(Spaces!$B$5:$B$16,MATCH(Responses!AS486,Spaces!$A$5:$A$16,0))&amp;""),"")),"OK"),""))</f>
        <v/>
      </c>
      <c r="H490" s="28">
        <f>Responses!BF486</f>
        <v/>
      </c>
      <c r="I490" s="28">
        <f>IF(Responses!AS486="","",Responses!AO486&amp;"")</f>
        <v/>
      </c>
      <c r="J490" s="28">
        <f>IF(Responses!AS486="","",Responses!AZ486&amp;"")</f>
        <v/>
      </c>
      <c r="K490" s="29">
        <f>Responses!AY486</f>
        <v/>
      </c>
      <c r="L490" s="28">
        <f>IF(Responses!AS486="","",IF(Responses!AY486="Declined","",IF(Responses!BA486=0,"Check date and times",IF(Responses!BB486&gt;0,Responses!BC486,"No clash"))))</f>
        <v/>
      </c>
    </row>
    <row r="491">
      <c r="A491" s="27">
        <f>IF(Responses!AS487="","",IF(Responses!AT487&gt;0,Responses!AT487,"Check date"))</f>
        <v/>
      </c>
      <c r="B491" s="28">
        <f>Responses!AS487</f>
        <v/>
      </c>
      <c r="C491" s="29">
        <f>IF(Responses!AS487="","",IF(Responses!AU487&gt;=0,IF(Responses!AU487="","",RIGHT("0"&amp;INT(Responses!AU487/60),2)&amp;":"&amp;RIGHT("0"&amp;MOD(Responses!AU487,60),2)),"Check"))</f>
        <v/>
      </c>
      <c r="D491" s="29">
        <f>IF(Responses!AS487="","",IF(Responses!AV487&gt;=0,IF(Responses!AV487="","",RIGHT("0"&amp;INT(Responses!AV487/60),2)&amp;":"&amp;RIGHT("0"&amp;MOD(Responses!AV487,60),2)),"Check"))</f>
        <v/>
      </c>
      <c r="E491" s="28">
        <f>Responses!AW487</f>
        <v/>
      </c>
      <c r="F491" s="29">
        <f>Responses!AX487</f>
        <v/>
      </c>
      <c r="G491" s="29">
        <f>IF(Responses!AS487="","",IF(AND(ISNUMBER(Responses!AX487),ISNUMBER(IFERROR(VALUE(INDEX(Spaces!$B$5:$B$16,MATCH(Responses!AS487,Spaces!$A$5:$A$16,0))&amp;""),""))),IF(Responses!AX487&gt;IFERROR(VALUE(INDEX(Spaces!$B$5:$B$16,MATCH(Responses!AS487,Spaces!$A$5:$A$16,0))&amp;""),""),"Over by "&amp;(Responses!AX487-IFERROR(VALUE(INDEX(Spaces!$B$5:$B$16,MATCH(Responses!AS487,Spaces!$A$5:$A$16,0))&amp;""),"")),"OK"),""))</f>
        <v/>
      </c>
      <c r="H491" s="28">
        <f>Responses!BF487</f>
        <v/>
      </c>
      <c r="I491" s="28">
        <f>IF(Responses!AS487="","",Responses!AO487&amp;"")</f>
        <v/>
      </c>
      <c r="J491" s="28">
        <f>IF(Responses!AS487="","",Responses!AZ487&amp;"")</f>
        <v/>
      </c>
      <c r="K491" s="29">
        <f>Responses!AY487</f>
        <v/>
      </c>
      <c r="L491" s="28">
        <f>IF(Responses!AS487="","",IF(Responses!AY487="Declined","",IF(Responses!BA487=0,"Check date and times",IF(Responses!BB487&gt;0,Responses!BC487,"No clash"))))</f>
        <v/>
      </c>
    </row>
    <row r="492">
      <c r="A492" s="27">
        <f>IF(Responses!AS488="","",IF(Responses!AT488&gt;0,Responses!AT488,"Check date"))</f>
        <v/>
      </c>
      <c r="B492" s="28">
        <f>Responses!AS488</f>
        <v/>
      </c>
      <c r="C492" s="29">
        <f>IF(Responses!AS488="","",IF(Responses!AU488&gt;=0,IF(Responses!AU488="","",RIGHT("0"&amp;INT(Responses!AU488/60),2)&amp;":"&amp;RIGHT("0"&amp;MOD(Responses!AU488,60),2)),"Check"))</f>
        <v/>
      </c>
      <c r="D492" s="29">
        <f>IF(Responses!AS488="","",IF(Responses!AV488&gt;=0,IF(Responses!AV488="","",RIGHT("0"&amp;INT(Responses!AV488/60),2)&amp;":"&amp;RIGHT("0"&amp;MOD(Responses!AV488,60),2)),"Check"))</f>
        <v/>
      </c>
      <c r="E492" s="28">
        <f>Responses!AW488</f>
        <v/>
      </c>
      <c r="F492" s="29">
        <f>Responses!AX488</f>
        <v/>
      </c>
      <c r="G492" s="29">
        <f>IF(Responses!AS488="","",IF(AND(ISNUMBER(Responses!AX488),ISNUMBER(IFERROR(VALUE(INDEX(Spaces!$B$5:$B$16,MATCH(Responses!AS488,Spaces!$A$5:$A$16,0))&amp;""),""))),IF(Responses!AX488&gt;IFERROR(VALUE(INDEX(Spaces!$B$5:$B$16,MATCH(Responses!AS488,Spaces!$A$5:$A$16,0))&amp;""),""),"Over by "&amp;(Responses!AX488-IFERROR(VALUE(INDEX(Spaces!$B$5:$B$16,MATCH(Responses!AS488,Spaces!$A$5:$A$16,0))&amp;""),"")),"OK"),""))</f>
        <v/>
      </c>
      <c r="H492" s="28">
        <f>Responses!BF488</f>
        <v/>
      </c>
      <c r="I492" s="28">
        <f>IF(Responses!AS488="","",Responses!AO488&amp;"")</f>
        <v/>
      </c>
      <c r="J492" s="28">
        <f>IF(Responses!AS488="","",Responses!AZ488&amp;"")</f>
        <v/>
      </c>
      <c r="K492" s="29">
        <f>Responses!AY488</f>
        <v/>
      </c>
      <c r="L492" s="28">
        <f>IF(Responses!AS488="","",IF(Responses!AY488="Declined","",IF(Responses!BA488=0,"Check date and times",IF(Responses!BB488&gt;0,Responses!BC488,"No clash"))))</f>
        <v/>
      </c>
    </row>
    <row r="493">
      <c r="A493" s="27">
        <f>IF(Responses!AS489="","",IF(Responses!AT489&gt;0,Responses!AT489,"Check date"))</f>
        <v/>
      </c>
      <c r="B493" s="28">
        <f>Responses!AS489</f>
        <v/>
      </c>
      <c r="C493" s="29">
        <f>IF(Responses!AS489="","",IF(Responses!AU489&gt;=0,IF(Responses!AU489="","",RIGHT("0"&amp;INT(Responses!AU489/60),2)&amp;":"&amp;RIGHT("0"&amp;MOD(Responses!AU489,60),2)),"Check"))</f>
        <v/>
      </c>
      <c r="D493" s="29">
        <f>IF(Responses!AS489="","",IF(Responses!AV489&gt;=0,IF(Responses!AV489="","",RIGHT("0"&amp;INT(Responses!AV489/60),2)&amp;":"&amp;RIGHT("0"&amp;MOD(Responses!AV489,60),2)),"Check"))</f>
        <v/>
      </c>
      <c r="E493" s="28">
        <f>Responses!AW489</f>
        <v/>
      </c>
      <c r="F493" s="29">
        <f>Responses!AX489</f>
        <v/>
      </c>
      <c r="G493" s="29">
        <f>IF(Responses!AS489="","",IF(AND(ISNUMBER(Responses!AX489),ISNUMBER(IFERROR(VALUE(INDEX(Spaces!$B$5:$B$16,MATCH(Responses!AS489,Spaces!$A$5:$A$16,0))&amp;""),""))),IF(Responses!AX489&gt;IFERROR(VALUE(INDEX(Spaces!$B$5:$B$16,MATCH(Responses!AS489,Spaces!$A$5:$A$16,0))&amp;""),""),"Over by "&amp;(Responses!AX489-IFERROR(VALUE(INDEX(Spaces!$B$5:$B$16,MATCH(Responses!AS489,Spaces!$A$5:$A$16,0))&amp;""),"")),"OK"),""))</f>
        <v/>
      </c>
      <c r="H493" s="28">
        <f>Responses!BF489</f>
        <v/>
      </c>
      <c r="I493" s="28">
        <f>IF(Responses!AS489="","",Responses!AO489&amp;"")</f>
        <v/>
      </c>
      <c r="J493" s="28">
        <f>IF(Responses!AS489="","",Responses!AZ489&amp;"")</f>
        <v/>
      </c>
      <c r="K493" s="29">
        <f>Responses!AY489</f>
        <v/>
      </c>
      <c r="L493" s="28">
        <f>IF(Responses!AS489="","",IF(Responses!AY489="Declined","",IF(Responses!BA489=0,"Check date and times",IF(Responses!BB489&gt;0,Responses!BC489,"No clash"))))</f>
        <v/>
      </c>
    </row>
    <row r="494">
      <c r="A494" s="27">
        <f>IF(Responses!AS490="","",IF(Responses!AT490&gt;0,Responses!AT490,"Check date"))</f>
        <v/>
      </c>
      <c r="B494" s="28">
        <f>Responses!AS490</f>
        <v/>
      </c>
      <c r="C494" s="29">
        <f>IF(Responses!AS490="","",IF(Responses!AU490&gt;=0,IF(Responses!AU490="","",RIGHT("0"&amp;INT(Responses!AU490/60),2)&amp;":"&amp;RIGHT("0"&amp;MOD(Responses!AU490,60),2)),"Check"))</f>
        <v/>
      </c>
      <c r="D494" s="29">
        <f>IF(Responses!AS490="","",IF(Responses!AV490&gt;=0,IF(Responses!AV490="","",RIGHT("0"&amp;INT(Responses!AV490/60),2)&amp;":"&amp;RIGHT("0"&amp;MOD(Responses!AV490,60),2)),"Check"))</f>
        <v/>
      </c>
      <c r="E494" s="28">
        <f>Responses!AW490</f>
        <v/>
      </c>
      <c r="F494" s="29">
        <f>Responses!AX490</f>
        <v/>
      </c>
      <c r="G494" s="29">
        <f>IF(Responses!AS490="","",IF(AND(ISNUMBER(Responses!AX490),ISNUMBER(IFERROR(VALUE(INDEX(Spaces!$B$5:$B$16,MATCH(Responses!AS490,Spaces!$A$5:$A$16,0))&amp;""),""))),IF(Responses!AX490&gt;IFERROR(VALUE(INDEX(Spaces!$B$5:$B$16,MATCH(Responses!AS490,Spaces!$A$5:$A$16,0))&amp;""),""),"Over by "&amp;(Responses!AX490-IFERROR(VALUE(INDEX(Spaces!$B$5:$B$16,MATCH(Responses!AS490,Spaces!$A$5:$A$16,0))&amp;""),"")),"OK"),""))</f>
        <v/>
      </c>
      <c r="H494" s="28">
        <f>Responses!BF490</f>
        <v/>
      </c>
      <c r="I494" s="28">
        <f>IF(Responses!AS490="","",Responses!AO490&amp;"")</f>
        <v/>
      </c>
      <c r="J494" s="28">
        <f>IF(Responses!AS490="","",Responses!AZ490&amp;"")</f>
        <v/>
      </c>
      <c r="K494" s="29">
        <f>Responses!AY490</f>
        <v/>
      </c>
      <c r="L494" s="28">
        <f>IF(Responses!AS490="","",IF(Responses!AY490="Declined","",IF(Responses!BA490=0,"Check date and times",IF(Responses!BB490&gt;0,Responses!BC490,"No clash"))))</f>
        <v/>
      </c>
    </row>
    <row r="495">
      <c r="A495" s="27">
        <f>IF(Responses!AS491="","",IF(Responses!AT491&gt;0,Responses!AT491,"Check date"))</f>
        <v/>
      </c>
      <c r="B495" s="28">
        <f>Responses!AS491</f>
        <v/>
      </c>
      <c r="C495" s="29">
        <f>IF(Responses!AS491="","",IF(Responses!AU491&gt;=0,IF(Responses!AU491="","",RIGHT("0"&amp;INT(Responses!AU491/60),2)&amp;":"&amp;RIGHT("0"&amp;MOD(Responses!AU491,60),2)),"Check"))</f>
        <v/>
      </c>
      <c r="D495" s="29">
        <f>IF(Responses!AS491="","",IF(Responses!AV491&gt;=0,IF(Responses!AV491="","",RIGHT("0"&amp;INT(Responses!AV491/60),2)&amp;":"&amp;RIGHT("0"&amp;MOD(Responses!AV491,60),2)),"Check"))</f>
        <v/>
      </c>
      <c r="E495" s="28">
        <f>Responses!AW491</f>
        <v/>
      </c>
      <c r="F495" s="29">
        <f>Responses!AX491</f>
        <v/>
      </c>
      <c r="G495" s="29">
        <f>IF(Responses!AS491="","",IF(AND(ISNUMBER(Responses!AX491),ISNUMBER(IFERROR(VALUE(INDEX(Spaces!$B$5:$B$16,MATCH(Responses!AS491,Spaces!$A$5:$A$16,0))&amp;""),""))),IF(Responses!AX491&gt;IFERROR(VALUE(INDEX(Spaces!$B$5:$B$16,MATCH(Responses!AS491,Spaces!$A$5:$A$16,0))&amp;""),""),"Over by "&amp;(Responses!AX491-IFERROR(VALUE(INDEX(Spaces!$B$5:$B$16,MATCH(Responses!AS491,Spaces!$A$5:$A$16,0))&amp;""),"")),"OK"),""))</f>
        <v/>
      </c>
      <c r="H495" s="28">
        <f>Responses!BF491</f>
        <v/>
      </c>
      <c r="I495" s="28">
        <f>IF(Responses!AS491="","",Responses!AO491&amp;"")</f>
        <v/>
      </c>
      <c r="J495" s="28">
        <f>IF(Responses!AS491="","",Responses!AZ491&amp;"")</f>
        <v/>
      </c>
      <c r="K495" s="29">
        <f>Responses!AY491</f>
        <v/>
      </c>
      <c r="L495" s="28">
        <f>IF(Responses!AS491="","",IF(Responses!AY491="Declined","",IF(Responses!BA491=0,"Check date and times",IF(Responses!BB491&gt;0,Responses!BC491,"No clash"))))</f>
        <v/>
      </c>
    </row>
    <row r="496">
      <c r="A496" s="27">
        <f>IF(Responses!AS492="","",IF(Responses!AT492&gt;0,Responses!AT492,"Check date"))</f>
        <v/>
      </c>
      <c r="B496" s="28">
        <f>Responses!AS492</f>
        <v/>
      </c>
      <c r="C496" s="29">
        <f>IF(Responses!AS492="","",IF(Responses!AU492&gt;=0,IF(Responses!AU492="","",RIGHT("0"&amp;INT(Responses!AU492/60),2)&amp;":"&amp;RIGHT("0"&amp;MOD(Responses!AU492,60),2)),"Check"))</f>
        <v/>
      </c>
      <c r="D496" s="29">
        <f>IF(Responses!AS492="","",IF(Responses!AV492&gt;=0,IF(Responses!AV492="","",RIGHT("0"&amp;INT(Responses!AV492/60),2)&amp;":"&amp;RIGHT("0"&amp;MOD(Responses!AV492,60),2)),"Check"))</f>
        <v/>
      </c>
      <c r="E496" s="28">
        <f>Responses!AW492</f>
        <v/>
      </c>
      <c r="F496" s="29">
        <f>Responses!AX492</f>
        <v/>
      </c>
      <c r="G496" s="29">
        <f>IF(Responses!AS492="","",IF(AND(ISNUMBER(Responses!AX492),ISNUMBER(IFERROR(VALUE(INDEX(Spaces!$B$5:$B$16,MATCH(Responses!AS492,Spaces!$A$5:$A$16,0))&amp;""),""))),IF(Responses!AX492&gt;IFERROR(VALUE(INDEX(Spaces!$B$5:$B$16,MATCH(Responses!AS492,Spaces!$A$5:$A$16,0))&amp;""),""),"Over by "&amp;(Responses!AX492-IFERROR(VALUE(INDEX(Spaces!$B$5:$B$16,MATCH(Responses!AS492,Spaces!$A$5:$A$16,0))&amp;""),"")),"OK"),""))</f>
        <v/>
      </c>
      <c r="H496" s="28">
        <f>Responses!BF492</f>
        <v/>
      </c>
      <c r="I496" s="28">
        <f>IF(Responses!AS492="","",Responses!AO492&amp;"")</f>
        <v/>
      </c>
      <c r="J496" s="28">
        <f>IF(Responses!AS492="","",Responses!AZ492&amp;"")</f>
        <v/>
      </c>
      <c r="K496" s="29">
        <f>Responses!AY492</f>
        <v/>
      </c>
      <c r="L496" s="28">
        <f>IF(Responses!AS492="","",IF(Responses!AY492="Declined","",IF(Responses!BA492=0,"Check date and times",IF(Responses!BB492&gt;0,Responses!BC492,"No clash"))))</f>
        <v/>
      </c>
    </row>
    <row r="497">
      <c r="A497" s="27">
        <f>IF(Responses!AS493="","",IF(Responses!AT493&gt;0,Responses!AT493,"Check date"))</f>
        <v/>
      </c>
      <c r="B497" s="28">
        <f>Responses!AS493</f>
        <v/>
      </c>
      <c r="C497" s="29">
        <f>IF(Responses!AS493="","",IF(Responses!AU493&gt;=0,IF(Responses!AU493="","",RIGHT("0"&amp;INT(Responses!AU493/60),2)&amp;":"&amp;RIGHT("0"&amp;MOD(Responses!AU493,60),2)),"Check"))</f>
        <v/>
      </c>
      <c r="D497" s="29">
        <f>IF(Responses!AS493="","",IF(Responses!AV493&gt;=0,IF(Responses!AV493="","",RIGHT("0"&amp;INT(Responses!AV493/60),2)&amp;":"&amp;RIGHT("0"&amp;MOD(Responses!AV493,60),2)),"Check"))</f>
        <v/>
      </c>
      <c r="E497" s="28">
        <f>Responses!AW493</f>
        <v/>
      </c>
      <c r="F497" s="29">
        <f>Responses!AX493</f>
        <v/>
      </c>
      <c r="G497" s="29">
        <f>IF(Responses!AS493="","",IF(AND(ISNUMBER(Responses!AX493),ISNUMBER(IFERROR(VALUE(INDEX(Spaces!$B$5:$B$16,MATCH(Responses!AS493,Spaces!$A$5:$A$16,0))&amp;""),""))),IF(Responses!AX493&gt;IFERROR(VALUE(INDEX(Spaces!$B$5:$B$16,MATCH(Responses!AS493,Spaces!$A$5:$A$16,0))&amp;""),""),"Over by "&amp;(Responses!AX493-IFERROR(VALUE(INDEX(Spaces!$B$5:$B$16,MATCH(Responses!AS493,Spaces!$A$5:$A$16,0))&amp;""),"")),"OK"),""))</f>
        <v/>
      </c>
      <c r="H497" s="28">
        <f>Responses!BF493</f>
        <v/>
      </c>
      <c r="I497" s="28">
        <f>IF(Responses!AS493="","",Responses!AO493&amp;"")</f>
        <v/>
      </c>
      <c r="J497" s="28">
        <f>IF(Responses!AS493="","",Responses!AZ493&amp;"")</f>
        <v/>
      </c>
      <c r="K497" s="29">
        <f>Responses!AY493</f>
        <v/>
      </c>
      <c r="L497" s="28">
        <f>IF(Responses!AS493="","",IF(Responses!AY493="Declined","",IF(Responses!BA493=0,"Check date and times",IF(Responses!BB493&gt;0,Responses!BC493,"No clash"))))</f>
        <v/>
      </c>
    </row>
    <row r="498">
      <c r="A498" s="27">
        <f>IF(Responses!AS494="","",IF(Responses!AT494&gt;0,Responses!AT494,"Check date"))</f>
        <v/>
      </c>
      <c r="B498" s="28">
        <f>Responses!AS494</f>
        <v/>
      </c>
      <c r="C498" s="29">
        <f>IF(Responses!AS494="","",IF(Responses!AU494&gt;=0,IF(Responses!AU494="","",RIGHT("0"&amp;INT(Responses!AU494/60),2)&amp;":"&amp;RIGHT("0"&amp;MOD(Responses!AU494,60),2)),"Check"))</f>
        <v/>
      </c>
      <c r="D498" s="29">
        <f>IF(Responses!AS494="","",IF(Responses!AV494&gt;=0,IF(Responses!AV494="","",RIGHT("0"&amp;INT(Responses!AV494/60),2)&amp;":"&amp;RIGHT("0"&amp;MOD(Responses!AV494,60),2)),"Check"))</f>
        <v/>
      </c>
      <c r="E498" s="28">
        <f>Responses!AW494</f>
        <v/>
      </c>
      <c r="F498" s="29">
        <f>Responses!AX494</f>
        <v/>
      </c>
      <c r="G498" s="29">
        <f>IF(Responses!AS494="","",IF(AND(ISNUMBER(Responses!AX494),ISNUMBER(IFERROR(VALUE(INDEX(Spaces!$B$5:$B$16,MATCH(Responses!AS494,Spaces!$A$5:$A$16,0))&amp;""),""))),IF(Responses!AX494&gt;IFERROR(VALUE(INDEX(Spaces!$B$5:$B$16,MATCH(Responses!AS494,Spaces!$A$5:$A$16,0))&amp;""),""),"Over by "&amp;(Responses!AX494-IFERROR(VALUE(INDEX(Spaces!$B$5:$B$16,MATCH(Responses!AS494,Spaces!$A$5:$A$16,0))&amp;""),"")),"OK"),""))</f>
        <v/>
      </c>
      <c r="H498" s="28">
        <f>Responses!BF494</f>
        <v/>
      </c>
      <c r="I498" s="28">
        <f>IF(Responses!AS494="","",Responses!AO494&amp;"")</f>
        <v/>
      </c>
      <c r="J498" s="28">
        <f>IF(Responses!AS494="","",Responses!AZ494&amp;"")</f>
        <v/>
      </c>
      <c r="K498" s="29">
        <f>Responses!AY494</f>
        <v/>
      </c>
      <c r="L498" s="28">
        <f>IF(Responses!AS494="","",IF(Responses!AY494="Declined","",IF(Responses!BA494=0,"Check date and times",IF(Responses!BB494&gt;0,Responses!BC494,"No clash"))))</f>
        <v/>
      </c>
    </row>
    <row r="499">
      <c r="A499" s="27">
        <f>IF(Responses!AS495="","",IF(Responses!AT495&gt;0,Responses!AT495,"Check date"))</f>
        <v/>
      </c>
      <c r="B499" s="28">
        <f>Responses!AS495</f>
        <v/>
      </c>
      <c r="C499" s="29">
        <f>IF(Responses!AS495="","",IF(Responses!AU495&gt;=0,IF(Responses!AU495="","",RIGHT("0"&amp;INT(Responses!AU495/60),2)&amp;":"&amp;RIGHT("0"&amp;MOD(Responses!AU495,60),2)),"Check"))</f>
        <v/>
      </c>
      <c r="D499" s="29">
        <f>IF(Responses!AS495="","",IF(Responses!AV495&gt;=0,IF(Responses!AV495="","",RIGHT("0"&amp;INT(Responses!AV495/60),2)&amp;":"&amp;RIGHT("0"&amp;MOD(Responses!AV495,60),2)),"Check"))</f>
        <v/>
      </c>
      <c r="E499" s="28">
        <f>Responses!AW495</f>
        <v/>
      </c>
      <c r="F499" s="29">
        <f>Responses!AX495</f>
        <v/>
      </c>
      <c r="G499" s="29">
        <f>IF(Responses!AS495="","",IF(AND(ISNUMBER(Responses!AX495),ISNUMBER(IFERROR(VALUE(INDEX(Spaces!$B$5:$B$16,MATCH(Responses!AS495,Spaces!$A$5:$A$16,0))&amp;""),""))),IF(Responses!AX495&gt;IFERROR(VALUE(INDEX(Spaces!$B$5:$B$16,MATCH(Responses!AS495,Spaces!$A$5:$A$16,0))&amp;""),""),"Over by "&amp;(Responses!AX495-IFERROR(VALUE(INDEX(Spaces!$B$5:$B$16,MATCH(Responses!AS495,Spaces!$A$5:$A$16,0))&amp;""),"")),"OK"),""))</f>
        <v/>
      </c>
      <c r="H499" s="28">
        <f>Responses!BF495</f>
        <v/>
      </c>
      <c r="I499" s="28">
        <f>IF(Responses!AS495="","",Responses!AO495&amp;"")</f>
        <v/>
      </c>
      <c r="J499" s="28">
        <f>IF(Responses!AS495="","",Responses!AZ495&amp;"")</f>
        <v/>
      </c>
      <c r="K499" s="29">
        <f>Responses!AY495</f>
        <v/>
      </c>
      <c r="L499" s="28">
        <f>IF(Responses!AS495="","",IF(Responses!AY495="Declined","",IF(Responses!BA495=0,"Check date and times",IF(Responses!BB495&gt;0,Responses!BC495,"No clash"))))</f>
        <v/>
      </c>
    </row>
    <row r="500">
      <c r="A500" s="27">
        <f>IF(Responses!AS496="","",IF(Responses!AT496&gt;0,Responses!AT496,"Check date"))</f>
        <v/>
      </c>
      <c r="B500" s="28">
        <f>Responses!AS496</f>
        <v/>
      </c>
      <c r="C500" s="29">
        <f>IF(Responses!AS496="","",IF(Responses!AU496&gt;=0,IF(Responses!AU496="","",RIGHT("0"&amp;INT(Responses!AU496/60),2)&amp;":"&amp;RIGHT("0"&amp;MOD(Responses!AU496,60),2)),"Check"))</f>
        <v/>
      </c>
      <c r="D500" s="29">
        <f>IF(Responses!AS496="","",IF(Responses!AV496&gt;=0,IF(Responses!AV496="","",RIGHT("0"&amp;INT(Responses!AV496/60),2)&amp;":"&amp;RIGHT("0"&amp;MOD(Responses!AV496,60),2)),"Check"))</f>
        <v/>
      </c>
      <c r="E500" s="28">
        <f>Responses!AW496</f>
        <v/>
      </c>
      <c r="F500" s="29">
        <f>Responses!AX496</f>
        <v/>
      </c>
      <c r="G500" s="29">
        <f>IF(Responses!AS496="","",IF(AND(ISNUMBER(Responses!AX496),ISNUMBER(IFERROR(VALUE(INDEX(Spaces!$B$5:$B$16,MATCH(Responses!AS496,Spaces!$A$5:$A$16,0))&amp;""),""))),IF(Responses!AX496&gt;IFERROR(VALUE(INDEX(Spaces!$B$5:$B$16,MATCH(Responses!AS496,Spaces!$A$5:$A$16,0))&amp;""),""),"Over by "&amp;(Responses!AX496-IFERROR(VALUE(INDEX(Spaces!$B$5:$B$16,MATCH(Responses!AS496,Spaces!$A$5:$A$16,0))&amp;""),"")),"OK"),""))</f>
        <v/>
      </c>
      <c r="H500" s="28">
        <f>Responses!BF496</f>
        <v/>
      </c>
      <c r="I500" s="28">
        <f>IF(Responses!AS496="","",Responses!AO496&amp;"")</f>
        <v/>
      </c>
      <c r="J500" s="28">
        <f>IF(Responses!AS496="","",Responses!AZ496&amp;"")</f>
        <v/>
      </c>
      <c r="K500" s="29">
        <f>Responses!AY496</f>
        <v/>
      </c>
      <c r="L500" s="28">
        <f>IF(Responses!AS496="","",IF(Responses!AY496="Declined","",IF(Responses!BA496=0,"Check date and times",IF(Responses!BB496&gt;0,Responses!BC496,"No clash"))))</f>
        <v/>
      </c>
    </row>
    <row r="501">
      <c r="A501" s="27">
        <f>IF(Responses!AS497="","",IF(Responses!AT497&gt;0,Responses!AT497,"Check date"))</f>
        <v/>
      </c>
      <c r="B501" s="28">
        <f>Responses!AS497</f>
        <v/>
      </c>
      <c r="C501" s="29">
        <f>IF(Responses!AS497="","",IF(Responses!AU497&gt;=0,IF(Responses!AU497="","",RIGHT("0"&amp;INT(Responses!AU497/60),2)&amp;":"&amp;RIGHT("0"&amp;MOD(Responses!AU497,60),2)),"Check"))</f>
        <v/>
      </c>
      <c r="D501" s="29">
        <f>IF(Responses!AS497="","",IF(Responses!AV497&gt;=0,IF(Responses!AV497="","",RIGHT("0"&amp;INT(Responses!AV497/60),2)&amp;":"&amp;RIGHT("0"&amp;MOD(Responses!AV497,60),2)),"Check"))</f>
        <v/>
      </c>
      <c r="E501" s="28">
        <f>Responses!AW497</f>
        <v/>
      </c>
      <c r="F501" s="29">
        <f>Responses!AX497</f>
        <v/>
      </c>
      <c r="G501" s="29">
        <f>IF(Responses!AS497="","",IF(AND(ISNUMBER(Responses!AX497),ISNUMBER(IFERROR(VALUE(INDEX(Spaces!$B$5:$B$16,MATCH(Responses!AS497,Spaces!$A$5:$A$16,0))&amp;""),""))),IF(Responses!AX497&gt;IFERROR(VALUE(INDEX(Spaces!$B$5:$B$16,MATCH(Responses!AS497,Spaces!$A$5:$A$16,0))&amp;""),""),"Over by "&amp;(Responses!AX497-IFERROR(VALUE(INDEX(Spaces!$B$5:$B$16,MATCH(Responses!AS497,Spaces!$A$5:$A$16,0))&amp;""),"")),"OK"),""))</f>
        <v/>
      </c>
      <c r="H501" s="28">
        <f>Responses!BF497</f>
        <v/>
      </c>
      <c r="I501" s="28">
        <f>IF(Responses!AS497="","",Responses!AO497&amp;"")</f>
        <v/>
      </c>
      <c r="J501" s="28">
        <f>IF(Responses!AS497="","",Responses!AZ497&amp;"")</f>
        <v/>
      </c>
      <c r="K501" s="29">
        <f>Responses!AY497</f>
        <v/>
      </c>
      <c r="L501" s="28">
        <f>IF(Responses!AS497="","",IF(Responses!AY497="Declined","",IF(Responses!BA497=0,"Check date and times",IF(Responses!BB497&gt;0,Responses!BC497,"No clash"))))</f>
        <v/>
      </c>
    </row>
    <row r="502">
      <c r="A502" s="27">
        <f>IF(Responses!AS498="","",IF(Responses!AT498&gt;0,Responses!AT498,"Check date"))</f>
        <v/>
      </c>
      <c r="B502" s="28">
        <f>Responses!AS498</f>
        <v/>
      </c>
      <c r="C502" s="29">
        <f>IF(Responses!AS498="","",IF(Responses!AU498&gt;=0,IF(Responses!AU498="","",RIGHT("0"&amp;INT(Responses!AU498/60),2)&amp;":"&amp;RIGHT("0"&amp;MOD(Responses!AU498,60),2)),"Check"))</f>
        <v/>
      </c>
      <c r="D502" s="29">
        <f>IF(Responses!AS498="","",IF(Responses!AV498&gt;=0,IF(Responses!AV498="","",RIGHT("0"&amp;INT(Responses!AV498/60),2)&amp;":"&amp;RIGHT("0"&amp;MOD(Responses!AV498,60),2)),"Check"))</f>
        <v/>
      </c>
      <c r="E502" s="28">
        <f>Responses!AW498</f>
        <v/>
      </c>
      <c r="F502" s="29">
        <f>Responses!AX498</f>
        <v/>
      </c>
      <c r="G502" s="29">
        <f>IF(Responses!AS498="","",IF(AND(ISNUMBER(Responses!AX498),ISNUMBER(IFERROR(VALUE(INDEX(Spaces!$B$5:$B$16,MATCH(Responses!AS498,Spaces!$A$5:$A$16,0))&amp;""),""))),IF(Responses!AX498&gt;IFERROR(VALUE(INDEX(Spaces!$B$5:$B$16,MATCH(Responses!AS498,Spaces!$A$5:$A$16,0))&amp;""),""),"Over by "&amp;(Responses!AX498-IFERROR(VALUE(INDEX(Spaces!$B$5:$B$16,MATCH(Responses!AS498,Spaces!$A$5:$A$16,0))&amp;""),"")),"OK"),""))</f>
        <v/>
      </c>
      <c r="H502" s="28">
        <f>Responses!BF498</f>
        <v/>
      </c>
      <c r="I502" s="28">
        <f>IF(Responses!AS498="","",Responses!AO498&amp;"")</f>
        <v/>
      </c>
      <c r="J502" s="28">
        <f>IF(Responses!AS498="","",Responses!AZ498&amp;"")</f>
        <v/>
      </c>
      <c r="K502" s="29">
        <f>Responses!AY498</f>
        <v/>
      </c>
      <c r="L502" s="28">
        <f>IF(Responses!AS498="","",IF(Responses!AY498="Declined","",IF(Responses!BA498=0,"Check date and times",IF(Responses!BB498&gt;0,Responses!BC498,"No clash"))))</f>
        <v/>
      </c>
    </row>
    <row r="503">
      <c r="A503" s="27">
        <f>IF(Responses!AS499="","",IF(Responses!AT499&gt;0,Responses!AT499,"Check date"))</f>
        <v/>
      </c>
      <c r="B503" s="28">
        <f>Responses!AS499</f>
        <v/>
      </c>
      <c r="C503" s="29">
        <f>IF(Responses!AS499="","",IF(Responses!AU499&gt;=0,IF(Responses!AU499="","",RIGHT("0"&amp;INT(Responses!AU499/60),2)&amp;":"&amp;RIGHT("0"&amp;MOD(Responses!AU499,60),2)),"Check"))</f>
        <v/>
      </c>
      <c r="D503" s="29">
        <f>IF(Responses!AS499="","",IF(Responses!AV499&gt;=0,IF(Responses!AV499="","",RIGHT("0"&amp;INT(Responses!AV499/60),2)&amp;":"&amp;RIGHT("0"&amp;MOD(Responses!AV499,60),2)),"Check"))</f>
        <v/>
      </c>
      <c r="E503" s="28">
        <f>Responses!AW499</f>
        <v/>
      </c>
      <c r="F503" s="29">
        <f>Responses!AX499</f>
        <v/>
      </c>
      <c r="G503" s="29">
        <f>IF(Responses!AS499="","",IF(AND(ISNUMBER(Responses!AX499),ISNUMBER(IFERROR(VALUE(INDEX(Spaces!$B$5:$B$16,MATCH(Responses!AS499,Spaces!$A$5:$A$16,0))&amp;""),""))),IF(Responses!AX499&gt;IFERROR(VALUE(INDEX(Spaces!$B$5:$B$16,MATCH(Responses!AS499,Spaces!$A$5:$A$16,0))&amp;""),""),"Over by "&amp;(Responses!AX499-IFERROR(VALUE(INDEX(Spaces!$B$5:$B$16,MATCH(Responses!AS499,Spaces!$A$5:$A$16,0))&amp;""),"")),"OK"),""))</f>
        <v/>
      </c>
      <c r="H503" s="28">
        <f>Responses!BF499</f>
        <v/>
      </c>
      <c r="I503" s="28">
        <f>IF(Responses!AS499="","",Responses!AO499&amp;"")</f>
        <v/>
      </c>
      <c r="J503" s="28">
        <f>IF(Responses!AS499="","",Responses!AZ499&amp;"")</f>
        <v/>
      </c>
      <c r="K503" s="29">
        <f>Responses!AY499</f>
        <v/>
      </c>
      <c r="L503" s="28">
        <f>IF(Responses!AS499="","",IF(Responses!AY499="Declined","",IF(Responses!BA499=0,"Check date and times",IF(Responses!BB499&gt;0,Responses!BC499,"No clash"))))</f>
        <v/>
      </c>
    </row>
    <row r="504">
      <c r="A504" s="27">
        <f>IF(Responses!AS500="","",IF(Responses!AT500&gt;0,Responses!AT500,"Check date"))</f>
        <v/>
      </c>
      <c r="B504" s="28">
        <f>Responses!AS500</f>
        <v/>
      </c>
      <c r="C504" s="29">
        <f>IF(Responses!AS500="","",IF(Responses!AU500&gt;=0,IF(Responses!AU500="","",RIGHT("0"&amp;INT(Responses!AU500/60),2)&amp;":"&amp;RIGHT("0"&amp;MOD(Responses!AU500,60),2)),"Check"))</f>
        <v/>
      </c>
      <c r="D504" s="29">
        <f>IF(Responses!AS500="","",IF(Responses!AV500&gt;=0,IF(Responses!AV500="","",RIGHT("0"&amp;INT(Responses!AV500/60),2)&amp;":"&amp;RIGHT("0"&amp;MOD(Responses!AV500,60),2)),"Check"))</f>
        <v/>
      </c>
      <c r="E504" s="28">
        <f>Responses!AW500</f>
        <v/>
      </c>
      <c r="F504" s="29">
        <f>Responses!AX500</f>
        <v/>
      </c>
      <c r="G504" s="29">
        <f>IF(Responses!AS500="","",IF(AND(ISNUMBER(Responses!AX500),ISNUMBER(IFERROR(VALUE(INDEX(Spaces!$B$5:$B$16,MATCH(Responses!AS500,Spaces!$A$5:$A$16,0))&amp;""),""))),IF(Responses!AX500&gt;IFERROR(VALUE(INDEX(Spaces!$B$5:$B$16,MATCH(Responses!AS500,Spaces!$A$5:$A$16,0))&amp;""),""),"Over by "&amp;(Responses!AX500-IFERROR(VALUE(INDEX(Spaces!$B$5:$B$16,MATCH(Responses!AS500,Spaces!$A$5:$A$16,0))&amp;""),"")),"OK"),""))</f>
        <v/>
      </c>
      <c r="H504" s="28">
        <f>Responses!BF500</f>
        <v/>
      </c>
      <c r="I504" s="28">
        <f>IF(Responses!AS500="","",Responses!AO500&amp;"")</f>
        <v/>
      </c>
      <c r="J504" s="28">
        <f>IF(Responses!AS500="","",Responses!AZ500&amp;"")</f>
        <v/>
      </c>
      <c r="K504" s="29">
        <f>Responses!AY500</f>
        <v/>
      </c>
      <c r="L504" s="28">
        <f>IF(Responses!AS500="","",IF(Responses!AY500="Declined","",IF(Responses!BA500=0,"Check date and times",IF(Responses!BB500&gt;0,Responses!BC500,"No clash"))))</f>
        <v/>
      </c>
    </row>
    <row r="505">
      <c r="A505" s="27">
        <f>IF(Responses!AS501="","",IF(Responses!AT501&gt;0,Responses!AT501,"Check date"))</f>
        <v/>
      </c>
      <c r="B505" s="28">
        <f>Responses!AS501</f>
        <v/>
      </c>
      <c r="C505" s="29">
        <f>IF(Responses!AS501="","",IF(Responses!AU501&gt;=0,IF(Responses!AU501="","",RIGHT("0"&amp;INT(Responses!AU501/60),2)&amp;":"&amp;RIGHT("0"&amp;MOD(Responses!AU501,60),2)),"Check"))</f>
        <v/>
      </c>
      <c r="D505" s="29">
        <f>IF(Responses!AS501="","",IF(Responses!AV501&gt;=0,IF(Responses!AV501="","",RIGHT("0"&amp;INT(Responses!AV501/60),2)&amp;":"&amp;RIGHT("0"&amp;MOD(Responses!AV501,60),2)),"Check"))</f>
        <v/>
      </c>
      <c r="E505" s="28">
        <f>Responses!AW501</f>
        <v/>
      </c>
      <c r="F505" s="29">
        <f>Responses!AX501</f>
        <v/>
      </c>
      <c r="G505" s="29">
        <f>IF(Responses!AS501="","",IF(AND(ISNUMBER(Responses!AX501),ISNUMBER(IFERROR(VALUE(INDEX(Spaces!$B$5:$B$16,MATCH(Responses!AS501,Spaces!$A$5:$A$16,0))&amp;""),""))),IF(Responses!AX501&gt;IFERROR(VALUE(INDEX(Spaces!$B$5:$B$16,MATCH(Responses!AS501,Spaces!$A$5:$A$16,0))&amp;""),""),"Over by "&amp;(Responses!AX501-IFERROR(VALUE(INDEX(Spaces!$B$5:$B$16,MATCH(Responses!AS501,Spaces!$A$5:$A$16,0))&amp;""),"")),"OK"),""))</f>
        <v/>
      </c>
      <c r="H505" s="28">
        <f>Responses!BF501</f>
        <v/>
      </c>
      <c r="I505" s="28">
        <f>IF(Responses!AS501="","",Responses!AO501&amp;"")</f>
        <v/>
      </c>
      <c r="J505" s="28">
        <f>IF(Responses!AS501="","",Responses!AZ501&amp;"")</f>
        <v/>
      </c>
      <c r="K505" s="29">
        <f>Responses!AY501</f>
        <v/>
      </c>
      <c r="L505" s="28">
        <f>IF(Responses!AS501="","",IF(Responses!AY501="Declined","",IF(Responses!BA501=0,"Check date and times",IF(Responses!BB501&gt;0,Responses!BC501,"No clash"))))</f>
        <v/>
      </c>
    </row>
  </sheetData>
  <conditionalFormatting sqref="L6:L505">
    <cfRule type="expression" priority="1" dxfId="0">
      <formula>OR(LEFT(L6,8)="Clashes ",LEFT(L6,5)="Check")</formula>
    </cfRule>
  </conditionalFormatting>
  <conditionalFormatting sqref="G6:G505">
    <cfRule type="expression" priority="2" dxfId="0">
      <formula>LEFT(G6,4)="Over"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/>
  </sheetPr>
  <dimension ref="A1:G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8" customWidth="1" min="4" max="4"/>
    <col width="26" customWidth="1" min="5" max="5"/>
    <col width="8" customWidth="1" min="6" max="6"/>
    <col width="30" customWidth="1" min="7" max="7"/>
  </cols>
  <sheetData>
    <row r="1">
      <c r="A1" s="24" t="inlineStr">
        <is>
          <t>Calendar: confirmed bookings in date order</t>
        </is>
      </c>
    </row>
    <row r="2">
      <c r="A2" s="25" t="inlineStr">
        <is>
          <t>Only requests with Status Confirmed and a usable date and time show here. Mark a request Confirmed on Responses.</t>
        </is>
      </c>
    </row>
    <row r="3">
      <c r="A3" s="26">
        <f>IF(COUNTIF(Responses!$A$2:$A$501,"EXAMPLE*")&gt;0,"You are looking at EXAMPLE data. Clear A2 to AQ9 on Responses, then paste your own.","")</f>
        <v/>
      </c>
    </row>
    <row r="5" ht="26" customHeight="1">
      <c r="A5" s="3" t="inlineStr">
        <is>
          <t>Date</t>
        </is>
      </c>
      <c r="B5" s="3" t="inlineStr">
        <is>
          <t>Start</t>
        </is>
      </c>
      <c r="C5" s="3" t="inlineStr">
        <is>
          <t>End</t>
        </is>
      </c>
      <c r="D5" s="3" t="inlineStr">
        <is>
          <t>Space</t>
        </is>
      </c>
      <c r="E5" s="3" t="inlineStr">
        <is>
          <t>Group or name</t>
        </is>
      </c>
      <c r="F5" s="3" t="inlineStr">
        <is>
          <t>People</t>
        </is>
      </c>
      <c r="G5" s="3" t="inlineStr">
        <is>
          <t>Event</t>
        </is>
      </c>
    </row>
    <row r="6">
      <c r="A6" s="30">
        <f>IFERROR(INT(SMALL(Responses!$BD$2:$BD$501,1)/10000000),"")</f>
        <v/>
      </c>
      <c r="B6" s="28">
        <f>IFERROR(IF(INDEX(Responses!$AU$2:$AU$501,MOD(SMALL(Responses!$BD$2:$BD$501,1),1000)-1)="","",RIGHT("0"&amp;INT(INDEX(Responses!$AU$2:$AU$501,MOD(SMALL(Responses!$BD$2:$BD$501,1),1000)-1)/60),2)&amp;":"&amp;RIGHT("0"&amp;MOD(INDEX(Responses!$AU$2:$AU$501,MOD(SMALL(Responses!$BD$2:$BD$501,1),1000)-1),60),2)),"")</f>
        <v/>
      </c>
      <c r="C6" s="28">
        <f>IFERROR(IF(INDEX(Responses!$AV$2:$AV$501,MOD(SMALL(Responses!$BD$2:$BD$501,1),1000)-1)="","",RIGHT("0"&amp;INT(INDEX(Responses!$AV$2:$AV$501,MOD(SMALL(Responses!$BD$2:$BD$501,1),1000)-1)/60),2)&amp;":"&amp;RIGHT("0"&amp;MOD(INDEX(Responses!$AV$2:$AV$501,MOD(SMALL(Responses!$BD$2:$BD$501,1),1000)-1),60),2)),"")</f>
        <v/>
      </c>
      <c r="D6" s="28">
        <f>IFERROR(INDEX(Responses!$AS$2:$AS$501,MOD(SMALL(Responses!$BD$2:$BD$501,1),1000)-1),"")</f>
        <v/>
      </c>
      <c r="E6" s="28">
        <f>IFERROR(INDEX(Responses!$AW$2:$AW$501,MOD(SMALL(Responses!$BD$2:$BD$501,1),1000)-1),"")</f>
        <v/>
      </c>
      <c r="F6" s="28">
        <f>IFERROR(INDEX(Responses!$AX$2:$AX$501,MOD(SMALL(Responses!$BD$2:$BD$501,1),1000)-1),"")</f>
        <v/>
      </c>
      <c r="G6" s="28">
        <f>IFERROR(INDEX(Responses!$BE$2:$BE$501,MOD(SMALL(Responses!$BD$2:$BD$501,1),1000)-1),"")</f>
        <v/>
      </c>
    </row>
    <row r="7">
      <c r="A7" s="30">
        <f>IFERROR(INT(SMALL(Responses!$BD$2:$BD$501,2)/10000000),"")</f>
        <v/>
      </c>
      <c r="B7" s="28">
        <f>IFERROR(IF(INDEX(Responses!$AU$2:$AU$501,MOD(SMALL(Responses!$BD$2:$BD$501,2),1000)-1)="","",RIGHT("0"&amp;INT(INDEX(Responses!$AU$2:$AU$501,MOD(SMALL(Responses!$BD$2:$BD$501,2),1000)-1)/60),2)&amp;":"&amp;RIGHT("0"&amp;MOD(INDEX(Responses!$AU$2:$AU$501,MOD(SMALL(Responses!$BD$2:$BD$501,2),1000)-1),60),2)),"")</f>
        <v/>
      </c>
      <c r="C7" s="28">
        <f>IFERROR(IF(INDEX(Responses!$AV$2:$AV$501,MOD(SMALL(Responses!$BD$2:$BD$501,2),1000)-1)="","",RIGHT("0"&amp;INT(INDEX(Responses!$AV$2:$AV$501,MOD(SMALL(Responses!$BD$2:$BD$501,2),1000)-1)/60),2)&amp;":"&amp;RIGHT("0"&amp;MOD(INDEX(Responses!$AV$2:$AV$501,MOD(SMALL(Responses!$BD$2:$BD$501,2),1000)-1),60),2)),"")</f>
        <v/>
      </c>
      <c r="D7" s="28">
        <f>IFERROR(INDEX(Responses!$AS$2:$AS$501,MOD(SMALL(Responses!$BD$2:$BD$501,2),1000)-1),"")</f>
        <v/>
      </c>
      <c r="E7" s="28">
        <f>IFERROR(INDEX(Responses!$AW$2:$AW$501,MOD(SMALL(Responses!$BD$2:$BD$501,2),1000)-1),"")</f>
        <v/>
      </c>
      <c r="F7" s="28">
        <f>IFERROR(INDEX(Responses!$AX$2:$AX$501,MOD(SMALL(Responses!$BD$2:$BD$501,2),1000)-1),"")</f>
        <v/>
      </c>
      <c r="G7" s="28">
        <f>IFERROR(INDEX(Responses!$BE$2:$BE$501,MOD(SMALL(Responses!$BD$2:$BD$501,2),1000)-1),"")</f>
        <v/>
      </c>
    </row>
    <row r="8">
      <c r="A8" s="30">
        <f>IFERROR(INT(SMALL(Responses!$BD$2:$BD$501,3)/10000000),"")</f>
        <v/>
      </c>
      <c r="B8" s="28">
        <f>IFERROR(IF(INDEX(Responses!$AU$2:$AU$501,MOD(SMALL(Responses!$BD$2:$BD$501,3),1000)-1)="","",RIGHT("0"&amp;INT(INDEX(Responses!$AU$2:$AU$501,MOD(SMALL(Responses!$BD$2:$BD$501,3),1000)-1)/60),2)&amp;":"&amp;RIGHT("0"&amp;MOD(INDEX(Responses!$AU$2:$AU$501,MOD(SMALL(Responses!$BD$2:$BD$501,3),1000)-1),60),2)),"")</f>
        <v/>
      </c>
      <c r="C8" s="28">
        <f>IFERROR(IF(INDEX(Responses!$AV$2:$AV$501,MOD(SMALL(Responses!$BD$2:$BD$501,3),1000)-1)="","",RIGHT("0"&amp;INT(INDEX(Responses!$AV$2:$AV$501,MOD(SMALL(Responses!$BD$2:$BD$501,3),1000)-1)/60),2)&amp;":"&amp;RIGHT("0"&amp;MOD(INDEX(Responses!$AV$2:$AV$501,MOD(SMALL(Responses!$BD$2:$BD$501,3),1000)-1),60),2)),"")</f>
        <v/>
      </c>
      <c r="D8" s="28">
        <f>IFERROR(INDEX(Responses!$AS$2:$AS$501,MOD(SMALL(Responses!$BD$2:$BD$501,3),1000)-1),"")</f>
        <v/>
      </c>
      <c r="E8" s="28">
        <f>IFERROR(INDEX(Responses!$AW$2:$AW$501,MOD(SMALL(Responses!$BD$2:$BD$501,3),1000)-1),"")</f>
        <v/>
      </c>
      <c r="F8" s="28">
        <f>IFERROR(INDEX(Responses!$AX$2:$AX$501,MOD(SMALL(Responses!$BD$2:$BD$501,3),1000)-1),"")</f>
        <v/>
      </c>
      <c r="G8" s="28">
        <f>IFERROR(INDEX(Responses!$BE$2:$BE$501,MOD(SMALL(Responses!$BD$2:$BD$501,3),1000)-1),"")</f>
        <v/>
      </c>
    </row>
    <row r="9">
      <c r="A9" s="30">
        <f>IFERROR(INT(SMALL(Responses!$BD$2:$BD$501,4)/10000000),"")</f>
        <v/>
      </c>
      <c r="B9" s="28">
        <f>IFERROR(IF(INDEX(Responses!$AU$2:$AU$501,MOD(SMALL(Responses!$BD$2:$BD$501,4),1000)-1)="","",RIGHT("0"&amp;INT(INDEX(Responses!$AU$2:$AU$501,MOD(SMALL(Responses!$BD$2:$BD$501,4),1000)-1)/60),2)&amp;":"&amp;RIGHT("0"&amp;MOD(INDEX(Responses!$AU$2:$AU$501,MOD(SMALL(Responses!$BD$2:$BD$501,4),1000)-1),60),2)),"")</f>
        <v/>
      </c>
      <c r="C9" s="28">
        <f>IFERROR(IF(INDEX(Responses!$AV$2:$AV$501,MOD(SMALL(Responses!$BD$2:$BD$501,4),1000)-1)="","",RIGHT("0"&amp;INT(INDEX(Responses!$AV$2:$AV$501,MOD(SMALL(Responses!$BD$2:$BD$501,4),1000)-1)/60),2)&amp;":"&amp;RIGHT("0"&amp;MOD(INDEX(Responses!$AV$2:$AV$501,MOD(SMALL(Responses!$BD$2:$BD$501,4),1000)-1),60),2)),"")</f>
        <v/>
      </c>
      <c r="D9" s="28">
        <f>IFERROR(INDEX(Responses!$AS$2:$AS$501,MOD(SMALL(Responses!$BD$2:$BD$501,4),1000)-1),"")</f>
        <v/>
      </c>
      <c r="E9" s="28">
        <f>IFERROR(INDEX(Responses!$AW$2:$AW$501,MOD(SMALL(Responses!$BD$2:$BD$501,4),1000)-1),"")</f>
        <v/>
      </c>
      <c r="F9" s="28">
        <f>IFERROR(INDEX(Responses!$AX$2:$AX$501,MOD(SMALL(Responses!$BD$2:$BD$501,4),1000)-1),"")</f>
        <v/>
      </c>
      <c r="G9" s="28">
        <f>IFERROR(INDEX(Responses!$BE$2:$BE$501,MOD(SMALL(Responses!$BD$2:$BD$501,4),1000)-1),"")</f>
        <v/>
      </c>
    </row>
    <row r="10">
      <c r="A10" s="30">
        <f>IFERROR(INT(SMALL(Responses!$BD$2:$BD$501,5)/10000000),"")</f>
        <v/>
      </c>
      <c r="B10" s="28">
        <f>IFERROR(IF(INDEX(Responses!$AU$2:$AU$501,MOD(SMALL(Responses!$BD$2:$BD$501,5),1000)-1)="","",RIGHT("0"&amp;INT(INDEX(Responses!$AU$2:$AU$501,MOD(SMALL(Responses!$BD$2:$BD$501,5),1000)-1)/60),2)&amp;":"&amp;RIGHT("0"&amp;MOD(INDEX(Responses!$AU$2:$AU$501,MOD(SMALL(Responses!$BD$2:$BD$501,5),1000)-1),60),2)),"")</f>
        <v/>
      </c>
      <c r="C10" s="28">
        <f>IFERROR(IF(INDEX(Responses!$AV$2:$AV$501,MOD(SMALL(Responses!$BD$2:$BD$501,5),1000)-1)="","",RIGHT("0"&amp;INT(INDEX(Responses!$AV$2:$AV$501,MOD(SMALL(Responses!$BD$2:$BD$501,5),1000)-1)/60),2)&amp;":"&amp;RIGHT("0"&amp;MOD(INDEX(Responses!$AV$2:$AV$501,MOD(SMALL(Responses!$BD$2:$BD$501,5),1000)-1),60),2)),"")</f>
        <v/>
      </c>
      <c r="D10" s="28">
        <f>IFERROR(INDEX(Responses!$AS$2:$AS$501,MOD(SMALL(Responses!$BD$2:$BD$501,5),1000)-1),"")</f>
        <v/>
      </c>
      <c r="E10" s="28">
        <f>IFERROR(INDEX(Responses!$AW$2:$AW$501,MOD(SMALL(Responses!$BD$2:$BD$501,5),1000)-1),"")</f>
        <v/>
      </c>
      <c r="F10" s="28">
        <f>IFERROR(INDEX(Responses!$AX$2:$AX$501,MOD(SMALL(Responses!$BD$2:$BD$501,5),1000)-1),"")</f>
        <v/>
      </c>
      <c r="G10" s="28">
        <f>IFERROR(INDEX(Responses!$BE$2:$BE$501,MOD(SMALL(Responses!$BD$2:$BD$501,5),1000)-1),"")</f>
        <v/>
      </c>
    </row>
    <row r="11">
      <c r="A11" s="30">
        <f>IFERROR(INT(SMALL(Responses!$BD$2:$BD$501,6)/10000000),"")</f>
        <v/>
      </c>
      <c r="B11" s="28">
        <f>IFERROR(IF(INDEX(Responses!$AU$2:$AU$501,MOD(SMALL(Responses!$BD$2:$BD$501,6),1000)-1)="","",RIGHT("0"&amp;INT(INDEX(Responses!$AU$2:$AU$501,MOD(SMALL(Responses!$BD$2:$BD$501,6),1000)-1)/60),2)&amp;":"&amp;RIGHT("0"&amp;MOD(INDEX(Responses!$AU$2:$AU$501,MOD(SMALL(Responses!$BD$2:$BD$501,6),1000)-1),60),2)),"")</f>
        <v/>
      </c>
      <c r="C11" s="28">
        <f>IFERROR(IF(INDEX(Responses!$AV$2:$AV$501,MOD(SMALL(Responses!$BD$2:$BD$501,6),1000)-1)="","",RIGHT("0"&amp;INT(INDEX(Responses!$AV$2:$AV$501,MOD(SMALL(Responses!$BD$2:$BD$501,6),1000)-1)/60),2)&amp;":"&amp;RIGHT("0"&amp;MOD(INDEX(Responses!$AV$2:$AV$501,MOD(SMALL(Responses!$BD$2:$BD$501,6),1000)-1),60),2)),"")</f>
        <v/>
      </c>
      <c r="D11" s="28">
        <f>IFERROR(INDEX(Responses!$AS$2:$AS$501,MOD(SMALL(Responses!$BD$2:$BD$501,6),1000)-1),"")</f>
        <v/>
      </c>
      <c r="E11" s="28">
        <f>IFERROR(INDEX(Responses!$AW$2:$AW$501,MOD(SMALL(Responses!$BD$2:$BD$501,6),1000)-1),"")</f>
        <v/>
      </c>
      <c r="F11" s="28">
        <f>IFERROR(INDEX(Responses!$AX$2:$AX$501,MOD(SMALL(Responses!$BD$2:$BD$501,6),1000)-1),"")</f>
        <v/>
      </c>
      <c r="G11" s="28">
        <f>IFERROR(INDEX(Responses!$BE$2:$BE$501,MOD(SMALL(Responses!$BD$2:$BD$501,6),1000)-1),"")</f>
        <v/>
      </c>
    </row>
    <row r="12">
      <c r="A12" s="30">
        <f>IFERROR(INT(SMALL(Responses!$BD$2:$BD$501,7)/10000000),"")</f>
        <v/>
      </c>
      <c r="B12" s="28">
        <f>IFERROR(IF(INDEX(Responses!$AU$2:$AU$501,MOD(SMALL(Responses!$BD$2:$BD$501,7),1000)-1)="","",RIGHT("0"&amp;INT(INDEX(Responses!$AU$2:$AU$501,MOD(SMALL(Responses!$BD$2:$BD$501,7),1000)-1)/60),2)&amp;":"&amp;RIGHT("0"&amp;MOD(INDEX(Responses!$AU$2:$AU$501,MOD(SMALL(Responses!$BD$2:$BD$501,7),1000)-1),60),2)),"")</f>
        <v/>
      </c>
      <c r="C12" s="28">
        <f>IFERROR(IF(INDEX(Responses!$AV$2:$AV$501,MOD(SMALL(Responses!$BD$2:$BD$501,7),1000)-1)="","",RIGHT("0"&amp;INT(INDEX(Responses!$AV$2:$AV$501,MOD(SMALL(Responses!$BD$2:$BD$501,7),1000)-1)/60),2)&amp;":"&amp;RIGHT("0"&amp;MOD(INDEX(Responses!$AV$2:$AV$501,MOD(SMALL(Responses!$BD$2:$BD$501,7),1000)-1),60),2)),"")</f>
        <v/>
      </c>
      <c r="D12" s="28">
        <f>IFERROR(INDEX(Responses!$AS$2:$AS$501,MOD(SMALL(Responses!$BD$2:$BD$501,7),1000)-1),"")</f>
        <v/>
      </c>
      <c r="E12" s="28">
        <f>IFERROR(INDEX(Responses!$AW$2:$AW$501,MOD(SMALL(Responses!$BD$2:$BD$501,7),1000)-1),"")</f>
        <v/>
      </c>
      <c r="F12" s="28">
        <f>IFERROR(INDEX(Responses!$AX$2:$AX$501,MOD(SMALL(Responses!$BD$2:$BD$501,7),1000)-1),"")</f>
        <v/>
      </c>
      <c r="G12" s="28">
        <f>IFERROR(INDEX(Responses!$BE$2:$BE$501,MOD(SMALL(Responses!$BD$2:$BD$501,7),1000)-1),"")</f>
        <v/>
      </c>
    </row>
    <row r="13">
      <c r="A13" s="30">
        <f>IFERROR(INT(SMALL(Responses!$BD$2:$BD$501,8)/10000000),"")</f>
        <v/>
      </c>
      <c r="B13" s="28">
        <f>IFERROR(IF(INDEX(Responses!$AU$2:$AU$501,MOD(SMALL(Responses!$BD$2:$BD$501,8),1000)-1)="","",RIGHT("0"&amp;INT(INDEX(Responses!$AU$2:$AU$501,MOD(SMALL(Responses!$BD$2:$BD$501,8),1000)-1)/60),2)&amp;":"&amp;RIGHT("0"&amp;MOD(INDEX(Responses!$AU$2:$AU$501,MOD(SMALL(Responses!$BD$2:$BD$501,8),1000)-1),60),2)),"")</f>
        <v/>
      </c>
      <c r="C13" s="28">
        <f>IFERROR(IF(INDEX(Responses!$AV$2:$AV$501,MOD(SMALL(Responses!$BD$2:$BD$501,8),1000)-1)="","",RIGHT("0"&amp;INT(INDEX(Responses!$AV$2:$AV$501,MOD(SMALL(Responses!$BD$2:$BD$501,8),1000)-1)/60),2)&amp;":"&amp;RIGHT("0"&amp;MOD(INDEX(Responses!$AV$2:$AV$501,MOD(SMALL(Responses!$BD$2:$BD$501,8),1000)-1),60),2)),"")</f>
        <v/>
      </c>
      <c r="D13" s="28">
        <f>IFERROR(INDEX(Responses!$AS$2:$AS$501,MOD(SMALL(Responses!$BD$2:$BD$501,8),1000)-1),"")</f>
        <v/>
      </c>
      <c r="E13" s="28">
        <f>IFERROR(INDEX(Responses!$AW$2:$AW$501,MOD(SMALL(Responses!$BD$2:$BD$501,8),1000)-1),"")</f>
        <v/>
      </c>
      <c r="F13" s="28">
        <f>IFERROR(INDEX(Responses!$AX$2:$AX$501,MOD(SMALL(Responses!$BD$2:$BD$501,8),1000)-1),"")</f>
        <v/>
      </c>
      <c r="G13" s="28">
        <f>IFERROR(INDEX(Responses!$BE$2:$BE$501,MOD(SMALL(Responses!$BD$2:$BD$501,8),1000)-1),"")</f>
        <v/>
      </c>
    </row>
    <row r="14">
      <c r="A14" s="30">
        <f>IFERROR(INT(SMALL(Responses!$BD$2:$BD$501,9)/10000000),"")</f>
        <v/>
      </c>
      <c r="B14" s="28">
        <f>IFERROR(IF(INDEX(Responses!$AU$2:$AU$501,MOD(SMALL(Responses!$BD$2:$BD$501,9),1000)-1)="","",RIGHT("0"&amp;INT(INDEX(Responses!$AU$2:$AU$501,MOD(SMALL(Responses!$BD$2:$BD$501,9),1000)-1)/60),2)&amp;":"&amp;RIGHT("0"&amp;MOD(INDEX(Responses!$AU$2:$AU$501,MOD(SMALL(Responses!$BD$2:$BD$501,9),1000)-1),60),2)),"")</f>
        <v/>
      </c>
      <c r="C14" s="28">
        <f>IFERROR(IF(INDEX(Responses!$AV$2:$AV$501,MOD(SMALL(Responses!$BD$2:$BD$501,9),1000)-1)="","",RIGHT("0"&amp;INT(INDEX(Responses!$AV$2:$AV$501,MOD(SMALL(Responses!$BD$2:$BD$501,9),1000)-1)/60),2)&amp;":"&amp;RIGHT("0"&amp;MOD(INDEX(Responses!$AV$2:$AV$501,MOD(SMALL(Responses!$BD$2:$BD$501,9),1000)-1),60),2)),"")</f>
        <v/>
      </c>
      <c r="D14" s="28">
        <f>IFERROR(INDEX(Responses!$AS$2:$AS$501,MOD(SMALL(Responses!$BD$2:$BD$501,9),1000)-1),"")</f>
        <v/>
      </c>
      <c r="E14" s="28">
        <f>IFERROR(INDEX(Responses!$AW$2:$AW$501,MOD(SMALL(Responses!$BD$2:$BD$501,9),1000)-1),"")</f>
        <v/>
      </c>
      <c r="F14" s="28">
        <f>IFERROR(INDEX(Responses!$AX$2:$AX$501,MOD(SMALL(Responses!$BD$2:$BD$501,9),1000)-1),"")</f>
        <v/>
      </c>
      <c r="G14" s="28">
        <f>IFERROR(INDEX(Responses!$BE$2:$BE$501,MOD(SMALL(Responses!$BD$2:$BD$501,9),1000)-1),"")</f>
        <v/>
      </c>
    </row>
    <row r="15">
      <c r="A15" s="30">
        <f>IFERROR(INT(SMALL(Responses!$BD$2:$BD$501,10)/10000000),"")</f>
        <v/>
      </c>
      <c r="B15" s="28">
        <f>IFERROR(IF(INDEX(Responses!$AU$2:$AU$501,MOD(SMALL(Responses!$BD$2:$BD$501,10),1000)-1)="","",RIGHT("0"&amp;INT(INDEX(Responses!$AU$2:$AU$501,MOD(SMALL(Responses!$BD$2:$BD$501,10),1000)-1)/60),2)&amp;":"&amp;RIGHT("0"&amp;MOD(INDEX(Responses!$AU$2:$AU$501,MOD(SMALL(Responses!$BD$2:$BD$501,10),1000)-1),60),2)),"")</f>
        <v/>
      </c>
      <c r="C15" s="28">
        <f>IFERROR(IF(INDEX(Responses!$AV$2:$AV$501,MOD(SMALL(Responses!$BD$2:$BD$501,10),1000)-1)="","",RIGHT("0"&amp;INT(INDEX(Responses!$AV$2:$AV$501,MOD(SMALL(Responses!$BD$2:$BD$501,10),1000)-1)/60),2)&amp;":"&amp;RIGHT("0"&amp;MOD(INDEX(Responses!$AV$2:$AV$501,MOD(SMALL(Responses!$BD$2:$BD$501,10),1000)-1),60),2)),"")</f>
        <v/>
      </c>
      <c r="D15" s="28">
        <f>IFERROR(INDEX(Responses!$AS$2:$AS$501,MOD(SMALL(Responses!$BD$2:$BD$501,10),1000)-1),"")</f>
        <v/>
      </c>
      <c r="E15" s="28">
        <f>IFERROR(INDEX(Responses!$AW$2:$AW$501,MOD(SMALL(Responses!$BD$2:$BD$501,10),1000)-1),"")</f>
        <v/>
      </c>
      <c r="F15" s="28">
        <f>IFERROR(INDEX(Responses!$AX$2:$AX$501,MOD(SMALL(Responses!$BD$2:$BD$501,10),1000)-1),"")</f>
        <v/>
      </c>
      <c r="G15" s="28">
        <f>IFERROR(INDEX(Responses!$BE$2:$BE$501,MOD(SMALL(Responses!$BD$2:$BD$501,10),1000)-1),"")</f>
        <v/>
      </c>
    </row>
    <row r="16">
      <c r="A16" s="30">
        <f>IFERROR(INT(SMALL(Responses!$BD$2:$BD$501,11)/10000000),"")</f>
        <v/>
      </c>
      <c r="B16" s="28">
        <f>IFERROR(IF(INDEX(Responses!$AU$2:$AU$501,MOD(SMALL(Responses!$BD$2:$BD$501,11),1000)-1)="","",RIGHT("0"&amp;INT(INDEX(Responses!$AU$2:$AU$501,MOD(SMALL(Responses!$BD$2:$BD$501,11),1000)-1)/60),2)&amp;":"&amp;RIGHT("0"&amp;MOD(INDEX(Responses!$AU$2:$AU$501,MOD(SMALL(Responses!$BD$2:$BD$501,11),1000)-1),60),2)),"")</f>
        <v/>
      </c>
      <c r="C16" s="28">
        <f>IFERROR(IF(INDEX(Responses!$AV$2:$AV$501,MOD(SMALL(Responses!$BD$2:$BD$501,11),1000)-1)="","",RIGHT("0"&amp;INT(INDEX(Responses!$AV$2:$AV$501,MOD(SMALL(Responses!$BD$2:$BD$501,11),1000)-1)/60),2)&amp;":"&amp;RIGHT("0"&amp;MOD(INDEX(Responses!$AV$2:$AV$501,MOD(SMALL(Responses!$BD$2:$BD$501,11),1000)-1),60),2)),"")</f>
        <v/>
      </c>
      <c r="D16" s="28">
        <f>IFERROR(INDEX(Responses!$AS$2:$AS$501,MOD(SMALL(Responses!$BD$2:$BD$501,11),1000)-1),"")</f>
        <v/>
      </c>
      <c r="E16" s="28">
        <f>IFERROR(INDEX(Responses!$AW$2:$AW$501,MOD(SMALL(Responses!$BD$2:$BD$501,11),1000)-1),"")</f>
        <v/>
      </c>
      <c r="F16" s="28">
        <f>IFERROR(INDEX(Responses!$AX$2:$AX$501,MOD(SMALL(Responses!$BD$2:$BD$501,11),1000)-1),"")</f>
        <v/>
      </c>
      <c r="G16" s="28">
        <f>IFERROR(INDEX(Responses!$BE$2:$BE$501,MOD(SMALL(Responses!$BD$2:$BD$501,11),1000)-1),"")</f>
        <v/>
      </c>
    </row>
    <row r="17">
      <c r="A17" s="30">
        <f>IFERROR(INT(SMALL(Responses!$BD$2:$BD$501,12)/10000000),"")</f>
        <v/>
      </c>
      <c r="B17" s="28">
        <f>IFERROR(IF(INDEX(Responses!$AU$2:$AU$501,MOD(SMALL(Responses!$BD$2:$BD$501,12),1000)-1)="","",RIGHT("0"&amp;INT(INDEX(Responses!$AU$2:$AU$501,MOD(SMALL(Responses!$BD$2:$BD$501,12),1000)-1)/60),2)&amp;":"&amp;RIGHT("0"&amp;MOD(INDEX(Responses!$AU$2:$AU$501,MOD(SMALL(Responses!$BD$2:$BD$501,12),1000)-1),60),2)),"")</f>
        <v/>
      </c>
      <c r="C17" s="28">
        <f>IFERROR(IF(INDEX(Responses!$AV$2:$AV$501,MOD(SMALL(Responses!$BD$2:$BD$501,12),1000)-1)="","",RIGHT("0"&amp;INT(INDEX(Responses!$AV$2:$AV$501,MOD(SMALL(Responses!$BD$2:$BD$501,12),1000)-1)/60),2)&amp;":"&amp;RIGHT("0"&amp;MOD(INDEX(Responses!$AV$2:$AV$501,MOD(SMALL(Responses!$BD$2:$BD$501,12),1000)-1),60),2)),"")</f>
        <v/>
      </c>
      <c r="D17" s="28">
        <f>IFERROR(INDEX(Responses!$AS$2:$AS$501,MOD(SMALL(Responses!$BD$2:$BD$501,12),1000)-1),"")</f>
        <v/>
      </c>
      <c r="E17" s="28">
        <f>IFERROR(INDEX(Responses!$AW$2:$AW$501,MOD(SMALL(Responses!$BD$2:$BD$501,12),1000)-1),"")</f>
        <v/>
      </c>
      <c r="F17" s="28">
        <f>IFERROR(INDEX(Responses!$AX$2:$AX$501,MOD(SMALL(Responses!$BD$2:$BD$501,12),1000)-1),"")</f>
        <v/>
      </c>
      <c r="G17" s="28">
        <f>IFERROR(INDEX(Responses!$BE$2:$BE$501,MOD(SMALL(Responses!$BD$2:$BD$501,12),1000)-1),"")</f>
        <v/>
      </c>
    </row>
    <row r="18">
      <c r="A18" s="30">
        <f>IFERROR(INT(SMALL(Responses!$BD$2:$BD$501,13)/10000000),"")</f>
        <v/>
      </c>
      <c r="B18" s="28">
        <f>IFERROR(IF(INDEX(Responses!$AU$2:$AU$501,MOD(SMALL(Responses!$BD$2:$BD$501,13),1000)-1)="","",RIGHT("0"&amp;INT(INDEX(Responses!$AU$2:$AU$501,MOD(SMALL(Responses!$BD$2:$BD$501,13),1000)-1)/60),2)&amp;":"&amp;RIGHT("0"&amp;MOD(INDEX(Responses!$AU$2:$AU$501,MOD(SMALL(Responses!$BD$2:$BD$501,13),1000)-1),60),2)),"")</f>
        <v/>
      </c>
      <c r="C18" s="28">
        <f>IFERROR(IF(INDEX(Responses!$AV$2:$AV$501,MOD(SMALL(Responses!$BD$2:$BD$501,13),1000)-1)="","",RIGHT("0"&amp;INT(INDEX(Responses!$AV$2:$AV$501,MOD(SMALL(Responses!$BD$2:$BD$501,13),1000)-1)/60),2)&amp;":"&amp;RIGHT("0"&amp;MOD(INDEX(Responses!$AV$2:$AV$501,MOD(SMALL(Responses!$BD$2:$BD$501,13),1000)-1),60),2)),"")</f>
        <v/>
      </c>
      <c r="D18" s="28">
        <f>IFERROR(INDEX(Responses!$AS$2:$AS$501,MOD(SMALL(Responses!$BD$2:$BD$501,13),1000)-1),"")</f>
        <v/>
      </c>
      <c r="E18" s="28">
        <f>IFERROR(INDEX(Responses!$AW$2:$AW$501,MOD(SMALL(Responses!$BD$2:$BD$501,13),1000)-1),"")</f>
        <v/>
      </c>
      <c r="F18" s="28">
        <f>IFERROR(INDEX(Responses!$AX$2:$AX$501,MOD(SMALL(Responses!$BD$2:$BD$501,13),1000)-1),"")</f>
        <v/>
      </c>
      <c r="G18" s="28">
        <f>IFERROR(INDEX(Responses!$BE$2:$BE$501,MOD(SMALL(Responses!$BD$2:$BD$501,13),1000)-1),"")</f>
        <v/>
      </c>
    </row>
    <row r="19">
      <c r="A19" s="30">
        <f>IFERROR(INT(SMALL(Responses!$BD$2:$BD$501,14)/10000000),"")</f>
        <v/>
      </c>
      <c r="B19" s="28">
        <f>IFERROR(IF(INDEX(Responses!$AU$2:$AU$501,MOD(SMALL(Responses!$BD$2:$BD$501,14),1000)-1)="","",RIGHT("0"&amp;INT(INDEX(Responses!$AU$2:$AU$501,MOD(SMALL(Responses!$BD$2:$BD$501,14),1000)-1)/60),2)&amp;":"&amp;RIGHT("0"&amp;MOD(INDEX(Responses!$AU$2:$AU$501,MOD(SMALL(Responses!$BD$2:$BD$501,14),1000)-1),60),2)),"")</f>
        <v/>
      </c>
      <c r="C19" s="28">
        <f>IFERROR(IF(INDEX(Responses!$AV$2:$AV$501,MOD(SMALL(Responses!$BD$2:$BD$501,14),1000)-1)="","",RIGHT("0"&amp;INT(INDEX(Responses!$AV$2:$AV$501,MOD(SMALL(Responses!$BD$2:$BD$501,14),1000)-1)/60),2)&amp;":"&amp;RIGHT("0"&amp;MOD(INDEX(Responses!$AV$2:$AV$501,MOD(SMALL(Responses!$BD$2:$BD$501,14),1000)-1),60),2)),"")</f>
        <v/>
      </c>
      <c r="D19" s="28">
        <f>IFERROR(INDEX(Responses!$AS$2:$AS$501,MOD(SMALL(Responses!$BD$2:$BD$501,14),1000)-1),"")</f>
        <v/>
      </c>
      <c r="E19" s="28">
        <f>IFERROR(INDEX(Responses!$AW$2:$AW$501,MOD(SMALL(Responses!$BD$2:$BD$501,14),1000)-1),"")</f>
        <v/>
      </c>
      <c r="F19" s="28">
        <f>IFERROR(INDEX(Responses!$AX$2:$AX$501,MOD(SMALL(Responses!$BD$2:$BD$501,14),1000)-1),"")</f>
        <v/>
      </c>
      <c r="G19" s="28">
        <f>IFERROR(INDEX(Responses!$BE$2:$BE$501,MOD(SMALL(Responses!$BD$2:$BD$501,14),1000)-1),"")</f>
        <v/>
      </c>
    </row>
    <row r="20">
      <c r="A20" s="30">
        <f>IFERROR(INT(SMALL(Responses!$BD$2:$BD$501,15)/10000000),"")</f>
        <v/>
      </c>
      <c r="B20" s="28">
        <f>IFERROR(IF(INDEX(Responses!$AU$2:$AU$501,MOD(SMALL(Responses!$BD$2:$BD$501,15),1000)-1)="","",RIGHT("0"&amp;INT(INDEX(Responses!$AU$2:$AU$501,MOD(SMALL(Responses!$BD$2:$BD$501,15),1000)-1)/60),2)&amp;":"&amp;RIGHT("0"&amp;MOD(INDEX(Responses!$AU$2:$AU$501,MOD(SMALL(Responses!$BD$2:$BD$501,15),1000)-1),60),2)),"")</f>
        <v/>
      </c>
      <c r="C20" s="28">
        <f>IFERROR(IF(INDEX(Responses!$AV$2:$AV$501,MOD(SMALL(Responses!$BD$2:$BD$501,15),1000)-1)="","",RIGHT("0"&amp;INT(INDEX(Responses!$AV$2:$AV$501,MOD(SMALL(Responses!$BD$2:$BD$501,15),1000)-1)/60),2)&amp;":"&amp;RIGHT("0"&amp;MOD(INDEX(Responses!$AV$2:$AV$501,MOD(SMALL(Responses!$BD$2:$BD$501,15),1000)-1),60),2)),"")</f>
        <v/>
      </c>
      <c r="D20" s="28">
        <f>IFERROR(INDEX(Responses!$AS$2:$AS$501,MOD(SMALL(Responses!$BD$2:$BD$501,15),1000)-1),"")</f>
        <v/>
      </c>
      <c r="E20" s="28">
        <f>IFERROR(INDEX(Responses!$AW$2:$AW$501,MOD(SMALL(Responses!$BD$2:$BD$501,15),1000)-1),"")</f>
        <v/>
      </c>
      <c r="F20" s="28">
        <f>IFERROR(INDEX(Responses!$AX$2:$AX$501,MOD(SMALL(Responses!$BD$2:$BD$501,15),1000)-1),"")</f>
        <v/>
      </c>
      <c r="G20" s="28">
        <f>IFERROR(INDEX(Responses!$BE$2:$BE$501,MOD(SMALL(Responses!$BD$2:$BD$501,15),1000)-1),"")</f>
        <v/>
      </c>
    </row>
    <row r="21">
      <c r="A21" s="30">
        <f>IFERROR(INT(SMALL(Responses!$BD$2:$BD$501,16)/10000000),"")</f>
        <v/>
      </c>
      <c r="B21" s="28">
        <f>IFERROR(IF(INDEX(Responses!$AU$2:$AU$501,MOD(SMALL(Responses!$BD$2:$BD$501,16),1000)-1)="","",RIGHT("0"&amp;INT(INDEX(Responses!$AU$2:$AU$501,MOD(SMALL(Responses!$BD$2:$BD$501,16),1000)-1)/60),2)&amp;":"&amp;RIGHT("0"&amp;MOD(INDEX(Responses!$AU$2:$AU$501,MOD(SMALL(Responses!$BD$2:$BD$501,16),1000)-1),60),2)),"")</f>
        <v/>
      </c>
      <c r="C21" s="28">
        <f>IFERROR(IF(INDEX(Responses!$AV$2:$AV$501,MOD(SMALL(Responses!$BD$2:$BD$501,16),1000)-1)="","",RIGHT("0"&amp;INT(INDEX(Responses!$AV$2:$AV$501,MOD(SMALL(Responses!$BD$2:$BD$501,16),1000)-1)/60),2)&amp;":"&amp;RIGHT("0"&amp;MOD(INDEX(Responses!$AV$2:$AV$501,MOD(SMALL(Responses!$BD$2:$BD$501,16),1000)-1),60),2)),"")</f>
        <v/>
      </c>
      <c r="D21" s="28">
        <f>IFERROR(INDEX(Responses!$AS$2:$AS$501,MOD(SMALL(Responses!$BD$2:$BD$501,16),1000)-1),"")</f>
        <v/>
      </c>
      <c r="E21" s="28">
        <f>IFERROR(INDEX(Responses!$AW$2:$AW$501,MOD(SMALL(Responses!$BD$2:$BD$501,16),1000)-1),"")</f>
        <v/>
      </c>
      <c r="F21" s="28">
        <f>IFERROR(INDEX(Responses!$AX$2:$AX$501,MOD(SMALL(Responses!$BD$2:$BD$501,16),1000)-1),"")</f>
        <v/>
      </c>
      <c r="G21" s="28">
        <f>IFERROR(INDEX(Responses!$BE$2:$BE$501,MOD(SMALL(Responses!$BD$2:$BD$501,16),1000)-1),"")</f>
        <v/>
      </c>
    </row>
    <row r="22">
      <c r="A22" s="30">
        <f>IFERROR(INT(SMALL(Responses!$BD$2:$BD$501,17)/10000000),"")</f>
        <v/>
      </c>
      <c r="B22" s="28">
        <f>IFERROR(IF(INDEX(Responses!$AU$2:$AU$501,MOD(SMALL(Responses!$BD$2:$BD$501,17),1000)-1)="","",RIGHT("0"&amp;INT(INDEX(Responses!$AU$2:$AU$501,MOD(SMALL(Responses!$BD$2:$BD$501,17),1000)-1)/60),2)&amp;":"&amp;RIGHT("0"&amp;MOD(INDEX(Responses!$AU$2:$AU$501,MOD(SMALL(Responses!$BD$2:$BD$501,17),1000)-1),60),2)),"")</f>
        <v/>
      </c>
      <c r="C22" s="28">
        <f>IFERROR(IF(INDEX(Responses!$AV$2:$AV$501,MOD(SMALL(Responses!$BD$2:$BD$501,17),1000)-1)="","",RIGHT("0"&amp;INT(INDEX(Responses!$AV$2:$AV$501,MOD(SMALL(Responses!$BD$2:$BD$501,17),1000)-1)/60),2)&amp;":"&amp;RIGHT("0"&amp;MOD(INDEX(Responses!$AV$2:$AV$501,MOD(SMALL(Responses!$BD$2:$BD$501,17),1000)-1),60),2)),"")</f>
        <v/>
      </c>
      <c r="D22" s="28">
        <f>IFERROR(INDEX(Responses!$AS$2:$AS$501,MOD(SMALL(Responses!$BD$2:$BD$501,17),1000)-1),"")</f>
        <v/>
      </c>
      <c r="E22" s="28">
        <f>IFERROR(INDEX(Responses!$AW$2:$AW$501,MOD(SMALL(Responses!$BD$2:$BD$501,17),1000)-1),"")</f>
        <v/>
      </c>
      <c r="F22" s="28">
        <f>IFERROR(INDEX(Responses!$AX$2:$AX$501,MOD(SMALL(Responses!$BD$2:$BD$501,17),1000)-1),"")</f>
        <v/>
      </c>
      <c r="G22" s="28">
        <f>IFERROR(INDEX(Responses!$BE$2:$BE$501,MOD(SMALL(Responses!$BD$2:$BD$501,17),1000)-1),"")</f>
        <v/>
      </c>
    </row>
    <row r="23">
      <c r="A23" s="30">
        <f>IFERROR(INT(SMALL(Responses!$BD$2:$BD$501,18)/10000000),"")</f>
        <v/>
      </c>
      <c r="B23" s="28">
        <f>IFERROR(IF(INDEX(Responses!$AU$2:$AU$501,MOD(SMALL(Responses!$BD$2:$BD$501,18),1000)-1)="","",RIGHT("0"&amp;INT(INDEX(Responses!$AU$2:$AU$501,MOD(SMALL(Responses!$BD$2:$BD$501,18),1000)-1)/60),2)&amp;":"&amp;RIGHT("0"&amp;MOD(INDEX(Responses!$AU$2:$AU$501,MOD(SMALL(Responses!$BD$2:$BD$501,18),1000)-1),60),2)),"")</f>
        <v/>
      </c>
      <c r="C23" s="28">
        <f>IFERROR(IF(INDEX(Responses!$AV$2:$AV$501,MOD(SMALL(Responses!$BD$2:$BD$501,18),1000)-1)="","",RIGHT("0"&amp;INT(INDEX(Responses!$AV$2:$AV$501,MOD(SMALL(Responses!$BD$2:$BD$501,18),1000)-1)/60),2)&amp;":"&amp;RIGHT("0"&amp;MOD(INDEX(Responses!$AV$2:$AV$501,MOD(SMALL(Responses!$BD$2:$BD$501,18),1000)-1),60),2)),"")</f>
        <v/>
      </c>
      <c r="D23" s="28">
        <f>IFERROR(INDEX(Responses!$AS$2:$AS$501,MOD(SMALL(Responses!$BD$2:$BD$501,18),1000)-1),"")</f>
        <v/>
      </c>
      <c r="E23" s="28">
        <f>IFERROR(INDEX(Responses!$AW$2:$AW$501,MOD(SMALL(Responses!$BD$2:$BD$501,18),1000)-1),"")</f>
        <v/>
      </c>
      <c r="F23" s="28">
        <f>IFERROR(INDEX(Responses!$AX$2:$AX$501,MOD(SMALL(Responses!$BD$2:$BD$501,18),1000)-1),"")</f>
        <v/>
      </c>
      <c r="G23" s="28">
        <f>IFERROR(INDEX(Responses!$BE$2:$BE$501,MOD(SMALL(Responses!$BD$2:$BD$501,18),1000)-1),"")</f>
        <v/>
      </c>
    </row>
    <row r="24">
      <c r="A24" s="30">
        <f>IFERROR(INT(SMALL(Responses!$BD$2:$BD$501,19)/10000000),"")</f>
        <v/>
      </c>
      <c r="B24" s="28">
        <f>IFERROR(IF(INDEX(Responses!$AU$2:$AU$501,MOD(SMALL(Responses!$BD$2:$BD$501,19),1000)-1)="","",RIGHT("0"&amp;INT(INDEX(Responses!$AU$2:$AU$501,MOD(SMALL(Responses!$BD$2:$BD$501,19),1000)-1)/60),2)&amp;":"&amp;RIGHT("0"&amp;MOD(INDEX(Responses!$AU$2:$AU$501,MOD(SMALL(Responses!$BD$2:$BD$501,19),1000)-1),60),2)),"")</f>
        <v/>
      </c>
      <c r="C24" s="28">
        <f>IFERROR(IF(INDEX(Responses!$AV$2:$AV$501,MOD(SMALL(Responses!$BD$2:$BD$501,19),1000)-1)="","",RIGHT("0"&amp;INT(INDEX(Responses!$AV$2:$AV$501,MOD(SMALL(Responses!$BD$2:$BD$501,19),1000)-1)/60),2)&amp;":"&amp;RIGHT("0"&amp;MOD(INDEX(Responses!$AV$2:$AV$501,MOD(SMALL(Responses!$BD$2:$BD$501,19),1000)-1),60),2)),"")</f>
        <v/>
      </c>
      <c r="D24" s="28">
        <f>IFERROR(INDEX(Responses!$AS$2:$AS$501,MOD(SMALL(Responses!$BD$2:$BD$501,19),1000)-1),"")</f>
        <v/>
      </c>
      <c r="E24" s="28">
        <f>IFERROR(INDEX(Responses!$AW$2:$AW$501,MOD(SMALL(Responses!$BD$2:$BD$501,19),1000)-1),"")</f>
        <v/>
      </c>
      <c r="F24" s="28">
        <f>IFERROR(INDEX(Responses!$AX$2:$AX$501,MOD(SMALL(Responses!$BD$2:$BD$501,19),1000)-1),"")</f>
        <v/>
      </c>
      <c r="G24" s="28">
        <f>IFERROR(INDEX(Responses!$BE$2:$BE$501,MOD(SMALL(Responses!$BD$2:$BD$501,19),1000)-1),"")</f>
        <v/>
      </c>
    </row>
    <row r="25">
      <c r="A25" s="30">
        <f>IFERROR(INT(SMALL(Responses!$BD$2:$BD$501,20)/10000000),"")</f>
        <v/>
      </c>
      <c r="B25" s="28">
        <f>IFERROR(IF(INDEX(Responses!$AU$2:$AU$501,MOD(SMALL(Responses!$BD$2:$BD$501,20),1000)-1)="","",RIGHT("0"&amp;INT(INDEX(Responses!$AU$2:$AU$501,MOD(SMALL(Responses!$BD$2:$BD$501,20),1000)-1)/60),2)&amp;":"&amp;RIGHT("0"&amp;MOD(INDEX(Responses!$AU$2:$AU$501,MOD(SMALL(Responses!$BD$2:$BD$501,20),1000)-1),60),2)),"")</f>
        <v/>
      </c>
      <c r="C25" s="28">
        <f>IFERROR(IF(INDEX(Responses!$AV$2:$AV$501,MOD(SMALL(Responses!$BD$2:$BD$501,20),1000)-1)="","",RIGHT("0"&amp;INT(INDEX(Responses!$AV$2:$AV$501,MOD(SMALL(Responses!$BD$2:$BD$501,20),1000)-1)/60),2)&amp;":"&amp;RIGHT("0"&amp;MOD(INDEX(Responses!$AV$2:$AV$501,MOD(SMALL(Responses!$BD$2:$BD$501,20),1000)-1),60),2)),"")</f>
        <v/>
      </c>
      <c r="D25" s="28">
        <f>IFERROR(INDEX(Responses!$AS$2:$AS$501,MOD(SMALL(Responses!$BD$2:$BD$501,20),1000)-1),"")</f>
        <v/>
      </c>
      <c r="E25" s="28">
        <f>IFERROR(INDEX(Responses!$AW$2:$AW$501,MOD(SMALL(Responses!$BD$2:$BD$501,20),1000)-1),"")</f>
        <v/>
      </c>
      <c r="F25" s="28">
        <f>IFERROR(INDEX(Responses!$AX$2:$AX$501,MOD(SMALL(Responses!$BD$2:$BD$501,20),1000)-1),"")</f>
        <v/>
      </c>
      <c r="G25" s="28">
        <f>IFERROR(INDEX(Responses!$BE$2:$BE$501,MOD(SMALL(Responses!$BD$2:$BD$501,20),1000)-1),"")</f>
        <v/>
      </c>
    </row>
    <row r="26">
      <c r="A26" s="30">
        <f>IFERROR(INT(SMALL(Responses!$BD$2:$BD$501,21)/10000000),"")</f>
        <v/>
      </c>
      <c r="B26" s="28">
        <f>IFERROR(IF(INDEX(Responses!$AU$2:$AU$501,MOD(SMALL(Responses!$BD$2:$BD$501,21),1000)-1)="","",RIGHT("0"&amp;INT(INDEX(Responses!$AU$2:$AU$501,MOD(SMALL(Responses!$BD$2:$BD$501,21),1000)-1)/60),2)&amp;":"&amp;RIGHT("0"&amp;MOD(INDEX(Responses!$AU$2:$AU$501,MOD(SMALL(Responses!$BD$2:$BD$501,21),1000)-1),60),2)),"")</f>
        <v/>
      </c>
      <c r="C26" s="28">
        <f>IFERROR(IF(INDEX(Responses!$AV$2:$AV$501,MOD(SMALL(Responses!$BD$2:$BD$501,21),1000)-1)="","",RIGHT("0"&amp;INT(INDEX(Responses!$AV$2:$AV$501,MOD(SMALL(Responses!$BD$2:$BD$501,21),1000)-1)/60),2)&amp;":"&amp;RIGHT("0"&amp;MOD(INDEX(Responses!$AV$2:$AV$501,MOD(SMALL(Responses!$BD$2:$BD$501,21),1000)-1),60),2)),"")</f>
        <v/>
      </c>
      <c r="D26" s="28">
        <f>IFERROR(INDEX(Responses!$AS$2:$AS$501,MOD(SMALL(Responses!$BD$2:$BD$501,21),1000)-1),"")</f>
        <v/>
      </c>
      <c r="E26" s="28">
        <f>IFERROR(INDEX(Responses!$AW$2:$AW$501,MOD(SMALL(Responses!$BD$2:$BD$501,21),1000)-1),"")</f>
        <v/>
      </c>
      <c r="F26" s="28">
        <f>IFERROR(INDEX(Responses!$AX$2:$AX$501,MOD(SMALL(Responses!$BD$2:$BD$501,21),1000)-1),"")</f>
        <v/>
      </c>
      <c r="G26" s="28">
        <f>IFERROR(INDEX(Responses!$BE$2:$BE$501,MOD(SMALL(Responses!$BD$2:$BD$501,21),1000)-1),"")</f>
        <v/>
      </c>
    </row>
    <row r="27">
      <c r="A27" s="30">
        <f>IFERROR(INT(SMALL(Responses!$BD$2:$BD$501,22)/10000000),"")</f>
        <v/>
      </c>
      <c r="B27" s="28">
        <f>IFERROR(IF(INDEX(Responses!$AU$2:$AU$501,MOD(SMALL(Responses!$BD$2:$BD$501,22),1000)-1)="","",RIGHT("0"&amp;INT(INDEX(Responses!$AU$2:$AU$501,MOD(SMALL(Responses!$BD$2:$BD$501,22),1000)-1)/60),2)&amp;":"&amp;RIGHT("0"&amp;MOD(INDEX(Responses!$AU$2:$AU$501,MOD(SMALL(Responses!$BD$2:$BD$501,22),1000)-1),60),2)),"")</f>
        <v/>
      </c>
      <c r="C27" s="28">
        <f>IFERROR(IF(INDEX(Responses!$AV$2:$AV$501,MOD(SMALL(Responses!$BD$2:$BD$501,22),1000)-1)="","",RIGHT("0"&amp;INT(INDEX(Responses!$AV$2:$AV$501,MOD(SMALL(Responses!$BD$2:$BD$501,22),1000)-1)/60),2)&amp;":"&amp;RIGHT("0"&amp;MOD(INDEX(Responses!$AV$2:$AV$501,MOD(SMALL(Responses!$BD$2:$BD$501,22),1000)-1),60),2)),"")</f>
        <v/>
      </c>
      <c r="D27" s="28">
        <f>IFERROR(INDEX(Responses!$AS$2:$AS$501,MOD(SMALL(Responses!$BD$2:$BD$501,22),1000)-1),"")</f>
        <v/>
      </c>
      <c r="E27" s="28">
        <f>IFERROR(INDEX(Responses!$AW$2:$AW$501,MOD(SMALL(Responses!$BD$2:$BD$501,22),1000)-1),"")</f>
        <v/>
      </c>
      <c r="F27" s="28">
        <f>IFERROR(INDEX(Responses!$AX$2:$AX$501,MOD(SMALL(Responses!$BD$2:$BD$501,22),1000)-1),"")</f>
        <v/>
      </c>
      <c r="G27" s="28">
        <f>IFERROR(INDEX(Responses!$BE$2:$BE$501,MOD(SMALL(Responses!$BD$2:$BD$501,22),1000)-1),"")</f>
        <v/>
      </c>
    </row>
    <row r="28">
      <c r="A28" s="30">
        <f>IFERROR(INT(SMALL(Responses!$BD$2:$BD$501,23)/10000000),"")</f>
        <v/>
      </c>
      <c r="B28" s="28">
        <f>IFERROR(IF(INDEX(Responses!$AU$2:$AU$501,MOD(SMALL(Responses!$BD$2:$BD$501,23),1000)-1)="","",RIGHT("0"&amp;INT(INDEX(Responses!$AU$2:$AU$501,MOD(SMALL(Responses!$BD$2:$BD$501,23),1000)-1)/60),2)&amp;":"&amp;RIGHT("0"&amp;MOD(INDEX(Responses!$AU$2:$AU$501,MOD(SMALL(Responses!$BD$2:$BD$501,23),1000)-1),60),2)),"")</f>
        <v/>
      </c>
      <c r="C28" s="28">
        <f>IFERROR(IF(INDEX(Responses!$AV$2:$AV$501,MOD(SMALL(Responses!$BD$2:$BD$501,23),1000)-1)="","",RIGHT("0"&amp;INT(INDEX(Responses!$AV$2:$AV$501,MOD(SMALL(Responses!$BD$2:$BD$501,23),1000)-1)/60),2)&amp;":"&amp;RIGHT("0"&amp;MOD(INDEX(Responses!$AV$2:$AV$501,MOD(SMALL(Responses!$BD$2:$BD$501,23),1000)-1),60),2)),"")</f>
        <v/>
      </c>
      <c r="D28" s="28">
        <f>IFERROR(INDEX(Responses!$AS$2:$AS$501,MOD(SMALL(Responses!$BD$2:$BD$501,23),1000)-1),"")</f>
        <v/>
      </c>
      <c r="E28" s="28">
        <f>IFERROR(INDEX(Responses!$AW$2:$AW$501,MOD(SMALL(Responses!$BD$2:$BD$501,23),1000)-1),"")</f>
        <v/>
      </c>
      <c r="F28" s="28">
        <f>IFERROR(INDEX(Responses!$AX$2:$AX$501,MOD(SMALL(Responses!$BD$2:$BD$501,23),1000)-1),"")</f>
        <v/>
      </c>
      <c r="G28" s="28">
        <f>IFERROR(INDEX(Responses!$BE$2:$BE$501,MOD(SMALL(Responses!$BD$2:$BD$501,23),1000)-1),"")</f>
        <v/>
      </c>
    </row>
    <row r="29">
      <c r="A29" s="30">
        <f>IFERROR(INT(SMALL(Responses!$BD$2:$BD$501,24)/10000000),"")</f>
        <v/>
      </c>
      <c r="B29" s="28">
        <f>IFERROR(IF(INDEX(Responses!$AU$2:$AU$501,MOD(SMALL(Responses!$BD$2:$BD$501,24),1000)-1)="","",RIGHT("0"&amp;INT(INDEX(Responses!$AU$2:$AU$501,MOD(SMALL(Responses!$BD$2:$BD$501,24),1000)-1)/60),2)&amp;":"&amp;RIGHT("0"&amp;MOD(INDEX(Responses!$AU$2:$AU$501,MOD(SMALL(Responses!$BD$2:$BD$501,24),1000)-1),60),2)),"")</f>
        <v/>
      </c>
      <c r="C29" s="28">
        <f>IFERROR(IF(INDEX(Responses!$AV$2:$AV$501,MOD(SMALL(Responses!$BD$2:$BD$501,24),1000)-1)="","",RIGHT("0"&amp;INT(INDEX(Responses!$AV$2:$AV$501,MOD(SMALL(Responses!$BD$2:$BD$501,24),1000)-1)/60),2)&amp;":"&amp;RIGHT("0"&amp;MOD(INDEX(Responses!$AV$2:$AV$501,MOD(SMALL(Responses!$BD$2:$BD$501,24),1000)-1),60),2)),"")</f>
        <v/>
      </c>
      <c r="D29" s="28">
        <f>IFERROR(INDEX(Responses!$AS$2:$AS$501,MOD(SMALL(Responses!$BD$2:$BD$501,24),1000)-1),"")</f>
        <v/>
      </c>
      <c r="E29" s="28">
        <f>IFERROR(INDEX(Responses!$AW$2:$AW$501,MOD(SMALL(Responses!$BD$2:$BD$501,24),1000)-1),"")</f>
        <v/>
      </c>
      <c r="F29" s="28">
        <f>IFERROR(INDEX(Responses!$AX$2:$AX$501,MOD(SMALL(Responses!$BD$2:$BD$501,24),1000)-1),"")</f>
        <v/>
      </c>
      <c r="G29" s="28">
        <f>IFERROR(INDEX(Responses!$BE$2:$BE$501,MOD(SMALL(Responses!$BD$2:$BD$501,24),1000)-1),"")</f>
        <v/>
      </c>
    </row>
    <row r="30">
      <c r="A30" s="30">
        <f>IFERROR(INT(SMALL(Responses!$BD$2:$BD$501,25)/10000000),"")</f>
        <v/>
      </c>
      <c r="B30" s="28">
        <f>IFERROR(IF(INDEX(Responses!$AU$2:$AU$501,MOD(SMALL(Responses!$BD$2:$BD$501,25),1000)-1)="","",RIGHT("0"&amp;INT(INDEX(Responses!$AU$2:$AU$501,MOD(SMALL(Responses!$BD$2:$BD$501,25),1000)-1)/60),2)&amp;":"&amp;RIGHT("0"&amp;MOD(INDEX(Responses!$AU$2:$AU$501,MOD(SMALL(Responses!$BD$2:$BD$501,25),1000)-1),60),2)),"")</f>
        <v/>
      </c>
      <c r="C30" s="28">
        <f>IFERROR(IF(INDEX(Responses!$AV$2:$AV$501,MOD(SMALL(Responses!$BD$2:$BD$501,25),1000)-1)="","",RIGHT("0"&amp;INT(INDEX(Responses!$AV$2:$AV$501,MOD(SMALL(Responses!$BD$2:$BD$501,25),1000)-1)/60),2)&amp;":"&amp;RIGHT("0"&amp;MOD(INDEX(Responses!$AV$2:$AV$501,MOD(SMALL(Responses!$BD$2:$BD$501,25),1000)-1),60),2)),"")</f>
        <v/>
      </c>
      <c r="D30" s="28">
        <f>IFERROR(INDEX(Responses!$AS$2:$AS$501,MOD(SMALL(Responses!$BD$2:$BD$501,25),1000)-1),"")</f>
        <v/>
      </c>
      <c r="E30" s="28">
        <f>IFERROR(INDEX(Responses!$AW$2:$AW$501,MOD(SMALL(Responses!$BD$2:$BD$501,25),1000)-1),"")</f>
        <v/>
      </c>
      <c r="F30" s="28">
        <f>IFERROR(INDEX(Responses!$AX$2:$AX$501,MOD(SMALL(Responses!$BD$2:$BD$501,25),1000)-1),"")</f>
        <v/>
      </c>
      <c r="G30" s="28">
        <f>IFERROR(INDEX(Responses!$BE$2:$BE$501,MOD(SMALL(Responses!$BD$2:$BD$501,25),1000)-1),"")</f>
        <v/>
      </c>
    </row>
    <row r="31">
      <c r="A31" s="30">
        <f>IFERROR(INT(SMALL(Responses!$BD$2:$BD$501,26)/10000000),"")</f>
        <v/>
      </c>
      <c r="B31" s="28">
        <f>IFERROR(IF(INDEX(Responses!$AU$2:$AU$501,MOD(SMALL(Responses!$BD$2:$BD$501,26),1000)-1)="","",RIGHT("0"&amp;INT(INDEX(Responses!$AU$2:$AU$501,MOD(SMALL(Responses!$BD$2:$BD$501,26),1000)-1)/60),2)&amp;":"&amp;RIGHT("0"&amp;MOD(INDEX(Responses!$AU$2:$AU$501,MOD(SMALL(Responses!$BD$2:$BD$501,26),1000)-1),60),2)),"")</f>
        <v/>
      </c>
      <c r="C31" s="28">
        <f>IFERROR(IF(INDEX(Responses!$AV$2:$AV$501,MOD(SMALL(Responses!$BD$2:$BD$501,26),1000)-1)="","",RIGHT("0"&amp;INT(INDEX(Responses!$AV$2:$AV$501,MOD(SMALL(Responses!$BD$2:$BD$501,26),1000)-1)/60),2)&amp;":"&amp;RIGHT("0"&amp;MOD(INDEX(Responses!$AV$2:$AV$501,MOD(SMALL(Responses!$BD$2:$BD$501,26),1000)-1),60),2)),"")</f>
        <v/>
      </c>
      <c r="D31" s="28">
        <f>IFERROR(INDEX(Responses!$AS$2:$AS$501,MOD(SMALL(Responses!$BD$2:$BD$501,26),1000)-1),"")</f>
        <v/>
      </c>
      <c r="E31" s="28">
        <f>IFERROR(INDEX(Responses!$AW$2:$AW$501,MOD(SMALL(Responses!$BD$2:$BD$501,26),1000)-1),"")</f>
        <v/>
      </c>
      <c r="F31" s="28">
        <f>IFERROR(INDEX(Responses!$AX$2:$AX$501,MOD(SMALL(Responses!$BD$2:$BD$501,26),1000)-1),"")</f>
        <v/>
      </c>
      <c r="G31" s="28">
        <f>IFERROR(INDEX(Responses!$BE$2:$BE$501,MOD(SMALL(Responses!$BD$2:$BD$501,26),1000)-1),"")</f>
        <v/>
      </c>
    </row>
    <row r="32">
      <c r="A32" s="30">
        <f>IFERROR(INT(SMALL(Responses!$BD$2:$BD$501,27)/10000000),"")</f>
        <v/>
      </c>
      <c r="B32" s="28">
        <f>IFERROR(IF(INDEX(Responses!$AU$2:$AU$501,MOD(SMALL(Responses!$BD$2:$BD$501,27),1000)-1)="","",RIGHT("0"&amp;INT(INDEX(Responses!$AU$2:$AU$501,MOD(SMALL(Responses!$BD$2:$BD$501,27),1000)-1)/60),2)&amp;":"&amp;RIGHT("0"&amp;MOD(INDEX(Responses!$AU$2:$AU$501,MOD(SMALL(Responses!$BD$2:$BD$501,27),1000)-1),60),2)),"")</f>
        <v/>
      </c>
      <c r="C32" s="28">
        <f>IFERROR(IF(INDEX(Responses!$AV$2:$AV$501,MOD(SMALL(Responses!$BD$2:$BD$501,27),1000)-1)="","",RIGHT("0"&amp;INT(INDEX(Responses!$AV$2:$AV$501,MOD(SMALL(Responses!$BD$2:$BD$501,27),1000)-1)/60),2)&amp;":"&amp;RIGHT("0"&amp;MOD(INDEX(Responses!$AV$2:$AV$501,MOD(SMALL(Responses!$BD$2:$BD$501,27),1000)-1),60),2)),"")</f>
        <v/>
      </c>
      <c r="D32" s="28">
        <f>IFERROR(INDEX(Responses!$AS$2:$AS$501,MOD(SMALL(Responses!$BD$2:$BD$501,27),1000)-1),"")</f>
        <v/>
      </c>
      <c r="E32" s="28">
        <f>IFERROR(INDEX(Responses!$AW$2:$AW$501,MOD(SMALL(Responses!$BD$2:$BD$501,27),1000)-1),"")</f>
        <v/>
      </c>
      <c r="F32" s="28">
        <f>IFERROR(INDEX(Responses!$AX$2:$AX$501,MOD(SMALL(Responses!$BD$2:$BD$501,27),1000)-1),"")</f>
        <v/>
      </c>
      <c r="G32" s="28">
        <f>IFERROR(INDEX(Responses!$BE$2:$BE$501,MOD(SMALL(Responses!$BD$2:$BD$501,27),1000)-1),"")</f>
        <v/>
      </c>
    </row>
    <row r="33">
      <c r="A33" s="30">
        <f>IFERROR(INT(SMALL(Responses!$BD$2:$BD$501,28)/10000000),"")</f>
        <v/>
      </c>
      <c r="B33" s="28">
        <f>IFERROR(IF(INDEX(Responses!$AU$2:$AU$501,MOD(SMALL(Responses!$BD$2:$BD$501,28),1000)-1)="","",RIGHT("0"&amp;INT(INDEX(Responses!$AU$2:$AU$501,MOD(SMALL(Responses!$BD$2:$BD$501,28),1000)-1)/60),2)&amp;":"&amp;RIGHT("0"&amp;MOD(INDEX(Responses!$AU$2:$AU$501,MOD(SMALL(Responses!$BD$2:$BD$501,28),1000)-1),60),2)),"")</f>
        <v/>
      </c>
      <c r="C33" s="28">
        <f>IFERROR(IF(INDEX(Responses!$AV$2:$AV$501,MOD(SMALL(Responses!$BD$2:$BD$501,28),1000)-1)="","",RIGHT("0"&amp;INT(INDEX(Responses!$AV$2:$AV$501,MOD(SMALL(Responses!$BD$2:$BD$501,28),1000)-1)/60),2)&amp;":"&amp;RIGHT("0"&amp;MOD(INDEX(Responses!$AV$2:$AV$501,MOD(SMALL(Responses!$BD$2:$BD$501,28),1000)-1),60),2)),"")</f>
        <v/>
      </c>
      <c r="D33" s="28">
        <f>IFERROR(INDEX(Responses!$AS$2:$AS$501,MOD(SMALL(Responses!$BD$2:$BD$501,28),1000)-1),"")</f>
        <v/>
      </c>
      <c r="E33" s="28">
        <f>IFERROR(INDEX(Responses!$AW$2:$AW$501,MOD(SMALL(Responses!$BD$2:$BD$501,28),1000)-1),"")</f>
        <v/>
      </c>
      <c r="F33" s="28">
        <f>IFERROR(INDEX(Responses!$AX$2:$AX$501,MOD(SMALL(Responses!$BD$2:$BD$501,28),1000)-1),"")</f>
        <v/>
      </c>
      <c r="G33" s="28">
        <f>IFERROR(INDEX(Responses!$BE$2:$BE$501,MOD(SMALL(Responses!$BD$2:$BD$501,28),1000)-1),"")</f>
        <v/>
      </c>
    </row>
    <row r="34">
      <c r="A34" s="30">
        <f>IFERROR(INT(SMALL(Responses!$BD$2:$BD$501,29)/10000000),"")</f>
        <v/>
      </c>
      <c r="B34" s="28">
        <f>IFERROR(IF(INDEX(Responses!$AU$2:$AU$501,MOD(SMALL(Responses!$BD$2:$BD$501,29),1000)-1)="","",RIGHT("0"&amp;INT(INDEX(Responses!$AU$2:$AU$501,MOD(SMALL(Responses!$BD$2:$BD$501,29),1000)-1)/60),2)&amp;":"&amp;RIGHT("0"&amp;MOD(INDEX(Responses!$AU$2:$AU$501,MOD(SMALL(Responses!$BD$2:$BD$501,29),1000)-1),60),2)),"")</f>
        <v/>
      </c>
      <c r="C34" s="28">
        <f>IFERROR(IF(INDEX(Responses!$AV$2:$AV$501,MOD(SMALL(Responses!$BD$2:$BD$501,29),1000)-1)="","",RIGHT("0"&amp;INT(INDEX(Responses!$AV$2:$AV$501,MOD(SMALL(Responses!$BD$2:$BD$501,29),1000)-1)/60),2)&amp;":"&amp;RIGHT("0"&amp;MOD(INDEX(Responses!$AV$2:$AV$501,MOD(SMALL(Responses!$BD$2:$BD$501,29),1000)-1),60),2)),"")</f>
        <v/>
      </c>
      <c r="D34" s="28">
        <f>IFERROR(INDEX(Responses!$AS$2:$AS$501,MOD(SMALL(Responses!$BD$2:$BD$501,29),1000)-1),"")</f>
        <v/>
      </c>
      <c r="E34" s="28">
        <f>IFERROR(INDEX(Responses!$AW$2:$AW$501,MOD(SMALL(Responses!$BD$2:$BD$501,29),1000)-1),"")</f>
        <v/>
      </c>
      <c r="F34" s="28">
        <f>IFERROR(INDEX(Responses!$AX$2:$AX$501,MOD(SMALL(Responses!$BD$2:$BD$501,29),1000)-1),"")</f>
        <v/>
      </c>
      <c r="G34" s="28">
        <f>IFERROR(INDEX(Responses!$BE$2:$BE$501,MOD(SMALL(Responses!$BD$2:$BD$501,29),1000)-1),"")</f>
        <v/>
      </c>
    </row>
    <row r="35">
      <c r="A35" s="30">
        <f>IFERROR(INT(SMALL(Responses!$BD$2:$BD$501,30)/10000000),"")</f>
        <v/>
      </c>
      <c r="B35" s="28">
        <f>IFERROR(IF(INDEX(Responses!$AU$2:$AU$501,MOD(SMALL(Responses!$BD$2:$BD$501,30),1000)-1)="","",RIGHT("0"&amp;INT(INDEX(Responses!$AU$2:$AU$501,MOD(SMALL(Responses!$BD$2:$BD$501,30),1000)-1)/60),2)&amp;":"&amp;RIGHT("0"&amp;MOD(INDEX(Responses!$AU$2:$AU$501,MOD(SMALL(Responses!$BD$2:$BD$501,30),1000)-1),60),2)),"")</f>
        <v/>
      </c>
      <c r="C35" s="28">
        <f>IFERROR(IF(INDEX(Responses!$AV$2:$AV$501,MOD(SMALL(Responses!$BD$2:$BD$501,30),1000)-1)="","",RIGHT("0"&amp;INT(INDEX(Responses!$AV$2:$AV$501,MOD(SMALL(Responses!$BD$2:$BD$501,30),1000)-1)/60),2)&amp;":"&amp;RIGHT("0"&amp;MOD(INDEX(Responses!$AV$2:$AV$501,MOD(SMALL(Responses!$BD$2:$BD$501,30),1000)-1),60),2)),"")</f>
        <v/>
      </c>
      <c r="D35" s="28">
        <f>IFERROR(INDEX(Responses!$AS$2:$AS$501,MOD(SMALL(Responses!$BD$2:$BD$501,30),1000)-1),"")</f>
        <v/>
      </c>
      <c r="E35" s="28">
        <f>IFERROR(INDEX(Responses!$AW$2:$AW$501,MOD(SMALL(Responses!$BD$2:$BD$501,30),1000)-1),"")</f>
        <v/>
      </c>
      <c r="F35" s="28">
        <f>IFERROR(INDEX(Responses!$AX$2:$AX$501,MOD(SMALL(Responses!$BD$2:$BD$501,30),1000)-1),"")</f>
        <v/>
      </c>
      <c r="G35" s="28">
        <f>IFERROR(INDEX(Responses!$BE$2:$BE$501,MOD(SMALL(Responses!$BD$2:$BD$501,30),1000)-1),"")</f>
        <v/>
      </c>
    </row>
    <row r="36">
      <c r="A36" s="30">
        <f>IFERROR(INT(SMALL(Responses!$BD$2:$BD$501,31)/10000000),"")</f>
        <v/>
      </c>
      <c r="B36" s="28">
        <f>IFERROR(IF(INDEX(Responses!$AU$2:$AU$501,MOD(SMALL(Responses!$BD$2:$BD$501,31),1000)-1)="","",RIGHT("0"&amp;INT(INDEX(Responses!$AU$2:$AU$501,MOD(SMALL(Responses!$BD$2:$BD$501,31),1000)-1)/60),2)&amp;":"&amp;RIGHT("0"&amp;MOD(INDEX(Responses!$AU$2:$AU$501,MOD(SMALL(Responses!$BD$2:$BD$501,31),1000)-1),60),2)),"")</f>
        <v/>
      </c>
      <c r="C36" s="28">
        <f>IFERROR(IF(INDEX(Responses!$AV$2:$AV$501,MOD(SMALL(Responses!$BD$2:$BD$501,31),1000)-1)="","",RIGHT("0"&amp;INT(INDEX(Responses!$AV$2:$AV$501,MOD(SMALL(Responses!$BD$2:$BD$501,31),1000)-1)/60),2)&amp;":"&amp;RIGHT("0"&amp;MOD(INDEX(Responses!$AV$2:$AV$501,MOD(SMALL(Responses!$BD$2:$BD$501,31),1000)-1),60),2)),"")</f>
        <v/>
      </c>
      <c r="D36" s="28">
        <f>IFERROR(INDEX(Responses!$AS$2:$AS$501,MOD(SMALL(Responses!$BD$2:$BD$501,31),1000)-1),"")</f>
        <v/>
      </c>
      <c r="E36" s="28">
        <f>IFERROR(INDEX(Responses!$AW$2:$AW$501,MOD(SMALL(Responses!$BD$2:$BD$501,31),1000)-1),"")</f>
        <v/>
      </c>
      <c r="F36" s="28">
        <f>IFERROR(INDEX(Responses!$AX$2:$AX$501,MOD(SMALL(Responses!$BD$2:$BD$501,31),1000)-1),"")</f>
        <v/>
      </c>
      <c r="G36" s="28">
        <f>IFERROR(INDEX(Responses!$BE$2:$BE$501,MOD(SMALL(Responses!$BD$2:$BD$501,31),1000)-1),"")</f>
        <v/>
      </c>
    </row>
    <row r="37">
      <c r="A37" s="30">
        <f>IFERROR(INT(SMALL(Responses!$BD$2:$BD$501,32)/10000000),"")</f>
        <v/>
      </c>
      <c r="B37" s="28">
        <f>IFERROR(IF(INDEX(Responses!$AU$2:$AU$501,MOD(SMALL(Responses!$BD$2:$BD$501,32),1000)-1)="","",RIGHT("0"&amp;INT(INDEX(Responses!$AU$2:$AU$501,MOD(SMALL(Responses!$BD$2:$BD$501,32),1000)-1)/60),2)&amp;":"&amp;RIGHT("0"&amp;MOD(INDEX(Responses!$AU$2:$AU$501,MOD(SMALL(Responses!$BD$2:$BD$501,32),1000)-1),60),2)),"")</f>
        <v/>
      </c>
      <c r="C37" s="28">
        <f>IFERROR(IF(INDEX(Responses!$AV$2:$AV$501,MOD(SMALL(Responses!$BD$2:$BD$501,32),1000)-1)="","",RIGHT("0"&amp;INT(INDEX(Responses!$AV$2:$AV$501,MOD(SMALL(Responses!$BD$2:$BD$501,32),1000)-1)/60),2)&amp;":"&amp;RIGHT("0"&amp;MOD(INDEX(Responses!$AV$2:$AV$501,MOD(SMALL(Responses!$BD$2:$BD$501,32),1000)-1),60),2)),"")</f>
        <v/>
      </c>
      <c r="D37" s="28">
        <f>IFERROR(INDEX(Responses!$AS$2:$AS$501,MOD(SMALL(Responses!$BD$2:$BD$501,32),1000)-1),"")</f>
        <v/>
      </c>
      <c r="E37" s="28">
        <f>IFERROR(INDEX(Responses!$AW$2:$AW$501,MOD(SMALL(Responses!$BD$2:$BD$501,32),1000)-1),"")</f>
        <v/>
      </c>
      <c r="F37" s="28">
        <f>IFERROR(INDEX(Responses!$AX$2:$AX$501,MOD(SMALL(Responses!$BD$2:$BD$501,32),1000)-1),"")</f>
        <v/>
      </c>
      <c r="G37" s="28">
        <f>IFERROR(INDEX(Responses!$BE$2:$BE$501,MOD(SMALL(Responses!$BD$2:$BD$501,32),1000)-1),"")</f>
        <v/>
      </c>
    </row>
    <row r="38">
      <c r="A38" s="30">
        <f>IFERROR(INT(SMALL(Responses!$BD$2:$BD$501,33)/10000000),"")</f>
        <v/>
      </c>
      <c r="B38" s="28">
        <f>IFERROR(IF(INDEX(Responses!$AU$2:$AU$501,MOD(SMALL(Responses!$BD$2:$BD$501,33),1000)-1)="","",RIGHT("0"&amp;INT(INDEX(Responses!$AU$2:$AU$501,MOD(SMALL(Responses!$BD$2:$BD$501,33),1000)-1)/60),2)&amp;":"&amp;RIGHT("0"&amp;MOD(INDEX(Responses!$AU$2:$AU$501,MOD(SMALL(Responses!$BD$2:$BD$501,33),1000)-1),60),2)),"")</f>
        <v/>
      </c>
      <c r="C38" s="28">
        <f>IFERROR(IF(INDEX(Responses!$AV$2:$AV$501,MOD(SMALL(Responses!$BD$2:$BD$501,33),1000)-1)="","",RIGHT("0"&amp;INT(INDEX(Responses!$AV$2:$AV$501,MOD(SMALL(Responses!$BD$2:$BD$501,33),1000)-1)/60),2)&amp;":"&amp;RIGHT("0"&amp;MOD(INDEX(Responses!$AV$2:$AV$501,MOD(SMALL(Responses!$BD$2:$BD$501,33),1000)-1),60),2)),"")</f>
        <v/>
      </c>
      <c r="D38" s="28">
        <f>IFERROR(INDEX(Responses!$AS$2:$AS$501,MOD(SMALL(Responses!$BD$2:$BD$501,33),1000)-1),"")</f>
        <v/>
      </c>
      <c r="E38" s="28">
        <f>IFERROR(INDEX(Responses!$AW$2:$AW$501,MOD(SMALL(Responses!$BD$2:$BD$501,33),1000)-1),"")</f>
        <v/>
      </c>
      <c r="F38" s="28">
        <f>IFERROR(INDEX(Responses!$AX$2:$AX$501,MOD(SMALL(Responses!$BD$2:$BD$501,33),1000)-1),"")</f>
        <v/>
      </c>
      <c r="G38" s="28">
        <f>IFERROR(INDEX(Responses!$BE$2:$BE$501,MOD(SMALL(Responses!$BD$2:$BD$501,33),1000)-1),"")</f>
        <v/>
      </c>
    </row>
    <row r="39">
      <c r="A39" s="30">
        <f>IFERROR(INT(SMALL(Responses!$BD$2:$BD$501,34)/10000000),"")</f>
        <v/>
      </c>
      <c r="B39" s="28">
        <f>IFERROR(IF(INDEX(Responses!$AU$2:$AU$501,MOD(SMALL(Responses!$BD$2:$BD$501,34),1000)-1)="","",RIGHT("0"&amp;INT(INDEX(Responses!$AU$2:$AU$501,MOD(SMALL(Responses!$BD$2:$BD$501,34),1000)-1)/60),2)&amp;":"&amp;RIGHT("0"&amp;MOD(INDEX(Responses!$AU$2:$AU$501,MOD(SMALL(Responses!$BD$2:$BD$501,34),1000)-1),60),2)),"")</f>
        <v/>
      </c>
      <c r="C39" s="28">
        <f>IFERROR(IF(INDEX(Responses!$AV$2:$AV$501,MOD(SMALL(Responses!$BD$2:$BD$501,34),1000)-1)="","",RIGHT("0"&amp;INT(INDEX(Responses!$AV$2:$AV$501,MOD(SMALL(Responses!$BD$2:$BD$501,34),1000)-1)/60),2)&amp;":"&amp;RIGHT("0"&amp;MOD(INDEX(Responses!$AV$2:$AV$501,MOD(SMALL(Responses!$BD$2:$BD$501,34),1000)-1),60),2)),"")</f>
        <v/>
      </c>
      <c r="D39" s="28">
        <f>IFERROR(INDEX(Responses!$AS$2:$AS$501,MOD(SMALL(Responses!$BD$2:$BD$501,34),1000)-1),"")</f>
        <v/>
      </c>
      <c r="E39" s="28">
        <f>IFERROR(INDEX(Responses!$AW$2:$AW$501,MOD(SMALL(Responses!$BD$2:$BD$501,34),1000)-1),"")</f>
        <v/>
      </c>
      <c r="F39" s="28">
        <f>IFERROR(INDEX(Responses!$AX$2:$AX$501,MOD(SMALL(Responses!$BD$2:$BD$501,34),1000)-1),"")</f>
        <v/>
      </c>
      <c r="G39" s="28">
        <f>IFERROR(INDEX(Responses!$BE$2:$BE$501,MOD(SMALL(Responses!$BD$2:$BD$501,34),1000)-1),"")</f>
        <v/>
      </c>
    </row>
    <row r="40">
      <c r="A40" s="30">
        <f>IFERROR(INT(SMALL(Responses!$BD$2:$BD$501,35)/10000000),"")</f>
        <v/>
      </c>
      <c r="B40" s="28">
        <f>IFERROR(IF(INDEX(Responses!$AU$2:$AU$501,MOD(SMALL(Responses!$BD$2:$BD$501,35),1000)-1)="","",RIGHT("0"&amp;INT(INDEX(Responses!$AU$2:$AU$501,MOD(SMALL(Responses!$BD$2:$BD$501,35),1000)-1)/60),2)&amp;":"&amp;RIGHT("0"&amp;MOD(INDEX(Responses!$AU$2:$AU$501,MOD(SMALL(Responses!$BD$2:$BD$501,35),1000)-1),60),2)),"")</f>
        <v/>
      </c>
      <c r="C40" s="28">
        <f>IFERROR(IF(INDEX(Responses!$AV$2:$AV$501,MOD(SMALL(Responses!$BD$2:$BD$501,35),1000)-1)="","",RIGHT("0"&amp;INT(INDEX(Responses!$AV$2:$AV$501,MOD(SMALL(Responses!$BD$2:$BD$501,35),1000)-1)/60),2)&amp;":"&amp;RIGHT("0"&amp;MOD(INDEX(Responses!$AV$2:$AV$501,MOD(SMALL(Responses!$BD$2:$BD$501,35),1000)-1),60),2)),"")</f>
        <v/>
      </c>
      <c r="D40" s="28">
        <f>IFERROR(INDEX(Responses!$AS$2:$AS$501,MOD(SMALL(Responses!$BD$2:$BD$501,35),1000)-1),"")</f>
        <v/>
      </c>
      <c r="E40" s="28">
        <f>IFERROR(INDEX(Responses!$AW$2:$AW$501,MOD(SMALL(Responses!$BD$2:$BD$501,35),1000)-1),"")</f>
        <v/>
      </c>
      <c r="F40" s="28">
        <f>IFERROR(INDEX(Responses!$AX$2:$AX$501,MOD(SMALL(Responses!$BD$2:$BD$501,35),1000)-1),"")</f>
        <v/>
      </c>
      <c r="G40" s="28">
        <f>IFERROR(INDEX(Responses!$BE$2:$BE$501,MOD(SMALL(Responses!$BD$2:$BD$501,35),1000)-1),"")</f>
        <v/>
      </c>
    </row>
    <row r="41">
      <c r="A41" s="30">
        <f>IFERROR(INT(SMALL(Responses!$BD$2:$BD$501,36)/10000000),"")</f>
        <v/>
      </c>
      <c r="B41" s="28">
        <f>IFERROR(IF(INDEX(Responses!$AU$2:$AU$501,MOD(SMALL(Responses!$BD$2:$BD$501,36),1000)-1)="","",RIGHT("0"&amp;INT(INDEX(Responses!$AU$2:$AU$501,MOD(SMALL(Responses!$BD$2:$BD$501,36),1000)-1)/60),2)&amp;":"&amp;RIGHT("0"&amp;MOD(INDEX(Responses!$AU$2:$AU$501,MOD(SMALL(Responses!$BD$2:$BD$501,36),1000)-1),60),2)),"")</f>
        <v/>
      </c>
      <c r="C41" s="28">
        <f>IFERROR(IF(INDEX(Responses!$AV$2:$AV$501,MOD(SMALL(Responses!$BD$2:$BD$501,36),1000)-1)="","",RIGHT("0"&amp;INT(INDEX(Responses!$AV$2:$AV$501,MOD(SMALL(Responses!$BD$2:$BD$501,36),1000)-1)/60),2)&amp;":"&amp;RIGHT("0"&amp;MOD(INDEX(Responses!$AV$2:$AV$501,MOD(SMALL(Responses!$BD$2:$BD$501,36),1000)-1),60),2)),"")</f>
        <v/>
      </c>
      <c r="D41" s="28">
        <f>IFERROR(INDEX(Responses!$AS$2:$AS$501,MOD(SMALL(Responses!$BD$2:$BD$501,36),1000)-1),"")</f>
        <v/>
      </c>
      <c r="E41" s="28">
        <f>IFERROR(INDEX(Responses!$AW$2:$AW$501,MOD(SMALL(Responses!$BD$2:$BD$501,36),1000)-1),"")</f>
        <v/>
      </c>
      <c r="F41" s="28">
        <f>IFERROR(INDEX(Responses!$AX$2:$AX$501,MOD(SMALL(Responses!$BD$2:$BD$501,36),1000)-1),"")</f>
        <v/>
      </c>
      <c r="G41" s="28">
        <f>IFERROR(INDEX(Responses!$BE$2:$BE$501,MOD(SMALL(Responses!$BD$2:$BD$501,36),1000)-1),"")</f>
        <v/>
      </c>
    </row>
    <row r="42">
      <c r="A42" s="30">
        <f>IFERROR(INT(SMALL(Responses!$BD$2:$BD$501,37)/10000000),"")</f>
        <v/>
      </c>
      <c r="B42" s="28">
        <f>IFERROR(IF(INDEX(Responses!$AU$2:$AU$501,MOD(SMALL(Responses!$BD$2:$BD$501,37),1000)-1)="","",RIGHT("0"&amp;INT(INDEX(Responses!$AU$2:$AU$501,MOD(SMALL(Responses!$BD$2:$BD$501,37),1000)-1)/60),2)&amp;":"&amp;RIGHT("0"&amp;MOD(INDEX(Responses!$AU$2:$AU$501,MOD(SMALL(Responses!$BD$2:$BD$501,37),1000)-1),60),2)),"")</f>
        <v/>
      </c>
      <c r="C42" s="28">
        <f>IFERROR(IF(INDEX(Responses!$AV$2:$AV$501,MOD(SMALL(Responses!$BD$2:$BD$501,37),1000)-1)="","",RIGHT("0"&amp;INT(INDEX(Responses!$AV$2:$AV$501,MOD(SMALL(Responses!$BD$2:$BD$501,37),1000)-1)/60),2)&amp;":"&amp;RIGHT("0"&amp;MOD(INDEX(Responses!$AV$2:$AV$501,MOD(SMALL(Responses!$BD$2:$BD$501,37),1000)-1),60),2)),"")</f>
        <v/>
      </c>
      <c r="D42" s="28">
        <f>IFERROR(INDEX(Responses!$AS$2:$AS$501,MOD(SMALL(Responses!$BD$2:$BD$501,37),1000)-1),"")</f>
        <v/>
      </c>
      <c r="E42" s="28">
        <f>IFERROR(INDEX(Responses!$AW$2:$AW$501,MOD(SMALL(Responses!$BD$2:$BD$501,37),1000)-1),"")</f>
        <v/>
      </c>
      <c r="F42" s="28">
        <f>IFERROR(INDEX(Responses!$AX$2:$AX$501,MOD(SMALL(Responses!$BD$2:$BD$501,37),1000)-1),"")</f>
        <v/>
      </c>
      <c r="G42" s="28">
        <f>IFERROR(INDEX(Responses!$BE$2:$BE$501,MOD(SMALL(Responses!$BD$2:$BD$501,37),1000)-1),"")</f>
        <v/>
      </c>
    </row>
    <row r="43">
      <c r="A43" s="30">
        <f>IFERROR(INT(SMALL(Responses!$BD$2:$BD$501,38)/10000000),"")</f>
        <v/>
      </c>
      <c r="B43" s="28">
        <f>IFERROR(IF(INDEX(Responses!$AU$2:$AU$501,MOD(SMALL(Responses!$BD$2:$BD$501,38),1000)-1)="","",RIGHT("0"&amp;INT(INDEX(Responses!$AU$2:$AU$501,MOD(SMALL(Responses!$BD$2:$BD$501,38),1000)-1)/60),2)&amp;":"&amp;RIGHT("0"&amp;MOD(INDEX(Responses!$AU$2:$AU$501,MOD(SMALL(Responses!$BD$2:$BD$501,38),1000)-1),60),2)),"")</f>
        <v/>
      </c>
      <c r="C43" s="28">
        <f>IFERROR(IF(INDEX(Responses!$AV$2:$AV$501,MOD(SMALL(Responses!$BD$2:$BD$501,38),1000)-1)="","",RIGHT("0"&amp;INT(INDEX(Responses!$AV$2:$AV$501,MOD(SMALL(Responses!$BD$2:$BD$501,38),1000)-1)/60),2)&amp;":"&amp;RIGHT("0"&amp;MOD(INDEX(Responses!$AV$2:$AV$501,MOD(SMALL(Responses!$BD$2:$BD$501,38),1000)-1),60),2)),"")</f>
        <v/>
      </c>
      <c r="D43" s="28">
        <f>IFERROR(INDEX(Responses!$AS$2:$AS$501,MOD(SMALL(Responses!$BD$2:$BD$501,38),1000)-1),"")</f>
        <v/>
      </c>
      <c r="E43" s="28">
        <f>IFERROR(INDEX(Responses!$AW$2:$AW$501,MOD(SMALL(Responses!$BD$2:$BD$501,38),1000)-1),"")</f>
        <v/>
      </c>
      <c r="F43" s="28">
        <f>IFERROR(INDEX(Responses!$AX$2:$AX$501,MOD(SMALL(Responses!$BD$2:$BD$501,38),1000)-1),"")</f>
        <v/>
      </c>
      <c r="G43" s="28">
        <f>IFERROR(INDEX(Responses!$BE$2:$BE$501,MOD(SMALL(Responses!$BD$2:$BD$501,38),1000)-1),"")</f>
        <v/>
      </c>
    </row>
    <row r="44">
      <c r="A44" s="30">
        <f>IFERROR(INT(SMALL(Responses!$BD$2:$BD$501,39)/10000000),"")</f>
        <v/>
      </c>
      <c r="B44" s="28">
        <f>IFERROR(IF(INDEX(Responses!$AU$2:$AU$501,MOD(SMALL(Responses!$BD$2:$BD$501,39),1000)-1)="","",RIGHT("0"&amp;INT(INDEX(Responses!$AU$2:$AU$501,MOD(SMALL(Responses!$BD$2:$BD$501,39),1000)-1)/60),2)&amp;":"&amp;RIGHT("0"&amp;MOD(INDEX(Responses!$AU$2:$AU$501,MOD(SMALL(Responses!$BD$2:$BD$501,39),1000)-1),60),2)),"")</f>
        <v/>
      </c>
      <c r="C44" s="28">
        <f>IFERROR(IF(INDEX(Responses!$AV$2:$AV$501,MOD(SMALL(Responses!$BD$2:$BD$501,39),1000)-1)="","",RIGHT("0"&amp;INT(INDEX(Responses!$AV$2:$AV$501,MOD(SMALL(Responses!$BD$2:$BD$501,39),1000)-1)/60),2)&amp;":"&amp;RIGHT("0"&amp;MOD(INDEX(Responses!$AV$2:$AV$501,MOD(SMALL(Responses!$BD$2:$BD$501,39),1000)-1),60),2)),"")</f>
        <v/>
      </c>
      <c r="D44" s="28">
        <f>IFERROR(INDEX(Responses!$AS$2:$AS$501,MOD(SMALL(Responses!$BD$2:$BD$501,39),1000)-1),"")</f>
        <v/>
      </c>
      <c r="E44" s="28">
        <f>IFERROR(INDEX(Responses!$AW$2:$AW$501,MOD(SMALL(Responses!$BD$2:$BD$501,39),1000)-1),"")</f>
        <v/>
      </c>
      <c r="F44" s="28">
        <f>IFERROR(INDEX(Responses!$AX$2:$AX$501,MOD(SMALL(Responses!$BD$2:$BD$501,39),1000)-1),"")</f>
        <v/>
      </c>
      <c r="G44" s="28">
        <f>IFERROR(INDEX(Responses!$BE$2:$BE$501,MOD(SMALL(Responses!$BD$2:$BD$501,39),1000)-1),"")</f>
        <v/>
      </c>
    </row>
    <row r="45">
      <c r="A45" s="30">
        <f>IFERROR(INT(SMALL(Responses!$BD$2:$BD$501,40)/10000000),"")</f>
        <v/>
      </c>
      <c r="B45" s="28">
        <f>IFERROR(IF(INDEX(Responses!$AU$2:$AU$501,MOD(SMALL(Responses!$BD$2:$BD$501,40),1000)-1)="","",RIGHT("0"&amp;INT(INDEX(Responses!$AU$2:$AU$501,MOD(SMALL(Responses!$BD$2:$BD$501,40),1000)-1)/60),2)&amp;":"&amp;RIGHT("0"&amp;MOD(INDEX(Responses!$AU$2:$AU$501,MOD(SMALL(Responses!$BD$2:$BD$501,40),1000)-1),60),2)),"")</f>
        <v/>
      </c>
      <c r="C45" s="28">
        <f>IFERROR(IF(INDEX(Responses!$AV$2:$AV$501,MOD(SMALL(Responses!$BD$2:$BD$501,40),1000)-1)="","",RIGHT("0"&amp;INT(INDEX(Responses!$AV$2:$AV$501,MOD(SMALL(Responses!$BD$2:$BD$501,40),1000)-1)/60),2)&amp;":"&amp;RIGHT("0"&amp;MOD(INDEX(Responses!$AV$2:$AV$501,MOD(SMALL(Responses!$BD$2:$BD$501,40),1000)-1),60),2)),"")</f>
        <v/>
      </c>
      <c r="D45" s="28">
        <f>IFERROR(INDEX(Responses!$AS$2:$AS$501,MOD(SMALL(Responses!$BD$2:$BD$501,40),1000)-1),"")</f>
        <v/>
      </c>
      <c r="E45" s="28">
        <f>IFERROR(INDEX(Responses!$AW$2:$AW$501,MOD(SMALL(Responses!$BD$2:$BD$501,40),1000)-1),"")</f>
        <v/>
      </c>
      <c r="F45" s="28">
        <f>IFERROR(INDEX(Responses!$AX$2:$AX$501,MOD(SMALL(Responses!$BD$2:$BD$501,40),1000)-1),"")</f>
        <v/>
      </c>
      <c r="G45" s="28">
        <f>IFERROR(INDEX(Responses!$BE$2:$BE$501,MOD(SMALL(Responses!$BD$2:$BD$501,40),1000)-1),"")</f>
        <v/>
      </c>
    </row>
    <row r="46">
      <c r="A46" s="30">
        <f>IFERROR(INT(SMALL(Responses!$BD$2:$BD$501,41)/10000000),"")</f>
        <v/>
      </c>
      <c r="B46" s="28">
        <f>IFERROR(IF(INDEX(Responses!$AU$2:$AU$501,MOD(SMALL(Responses!$BD$2:$BD$501,41),1000)-1)="","",RIGHT("0"&amp;INT(INDEX(Responses!$AU$2:$AU$501,MOD(SMALL(Responses!$BD$2:$BD$501,41),1000)-1)/60),2)&amp;":"&amp;RIGHT("0"&amp;MOD(INDEX(Responses!$AU$2:$AU$501,MOD(SMALL(Responses!$BD$2:$BD$501,41),1000)-1),60),2)),"")</f>
        <v/>
      </c>
      <c r="C46" s="28">
        <f>IFERROR(IF(INDEX(Responses!$AV$2:$AV$501,MOD(SMALL(Responses!$BD$2:$BD$501,41),1000)-1)="","",RIGHT("0"&amp;INT(INDEX(Responses!$AV$2:$AV$501,MOD(SMALL(Responses!$BD$2:$BD$501,41),1000)-1)/60),2)&amp;":"&amp;RIGHT("0"&amp;MOD(INDEX(Responses!$AV$2:$AV$501,MOD(SMALL(Responses!$BD$2:$BD$501,41),1000)-1),60),2)),"")</f>
        <v/>
      </c>
      <c r="D46" s="28">
        <f>IFERROR(INDEX(Responses!$AS$2:$AS$501,MOD(SMALL(Responses!$BD$2:$BD$501,41),1000)-1),"")</f>
        <v/>
      </c>
      <c r="E46" s="28">
        <f>IFERROR(INDEX(Responses!$AW$2:$AW$501,MOD(SMALL(Responses!$BD$2:$BD$501,41),1000)-1),"")</f>
        <v/>
      </c>
      <c r="F46" s="28">
        <f>IFERROR(INDEX(Responses!$AX$2:$AX$501,MOD(SMALL(Responses!$BD$2:$BD$501,41),1000)-1),"")</f>
        <v/>
      </c>
      <c r="G46" s="28">
        <f>IFERROR(INDEX(Responses!$BE$2:$BE$501,MOD(SMALL(Responses!$BD$2:$BD$501,41),1000)-1),"")</f>
        <v/>
      </c>
    </row>
    <row r="47">
      <c r="A47" s="30">
        <f>IFERROR(INT(SMALL(Responses!$BD$2:$BD$501,42)/10000000),"")</f>
        <v/>
      </c>
      <c r="B47" s="28">
        <f>IFERROR(IF(INDEX(Responses!$AU$2:$AU$501,MOD(SMALL(Responses!$BD$2:$BD$501,42),1000)-1)="","",RIGHT("0"&amp;INT(INDEX(Responses!$AU$2:$AU$501,MOD(SMALL(Responses!$BD$2:$BD$501,42),1000)-1)/60),2)&amp;":"&amp;RIGHT("0"&amp;MOD(INDEX(Responses!$AU$2:$AU$501,MOD(SMALL(Responses!$BD$2:$BD$501,42),1000)-1),60),2)),"")</f>
        <v/>
      </c>
      <c r="C47" s="28">
        <f>IFERROR(IF(INDEX(Responses!$AV$2:$AV$501,MOD(SMALL(Responses!$BD$2:$BD$501,42),1000)-1)="","",RIGHT("0"&amp;INT(INDEX(Responses!$AV$2:$AV$501,MOD(SMALL(Responses!$BD$2:$BD$501,42),1000)-1)/60),2)&amp;":"&amp;RIGHT("0"&amp;MOD(INDEX(Responses!$AV$2:$AV$501,MOD(SMALL(Responses!$BD$2:$BD$501,42),1000)-1),60),2)),"")</f>
        <v/>
      </c>
      <c r="D47" s="28">
        <f>IFERROR(INDEX(Responses!$AS$2:$AS$501,MOD(SMALL(Responses!$BD$2:$BD$501,42),1000)-1),"")</f>
        <v/>
      </c>
      <c r="E47" s="28">
        <f>IFERROR(INDEX(Responses!$AW$2:$AW$501,MOD(SMALL(Responses!$BD$2:$BD$501,42),1000)-1),"")</f>
        <v/>
      </c>
      <c r="F47" s="28">
        <f>IFERROR(INDEX(Responses!$AX$2:$AX$501,MOD(SMALL(Responses!$BD$2:$BD$501,42),1000)-1),"")</f>
        <v/>
      </c>
      <c r="G47" s="28">
        <f>IFERROR(INDEX(Responses!$BE$2:$BE$501,MOD(SMALL(Responses!$BD$2:$BD$501,42),1000)-1),"")</f>
        <v/>
      </c>
    </row>
    <row r="48">
      <c r="A48" s="30">
        <f>IFERROR(INT(SMALL(Responses!$BD$2:$BD$501,43)/10000000),"")</f>
        <v/>
      </c>
      <c r="B48" s="28">
        <f>IFERROR(IF(INDEX(Responses!$AU$2:$AU$501,MOD(SMALL(Responses!$BD$2:$BD$501,43),1000)-1)="","",RIGHT("0"&amp;INT(INDEX(Responses!$AU$2:$AU$501,MOD(SMALL(Responses!$BD$2:$BD$501,43),1000)-1)/60),2)&amp;":"&amp;RIGHT("0"&amp;MOD(INDEX(Responses!$AU$2:$AU$501,MOD(SMALL(Responses!$BD$2:$BD$501,43),1000)-1),60),2)),"")</f>
        <v/>
      </c>
      <c r="C48" s="28">
        <f>IFERROR(IF(INDEX(Responses!$AV$2:$AV$501,MOD(SMALL(Responses!$BD$2:$BD$501,43),1000)-1)="","",RIGHT("0"&amp;INT(INDEX(Responses!$AV$2:$AV$501,MOD(SMALL(Responses!$BD$2:$BD$501,43),1000)-1)/60),2)&amp;":"&amp;RIGHT("0"&amp;MOD(INDEX(Responses!$AV$2:$AV$501,MOD(SMALL(Responses!$BD$2:$BD$501,43),1000)-1),60),2)),"")</f>
        <v/>
      </c>
      <c r="D48" s="28">
        <f>IFERROR(INDEX(Responses!$AS$2:$AS$501,MOD(SMALL(Responses!$BD$2:$BD$501,43),1000)-1),"")</f>
        <v/>
      </c>
      <c r="E48" s="28">
        <f>IFERROR(INDEX(Responses!$AW$2:$AW$501,MOD(SMALL(Responses!$BD$2:$BD$501,43),1000)-1),"")</f>
        <v/>
      </c>
      <c r="F48" s="28">
        <f>IFERROR(INDEX(Responses!$AX$2:$AX$501,MOD(SMALL(Responses!$BD$2:$BD$501,43),1000)-1),"")</f>
        <v/>
      </c>
      <c r="G48" s="28">
        <f>IFERROR(INDEX(Responses!$BE$2:$BE$501,MOD(SMALL(Responses!$BD$2:$BD$501,43),1000)-1),"")</f>
        <v/>
      </c>
    </row>
    <row r="49">
      <c r="A49" s="30">
        <f>IFERROR(INT(SMALL(Responses!$BD$2:$BD$501,44)/10000000),"")</f>
        <v/>
      </c>
      <c r="B49" s="28">
        <f>IFERROR(IF(INDEX(Responses!$AU$2:$AU$501,MOD(SMALL(Responses!$BD$2:$BD$501,44),1000)-1)="","",RIGHT("0"&amp;INT(INDEX(Responses!$AU$2:$AU$501,MOD(SMALL(Responses!$BD$2:$BD$501,44),1000)-1)/60),2)&amp;":"&amp;RIGHT("0"&amp;MOD(INDEX(Responses!$AU$2:$AU$501,MOD(SMALL(Responses!$BD$2:$BD$501,44),1000)-1),60),2)),"")</f>
        <v/>
      </c>
      <c r="C49" s="28">
        <f>IFERROR(IF(INDEX(Responses!$AV$2:$AV$501,MOD(SMALL(Responses!$BD$2:$BD$501,44),1000)-1)="","",RIGHT("0"&amp;INT(INDEX(Responses!$AV$2:$AV$501,MOD(SMALL(Responses!$BD$2:$BD$501,44),1000)-1)/60),2)&amp;":"&amp;RIGHT("0"&amp;MOD(INDEX(Responses!$AV$2:$AV$501,MOD(SMALL(Responses!$BD$2:$BD$501,44),1000)-1),60),2)),"")</f>
        <v/>
      </c>
      <c r="D49" s="28">
        <f>IFERROR(INDEX(Responses!$AS$2:$AS$501,MOD(SMALL(Responses!$BD$2:$BD$501,44),1000)-1),"")</f>
        <v/>
      </c>
      <c r="E49" s="28">
        <f>IFERROR(INDEX(Responses!$AW$2:$AW$501,MOD(SMALL(Responses!$BD$2:$BD$501,44),1000)-1),"")</f>
        <v/>
      </c>
      <c r="F49" s="28">
        <f>IFERROR(INDEX(Responses!$AX$2:$AX$501,MOD(SMALL(Responses!$BD$2:$BD$501,44),1000)-1),"")</f>
        <v/>
      </c>
      <c r="G49" s="28">
        <f>IFERROR(INDEX(Responses!$BE$2:$BE$501,MOD(SMALL(Responses!$BD$2:$BD$501,44),1000)-1),"")</f>
        <v/>
      </c>
    </row>
    <row r="50">
      <c r="A50" s="30">
        <f>IFERROR(INT(SMALL(Responses!$BD$2:$BD$501,45)/10000000),"")</f>
        <v/>
      </c>
      <c r="B50" s="28">
        <f>IFERROR(IF(INDEX(Responses!$AU$2:$AU$501,MOD(SMALL(Responses!$BD$2:$BD$501,45),1000)-1)="","",RIGHT("0"&amp;INT(INDEX(Responses!$AU$2:$AU$501,MOD(SMALL(Responses!$BD$2:$BD$501,45),1000)-1)/60),2)&amp;":"&amp;RIGHT("0"&amp;MOD(INDEX(Responses!$AU$2:$AU$501,MOD(SMALL(Responses!$BD$2:$BD$501,45),1000)-1),60),2)),"")</f>
        <v/>
      </c>
      <c r="C50" s="28">
        <f>IFERROR(IF(INDEX(Responses!$AV$2:$AV$501,MOD(SMALL(Responses!$BD$2:$BD$501,45),1000)-1)="","",RIGHT("0"&amp;INT(INDEX(Responses!$AV$2:$AV$501,MOD(SMALL(Responses!$BD$2:$BD$501,45),1000)-1)/60),2)&amp;":"&amp;RIGHT("0"&amp;MOD(INDEX(Responses!$AV$2:$AV$501,MOD(SMALL(Responses!$BD$2:$BD$501,45),1000)-1),60),2)),"")</f>
        <v/>
      </c>
      <c r="D50" s="28">
        <f>IFERROR(INDEX(Responses!$AS$2:$AS$501,MOD(SMALL(Responses!$BD$2:$BD$501,45),1000)-1),"")</f>
        <v/>
      </c>
      <c r="E50" s="28">
        <f>IFERROR(INDEX(Responses!$AW$2:$AW$501,MOD(SMALL(Responses!$BD$2:$BD$501,45),1000)-1),"")</f>
        <v/>
      </c>
      <c r="F50" s="28">
        <f>IFERROR(INDEX(Responses!$AX$2:$AX$501,MOD(SMALL(Responses!$BD$2:$BD$501,45),1000)-1),"")</f>
        <v/>
      </c>
      <c r="G50" s="28">
        <f>IFERROR(INDEX(Responses!$BE$2:$BE$501,MOD(SMALL(Responses!$BD$2:$BD$501,45),1000)-1),"")</f>
        <v/>
      </c>
    </row>
    <row r="51">
      <c r="A51" s="30">
        <f>IFERROR(INT(SMALL(Responses!$BD$2:$BD$501,46)/10000000),"")</f>
        <v/>
      </c>
      <c r="B51" s="28">
        <f>IFERROR(IF(INDEX(Responses!$AU$2:$AU$501,MOD(SMALL(Responses!$BD$2:$BD$501,46),1000)-1)="","",RIGHT("0"&amp;INT(INDEX(Responses!$AU$2:$AU$501,MOD(SMALL(Responses!$BD$2:$BD$501,46),1000)-1)/60),2)&amp;":"&amp;RIGHT("0"&amp;MOD(INDEX(Responses!$AU$2:$AU$501,MOD(SMALL(Responses!$BD$2:$BD$501,46),1000)-1),60),2)),"")</f>
        <v/>
      </c>
      <c r="C51" s="28">
        <f>IFERROR(IF(INDEX(Responses!$AV$2:$AV$501,MOD(SMALL(Responses!$BD$2:$BD$501,46),1000)-1)="","",RIGHT("0"&amp;INT(INDEX(Responses!$AV$2:$AV$501,MOD(SMALL(Responses!$BD$2:$BD$501,46),1000)-1)/60),2)&amp;":"&amp;RIGHT("0"&amp;MOD(INDEX(Responses!$AV$2:$AV$501,MOD(SMALL(Responses!$BD$2:$BD$501,46),1000)-1),60),2)),"")</f>
        <v/>
      </c>
      <c r="D51" s="28">
        <f>IFERROR(INDEX(Responses!$AS$2:$AS$501,MOD(SMALL(Responses!$BD$2:$BD$501,46),1000)-1),"")</f>
        <v/>
      </c>
      <c r="E51" s="28">
        <f>IFERROR(INDEX(Responses!$AW$2:$AW$501,MOD(SMALL(Responses!$BD$2:$BD$501,46),1000)-1),"")</f>
        <v/>
      </c>
      <c r="F51" s="28">
        <f>IFERROR(INDEX(Responses!$AX$2:$AX$501,MOD(SMALL(Responses!$BD$2:$BD$501,46),1000)-1),"")</f>
        <v/>
      </c>
      <c r="G51" s="28">
        <f>IFERROR(INDEX(Responses!$BE$2:$BE$501,MOD(SMALL(Responses!$BD$2:$BD$501,46),1000)-1),"")</f>
        <v/>
      </c>
    </row>
    <row r="52">
      <c r="A52" s="30">
        <f>IFERROR(INT(SMALL(Responses!$BD$2:$BD$501,47)/10000000),"")</f>
        <v/>
      </c>
      <c r="B52" s="28">
        <f>IFERROR(IF(INDEX(Responses!$AU$2:$AU$501,MOD(SMALL(Responses!$BD$2:$BD$501,47),1000)-1)="","",RIGHT("0"&amp;INT(INDEX(Responses!$AU$2:$AU$501,MOD(SMALL(Responses!$BD$2:$BD$501,47),1000)-1)/60),2)&amp;":"&amp;RIGHT("0"&amp;MOD(INDEX(Responses!$AU$2:$AU$501,MOD(SMALL(Responses!$BD$2:$BD$501,47),1000)-1),60),2)),"")</f>
        <v/>
      </c>
      <c r="C52" s="28">
        <f>IFERROR(IF(INDEX(Responses!$AV$2:$AV$501,MOD(SMALL(Responses!$BD$2:$BD$501,47),1000)-1)="","",RIGHT("0"&amp;INT(INDEX(Responses!$AV$2:$AV$501,MOD(SMALL(Responses!$BD$2:$BD$501,47),1000)-1)/60),2)&amp;":"&amp;RIGHT("0"&amp;MOD(INDEX(Responses!$AV$2:$AV$501,MOD(SMALL(Responses!$BD$2:$BD$501,47),1000)-1),60),2)),"")</f>
        <v/>
      </c>
      <c r="D52" s="28">
        <f>IFERROR(INDEX(Responses!$AS$2:$AS$501,MOD(SMALL(Responses!$BD$2:$BD$501,47),1000)-1),"")</f>
        <v/>
      </c>
      <c r="E52" s="28">
        <f>IFERROR(INDEX(Responses!$AW$2:$AW$501,MOD(SMALL(Responses!$BD$2:$BD$501,47),1000)-1),"")</f>
        <v/>
      </c>
      <c r="F52" s="28">
        <f>IFERROR(INDEX(Responses!$AX$2:$AX$501,MOD(SMALL(Responses!$BD$2:$BD$501,47),1000)-1),"")</f>
        <v/>
      </c>
      <c r="G52" s="28">
        <f>IFERROR(INDEX(Responses!$BE$2:$BE$501,MOD(SMALL(Responses!$BD$2:$BD$501,47),1000)-1),"")</f>
        <v/>
      </c>
    </row>
    <row r="53">
      <c r="A53" s="30">
        <f>IFERROR(INT(SMALL(Responses!$BD$2:$BD$501,48)/10000000),"")</f>
        <v/>
      </c>
      <c r="B53" s="28">
        <f>IFERROR(IF(INDEX(Responses!$AU$2:$AU$501,MOD(SMALL(Responses!$BD$2:$BD$501,48),1000)-1)="","",RIGHT("0"&amp;INT(INDEX(Responses!$AU$2:$AU$501,MOD(SMALL(Responses!$BD$2:$BD$501,48),1000)-1)/60),2)&amp;":"&amp;RIGHT("0"&amp;MOD(INDEX(Responses!$AU$2:$AU$501,MOD(SMALL(Responses!$BD$2:$BD$501,48),1000)-1),60),2)),"")</f>
        <v/>
      </c>
      <c r="C53" s="28">
        <f>IFERROR(IF(INDEX(Responses!$AV$2:$AV$501,MOD(SMALL(Responses!$BD$2:$BD$501,48),1000)-1)="","",RIGHT("0"&amp;INT(INDEX(Responses!$AV$2:$AV$501,MOD(SMALL(Responses!$BD$2:$BD$501,48),1000)-1)/60),2)&amp;":"&amp;RIGHT("0"&amp;MOD(INDEX(Responses!$AV$2:$AV$501,MOD(SMALL(Responses!$BD$2:$BD$501,48),1000)-1),60),2)),"")</f>
        <v/>
      </c>
      <c r="D53" s="28">
        <f>IFERROR(INDEX(Responses!$AS$2:$AS$501,MOD(SMALL(Responses!$BD$2:$BD$501,48),1000)-1),"")</f>
        <v/>
      </c>
      <c r="E53" s="28">
        <f>IFERROR(INDEX(Responses!$AW$2:$AW$501,MOD(SMALL(Responses!$BD$2:$BD$501,48),1000)-1),"")</f>
        <v/>
      </c>
      <c r="F53" s="28">
        <f>IFERROR(INDEX(Responses!$AX$2:$AX$501,MOD(SMALL(Responses!$BD$2:$BD$501,48),1000)-1),"")</f>
        <v/>
      </c>
      <c r="G53" s="28">
        <f>IFERROR(INDEX(Responses!$BE$2:$BE$501,MOD(SMALL(Responses!$BD$2:$BD$501,48),1000)-1),"")</f>
        <v/>
      </c>
    </row>
    <row r="54">
      <c r="A54" s="30">
        <f>IFERROR(INT(SMALL(Responses!$BD$2:$BD$501,49)/10000000),"")</f>
        <v/>
      </c>
      <c r="B54" s="28">
        <f>IFERROR(IF(INDEX(Responses!$AU$2:$AU$501,MOD(SMALL(Responses!$BD$2:$BD$501,49),1000)-1)="","",RIGHT("0"&amp;INT(INDEX(Responses!$AU$2:$AU$501,MOD(SMALL(Responses!$BD$2:$BD$501,49),1000)-1)/60),2)&amp;":"&amp;RIGHT("0"&amp;MOD(INDEX(Responses!$AU$2:$AU$501,MOD(SMALL(Responses!$BD$2:$BD$501,49),1000)-1),60),2)),"")</f>
        <v/>
      </c>
      <c r="C54" s="28">
        <f>IFERROR(IF(INDEX(Responses!$AV$2:$AV$501,MOD(SMALL(Responses!$BD$2:$BD$501,49),1000)-1)="","",RIGHT("0"&amp;INT(INDEX(Responses!$AV$2:$AV$501,MOD(SMALL(Responses!$BD$2:$BD$501,49),1000)-1)/60),2)&amp;":"&amp;RIGHT("0"&amp;MOD(INDEX(Responses!$AV$2:$AV$501,MOD(SMALL(Responses!$BD$2:$BD$501,49),1000)-1),60),2)),"")</f>
        <v/>
      </c>
      <c r="D54" s="28">
        <f>IFERROR(INDEX(Responses!$AS$2:$AS$501,MOD(SMALL(Responses!$BD$2:$BD$501,49),1000)-1),"")</f>
        <v/>
      </c>
      <c r="E54" s="28">
        <f>IFERROR(INDEX(Responses!$AW$2:$AW$501,MOD(SMALL(Responses!$BD$2:$BD$501,49),1000)-1),"")</f>
        <v/>
      </c>
      <c r="F54" s="28">
        <f>IFERROR(INDEX(Responses!$AX$2:$AX$501,MOD(SMALL(Responses!$BD$2:$BD$501,49),1000)-1),"")</f>
        <v/>
      </c>
      <c r="G54" s="28">
        <f>IFERROR(INDEX(Responses!$BE$2:$BE$501,MOD(SMALL(Responses!$BD$2:$BD$501,49),1000)-1),"")</f>
        <v/>
      </c>
    </row>
    <row r="55">
      <c r="A55" s="30">
        <f>IFERROR(INT(SMALL(Responses!$BD$2:$BD$501,50)/10000000),"")</f>
        <v/>
      </c>
      <c r="B55" s="28">
        <f>IFERROR(IF(INDEX(Responses!$AU$2:$AU$501,MOD(SMALL(Responses!$BD$2:$BD$501,50),1000)-1)="","",RIGHT("0"&amp;INT(INDEX(Responses!$AU$2:$AU$501,MOD(SMALL(Responses!$BD$2:$BD$501,50),1000)-1)/60),2)&amp;":"&amp;RIGHT("0"&amp;MOD(INDEX(Responses!$AU$2:$AU$501,MOD(SMALL(Responses!$BD$2:$BD$501,50),1000)-1),60),2)),"")</f>
        <v/>
      </c>
      <c r="C55" s="28">
        <f>IFERROR(IF(INDEX(Responses!$AV$2:$AV$501,MOD(SMALL(Responses!$BD$2:$BD$501,50),1000)-1)="","",RIGHT("0"&amp;INT(INDEX(Responses!$AV$2:$AV$501,MOD(SMALL(Responses!$BD$2:$BD$501,50),1000)-1)/60),2)&amp;":"&amp;RIGHT("0"&amp;MOD(INDEX(Responses!$AV$2:$AV$501,MOD(SMALL(Responses!$BD$2:$BD$501,50),1000)-1),60),2)),"")</f>
        <v/>
      </c>
      <c r="D55" s="28">
        <f>IFERROR(INDEX(Responses!$AS$2:$AS$501,MOD(SMALL(Responses!$BD$2:$BD$501,50),1000)-1),"")</f>
        <v/>
      </c>
      <c r="E55" s="28">
        <f>IFERROR(INDEX(Responses!$AW$2:$AW$501,MOD(SMALL(Responses!$BD$2:$BD$501,50),1000)-1),"")</f>
        <v/>
      </c>
      <c r="F55" s="28">
        <f>IFERROR(INDEX(Responses!$AX$2:$AX$501,MOD(SMALL(Responses!$BD$2:$BD$501,50),1000)-1),"")</f>
        <v/>
      </c>
      <c r="G55" s="28">
        <f>IFERROR(INDEX(Responses!$BE$2:$BE$501,MOD(SMALL(Responses!$BD$2:$BD$501,50),1000)-1),"")</f>
        <v/>
      </c>
    </row>
    <row r="56">
      <c r="A56" s="30">
        <f>IFERROR(INT(SMALL(Responses!$BD$2:$BD$501,51)/10000000),"")</f>
        <v/>
      </c>
      <c r="B56" s="28">
        <f>IFERROR(IF(INDEX(Responses!$AU$2:$AU$501,MOD(SMALL(Responses!$BD$2:$BD$501,51),1000)-1)="","",RIGHT("0"&amp;INT(INDEX(Responses!$AU$2:$AU$501,MOD(SMALL(Responses!$BD$2:$BD$501,51),1000)-1)/60),2)&amp;":"&amp;RIGHT("0"&amp;MOD(INDEX(Responses!$AU$2:$AU$501,MOD(SMALL(Responses!$BD$2:$BD$501,51),1000)-1),60),2)),"")</f>
        <v/>
      </c>
      <c r="C56" s="28">
        <f>IFERROR(IF(INDEX(Responses!$AV$2:$AV$501,MOD(SMALL(Responses!$BD$2:$BD$501,51),1000)-1)="","",RIGHT("0"&amp;INT(INDEX(Responses!$AV$2:$AV$501,MOD(SMALL(Responses!$BD$2:$BD$501,51),1000)-1)/60),2)&amp;":"&amp;RIGHT("0"&amp;MOD(INDEX(Responses!$AV$2:$AV$501,MOD(SMALL(Responses!$BD$2:$BD$501,51),1000)-1),60),2)),"")</f>
        <v/>
      </c>
      <c r="D56" s="28">
        <f>IFERROR(INDEX(Responses!$AS$2:$AS$501,MOD(SMALL(Responses!$BD$2:$BD$501,51),1000)-1),"")</f>
        <v/>
      </c>
      <c r="E56" s="28">
        <f>IFERROR(INDEX(Responses!$AW$2:$AW$501,MOD(SMALL(Responses!$BD$2:$BD$501,51),1000)-1),"")</f>
        <v/>
      </c>
      <c r="F56" s="28">
        <f>IFERROR(INDEX(Responses!$AX$2:$AX$501,MOD(SMALL(Responses!$BD$2:$BD$501,51),1000)-1),"")</f>
        <v/>
      </c>
      <c r="G56" s="28">
        <f>IFERROR(INDEX(Responses!$BE$2:$BE$501,MOD(SMALL(Responses!$BD$2:$BD$501,51),1000)-1),"")</f>
        <v/>
      </c>
    </row>
    <row r="57">
      <c r="A57" s="30">
        <f>IFERROR(INT(SMALL(Responses!$BD$2:$BD$501,52)/10000000),"")</f>
        <v/>
      </c>
      <c r="B57" s="28">
        <f>IFERROR(IF(INDEX(Responses!$AU$2:$AU$501,MOD(SMALL(Responses!$BD$2:$BD$501,52),1000)-1)="","",RIGHT("0"&amp;INT(INDEX(Responses!$AU$2:$AU$501,MOD(SMALL(Responses!$BD$2:$BD$501,52),1000)-1)/60),2)&amp;":"&amp;RIGHT("0"&amp;MOD(INDEX(Responses!$AU$2:$AU$501,MOD(SMALL(Responses!$BD$2:$BD$501,52),1000)-1),60),2)),"")</f>
        <v/>
      </c>
      <c r="C57" s="28">
        <f>IFERROR(IF(INDEX(Responses!$AV$2:$AV$501,MOD(SMALL(Responses!$BD$2:$BD$501,52),1000)-1)="","",RIGHT("0"&amp;INT(INDEX(Responses!$AV$2:$AV$501,MOD(SMALL(Responses!$BD$2:$BD$501,52),1000)-1)/60),2)&amp;":"&amp;RIGHT("0"&amp;MOD(INDEX(Responses!$AV$2:$AV$501,MOD(SMALL(Responses!$BD$2:$BD$501,52),1000)-1),60),2)),"")</f>
        <v/>
      </c>
      <c r="D57" s="28">
        <f>IFERROR(INDEX(Responses!$AS$2:$AS$501,MOD(SMALL(Responses!$BD$2:$BD$501,52),1000)-1),"")</f>
        <v/>
      </c>
      <c r="E57" s="28">
        <f>IFERROR(INDEX(Responses!$AW$2:$AW$501,MOD(SMALL(Responses!$BD$2:$BD$501,52),1000)-1),"")</f>
        <v/>
      </c>
      <c r="F57" s="28">
        <f>IFERROR(INDEX(Responses!$AX$2:$AX$501,MOD(SMALL(Responses!$BD$2:$BD$501,52),1000)-1),"")</f>
        <v/>
      </c>
      <c r="G57" s="28">
        <f>IFERROR(INDEX(Responses!$BE$2:$BE$501,MOD(SMALL(Responses!$BD$2:$BD$501,52),1000)-1),"")</f>
        <v/>
      </c>
    </row>
    <row r="58">
      <c r="A58" s="30">
        <f>IFERROR(INT(SMALL(Responses!$BD$2:$BD$501,53)/10000000),"")</f>
        <v/>
      </c>
      <c r="B58" s="28">
        <f>IFERROR(IF(INDEX(Responses!$AU$2:$AU$501,MOD(SMALL(Responses!$BD$2:$BD$501,53),1000)-1)="","",RIGHT("0"&amp;INT(INDEX(Responses!$AU$2:$AU$501,MOD(SMALL(Responses!$BD$2:$BD$501,53),1000)-1)/60),2)&amp;":"&amp;RIGHT("0"&amp;MOD(INDEX(Responses!$AU$2:$AU$501,MOD(SMALL(Responses!$BD$2:$BD$501,53),1000)-1),60),2)),"")</f>
        <v/>
      </c>
      <c r="C58" s="28">
        <f>IFERROR(IF(INDEX(Responses!$AV$2:$AV$501,MOD(SMALL(Responses!$BD$2:$BD$501,53),1000)-1)="","",RIGHT("0"&amp;INT(INDEX(Responses!$AV$2:$AV$501,MOD(SMALL(Responses!$BD$2:$BD$501,53),1000)-1)/60),2)&amp;":"&amp;RIGHT("0"&amp;MOD(INDEX(Responses!$AV$2:$AV$501,MOD(SMALL(Responses!$BD$2:$BD$501,53),1000)-1),60),2)),"")</f>
        <v/>
      </c>
      <c r="D58" s="28">
        <f>IFERROR(INDEX(Responses!$AS$2:$AS$501,MOD(SMALL(Responses!$BD$2:$BD$501,53),1000)-1),"")</f>
        <v/>
      </c>
      <c r="E58" s="28">
        <f>IFERROR(INDEX(Responses!$AW$2:$AW$501,MOD(SMALL(Responses!$BD$2:$BD$501,53),1000)-1),"")</f>
        <v/>
      </c>
      <c r="F58" s="28">
        <f>IFERROR(INDEX(Responses!$AX$2:$AX$501,MOD(SMALL(Responses!$BD$2:$BD$501,53),1000)-1),"")</f>
        <v/>
      </c>
      <c r="G58" s="28">
        <f>IFERROR(INDEX(Responses!$BE$2:$BE$501,MOD(SMALL(Responses!$BD$2:$BD$501,53),1000)-1),"")</f>
        <v/>
      </c>
    </row>
    <row r="59">
      <c r="A59" s="30">
        <f>IFERROR(INT(SMALL(Responses!$BD$2:$BD$501,54)/10000000),"")</f>
        <v/>
      </c>
      <c r="B59" s="28">
        <f>IFERROR(IF(INDEX(Responses!$AU$2:$AU$501,MOD(SMALL(Responses!$BD$2:$BD$501,54),1000)-1)="","",RIGHT("0"&amp;INT(INDEX(Responses!$AU$2:$AU$501,MOD(SMALL(Responses!$BD$2:$BD$501,54),1000)-1)/60),2)&amp;":"&amp;RIGHT("0"&amp;MOD(INDEX(Responses!$AU$2:$AU$501,MOD(SMALL(Responses!$BD$2:$BD$501,54),1000)-1),60),2)),"")</f>
        <v/>
      </c>
      <c r="C59" s="28">
        <f>IFERROR(IF(INDEX(Responses!$AV$2:$AV$501,MOD(SMALL(Responses!$BD$2:$BD$501,54),1000)-1)="","",RIGHT("0"&amp;INT(INDEX(Responses!$AV$2:$AV$501,MOD(SMALL(Responses!$BD$2:$BD$501,54),1000)-1)/60),2)&amp;":"&amp;RIGHT("0"&amp;MOD(INDEX(Responses!$AV$2:$AV$501,MOD(SMALL(Responses!$BD$2:$BD$501,54),1000)-1),60),2)),"")</f>
        <v/>
      </c>
      <c r="D59" s="28">
        <f>IFERROR(INDEX(Responses!$AS$2:$AS$501,MOD(SMALL(Responses!$BD$2:$BD$501,54),1000)-1),"")</f>
        <v/>
      </c>
      <c r="E59" s="28">
        <f>IFERROR(INDEX(Responses!$AW$2:$AW$501,MOD(SMALL(Responses!$BD$2:$BD$501,54),1000)-1),"")</f>
        <v/>
      </c>
      <c r="F59" s="28">
        <f>IFERROR(INDEX(Responses!$AX$2:$AX$501,MOD(SMALL(Responses!$BD$2:$BD$501,54),1000)-1),"")</f>
        <v/>
      </c>
      <c r="G59" s="28">
        <f>IFERROR(INDEX(Responses!$BE$2:$BE$501,MOD(SMALL(Responses!$BD$2:$BD$501,54),1000)-1),"")</f>
        <v/>
      </c>
    </row>
    <row r="60">
      <c r="A60" s="30">
        <f>IFERROR(INT(SMALL(Responses!$BD$2:$BD$501,55)/10000000),"")</f>
        <v/>
      </c>
      <c r="B60" s="28">
        <f>IFERROR(IF(INDEX(Responses!$AU$2:$AU$501,MOD(SMALL(Responses!$BD$2:$BD$501,55),1000)-1)="","",RIGHT("0"&amp;INT(INDEX(Responses!$AU$2:$AU$501,MOD(SMALL(Responses!$BD$2:$BD$501,55),1000)-1)/60),2)&amp;":"&amp;RIGHT("0"&amp;MOD(INDEX(Responses!$AU$2:$AU$501,MOD(SMALL(Responses!$BD$2:$BD$501,55),1000)-1),60),2)),"")</f>
        <v/>
      </c>
      <c r="C60" s="28">
        <f>IFERROR(IF(INDEX(Responses!$AV$2:$AV$501,MOD(SMALL(Responses!$BD$2:$BD$501,55),1000)-1)="","",RIGHT("0"&amp;INT(INDEX(Responses!$AV$2:$AV$501,MOD(SMALL(Responses!$BD$2:$BD$501,55),1000)-1)/60),2)&amp;":"&amp;RIGHT("0"&amp;MOD(INDEX(Responses!$AV$2:$AV$501,MOD(SMALL(Responses!$BD$2:$BD$501,55),1000)-1),60),2)),"")</f>
        <v/>
      </c>
      <c r="D60" s="28">
        <f>IFERROR(INDEX(Responses!$AS$2:$AS$501,MOD(SMALL(Responses!$BD$2:$BD$501,55),1000)-1),"")</f>
        <v/>
      </c>
      <c r="E60" s="28">
        <f>IFERROR(INDEX(Responses!$AW$2:$AW$501,MOD(SMALL(Responses!$BD$2:$BD$501,55),1000)-1),"")</f>
        <v/>
      </c>
      <c r="F60" s="28">
        <f>IFERROR(INDEX(Responses!$AX$2:$AX$501,MOD(SMALL(Responses!$BD$2:$BD$501,55),1000)-1),"")</f>
        <v/>
      </c>
      <c r="G60" s="28">
        <f>IFERROR(INDEX(Responses!$BE$2:$BE$501,MOD(SMALL(Responses!$BD$2:$BD$501,55),1000)-1),"")</f>
        <v/>
      </c>
    </row>
    <row r="61">
      <c r="A61" s="30">
        <f>IFERROR(INT(SMALL(Responses!$BD$2:$BD$501,56)/10000000),"")</f>
        <v/>
      </c>
      <c r="B61" s="28">
        <f>IFERROR(IF(INDEX(Responses!$AU$2:$AU$501,MOD(SMALL(Responses!$BD$2:$BD$501,56),1000)-1)="","",RIGHT("0"&amp;INT(INDEX(Responses!$AU$2:$AU$501,MOD(SMALL(Responses!$BD$2:$BD$501,56),1000)-1)/60),2)&amp;":"&amp;RIGHT("0"&amp;MOD(INDEX(Responses!$AU$2:$AU$501,MOD(SMALL(Responses!$BD$2:$BD$501,56),1000)-1),60),2)),"")</f>
        <v/>
      </c>
      <c r="C61" s="28">
        <f>IFERROR(IF(INDEX(Responses!$AV$2:$AV$501,MOD(SMALL(Responses!$BD$2:$BD$501,56),1000)-1)="","",RIGHT("0"&amp;INT(INDEX(Responses!$AV$2:$AV$501,MOD(SMALL(Responses!$BD$2:$BD$501,56),1000)-1)/60),2)&amp;":"&amp;RIGHT("0"&amp;MOD(INDEX(Responses!$AV$2:$AV$501,MOD(SMALL(Responses!$BD$2:$BD$501,56),1000)-1),60),2)),"")</f>
        <v/>
      </c>
      <c r="D61" s="28">
        <f>IFERROR(INDEX(Responses!$AS$2:$AS$501,MOD(SMALL(Responses!$BD$2:$BD$501,56),1000)-1),"")</f>
        <v/>
      </c>
      <c r="E61" s="28">
        <f>IFERROR(INDEX(Responses!$AW$2:$AW$501,MOD(SMALL(Responses!$BD$2:$BD$501,56),1000)-1),"")</f>
        <v/>
      </c>
      <c r="F61" s="28">
        <f>IFERROR(INDEX(Responses!$AX$2:$AX$501,MOD(SMALL(Responses!$BD$2:$BD$501,56),1000)-1),"")</f>
        <v/>
      </c>
      <c r="G61" s="28">
        <f>IFERROR(INDEX(Responses!$BE$2:$BE$501,MOD(SMALL(Responses!$BD$2:$BD$501,56),1000)-1),"")</f>
        <v/>
      </c>
    </row>
    <row r="62">
      <c r="A62" s="30">
        <f>IFERROR(INT(SMALL(Responses!$BD$2:$BD$501,57)/10000000),"")</f>
        <v/>
      </c>
      <c r="B62" s="28">
        <f>IFERROR(IF(INDEX(Responses!$AU$2:$AU$501,MOD(SMALL(Responses!$BD$2:$BD$501,57),1000)-1)="","",RIGHT("0"&amp;INT(INDEX(Responses!$AU$2:$AU$501,MOD(SMALL(Responses!$BD$2:$BD$501,57),1000)-1)/60),2)&amp;":"&amp;RIGHT("0"&amp;MOD(INDEX(Responses!$AU$2:$AU$501,MOD(SMALL(Responses!$BD$2:$BD$501,57),1000)-1),60),2)),"")</f>
        <v/>
      </c>
      <c r="C62" s="28">
        <f>IFERROR(IF(INDEX(Responses!$AV$2:$AV$501,MOD(SMALL(Responses!$BD$2:$BD$501,57),1000)-1)="","",RIGHT("0"&amp;INT(INDEX(Responses!$AV$2:$AV$501,MOD(SMALL(Responses!$BD$2:$BD$501,57),1000)-1)/60),2)&amp;":"&amp;RIGHT("0"&amp;MOD(INDEX(Responses!$AV$2:$AV$501,MOD(SMALL(Responses!$BD$2:$BD$501,57),1000)-1),60),2)),"")</f>
        <v/>
      </c>
      <c r="D62" s="28">
        <f>IFERROR(INDEX(Responses!$AS$2:$AS$501,MOD(SMALL(Responses!$BD$2:$BD$501,57),1000)-1),"")</f>
        <v/>
      </c>
      <c r="E62" s="28">
        <f>IFERROR(INDEX(Responses!$AW$2:$AW$501,MOD(SMALL(Responses!$BD$2:$BD$501,57),1000)-1),"")</f>
        <v/>
      </c>
      <c r="F62" s="28">
        <f>IFERROR(INDEX(Responses!$AX$2:$AX$501,MOD(SMALL(Responses!$BD$2:$BD$501,57),1000)-1),"")</f>
        <v/>
      </c>
      <c r="G62" s="28">
        <f>IFERROR(INDEX(Responses!$BE$2:$BE$501,MOD(SMALL(Responses!$BD$2:$BD$501,57),1000)-1),"")</f>
        <v/>
      </c>
    </row>
    <row r="63">
      <c r="A63" s="30">
        <f>IFERROR(INT(SMALL(Responses!$BD$2:$BD$501,58)/10000000),"")</f>
        <v/>
      </c>
      <c r="B63" s="28">
        <f>IFERROR(IF(INDEX(Responses!$AU$2:$AU$501,MOD(SMALL(Responses!$BD$2:$BD$501,58),1000)-1)="","",RIGHT("0"&amp;INT(INDEX(Responses!$AU$2:$AU$501,MOD(SMALL(Responses!$BD$2:$BD$501,58),1000)-1)/60),2)&amp;":"&amp;RIGHT("0"&amp;MOD(INDEX(Responses!$AU$2:$AU$501,MOD(SMALL(Responses!$BD$2:$BD$501,58),1000)-1),60),2)),"")</f>
        <v/>
      </c>
      <c r="C63" s="28">
        <f>IFERROR(IF(INDEX(Responses!$AV$2:$AV$501,MOD(SMALL(Responses!$BD$2:$BD$501,58),1000)-1)="","",RIGHT("0"&amp;INT(INDEX(Responses!$AV$2:$AV$501,MOD(SMALL(Responses!$BD$2:$BD$501,58),1000)-1)/60),2)&amp;":"&amp;RIGHT("0"&amp;MOD(INDEX(Responses!$AV$2:$AV$501,MOD(SMALL(Responses!$BD$2:$BD$501,58),1000)-1),60),2)),"")</f>
        <v/>
      </c>
      <c r="D63" s="28">
        <f>IFERROR(INDEX(Responses!$AS$2:$AS$501,MOD(SMALL(Responses!$BD$2:$BD$501,58),1000)-1),"")</f>
        <v/>
      </c>
      <c r="E63" s="28">
        <f>IFERROR(INDEX(Responses!$AW$2:$AW$501,MOD(SMALL(Responses!$BD$2:$BD$501,58),1000)-1),"")</f>
        <v/>
      </c>
      <c r="F63" s="28">
        <f>IFERROR(INDEX(Responses!$AX$2:$AX$501,MOD(SMALL(Responses!$BD$2:$BD$501,58),1000)-1),"")</f>
        <v/>
      </c>
      <c r="G63" s="28">
        <f>IFERROR(INDEX(Responses!$BE$2:$BE$501,MOD(SMALL(Responses!$BD$2:$BD$501,58),1000)-1),"")</f>
        <v/>
      </c>
    </row>
    <row r="64">
      <c r="A64" s="30">
        <f>IFERROR(INT(SMALL(Responses!$BD$2:$BD$501,59)/10000000),"")</f>
        <v/>
      </c>
      <c r="B64" s="28">
        <f>IFERROR(IF(INDEX(Responses!$AU$2:$AU$501,MOD(SMALL(Responses!$BD$2:$BD$501,59),1000)-1)="","",RIGHT("0"&amp;INT(INDEX(Responses!$AU$2:$AU$501,MOD(SMALL(Responses!$BD$2:$BD$501,59),1000)-1)/60),2)&amp;":"&amp;RIGHT("0"&amp;MOD(INDEX(Responses!$AU$2:$AU$501,MOD(SMALL(Responses!$BD$2:$BD$501,59),1000)-1),60),2)),"")</f>
        <v/>
      </c>
      <c r="C64" s="28">
        <f>IFERROR(IF(INDEX(Responses!$AV$2:$AV$501,MOD(SMALL(Responses!$BD$2:$BD$501,59),1000)-1)="","",RIGHT("0"&amp;INT(INDEX(Responses!$AV$2:$AV$501,MOD(SMALL(Responses!$BD$2:$BD$501,59),1000)-1)/60),2)&amp;":"&amp;RIGHT("0"&amp;MOD(INDEX(Responses!$AV$2:$AV$501,MOD(SMALL(Responses!$BD$2:$BD$501,59),1000)-1),60),2)),"")</f>
        <v/>
      </c>
      <c r="D64" s="28">
        <f>IFERROR(INDEX(Responses!$AS$2:$AS$501,MOD(SMALL(Responses!$BD$2:$BD$501,59),1000)-1),"")</f>
        <v/>
      </c>
      <c r="E64" s="28">
        <f>IFERROR(INDEX(Responses!$AW$2:$AW$501,MOD(SMALL(Responses!$BD$2:$BD$501,59),1000)-1),"")</f>
        <v/>
      </c>
      <c r="F64" s="28">
        <f>IFERROR(INDEX(Responses!$AX$2:$AX$501,MOD(SMALL(Responses!$BD$2:$BD$501,59),1000)-1),"")</f>
        <v/>
      </c>
      <c r="G64" s="28">
        <f>IFERROR(INDEX(Responses!$BE$2:$BE$501,MOD(SMALL(Responses!$BD$2:$BD$501,59),1000)-1),"")</f>
        <v/>
      </c>
    </row>
    <row r="65">
      <c r="A65" s="30">
        <f>IFERROR(INT(SMALL(Responses!$BD$2:$BD$501,60)/10000000),"")</f>
        <v/>
      </c>
      <c r="B65" s="28">
        <f>IFERROR(IF(INDEX(Responses!$AU$2:$AU$501,MOD(SMALL(Responses!$BD$2:$BD$501,60),1000)-1)="","",RIGHT("0"&amp;INT(INDEX(Responses!$AU$2:$AU$501,MOD(SMALL(Responses!$BD$2:$BD$501,60),1000)-1)/60),2)&amp;":"&amp;RIGHT("0"&amp;MOD(INDEX(Responses!$AU$2:$AU$501,MOD(SMALL(Responses!$BD$2:$BD$501,60),1000)-1),60),2)),"")</f>
        <v/>
      </c>
      <c r="C65" s="28">
        <f>IFERROR(IF(INDEX(Responses!$AV$2:$AV$501,MOD(SMALL(Responses!$BD$2:$BD$501,60),1000)-1)="","",RIGHT("0"&amp;INT(INDEX(Responses!$AV$2:$AV$501,MOD(SMALL(Responses!$BD$2:$BD$501,60),1000)-1)/60),2)&amp;":"&amp;RIGHT("0"&amp;MOD(INDEX(Responses!$AV$2:$AV$501,MOD(SMALL(Responses!$BD$2:$BD$501,60),1000)-1),60),2)),"")</f>
        <v/>
      </c>
      <c r="D65" s="28">
        <f>IFERROR(INDEX(Responses!$AS$2:$AS$501,MOD(SMALL(Responses!$BD$2:$BD$501,60),1000)-1),"")</f>
        <v/>
      </c>
      <c r="E65" s="28">
        <f>IFERROR(INDEX(Responses!$AW$2:$AW$501,MOD(SMALL(Responses!$BD$2:$BD$501,60),1000)-1),"")</f>
        <v/>
      </c>
      <c r="F65" s="28">
        <f>IFERROR(INDEX(Responses!$AX$2:$AX$501,MOD(SMALL(Responses!$BD$2:$BD$501,60),1000)-1),"")</f>
        <v/>
      </c>
      <c r="G65" s="28">
        <f>IFERROR(INDEX(Responses!$BE$2:$BE$501,MOD(SMALL(Responses!$BD$2:$BD$501,60),1000)-1),"")</f>
        <v/>
      </c>
    </row>
    <row r="66">
      <c r="A66" s="30">
        <f>IFERROR(INT(SMALL(Responses!$BD$2:$BD$501,61)/10000000),"")</f>
        <v/>
      </c>
      <c r="B66" s="28">
        <f>IFERROR(IF(INDEX(Responses!$AU$2:$AU$501,MOD(SMALL(Responses!$BD$2:$BD$501,61),1000)-1)="","",RIGHT("0"&amp;INT(INDEX(Responses!$AU$2:$AU$501,MOD(SMALL(Responses!$BD$2:$BD$501,61),1000)-1)/60),2)&amp;":"&amp;RIGHT("0"&amp;MOD(INDEX(Responses!$AU$2:$AU$501,MOD(SMALL(Responses!$BD$2:$BD$501,61),1000)-1),60),2)),"")</f>
        <v/>
      </c>
      <c r="C66" s="28">
        <f>IFERROR(IF(INDEX(Responses!$AV$2:$AV$501,MOD(SMALL(Responses!$BD$2:$BD$501,61),1000)-1)="","",RIGHT("0"&amp;INT(INDEX(Responses!$AV$2:$AV$501,MOD(SMALL(Responses!$BD$2:$BD$501,61),1000)-1)/60),2)&amp;":"&amp;RIGHT("0"&amp;MOD(INDEX(Responses!$AV$2:$AV$501,MOD(SMALL(Responses!$BD$2:$BD$501,61),1000)-1),60),2)),"")</f>
        <v/>
      </c>
      <c r="D66" s="28">
        <f>IFERROR(INDEX(Responses!$AS$2:$AS$501,MOD(SMALL(Responses!$BD$2:$BD$501,61),1000)-1),"")</f>
        <v/>
      </c>
      <c r="E66" s="28">
        <f>IFERROR(INDEX(Responses!$AW$2:$AW$501,MOD(SMALL(Responses!$BD$2:$BD$501,61),1000)-1),"")</f>
        <v/>
      </c>
      <c r="F66" s="28">
        <f>IFERROR(INDEX(Responses!$AX$2:$AX$501,MOD(SMALL(Responses!$BD$2:$BD$501,61),1000)-1),"")</f>
        <v/>
      </c>
      <c r="G66" s="28">
        <f>IFERROR(INDEX(Responses!$BE$2:$BE$501,MOD(SMALL(Responses!$BD$2:$BD$501,61),1000)-1),"")</f>
        <v/>
      </c>
    </row>
    <row r="67">
      <c r="A67" s="30">
        <f>IFERROR(INT(SMALL(Responses!$BD$2:$BD$501,62)/10000000),"")</f>
        <v/>
      </c>
      <c r="B67" s="28">
        <f>IFERROR(IF(INDEX(Responses!$AU$2:$AU$501,MOD(SMALL(Responses!$BD$2:$BD$501,62),1000)-1)="","",RIGHT("0"&amp;INT(INDEX(Responses!$AU$2:$AU$501,MOD(SMALL(Responses!$BD$2:$BD$501,62),1000)-1)/60),2)&amp;":"&amp;RIGHT("0"&amp;MOD(INDEX(Responses!$AU$2:$AU$501,MOD(SMALL(Responses!$BD$2:$BD$501,62),1000)-1),60),2)),"")</f>
        <v/>
      </c>
      <c r="C67" s="28">
        <f>IFERROR(IF(INDEX(Responses!$AV$2:$AV$501,MOD(SMALL(Responses!$BD$2:$BD$501,62),1000)-1)="","",RIGHT("0"&amp;INT(INDEX(Responses!$AV$2:$AV$501,MOD(SMALL(Responses!$BD$2:$BD$501,62),1000)-1)/60),2)&amp;":"&amp;RIGHT("0"&amp;MOD(INDEX(Responses!$AV$2:$AV$501,MOD(SMALL(Responses!$BD$2:$BD$501,62),1000)-1),60),2)),"")</f>
        <v/>
      </c>
      <c r="D67" s="28">
        <f>IFERROR(INDEX(Responses!$AS$2:$AS$501,MOD(SMALL(Responses!$BD$2:$BD$501,62),1000)-1),"")</f>
        <v/>
      </c>
      <c r="E67" s="28">
        <f>IFERROR(INDEX(Responses!$AW$2:$AW$501,MOD(SMALL(Responses!$BD$2:$BD$501,62),1000)-1),"")</f>
        <v/>
      </c>
      <c r="F67" s="28">
        <f>IFERROR(INDEX(Responses!$AX$2:$AX$501,MOD(SMALL(Responses!$BD$2:$BD$501,62),1000)-1),"")</f>
        <v/>
      </c>
      <c r="G67" s="28">
        <f>IFERROR(INDEX(Responses!$BE$2:$BE$501,MOD(SMALL(Responses!$BD$2:$BD$501,62),1000)-1),"")</f>
        <v/>
      </c>
    </row>
    <row r="68">
      <c r="A68" s="30">
        <f>IFERROR(INT(SMALL(Responses!$BD$2:$BD$501,63)/10000000),"")</f>
        <v/>
      </c>
      <c r="B68" s="28">
        <f>IFERROR(IF(INDEX(Responses!$AU$2:$AU$501,MOD(SMALL(Responses!$BD$2:$BD$501,63),1000)-1)="","",RIGHT("0"&amp;INT(INDEX(Responses!$AU$2:$AU$501,MOD(SMALL(Responses!$BD$2:$BD$501,63),1000)-1)/60),2)&amp;":"&amp;RIGHT("0"&amp;MOD(INDEX(Responses!$AU$2:$AU$501,MOD(SMALL(Responses!$BD$2:$BD$501,63),1000)-1),60),2)),"")</f>
        <v/>
      </c>
      <c r="C68" s="28">
        <f>IFERROR(IF(INDEX(Responses!$AV$2:$AV$501,MOD(SMALL(Responses!$BD$2:$BD$501,63),1000)-1)="","",RIGHT("0"&amp;INT(INDEX(Responses!$AV$2:$AV$501,MOD(SMALL(Responses!$BD$2:$BD$501,63),1000)-1)/60),2)&amp;":"&amp;RIGHT("0"&amp;MOD(INDEX(Responses!$AV$2:$AV$501,MOD(SMALL(Responses!$BD$2:$BD$501,63),1000)-1),60),2)),"")</f>
        <v/>
      </c>
      <c r="D68" s="28">
        <f>IFERROR(INDEX(Responses!$AS$2:$AS$501,MOD(SMALL(Responses!$BD$2:$BD$501,63),1000)-1),"")</f>
        <v/>
      </c>
      <c r="E68" s="28">
        <f>IFERROR(INDEX(Responses!$AW$2:$AW$501,MOD(SMALL(Responses!$BD$2:$BD$501,63),1000)-1),"")</f>
        <v/>
      </c>
      <c r="F68" s="28">
        <f>IFERROR(INDEX(Responses!$AX$2:$AX$501,MOD(SMALL(Responses!$BD$2:$BD$501,63),1000)-1),"")</f>
        <v/>
      </c>
      <c r="G68" s="28">
        <f>IFERROR(INDEX(Responses!$BE$2:$BE$501,MOD(SMALL(Responses!$BD$2:$BD$501,63),1000)-1),"")</f>
        <v/>
      </c>
    </row>
    <row r="69">
      <c r="A69" s="30">
        <f>IFERROR(INT(SMALL(Responses!$BD$2:$BD$501,64)/10000000),"")</f>
        <v/>
      </c>
      <c r="B69" s="28">
        <f>IFERROR(IF(INDEX(Responses!$AU$2:$AU$501,MOD(SMALL(Responses!$BD$2:$BD$501,64),1000)-1)="","",RIGHT("0"&amp;INT(INDEX(Responses!$AU$2:$AU$501,MOD(SMALL(Responses!$BD$2:$BD$501,64),1000)-1)/60),2)&amp;":"&amp;RIGHT("0"&amp;MOD(INDEX(Responses!$AU$2:$AU$501,MOD(SMALL(Responses!$BD$2:$BD$501,64),1000)-1),60),2)),"")</f>
        <v/>
      </c>
      <c r="C69" s="28">
        <f>IFERROR(IF(INDEX(Responses!$AV$2:$AV$501,MOD(SMALL(Responses!$BD$2:$BD$501,64),1000)-1)="","",RIGHT("0"&amp;INT(INDEX(Responses!$AV$2:$AV$501,MOD(SMALL(Responses!$BD$2:$BD$501,64),1000)-1)/60),2)&amp;":"&amp;RIGHT("0"&amp;MOD(INDEX(Responses!$AV$2:$AV$501,MOD(SMALL(Responses!$BD$2:$BD$501,64),1000)-1),60),2)),"")</f>
        <v/>
      </c>
      <c r="D69" s="28">
        <f>IFERROR(INDEX(Responses!$AS$2:$AS$501,MOD(SMALL(Responses!$BD$2:$BD$501,64),1000)-1),"")</f>
        <v/>
      </c>
      <c r="E69" s="28">
        <f>IFERROR(INDEX(Responses!$AW$2:$AW$501,MOD(SMALL(Responses!$BD$2:$BD$501,64),1000)-1),"")</f>
        <v/>
      </c>
      <c r="F69" s="28">
        <f>IFERROR(INDEX(Responses!$AX$2:$AX$501,MOD(SMALL(Responses!$BD$2:$BD$501,64),1000)-1),"")</f>
        <v/>
      </c>
      <c r="G69" s="28">
        <f>IFERROR(INDEX(Responses!$BE$2:$BE$501,MOD(SMALL(Responses!$BD$2:$BD$501,64),1000)-1),"")</f>
        <v/>
      </c>
    </row>
    <row r="70">
      <c r="A70" s="30">
        <f>IFERROR(INT(SMALL(Responses!$BD$2:$BD$501,65)/10000000),"")</f>
        <v/>
      </c>
      <c r="B70" s="28">
        <f>IFERROR(IF(INDEX(Responses!$AU$2:$AU$501,MOD(SMALL(Responses!$BD$2:$BD$501,65),1000)-1)="","",RIGHT("0"&amp;INT(INDEX(Responses!$AU$2:$AU$501,MOD(SMALL(Responses!$BD$2:$BD$501,65),1000)-1)/60),2)&amp;":"&amp;RIGHT("0"&amp;MOD(INDEX(Responses!$AU$2:$AU$501,MOD(SMALL(Responses!$BD$2:$BD$501,65),1000)-1),60),2)),"")</f>
        <v/>
      </c>
      <c r="C70" s="28">
        <f>IFERROR(IF(INDEX(Responses!$AV$2:$AV$501,MOD(SMALL(Responses!$BD$2:$BD$501,65),1000)-1)="","",RIGHT("0"&amp;INT(INDEX(Responses!$AV$2:$AV$501,MOD(SMALL(Responses!$BD$2:$BD$501,65),1000)-1)/60),2)&amp;":"&amp;RIGHT("0"&amp;MOD(INDEX(Responses!$AV$2:$AV$501,MOD(SMALL(Responses!$BD$2:$BD$501,65),1000)-1),60),2)),"")</f>
        <v/>
      </c>
      <c r="D70" s="28">
        <f>IFERROR(INDEX(Responses!$AS$2:$AS$501,MOD(SMALL(Responses!$BD$2:$BD$501,65),1000)-1),"")</f>
        <v/>
      </c>
      <c r="E70" s="28">
        <f>IFERROR(INDEX(Responses!$AW$2:$AW$501,MOD(SMALL(Responses!$BD$2:$BD$501,65),1000)-1),"")</f>
        <v/>
      </c>
      <c r="F70" s="28">
        <f>IFERROR(INDEX(Responses!$AX$2:$AX$501,MOD(SMALL(Responses!$BD$2:$BD$501,65),1000)-1),"")</f>
        <v/>
      </c>
      <c r="G70" s="28">
        <f>IFERROR(INDEX(Responses!$BE$2:$BE$501,MOD(SMALL(Responses!$BD$2:$BD$501,65),1000)-1),"")</f>
        <v/>
      </c>
    </row>
    <row r="71">
      <c r="A71" s="30">
        <f>IFERROR(INT(SMALL(Responses!$BD$2:$BD$501,66)/10000000),"")</f>
        <v/>
      </c>
      <c r="B71" s="28">
        <f>IFERROR(IF(INDEX(Responses!$AU$2:$AU$501,MOD(SMALL(Responses!$BD$2:$BD$501,66),1000)-1)="","",RIGHT("0"&amp;INT(INDEX(Responses!$AU$2:$AU$501,MOD(SMALL(Responses!$BD$2:$BD$501,66),1000)-1)/60),2)&amp;":"&amp;RIGHT("0"&amp;MOD(INDEX(Responses!$AU$2:$AU$501,MOD(SMALL(Responses!$BD$2:$BD$501,66),1000)-1),60),2)),"")</f>
        <v/>
      </c>
      <c r="C71" s="28">
        <f>IFERROR(IF(INDEX(Responses!$AV$2:$AV$501,MOD(SMALL(Responses!$BD$2:$BD$501,66),1000)-1)="","",RIGHT("0"&amp;INT(INDEX(Responses!$AV$2:$AV$501,MOD(SMALL(Responses!$BD$2:$BD$501,66),1000)-1)/60),2)&amp;":"&amp;RIGHT("0"&amp;MOD(INDEX(Responses!$AV$2:$AV$501,MOD(SMALL(Responses!$BD$2:$BD$501,66),1000)-1),60),2)),"")</f>
        <v/>
      </c>
      <c r="D71" s="28">
        <f>IFERROR(INDEX(Responses!$AS$2:$AS$501,MOD(SMALL(Responses!$BD$2:$BD$501,66),1000)-1),"")</f>
        <v/>
      </c>
      <c r="E71" s="28">
        <f>IFERROR(INDEX(Responses!$AW$2:$AW$501,MOD(SMALL(Responses!$BD$2:$BD$501,66),1000)-1),"")</f>
        <v/>
      </c>
      <c r="F71" s="28">
        <f>IFERROR(INDEX(Responses!$AX$2:$AX$501,MOD(SMALL(Responses!$BD$2:$BD$501,66),1000)-1),"")</f>
        <v/>
      </c>
      <c r="G71" s="28">
        <f>IFERROR(INDEX(Responses!$BE$2:$BE$501,MOD(SMALL(Responses!$BD$2:$BD$501,66),1000)-1),"")</f>
        <v/>
      </c>
    </row>
    <row r="72">
      <c r="A72" s="30">
        <f>IFERROR(INT(SMALL(Responses!$BD$2:$BD$501,67)/10000000),"")</f>
        <v/>
      </c>
      <c r="B72" s="28">
        <f>IFERROR(IF(INDEX(Responses!$AU$2:$AU$501,MOD(SMALL(Responses!$BD$2:$BD$501,67),1000)-1)="","",RIGHT("0"&amp;INT(INDEX(Responses!$AU$2:$AU$501,MOD(SMALL(Responses!$BD$2:$BD$501,67),1000)-1)/60),2)&amp;":"&amp;RIGHT("0"&amp;MOD(INDEX(Responses!$AU$2:$AU$501,MOD(SMALL(Responses!$BD$2:$BD$501,67),1000)-1),60),2)),"")</f>
        <v/>
      </c>
      <c r="C72" s="28">
        <f>IFERROR(IF(INDEX(Responses!$AV$2:$AV$501,MOD(SMALL(Responses!$BD$2:$BD$501,67),1000)-1)="","",RIGHT("0"&amp;INT(INDEX(Responses!$AV$2:$AV$501,MOD(SMALL(Responses!$BD$2:$BD$501,67),1000)-1)/60),2)&amp;":"&amp;RIGHT("0"&amp;MOD(INDEX(Responses!$AV$2:$AV$501,MOD(SMALL(Responses!$BD$2:$BD$501,67),1000)-1),60),2)),"")</f>
        <v/>
      </c>
      <c r="D72" s="28">
        <f>IFERROR(INDEX(Responses!$AS$2:$AS$501,MOD(SMALL(Responses!$BD$2:$BD$501,67),1000)-1),"")</f>
        <v/>
      </c>
      <c r="E72" s="28">
        <f>IFERROR(INDEX(Responses!$AW$2:$AW$501,MOD(SMALL(Responses!$BD$2:$BD$501,67),1000)-1),"")</f>
        <v/>
      </c>
      <c r="F72" s="28">
        <f>IFERROR(INDEX(Responses!$AX$2:$AX$501,MOD(SMALL(Responses!$BD$2:$BD$501,67),1000)-1),"")</f>
        <v/>
      </c>
      <c r="G72" s="28">
        <f>IFERROR(INDEX(Responses!$BE$2:$BE$501,MOD(SMALL(Responses!$BD$2:$BD$501,67),1000)-1),"")</f>
        <v/>
      </c>
    </row>
    <row r="73">
      <c r="A73" s="30">
        <f>IFERROR(INT(SMALL(Responses!$BD$2:$BD$501,68)/10000000),"")</f>
        <v/>
      </c>
      <c r="B73" s="28">
        <f>IFERROR(IF(INDEX(Responses!$AU$2:$AU$501,MOD(SMALL(Responses!$BD$2:$BD$501,68),1000)-1)="","",RIGHT("0"&amp;INT(INDEX(Responses!$AU$2:$AU$501,MOD(SMALL(Responses!$BD$2:$BD$501,68),1000)-1)/60),2)&amp;":"&amp;RIGHT("0"&amp;MOD(INDEX(Responses!$AU$2:$AU$501,MOD(SMALL(Responses!$BD$2:$BD$501,68),1000)-1),60),2)),"")</f>
        <v/>
      </c>
      <c r="C73" s="28">
        <f>IFERROR(IF(INDEX(Responses!$AV$2:$AV$501,MOD(SMALL(Responses!$BD$2:$BD$501,68),1000)-1)="","",RIGHT("0"&amp;INT(INDEX(Responses!$AV$2:$AV$501,MOD(SMALL(Responses!$BD$2:$BD$501,68),1000)-1)/60),2)&amp;":"&amp;RIGHT("0"&amp;MOD(INDEX(Responses!$AV$2:$AV$501,MOD(SMALL(Responses!$BD$2:$BD$501,68),1000)-1),60),2)),"")</f>
        <v/>
      </c>
      <c r="D73" s="28">
        <f>IFERROR(INDEX(Responses!$AS$2:$AS$501,MOD(SMALL(Responses!$BD$2:$BD$501,68),1000)-1),"")</f>
        <v/>
      </c>
      <c r="E73" s="28">
        <f>IFERROR(INDEX(Responses!$AW$2:$AW$501,MOD(SMALL(Responses!$BD$2:$BD$501,68),1000)-1),"")</f>
        <v/>
      </c>
      <c r="F73" s="28">
        <f>IFERROR(INDEX(Responses!$AX$2:$AX$501,MOD(SMALL(Responses!$BD$2:$BD$501,68),1000)-1),"")</f>
        <v/>
      </c>
      <c r="G73" s="28">
        <f>IFERROR(INDEX(Responses!$BE$2:$BE$501,MOD(SMALL(Responses!$BD$2:$BD$501,68),1000)-1),"")</f>
        <v/>
      </c>
    </row>
    <row r="74">
      <c r="A74" s="30">
        <f>IFERROR(INT(SMALL(Responses!$BD$2:$BD$501,69)/10000000),"")</f>
        <v/>
      </c>
      <c r="B74" s="28">
        <f>IFERROR(IF(INDEX(Responses!$AU$2:$AU$501,MOD(SMALL(Responses!$BD$2:$BD$501,69),1000)-1)="","",RIGHT("0"&amp;INT(INDEX(Responses!$AU$2:$AU$501,MOD(SMALL(Responses!$BD$2:$BD$501,69),1000)-1)/60),2)&amp;":"&amp;RIGHT("0"&amp;MOD(INDEX(Responses!$AU$2:$AU$501,MOD(SMALL(Responses!$BD$2:$BD$501,69),1000)-1),60),2)),"")</f>
        <v/>
      </c>
      <c r="C74" s="28">
        <f>IFERROR(IF(INDEX(Responses!$AV$2:$AV$501,MOD(SMALL(Responses!$BD$2:$BD$501,69),1000)-1)="","",RIGHT("0"&amp;INT(INDEX(Responses!$AV$2:$AV$501,MOD(SMALL(Responses!$BD$2:$BD$501,69),1000)-1)/60),2)&amp;":"&amp;RIGHT("0"&amp;MOD(INDEX(Responses!$AV$2:$AV$501,MOD(SMALL(Responses!$BD$2:$BD$501,69),1000)-1),60),2)),"")</f>
        <v/>
      </c>
      <c r="D74" s="28">
        <f>IFERROR(INDEX(Responses!$AS$2:$AS$501,MOD(SMALL(Responses!$BD$2:$BD$501,69),1000)-1),"")</f>
        <v/>
      </c>
      <c r="E74" s="28">
        <f>IFERROR(INDEX(Responses!$AW$2:$AW$501,MOD(SMALL(Responses!$BD$2:$BD$501,69),1000)-1),"")</f>
        <v/>
      </c>
      <c r="F74" s="28">
        <f>IFERROR(INDEX(Responses!$AX$2:$AX$501,MOD(SMALL(Responses!$BD$2:$BD$501,69),1000)-1),"")</f>
        <v/>
      </c>
      <c r="G74" s="28">
        <f>IFERROR(INDEX(Responses!$BE$2:$BE$501,MOD(SMALL(Responses!$BD$2:$BD$501,69),1000)-1),"")</f>
        <v/>
      </c>
    </row>
    <row r="75">
      <c r="A75" s="30">
        <f>IFERROR(INT(SMALL(Responses!$BD$2:$BD$501,70)/10000000),"")</f>
        <v/>
      </c>
      <c r="B75" s="28">
        <f>IFERROR(IF(INDEX(Responses!$AU$2:$AU$501,MOD(SMALL(Responses!$BD$2:$BD$501,70),1000)-1)="","",RIGHT("0"&amp;INT(INDEX(Responses!$AU$2:$AU$501,MOD(SMALL(Responses!$BD$2:$BD$501,70),1000)-1)/60),2)&amp;":"&amp;RIGHT("0"&amp;MOD(INDEX(Responses!$AU$2:$AU$501,MOD(SMALL(Responses!$BD$2:$BD$501,70),1000)-1),60),2)),"")</f>
        <v/>
      </c>
      <c r="C75" s="28">
        <f>IFERROR(IF(INDEX(Responses!$AV$2:$AV$501,MOD(SMALL(Responses!$BD$2:$BD$501,70),1000)-1)="","",RIGHT("0"&amp;INT(INDEX(Responses!$AV$2:$AV$501,MOD(SMALL(Responses!$BD$2:$BD$501,70),1000)-1)/60),2)&amp;":"&amp;RIGHT("0"&amp;MOD(INDEX(Responses!$AV$2:$AV$501,MOD(SMALL(Responses!$BD$2:$BD$501,70),1000)-1),60),2)),"")</f>
        <v/>
      </c>
      <c r="D75" s="28">
        <f>IFERROR(INDEX(Responses!$AS$2:$AS$501,MOD(SMALL(Responses!$BD$2:$BD$501,70),1000)-1),"")</f>
        <v/>
      </c>
      <c r="E75" s="28">
        <f>IFERROR(INDEX(Responses!$AW$2:$AW$501,MOD(SMALL(Responses!$BD$2:$BD$501,70),1000)-1),"")</f>
        <v/>
      </c>
      <c r="F75" s="28">
        <f>IFERROR(INDEX(Responses!$AX$2:$AX$501,MOD(SMALL(Responses!$BD$2:$BD$501,70),1000)-1),"")</f>
        <v/>
      </c>
      <c r="G75" s="28">
        <f>IFERROR(INDEX(Responses!$BE$2:$BE$501,MOD(SMALL(Responses!$BD$2:$BD$501,70),1000)-1),"")</f>
        <v/>
      </c>
    </row>
    <row r="76">
      <c r="A76" s="30">
        <f>IFERROR(INT(SMALL(Responses!$BD$2:$BD$501,71)/10000000),"")</f>
        <v/>
      </c>
      <c r="B76" s="28">
        <f>IFERROR(IF(INDEX(Responses!$AU$2:$AU$501,MOD(SMALL(Responses!$BD$2:$BD$501,71),1000)-1)="","",RIGHT("0"&amp;INT(INDEX(Responses!$AU$2:$AU$501,MOD(SMALL(Responses!$BD$2:$BD$501,71),1000)-1)/60),2)&amp;":"&amp;RIGHT("0"&amp;MOD(INDEX(Responses!$AU$2:$AU$501,MOD(SMALL(Responses!$BD$2:$BD$501,71),1000)-1),60),2)),"")</f>
        <v/>
      </c>
      <c r="C76" s="28">
        <f>IFERROR(IF(INDEX(Responses!$AV$2:$AV$501,MOD(SMALL(Responses!$BD$2:$BD$501,71),1000)-1)="","",RIGHT("0"&amp;INT(INDEX(Responses!$AV$2:$AV$501,MOD(SMALL(Responses!$BD$2:$BD$501,71),1000)-1)/60),2)&amp;":"&amp;RIGHT("0"&amp;MOD(INDEX(Responses!$AV$2:$AV$501,MOD(SMALL(Responses!$BD$2:$BD$501,71),1000)-1),60),2)),"")</f>
        <v/>
      </c>
      <c r="D76" s="28">
        <f>IFERROR(INDEX(Responses!$AS$2:$AS$501,MOD(SMALL(Responses!$BD$2:$BD$501,71),1000)-1),"")</f>
        <v/>
      </c>
      <c r="E76" s="28">
        <f>IFERROR(INDEX(Responses!$AW$2:$AW$501,MOD(SMALL(Responses!$BD$2:$BD$501,71),1000)-1),"")</f>
        <v/>
      </c>
      <c r="F76" s="28">
        <f>IFERROR(INDEX(Responses!$AX$2:$AX$501,MOD(SMALL(Responses!$BD$2:$BD$501,71),1000)-1),"")</f>
        <v/>
      </c>
      <c r="G76" s="28">
        <f>IFERROR(INDEX(Responses!$BE$2:$BE$501,MOD(SMALL(Responses!$BD$2:$BD$501,71),1000)-1),"")</f>
        <v/>
      </c>
    </row>
    <row r="77">
      <c r="A77" s="30">
        <f>IFERROR(INT(SMALL(Responses!$BD$2:$BD$501,72)/10000000),"")</f>
        <v/>
      </c>
      <c r="B77" s="28">
        <f>IFERROR(IF(INDEX(Responses!$AU$2:$AU$501,MOD(SMALL(Responses!$BD$2:$BD$501,72),1000)-1)="","",RIGHT("0"&amp;INT(INDEX(Responses!$AU$2:$AU$501,MOD(SMALL(Responses!$BD$2:$BD$501,72),1000)-1)/60),2)&amp;":"&amp;RIGHT("0"&amp;MOD(INDEX(Responses!$AU$2:$AU$501,MOD(SMALL(Responses!$BD$2:$BD$501,72),1000)-1),60),2)),"")</f>
        <v/>
      </c>
      <c r="C77" s="28">
        <f>IFERROR(IF(INDEX(Responses!$AV$2:$AV$501,MOD(SMALL(Responses!$BD$2:$BD$501,72),1000)-1)="","",RIGHT("0"&amp;INT(INDEX(Responses!$AV$2:$AV$501,MOD(SMALL(Responses!$BD$2:$BD$501,72),1000)-1)/60),2)&amp;":"&amp;RIGHT("0"&amp;MOD(INDEX(Responses!$AV$2:$AV$501,MOD(SMALL(Responses!$BD$2:$BD$501,72),1000)-1),60),2)),"")</f>
        <v/>
      </c>
      <c r="D77" s="28">
        <f>IFERROR(INDEX(Responses!$AS$2:$AS$501,MOD(SMALL(Responses!$BD$2:$BD$501,72),1000)-1),"")</f>
        <v/>
      </c>
      <c r="E77" s="28">
        <f>IFERROR(INDEX(Responses!$AW$2:$AW$501,MOD(SMALL(Responses!$BD$2:$BD$501,72),1000)-1),"")</f>
        <v/>
      </c>
      <c r="F77" s="28">
        <f>IFERROR(INDEX(Responses!$AX$2:$AX$501,MOD(SMALL(Responses!$BD$2:$BD$501,72),1000)-1),"")</f>
        <v/>
      </c>
      <c r="G77" s="28">
        <f>IFERROR(INDEX(Responses!$BE$2:$BE$501,MOD(SMALL(Responses!$BD$2:$BD$501,72),1000)-1),"")</f>
        <v/>
      </c>
    </row>
    <row r="78">
      <c r="A78" s="30">
        <f>IFERROR(INT(SMALL(Responses!$BD$2:$BD$501,73)/10000000),"")</f>
        <v/>
      </c>
      <c r="B78" s="28">
        <f>IFERROR(IF(INDEX(Responses!$AU$2:$AU$501,MOD(SMALL(Responses!$BD$2:$BD$501,73),1000)-1)="","",RIGHT("0"&amp;INT(INDEX(Responses!$AU$2:$AU$501,MOD(SMALL(Responses!$BD$2:$BD$501,73),1000)-1)/60),2)&amp;":"&amp;RIGHT("0"&amp;MOD(INDEX(Responses!$AU$2:$AU$501,MOD(SMALL(Responses!$BD$2:$BD$501,73),1000)-1),60),2)),"")</f>
        <v/>
      </c>
      <c r="C78" s="28">
        <f>IFERROR(IF(INDEX(Responses!$AV$2:$AV$501,MOD(SMALL(Responses!$BD$2:$BD$501,73),1000)-1)="","",RIGHT("0"&amp;INT(INDEX(Responses!$AV$2:$AV$501,MOD(SMALL(Responses!$BD$2:$BD$501,73),1000)-1)/60),2)&amp;":"&amp;RIGHT("0"&amp;MOD(INDEX(Responses!$AV$2:$AV$501,MOD(SMALL(Responses!$BD$2:$BD$501,73),1000)-1),60),2)),"")</f>
        <v/>
      </c>
      <c r="D78" s="28">
        <f>IFERROR(INDEX(Responses!$AS$2:$AS$501,MOD(SMALL(Responses!$BD$2:$BD$501,73),1000)-1),"")</f>
        <v/>
      </c>
      <c r="E78" s="28">
        <f>IFERROR(INDEX(Responses!$AW$2:$AW$501,MOD(SMALL(Responses!$BD$2:$BD$501,73),1000)-1),"")</f>
        <v/>
      </c>
      <c r="F78" s="28">
        <f>IFERROR(INDEX(Responses!$AX$2:$AX$501,MOD(SMALL(Responses!$BD$2:$BD$501,73),1000)-1),"")</f>
        <v/>
      </c>
      <c r="G78" s="28">
        <f>IFERROR(INDEX(Responses!$BE$2:$BE$501,MOD(SMALL(Responses!$BD$2:$BD$501,73),1000)-1),"")</f>
        <v/>
      </c>
    </row>
    <row r="79">
      <c r="A79" s="30">
        <f>IFERROR(INT(SMALL(Responses!$BD$2:$BD$501,74)/10000000),"")</f>
        <v/>
      </c>
      <c r="B79" s="28">
        <f>IFERROR(IF(INDEX(Responses!$AU$2:$AU$501,MOD(SMALL(Responses!$BD$2:$BD$501,74),1000)-1)="","",RIGHT("0"&amp;INT(INDEX(Responses!$AU$2:$AU$501,MOD(SMALL(Responses!$BD$2:$BD$501,74),1000)-1)/60),2)&amp;":"&amp;RIGHT("0"&amp;MOD(INDEX(Responses!$AU$2:$AU$501,MOD(SMALL(Responses!$BD$2:$BD$501,74),1000)-1),60),2)),"")</f>
        <v/>
      </c>
      <c r="C79" s="28">
        <f>IFERROR(IF(INDEX(Responses!$AV$2:$AV$501,MOD(SMALL(Responses!$BD$2:$BD$501,74),1000)-1)="","",RIGHT("0"&amp;INT(INDEX(Responses!$AV$2:$AV$501,MOD(SMALL(Responses!$BD$2:$BD$501,74),1000)-1)/60),2)&amp;":"&amp;RIGHT("0"&amp;MOD(INDEX(Responses!$AV$2:$AV$501,MOD(SMALL(Responses!$BD$2:$BD$501,74),1000)-1),60),2)),"")</f>
        <v/>
      </c>
      <c r="D79" s="28">
        <f>IFERROR(INDEX(Responses!$AS$2:$AS$501,MOD(SMALL(Responses!$BD$2:$BD$501,74),1000)-1),"")</f>
        <v/>
      </c>
      <c r="E79" s="28">
        <f>IFERROR(INDEX(Responses!$AW$2:$AW$501,MOD(SMALL(Responses!$BD$2:$BD$501,74),1000)-1),"")</f>
        <v/>
      </c>
      <c r="F79" s="28">
        <f>IFERROR(INDEX(Responses!$AX$2:$AX$501,MOD(SMALL(Responses!$BD$2:$BD$501,74),1000)-1),"")</f>
        <v/>
      </c>
      <c r="G79" s="28">
        <f>IFERROR(INDEX(Responses!$BE$2:$BE$501,MOD(SMALL(Responses!$BD$2:$BD$501,74),1000)-1),"")</f>
        <v/>
      </c>
    </row>
    <row r="80">
      <c r="A80" s="30">
        <f>IFERROR(INT(SMALL(Responses!$BD$2:$BD$501,75)/10000000),"")</f>
        <v/>
      </c>
      <c r="B80" s="28">
        <f>IFERROR(IF(INDEX(Responses!$AU$2:$AU$501,MOD(SMALL(Responses!$BD$2:$BD$501,75),1000)-1)="","",RIGHT("0"&amp;INT(INDEX(Responses!$AU$2:$AU$501,MOD(SMALL(Responses!$BD$2:$BD$501,75),1000)-1)/60),2)&amp;":"&amp;RIGHT("0"&amp;MOD(INDEX(Responses!$AU$2:$AU$501,MOD(SMALL(Responses!$BD$2:$BD$501,75),1000)-1),60),2)),"")</f>
        <v/>
      </c>
      <c r="C80" s="28">
        <f>IFERROR(IF(INDEX(Responses!$AV$2:$AV$501,MOD(SMALL(Responses!$BD$2:$BD$501,75),1000)-1)="","",RIGHT("0"&amp;INT(INDEX(Responses!$AV$2:$AV$501,MOD(SMALL(Responses!$BD$2:$BD$501,75),1000)-1)/60),2)&amp;":"&amp;RIGHT("0"&amp;MOD(INDEX(Responses!$AV$2:$AV$501,MOD(SMALL(Responses!$BD$2:$BD$501,75),1000)-1),60),2)),"")</f>
        <v/>
      </c>
      <c r="D80" s="28">
        <f>IFERROR(INDEX(Responses!$AS$2:$AS$501,MOD(SMALL(Responses!$BD$2:$BD$501,75),1000)-1),"")</f>
        <v/>
      </c>
      <c r="E80" s="28">
        <f>IFERROR(INDEX(Responses!$AW$2:$AW$501,MOD(SMALL(Responses!$BD$2:$BD$501,75),1000)-1),"")</f>
        <v/>
      </c>
      <c r="F80" s="28">
        <f>IFERROR(INDEX(Responses!$AX$2:$AX$501,MOD(SMALL(Responses!$BD$2:$BD$501,75),1000)-1),"")</f>
        <v/>
      </c>
      <c r="G80" s="28">
        <f>IFERROR(INDEX(Responses!$BE$2:$BE$501,MOD(SMALL(Responses!$BD$2:$BD$501,75),1000)-1),"")</f>
        <v/>
      </c>
    </row>
    <row r="81">
      <c r="A81" s="30">
        <f>IFERROR(INT(SMALL(Responses!$BD$2:$BD$501,76)/10000000),"")</f>
        <v/>
      </c>
      <c r="B81" s="28">
        <f>IFERROR(IF(INDEX(Responses!$AU$2:$AU$501,MOD(SMALL(Responses!$BD$2:$BD$501,76),1000)-1)="","",RIGHT("0"&amp;INT(INDEX(Responses!$AU$2:$AU$501,MOD(SMALL(Responses!$BD$2:$BD$501,76),1000)-1)/60),2)&amp;":"&amp;RIGHT("0"&amp;MOD(INDEX(Responses!$AU$2:$AU$501,MOD(SMALL(Responses!$BD$2:$BD$501,76),1000)-1),60),2)),"")</f>
        <v/>
      </c>
      <c r="C81" s="28">
        <f>IFERROR(IF(INDEX(Responses!$AV$2:$AV$501,MOD(SMALL(Responses!$BD$2:$BD$501,76),1000)-1)="","",RIGHT("0"&amp;INT(INDEX(Responses!$AV$2:$AV$501,MOD(SMALL(Responses!$BD$2:$BD$501,76),1000)-1)/60),2)&amp;":"&amp;RIGHT("0"&amp;MOD(INDEX(Responses!$AV$2:$AV$501,MOD(SMALL(Responses!$BD$2:$BD$501,76),1000)-1),60),2)),"")</f>
        <v/>
      </c>
      <c r="D81" s="28">
        <f>IFERROR(INDEX(Responses!$AS$2:$AS$501,MOD(SMALL(Responses!$BD$2:$BD$501,76),1000)-1),"")</f>
        <v/>
      </c>
      <c r="E81" s="28">
        <f>IFERROR(INDEX(Responses!$AW$2:$AW$501,MOD(SMALL(Responses!$BD$2:$BD$501,76),1000)-1),"")</f>
        <v/>
      </c>
      <c r="F81" s="28">
        <f>IFERROR(INDEX(Responses!$AX$2:$AX$501,MOD(SMALL(Responses!$BD$2:$BD$501,76),1000)-1),"")</f>
        <v/>
      </c>
      <c r="G81" s="28">
        <f>IFERROR(INDEX(Responses!$BE$2:$BE$501,MOD(SMALL(Responses!$BD$2:$BD$501,76),1000)-1),"")</f>
        <v/>
      </c>
    </row>
    <row r="82">
      <c r="A82" s="30">
        <f>IFERROR(INT(SMALL(Responses!$BD$2:$BD$501,77)/10000000),"")</f>
        <v/>
      </c>
      <c r="B82" s="28">
        <f>IFERROR(IF(INDEX(Responses!$AU$2:$AU$501,MOD(SMALL(Responses!$BD$2:$BD$501,77),1000)-1)="","",RIGHT("0"&amp;INT(INDEX(Responses!$AU$2:$AU$501,MOD(SMALL(Responses!$BD$2:$BD$501,77),1000)-1)/60),2)&amp;":"&amp;RIGHT("0"&amp;MOD(INDEX(Responses!$AU$2:$AU$501,MOD(SMALL(Responses!$BD$2:$BD$501,77),1000)-1),60),2)),"")</f>
        <v/>
      </c>
      <c r="C82" s="28">
        <f>IFERROR(IF(INDEX(Responses!$AV$2:$AV$501,MOD(SMALL(Responses!$BD$2:$BD$501,77),1000)-1)="","",RIGHT("0"&amp;INT(INDEX(Responses!$AV$2:$AV$501,MOD(SMALL(Responses!$BD$2:$BD$501,77),1000)-1)/60),2)&amp;":"&amp;RIGHT("0"&amp;MOD(INDEX(Responses!$AV$2:$AV$501,MOD(SMALL(Responses!$BD$2:$BD$501,77),1000)-1),60),2)),"")</f>
        <v/>
      </c>
      <c r="D82" s="28">
        <f>IFERROR(INDEX(Responses!$AS$2:$AS$501,MOD(SMALL(Responses!$BD$2:$BD$501,77),1000)-1),"")</f>
        <v/>
      </c>
      <c r="E82" s="28">
        <f>IFERROR(INDEX(Responses!$AW$2:$AW$501,MOD(SMALL(Responses!$BD$2:$BD$501,77),1000)-1),"")</f>
        <v/>
      </c>
      <c r="F82" s="28">
        <f>IFERROR(INDEX(Responses!$AX$2:$AX$501,MOD(SMALL(Responses!$BD$2:$BD$501,77),1000)-1),"")</f>
        <v/>
      </c>
      <c r="G82" s="28">
        <f>IFERROR(INDEX(Responses!$BE$2:$BE$501,MOD(SMALL(Responses!$BD$2:$BD$501,77),1000)-1),"")</f>
        <v/>
      </c>
    </row>
    <row r="83">
      <c r="A83" s="30">
        <f>IFERROR(INT(SMALL(Responses!$BD$2:$BD$501,78)/10000000),"")</f>
        <v/>
      </c>
      <c r="B83" s="28">
        <f>IFERROR(IF(INDEX(Responses!$AU$2:$AU$501,MOD(SMALL(Responses!$BD$2:$BD$501,78),1000)-1)="","",RIGHT("0"&amp;INT(INDEX(Responses!$AU$2:$AU$501,MOD(SMALL(Responses!$BD$2:$BD$501,78),1000)-1)/60),2)&amp;":"&amp;RIGHT("0"&amp;MOD(INDEX(Responses!$AU$2:$AU$501,MOD(SMALL(Responses!$BD$2:$BD$501,78),1000)-1),60),2)),"")</f>
        <v/>
      </c>
      <c r="C83" s="28">
        <f>IFERROR(IF(INDEX(Responses!$AV$2:$AV$501,MOD(SMALL(Responses!$BD$2:$BD$501,78),1000)-1)="","",RIGHT("0"&amp;INT(INDEX(Responses!$AV$2:$AV$501,MOD(SMALL(Responses!$BD$2:$BD$501,78),1000)-1)/60),2)&amp;":"&amp;RIGHT("0"&amp;MOD(INDEX(Responses!$AV$2:$AV$501,MOD(SMALL(Responses!$BD$2:$BD$501,78),1000)-1),60),2)),"")</f>
        <v/>
      </c>
      <c r="D83" s="28">
        <f>IFERROR(INDEX(Responses!$AS$2:$AS$501,MOD(SMALL(Responses!$BD$2:$BD$501,78),1000)-1),"")</f>
        <v/>
      </c>
      <c r="E83" s="28">
        <f>IFERROR(INDEX(Responses!$AW$2:$AW$501,MOD(SMALL(Responses!$BD$2:$BD$501,78),1000)-1),"")</f>
        <v/>
      </c>
      <c r="F83" s="28">
        <f>IFERROR(INDEX(Responses!$AX$2:$AX$501,MOD(SMALL(Responses!$BD$2:$BD$501,78),1000)-1),"")</f>
        <v/>
      </c>
      <c r="G83" s="28">
        <f>IFERROR(INDEX(Responses!$BE$2:$BE$501,MOD(SMALL(Responses!$BD$2:$BD$501,78),1000)-1),"")</f>
        <v/>
      </c>
    </row>
    <row r="84">
      <c r="A84" s="30">
        <f>IFERROR(INT(SMALL(Responses!$BD$2:$BD$501,79)/10000000),"")</f>
        <v/>
      </c>
      <c r="B84" s="28">
        <f>IFERROR(IF(INDEX(Responses!$AU$2:$AU$501,MOD(SMALL(Responses!$BD$2:$BD$501,79),1000)-1)="","",RIGHT("0"&amp;INT(INDEX(Responses!$AU$2:$AU$501,MOD(SMALL(Responses!$BD$2:$BD$501,79),1000)-1)/60),2)&amp;":"&amp;RIGHT("0"&amp;MOD(INDEX(Responses!$AU$2:$AU$501,MOD(SMALL(Responses!$BD$2:$BD$501,79),1000)-1),60),2)),"")</f>
        <v/>
      </c>
      <c r="C84" s="28">
        <f>IFERROR(IF(INDEX(Responses!$AV$2:$AV$501,MOD(SMALL(Responses!$BD$2:$BD$501,79),1000)-1)="","",RIGHT("0"&amp;INT(INDEX(Responses!$AV$2:$AV$501,MOD(SMALL(Responses!$BD$2:$BD$501,79),1000)-1)/60),2)&amp;":"&amp;RIGHT("0"&amp;MOD(INDEX(Responses!$AV$2:$AV$501,MOD(SMALL(Responses!$BD$2:$BD$501,79),1000)-1),60),2)),"")</f>
        <v/>
      </c>
      <c r="D84" s="28">
        <f>IFERROR(INDEX(Responses!$AS$2:$AS$501,MOD(SMALL(Responses!$BD$2:$BD$501,79),1000)-1),"")</f>
        <v/>
      </c>
      <c r="E84" s="28">
        <f>IFERROR(INDEX(Responses!$AW$2:$AW$501,MOD(SMALL(Responses!$BD$2:$BD$501,79),1000)-1),"")</f>
        <v/>
      </c>
      <c r="F84" s="28">
        <f>IFERROR(INDEX(Responses!$AX$2:$AX$501,MOD(SMALL(Responses!$BD$2:$BD$501,79),1000)-1),"")</f>
        <v/>
      </c>
      <c r="G84" s="28">
        <f>IFERROR(INDEX(Responses!$BE$2:$BE$501,MOD(SMALL(Responses!$BD$2:$BD$501,79),1000)-1),"")</f>
        <v/>
      </c>
    </row>
    <row r="85">
      <c r="A85" s="30">
        <f>IFERROR(INT(SMALL(Responses!$BD$2:$BD$501,80)/10000000),"")</f>
        <v/>
      </c>
      <c r="B85" s="28">
        <f>IFERROR(IF(INDEX(Responses!$AU$2:$AU$501,MOD(SMALL(Responses!$BD$2:$BD$501,80),1000)-1)="","",RIGHT("0"&amp;INT(INDEX(Responses!$AU$2:$AU$501,MOD(SMALL(Responses!$BD$2:$BD$501,80),1000)-1)/60),2)&amp;":"&amp;RIGHT("0"&amp;MOD(INDEX(Responses!$AU$2:$AU$501,MOD(SMALL(Responses!$BD$2:$BD$501,80),1000)-1),60),2)),"")</f>
        <v/>
      </c>
      <c r="C85" s="28">
        <f>IFERROR(IF(INDEX(Responses!$AV$2:$AV$501,MOD(SMALL(Responses!$BD$2:$BD$501,80),1000)-1)="","",RIGHT("0"&amp;INT(INDEX(Responses!$AV$2:$AV$501,MOD(SMALL(Responses!$BD$2:$BD$501,80),1000)-1)/60),2)&amp;":"&amp;RIGHT("0"&amp;MOD(INDEX(Responses!$AV$2:$AV$501,MOD(SMALL(Responses!$BD$2:$BD$501,80),1000)-1),60),2)),"")</f>
        <v/>
      </c>
      <c r="D85" s="28">
        <f>IFERROR(INDEX(Responses!$AS$2:$AS$501,MOD(SMALL(Responses!$BD$2:$BD$501,80),1000)-1),"")</f>
        <v/>
      </c>
      <c r="E85" s="28">
        <f>IFERROR(INDEX(Responses!$AW$2:$AW$501,MOD(SMALL(Responses!$BD$2:$BD$501,80),1000)-1),"")</f>
        <v/>
      </c>
      <c r="F85" s="28">
        <f>IFERROR(INDEX(Responses!$AX$2:$AX$501,MOD(SMALL(Responses!$BD$2:$BD$501,80),1000)-1),"")</f>
        <v/>
      </c>
      <c r="G85" s="28">
        <f>IFERROR(INDEX(Responses!$BE$2:$BE$501,MOD(SMALL(Responses!$BD$2:$BD$501,80),1000)-1),"")</f>
        <v/>
      </c>
    </row>
    <row r="86">
      <c r="A86" s="30">
        <f>IFERROR(INT(SMALL(Responses!$BD$2:$BD$501,81)/10000000),"")</f>
        <v/>
      </c>
      <c r="B86" s="28">
        <f>IFERROR(IF(INDEX(Responses!$AU$2:$AU$501,MOD(SMALL(Responses!$BD$2:$BD$501,81),1000)-1)="","",RIGHT("0"&amp;INT(INDEX(Responses!$AU$2:$AU$501,MOD(SMALL(Responses!$BD$2:$BD$501,81),1000)-1)/60),2)&amp;":"&amp;RIGHT("0"&amp;MOD(INDEX(Responses!$AU$2:$AU$501,MOD(SMALL(Responses!$BD$2:$BD$501,81),1000)-1),60),2)),"")</f>
        <v/>
      </c>
      <c r="C86" s="28">
        <f>IFERROR(IF(INDEX(Responses!$AV$2:$AV$501,MOD(SMALL(Responses!$BD$2:$BD$501,81),1000)-1)="","",RIGHT("0"&amp;INT(INDEX(Responses!$AV$2:$AV$501,MOD(SMALL(Responses!$BD$2:$BD$501,81),1000)-1)/60),2)&amp;":"&amp;RIGHT("0"&amp;MOD(INDEX(Responses!$AV$2:$AV$501,MOD(SMALL(Responses!$BD$2:$BD$501,81),1000)-1),60),2)),"")</f>
        <v/>
      </c>
      <c r="D86" s="28">
        <f>IFERROR(INDEX(Responses!$AS$2:$AS$501,MOD(SMALL(Responses!$BD$2:$BD$501,81),1000)-1),"")</f>
        <v/>
      </c>
      <c r="E86" s="28">
        <f>IFERROR(INDEX(Responses!$AW$2:$AW$501,MOD(SMALL(Responses!$BD$2:$BD$501,81),1000)-1),"")</f>
        <v/>
      </c>
      <c r="F86" s="28">
        <f>IFERROR(INDEX(Responses!$AX$2:$AX$501,MOD(SMALL(Responses!$BD$2:$BD$501,81),1000)-1),"")</f>
        <v/>
      </c>
      <c r="G86" s="28">
        <f>IFERROR(INDEX(Responses!$BE$2:$BE$501,MOD(SMALL(Responses!$BD$2:$BD$501,81),1000)-1),"")</f>
        <v/>
      </c>
    </row>
    <row r="87">
      <c r="A87" s="30">
        <f>IFERROR(INT(SMALL(Responses!$BD$2:$BD$501,82)/10000000),"")</f>
        <v/>
      </c>
      <c r="B87" s="28">
        <f>IFERROR(IF(INDEX(Responses!$AU$2:$AU$501,MOD(SMALL(Responses!$BD$2:$BD$501,82),1000)-1)="","",RIGHT("0"&amp;INT(INDEX(Responses!$AU$2:$AU$501,MOD(SMALL(Responses!$BD$2:$BD$501,82),1000)-1)/60),2)&amp;":"&amp;RIGHT("0"&amp;MOD(INDEX(Responses!$AU$2:$AU$501,MOD(SMALL(Responses!$BD$2:$BD$501,82),1000)-1),60),2)),"")</f>
        <v/>
      </c>
      <c r="C87" s="28">
        <f>IFERROR(IF(INDEX(Responses!$AV$2:$AV$501,MOD(SMALL(Responses!$BD$2:$BD$501,82),1000)-1)="","",RIGHT("0"&amp;INT(INDEX(Responses!$AV$2:$AV$501,MOD(SMALL(Responses!$BD$2:$BD$501,82),1000)-1)/60),2)&amp;":"&amp;RIGHT("0"&amp;MOD(INDEX(Responses!$AV$2:$AV$501,MOD(SMALL(Responses!$BD$2:$BD$501,82),1000)-1),60),2)),"")</f>
        <v/>
      </c>
      <c r="D87" s="28">
        <f>IFERROR(INDEX(Responses!$AS$2:$AS$501,MOD(SMALL(Responses!$BD$2:$BD$501,82),1000)-1),"")</f>
        <v/>
      </c>
      <c r="E87" s="28">
        <f>IFERROR(INDEX(Responses!$AW$2:$AW$501,MOD(SMALL(Responses!$BD$2:$BD$501,82),1000)-1),"")</f>
        <v/>
      </c>
      <c r="F87" s="28">
        <f>IFERROR(INDEX(Responses!$AX$2:$AX$501,MOD(SMALL(Responses!$BD$2:$BD$501,82),1000)-1),"")</f>
        <v/>
      </c>
      <c r="G87" s="28">
        <f>IFERROR(INDEX(Responses!$BE$2:$BE$501,MOD(SMALL(Responses!$BD$2:$BD$501,82),1000)-1),"")</f>
        <v/>
      </c>
    </row>
    <row r="88">
      <c r="A88" s="30">
        <f>IFERROR(INT(SMALL(Responses!$BD$2:$BD$501,83)/10000000),"")</f>
        <v/>
      </c>
      <c r="B88" s="28">
        <f>IFERROR(IF(INDEX(Responses!$AU$2:$AU$501,MOD(SMALL(Responses!$BD$2:$BD$501,83),1000)-1)="","",RIGHT("0"&amp;INT(INDEX(Responses!$AU$2:$AU$501,MOD(SMALL(Responses!$BD$2:$BD$501,83),1000)-1)/60),2)&amp;":"&amp;RIGHT("0"&amp;MOD(INDEX(Responses!$AU$2:$AU$501,MOD(SMALL(Responses!$BD$2:$BD$501,83),1000)-1),60),2)),"")</f>
        <v/>
      </c>
      <c r="C88" s="28">
        <f>IFERROR(IF(INDEX(Responses!$AV$2:$AV$501,MOD(SMALL(Responses!$BD$2:$BD$501,83),1000)-1)="","",RIGHT("0"&amp;INT(INDEX(Responses!$AV$2:$AV$501,MOD(SMALL(Responses!$BD$2:$BD$501,83),1000)-1)/60),2)&amp;":"&amp;RIGHT("0"&amp;MOD(INDEX(Responses!$AV$2:$AV$501,MOD(SMALL(Responses!$BD$2:$BD$501,83),1000)-1),60),2)),"")</f>
        <v/>
      </c>
      <c r="D88" s="28">
        <f>IFERROR(INDEX(Responses!$AS$2:$AS$501,MOD(SMALL(Responses!$BD$2:$BD$501,83),1000)-1),"")</f>
        <v/>
      </c>
      <c r="E88" s="28">
        <f>IFERROR(INDEX(Responses!$AW$2:$AW$501,MOD(SMALL(Responses!$BD$2:$BD$501,83),1000)-1),"")</f>
        <v/>
      </c>
      <c r="F88" s="28">
        <f>IFERROR(INDEX(Responses!$AX$2:$AX$501,MOD(SMALL(Responses!$BD$2:$BD$501,83),1000)-1),"")</f>
        <v/>
      </c>
      <c r="G88" s="28">
        <f>IFERROR(INDEX(Responses!$BE$2:$BE$501,MOD(SMALL(Responses!$BD$2:$BD$501,83),1000)-1),"")</f>
        <v/>
      </c>
    </row>
    <row r="89">
      <c r="A89" s="30">
        <f>IFERROR(INT(SMALL(Responses!$BD$2:$BD$501,84)/10000000),"")</f>
        <v/>
      </c>
      <c r="B89" s="28">
        <f>IFERROR(IF(INDEX(Responses!$AU$2:$AU$501,MOD(SMALL(Responses!$BD$2:$BD$501,84),1000)-1)="","",RIGHT("0"&amp;INT(INDEX(Responses!$AU$2:$AU$501,MOD(SMALL(Responses!$BD$2:$BD$501,84),1000)-1)/60),2)&amp;":"&amp;RIGHT("0"&amp;MOD(INDEX(Responses!$AU$2:$AU$501,MOD(SMALL(Responses!$BD$2:$BD$501,84),1000)-1),60),2)),"")</f>
        <v/>
      </c>
      <c r="C89" s="28">
        <f>IFERROR(IF(INDEX(Responses!$AV$2:$AV$501,MOD(SMALL(Responses!$BD$2:$BD$501,84),1000)-1)="","",RIGHT("0"&amp;INT(INDEX(Responses!$AV$2:$AV$501,MOD(SMALL(Responses!$BD$2:$BD$501,84),1000)-1)/60),2)&amp;":"&amp;RIGHT("0"&amp;MOD(INDEX(Responses!$AV$2:$AV$501,MOD(SMALL(Responses!$BD$2:$BD$501,84),1000)-1),60),2)),"")</f>
        <v/>
      </c>
      <c r="D89" s="28">
        <f>IFERROR(INDEX(Responses!$AS$2:$AS$501,MOD(SMALL(Responses!$BD$2:$BD$501,84),1000)-1),"")</f>
        <v/>
      </c>
      <c r="E89" s="28">
        <f>IFERROR(INDEX(Responses!$AW$2:$AW$501,MOD(SMALL(Responses!$BD$2:$BD$501,84),1000)-1),"")</f>
        <v/>
      </c>
      <c r="F89" s="28">
        <f>IFERROR(INDEX(Responses!$AX$2:$AX$501,MOD(SMALL(Responses!$BD$2:$BD$501,84),1000)-1),"")</f>
        <v/>
      </c>
      <c r="G89" s="28">
        <f>IFERROR(INDEX(Responses!$BE$2:$BE$501,MOD(SMALL(Responses!$BD$2:$BD$501,84),1000)-1),"")</f>
        <v/>
      </c>
    </row>
    <row r="90">
      <c r="A90" s="30">
        <f>IFERROR(INT(SMALL(Responses!$BD$2:$BD$501,85)/10000000),"")</f>
        <v/>
      </c>
      <c r="B90" s="28">
        <f>IFERROR(IF(INDEX(Responses!$AU$2:$AU$501,MOD(SMALL(Responses!$BD$2:$BD$501,85),1000)-1)="","",RIGHT("0"&amp;INT(INDEX(Responses!$AU$2:$AU$501,MOD(SMALL(Responses!$BD$2:$BD$501,85),1000)-1)/60),2)&amp;":"&amp;RIGHT("0"&amp;MOD(INDEX(Responses!$AU$2:$AU$501,MOD(SMALL(Responses!$BD$2:$BD$501,85),1000)-1),60),2)),"")</f>
        <v/>
      </c>
      <c r="C90" s="28">
        <f>IFERROR(IF(INDEX(Responses!$AV$2:$AV$501,MOD(SMALL(Responses!$BD$2:$BD$501,85),1000)-1)="","",RIGHT("0"&amp;INT(INDEX(Responses!$AV$2:$AV$501,MOD(SMALL(Responses!$BD$2:$BD$501,85),1000)-1)/60),2)&amp;":"&amp;RIGHT("0"&amp;MOD(INDEX(Responses!$AV$2:$AV$501,MOD(SMALL(Responses!$BD$2:$BD$501,85),1000)-1),60),2)),"")</f>
        <v/>
      </c>
      <c r="D90" s="28">
        <f>IFERROR(INDEX(Responses!$AS$2:$AS$501,MOD(SMALL(Responses!$BD$2:$BD$501,85),1000)-1),"")</f>
        <v/>
      </c>
      <c r="E90" s="28">
        <f>IFERROR(INDEX(Responses!$AW$2:$AW$501,MOD(SMALL(Responses!$BD$2:$BD$501,85),1000)-1),"")</f>
        <v/>
      </c>
      <c r="F90" s="28">
        <f>IFERROR(INDEX(Responses!$AX$2:$AX$501,MOD(SMALL(Responses!$BD$2:$BD$501,85),1000)-1),"")</f>
        <v/>
      </c>
      <c r="G90" s="28">
        <f>IFERROR(INDEX(Responses!$BE$2:$BE$501,MOD(SMALL(Responses!$BD$2:$BD$501,85),1000)-1),"")</f>
        <v/>
      </c>
    </row>
    <row r="91">
      <c r="A91" s="30">
        <f>IFERROR(INT(SMALL(Responses!$BD$2:$BD$501,86)/10000000),"")</f>
        <v/>
      </c>
      <c r="B91" s="28">
        <f>IFERROR(IF(INDEX(Responses!$AU$2:$AU$501,MOD(SMALL(Responses!$BD$2:$BD$501,86),1000)-1)="","",RIGHT("0"&amp;INT(INDEX(Responses!$AU$2:$AU$501,MOD(SMALL(Responses!$BD$2:$BD$501,86),1000)-1)/60),2)&amp;":"&amp;RIGHT("0"&amp;MOD(INDEX(Responses!$AU$2:$AU$501,MOD(SMALL(Responses!$BD$2:$BD$501,86),1000)-1),60),2)),"")</f>
        <v/>
      </c>
      <c r="C91" s="28">
        <f>IFERROR(IF(INDEX(Responses!$AV$2:$AV$501,MOD(SMALL(Responses!$BD$2:$BD$501,86),1000)-1)="","",RIGHT("0"&amp;INT(INDEX(Responses!$AV$2:$AV$501,MOD(SMALL(Responses!$BD$2:$BD$501,86),1000)-1)/60),2)&amp;":"&amp;RIGHT("0"&amp;MOD(INDEX(Responses!$AV$2:$AV$501,MOD(SMALL(Responses!$BD$2:$BD$501,86),1000)-1),60),2)),"")</f>
        <v/>
      </c>
      <c r="D91" s="28">
        <f>IFERROR(INDEX(Responses!$AS$2:$AS$501,MOD(SMALL(Responses!$BD$2:$BD$501,86),1000)-1),"")</f>
        <v/>
      </c>
      <c r="E91" s="28">
        <f>IFERROR(INDEX(Responses!$AW$2:$AW$501,MOD(SMALL(Responses!$BD$2:$BD$501,86),1000)-1),"")</f>
        <v/>
      </c>
      <c r="F91" s="28">
        <f>IFERROR(INDEX(Responses!$AX$2:$AX$501,MOD(SMALL(Responses!$BD$2:$BD$501,86),1000)-1),"")</f>
        <v/>
      </c>
      <c r="G91" s="28">
        <f>IFERROR(INDEX(Responses!$BE$2:$BE$501,MOD(SMALL(Responses!$BD$2:$BD$501,86),1000)-1),"")</f>
        <v/>
      </c>
    </row>
    <row r="92">
      <c r="A92" s="30">
        <f>IFERROR(INT(SMALL(Responses!$BD$2:$BD$501,87)/10000000),"")</f>
        <v/>
      </c>
      <c r="B92" s="28">
        <f>IFERROR(IF(INDEX(Responses!$AU$2:$AU$501,MOD(SMALL(Responses!$BD$2:$BD$501,87),1000)-1)="","",RIGHT("0"&amp;INT(INDEX(Responses!$AU$2:$AU$501,MOD(SMALL(Responses!$BD$2:$BD$501,87),1000)-1)/60),2)&amp;":"&amp;RIGHT("0"&amp;MOD(INDEX(Responses!$AU$2:$AU$501,MOD(SMALL(Responses!$BD$2:$BD$501,87),1000)-1),60),2)),"")</f>
        <v/>
      </c>
      <c r="C92" s="28">
        <f>IFERROR(IF(INDEX(Responses!$AV$2:$AV$501,MOD(SMALL(Responses!$BD$2:$BD$501,87),1000)-1)="","",RIGHT("0"&amp;INT(INDEX(Responses!$AV$2:$AV$501,MOD(SMALL(Responses!$BD$2:$BD$501,87),1000)-1)/60),2)&amp;":"&amp;RIGHT("0"&amp;MOD(INDEX(Responses!$AV$2:$AV$501,MOD(SMALL(Responses!$BD$2:$BD$501,87),1000)-1),60),2)),"")</f>
        <v/>
      </c>
      <c r="D92" s="28">
        <f>IFERROR(INDEX(Responses!$AS$2:$AS$501,MOD(SMALL(Responses!$BD$2:$BD$501,87),1000)-1),"")</f>
        <v/>
      </c>
      <c r="E92" s="28">
        <f>IFERROR(INDEX(Responses!$AW$2:$AW$501,MOD(SMALL(Responses!$BD$2:$BD$501,87),1000)-1),"")</f>
        <v/>
      </c>
      <c r="F92" s="28">
        <f>IFERROR(INDEX(Responses!$AX$2:$AX$501,MOD(SMALL(Responses!$BD$2:$BD$501,87),1000)-1),"")</f>
        <v/>
      </c>
      <c r="G92" s="28">
        <f>IFERROR(INDEX(Responses!$BE$2:$BE$501,MOD(SMALL(Responses!$BD$2:$BD$501,87),1000)-1),"")</f>
        <v/>
      </c>
    </row>
    <row r="93">
      <c r="A93" s="30">
        <f>IFERROR(INT(SMALL(Responses!$BD$2:$BD$501,88)/10000000),"")</f>
        <v/>
      </c>
      <c r="B93" s="28">
        <f>IFERROR(IF(INDEX(Responses!$AU$2:$AU$501,MOD(SMALL(Responses!$BD$2:$BD$501,88),1000)-1)="","",RIGHT("0"&amp;INT(INDEX(Responses!$AU$2:$AU$501,MOD(SMALL(Responses!$BD$2:$BD$501,88),1000)-1)/60),2)&amp;":"&amp;RIGHT("0"&amp;MOD(INDEX(Responses!$AU$2:$AU$501,MOD(SMALL(Responses!$BD$2:$BD$501,88),1000)-1),60),2)),"")</f>
        <v/>
      </c>
      <c r="C93" s="28">
        <f>IFERROR(IF(INDEX(Responses!$AV$2:$AV$501,MOD(SMALL(Responses!$BD$2:$BD$501,88),1000)-1)="","",RIGHT("0"&amp;INT(INDEX(Responses!$AV$2:$AV$501,MOD(SMALL(Responses!$BD$2:$BD$501,88),1000)-1)/60),2)&amp;":"&amp;RIGHT("0"&amp;MOD(INDEX(Responses!$AV$2:$AV$501,MOD(SMALL(Responses!$BD$2:$BD$501,88),1000)-1),60),2)),"")</f>
        <v/>
      </c>
      <c r="D93" s="28">
        <f>IFERROR(INDEX(Responses!$AS$2:$AS$501,MOD(SMALL(Responses!$BD$2:$BD$501,88),1000)-1),"")</f>
        <v/>
      </c>
      <c r="E93" s="28">
        <f>IFERROR(INDEX(Responses!$AW$2:$AW$501,MOD(SMALL(Responses!$BD$2:$BD$501,88),1000)-1),"")</f>
        <v/>
      </c>
      <c r="F93" s="28">
        <f>IFERROR(INDEX(Responses!$AX$2:$AX$501,MOD(SMALL(Responses!$BD$2:$BD$501,88),1000)-1),"")</f>
        <v/>
      </c>
      <c r="G93" s="28">
        <f>IFERROR(INDEX(Responses!$BE$2:$BE$501,MOD(SMALL(Responses!$BD$2:$BD$501,88),1000)-1),"")</f>
        <v/>
      </c>
    </row>
    <row r="94">
      <c r="A94" s="30">
        <f>IFERROR(INT(SMALL(Responses!$BD$2:$BD$501,89)/10000000),"")</f>
        <v/>
      </c>
      <c r="B94" s="28">
        <f>IFERROR(IF(INDEX(Responses!$AU$2:$AU$501,MOD(SMALL(Responses!$BD$2:$BD$501,89),1000)-1)="","",RIGHT("0"&amp;INT(INDEX(Responses!$AU$2:$AU$501,MOD(SMALL(Responses!$BD$2:$BD$501,89),1000)-1)/60),2)&amp;":"&amp;RIGHT("0"&amp;MOD(INDEX(Responses!$AU$2:$AU$501,MOD(SMALL(Responses!$BD$2:$BD$501,89),1000)-1),60),2)),"")</f>
        <v/>
      </c>
      <c r="C94" s="28">
        <f>IFERROR(IF(INDEX(Responses!$AV$2:$AV$501,MOD(SMALL(Responses!$BD$2:$BD$501,89),1000)-1)="","",RIGHT("0"&amp;INT(INDEX(Responses!$AV$2:$AV$501,MOD(SMALL(Responses!$BD$2:$BD$501,89),1000)-1)/60),2)&amp;":"&amp;RIGHT("0"&amp;MOD(INDEX(Responses!$AV$2:$AV$501,MOD(SMALL(Responses!$BD$2:$BD$501,89),1000)-1),60),2)),"")</f>
        <v/>
      </c>
      <c r="D94" s="28">
        <f>IFERROR(INDEX(Responses!$AS$2:$AS$501,MOD(SMALL(Responses!$BD$2:$BD$501,89),1000)-1),"")</f>
        <v/>
      </c>
      <c r="E94" s="28">
        <f>IFERROR(INDEX(Responses!$AW$2:$AW$501,MOD(SMALL(Responses!$BD$2:$BD$501,89),1000)-1),"")</f>
        <v/>
      </c>
      <c r="F94" s="28">
        <f>IFERROR(INDEX(Responses!$AX$2:$AX$501,MOD(SMALL(Responses!$BD$2:$BD$501,89),1000)-1),"")</f>
        <v/>
      </c>
      <c r="G94" s="28">
        <f>IFERROR(INDEX(Responses!$BE$2:$BE$501,MOD(SMALL(Responses!$BD$2:$BD$501,89),1000)-1),"")</f>
        <v/>
      </c>
    </row>
    <row r="95">
      <c r="A95" s="30">
        <f>IFERROR(INT(SMALL(Responses!$BD$2:$BD$501,90)/10000000),"")</f>
        <v/>
      </c>
      <c r="B95" s="28">
        <f>IFERROR(IF(INDEX(Responses!$AU$2:$AU$501,MOD(SMALL(Responses!$BD$2:$BD$501,90),1000)-1)="","",RIGHT("0"&amp;INT(INDEX(Responses!$AU$2:$AU$501,MOD(SMALL(Responses!$BD$2:$BD$501,90),1000)-1)/60),2)&amp;":"&amp;RIGHT("0"&amp;MOD(INDEX(Responses!$AU$2:$AU$501,MOD(SMALL(Responses!$BD$2:$BD$501,90),1000)-1),60),2)),"")</f>
        <v/>
      </c>
      <c r="C95" s="28">
        <f>IFERROR(IF(INDEX(Responses!$AV$2:$AV$501,MOD(SMALL(Responses!$BD$2:$BD$501,90),1000)-1)="","",RIGHT("0"&amp;INT(INDEX(Responses!$AV$2:$AV$501,MOD(SMALL(Responses!$BD$2:$BD$501,90),1000)-1)/60),2)&amp;":"&amp;RIGHT("0"&amp;MOD(INDEX(Responses!$AV$2:$AV$501,MOD(SMALL(Responses!$BD$2:$BD$501,90),1000)-1),60),2)),"")</f>
        <v/>
      </c>
      <c r="D95" s="28">
        <f>IFERROR(INDEX(Responses!$AS$2:$AS$501,MOD(SMALL(Responses!$BD$2:$BD$501,90),1000)-1),"")</f>
        <v/>
      </c>
      <c r="E95" s="28">
        <f>IFERROR(INDEX(Responses!$AW$2:$AW$501,MOD(SMALL(Responses!$BD$2:$BD$501,90),1000)-1),"")</f>
        <v/>
      </c>
      <c r="F95" s="28">
        <f>IFERROR(INDEX(Responses!$AX$2:$AX$501,MOD(SMALL(Responses!$BD$2:$BD$501,90),1000)-1),"")</f>
        <v/>
      </c>
      <c r="G95" s="28">
        <f>IFERROR(INDEX(Responses!$BE$2:$BE$501,MOD(SMALL(Responses!$BD$2:$BD$501,90),1000)-1),"")</f>
        <v/>
      </c>
    </row>
    <row r="96">
      <c r="A96" s="30">
        <f>IFERROR(INT(SMALL(Responses!$BD$2:$BD$501,91)/10000000),"")</f>
        <v/>
      </c>
      <c r="B96" s="28">
        <f>IFERROR(IF(INDEX(Responses!$AU$2:$AU$501,MOD(SMALL(Responses!$BD$2:$BD$501,91),1000)-1)="","",RIGHT("0"&amp;INT(INDEX(Responses!$AU$2:$AU$501,MOD(SMALL(Responses!$BD$2:$BD$501,91),1000)-1)/60),2)&amp;":"&amp;RIGHT("0"&amp;MOD(INDEX(Responses!$AU$2:$AU$501,MOD(SMALL(Responses!$BD$2:$BD$501,91),1000)-1),60),2)),"")</f>
        <v/>
      </c>
      <c r="C96" s="28">
        <f>IFERROR(IF(INDEX(Responses!$AV$2:$AV$501,MOD(SMALL(Responses!$BD$2:$BD$501,91),1000)-1)="","",RIGHT("0"&amp;INT(INDEX(Responses!$AV$2:$AV$501,MOD(SMALL(Responses!$BD$2:$BD$501,91),1000)-1)/60),2)&amp;":"&amp;RIGHT("0"&amp;MOD(INDEX(Responses!$AV$2:$AV$501,MOD(SMALL(Responses!$BD$2:$BD$501,91),1000)-1),60),2)),"")</f>
        <v/>
      </c>
      <c r="D96" s="28">
        <f>IFERROR(INDEX(Responses!$AS$2:$AS$501,MOD(SMALL(Responses!$BD$2:$BD$501,91),1000)-1),"")</f>
        <v/>
      </c>
      <c r="E96" s="28">
        <f>IFERROR(INDEX(Responses!$AW$2:$AW$501,MOD(SMALL(Responses!$BD$2:$BD$501,91),1000)-1),"")</f>
        <v/>
      </c>
      <c r="F96" s="28">
        <f>IFERROR(INDEX(Responses!$AX$2:$AX$501,MOD(SMALL(Responses!$BD$2:$BD$501,91),1000)-1),"")</f>
        <v/>
      </c>
      <c r="G96" s="28">
        <f>IFERROR(INDEX(Responses!$BE$2:$BE$501,MOD(SMALL(Responses!$BD$2:$BD$501,91),1000)-1),"")</f>
        <v/>
      </c>
    </row>
    <row r="97">
      <c r="A97" s="30">
        <f>IFERROR(INT(SMALL(Responses!$BD$2:$BD$501,92)/10000000),"")</f>
        <v/>
      </c>
      <c r="B97" s="28">
        <f>IFERROR(IF(INDEX(Responses!$AU$2:$AU$501,MOD(SMALL(Responses!$BD$2:$BD$501,92),1000)-1)="","",RIGHT("0"&amp;INT(INDEX(Responses!$AU$2:$AU$501,MOD(SMALL(Responses!$BD$2:$BD$501,92),1000)-1)/60),2)&amp;":"&amp;RIGHT("0"&amp;MOD(INDEX(Responses!$AU$2:$AU$501,MOD(SMALL(Responses!$BD$2:$BD$501,92),1000)-1),60),2)),"")</f>
        <v/>
      </c>
      <c r="C97" s="28">
        <f>IFERROR(IF(INDEX(Responses!$AV$2:$AV$501,MOD(SMALL(Responses!$BD$2:$BD$501,92),1000)-1)="","",RIGHT("0"&amp;INT(INDEX(Responses!$AV$2:$AV$501,MOD(SMALL(Responses!$BD$2:$BD$501,92),1000)-1)/60),2)&amp;":"&amp;RIGHT("0"&amp;MOD(INDEX(Responses!$AV$2:$AV$501,MOD(SMALL(Responses!$BD$2:$BD$501,92),1000)-1),60),2)),"")</f>
        <v/>
      </c>
      <c r="D97" s="28">
        <f>IFERROR(INDEX(Responses!$AS$2:$AS$501,MOD(SMALL(Responses!$BD$2:$BD$501,92),1000)-1),"")</f>
        <v/>
      </c>
      <c r="E97" s="28">
        <f>IFERROR(INDEX(Responses!$AW$2:$AW$501,MOD(SMALL(Responses!$BD$2:$BD$501,92),1000)-1),"")</f>
        <v/>
      </c>
      <c r="F97" s="28">
        <f>IFERROR(INDEX(Responses!$AX$2:$AX$501,MOD(SMALL(Responses!$BD$2:$BD$501,92),1000)-1),"")</f>
        <v/>
      </c>
      <c r="G97" s="28">
        <f>IFERROR(INDEX(Responses!$BE$2:$BE$501,MOD(SMALL(Responses!$BD$2:$BD$501,92),1000)-1),"")</f>
        <v/>
      </c>
    </row>
    <row r="98">
      <c r="A98" s="30">
        <f>IFERROR(INT(SMALL(Responses!$BD$2:$BD$501,93)/10000000),"")</f>
        <v/>
      </c>
      <c r="B98" s="28">
        <f>IFERROR(IF(INDEX(Responses!$AU$2:$AU$501,MOD(SMALL(Responses!$BD$2:$BD$501,93),1000)-1)="","",RIGHT("0"&amp;INT(INDEX(Responses!$AU$2:$AU$501,MOD(SMALL(Responses!$BD$2:$BD$501,93),1000)-1)/60),2)&amp;":"&amp;RIGHT("0"&amp;MOD(INDEX(Responses!$AU$2:$AU$501,MOD(SMALL(Responses!$BD$2:$BD$501,93),1000)-1),60),2)),"")</f>
        <v/>
      </c>
      <c r="C98" s="28">
        <f>IFERROR(IF(INDEX(Responses!$AV$2:$AV$501,MOD(SMALL(Responses!$BD$2:$BD$501,93),1000)-1)="","",RIGHT("0"&amp;INT(INDEX(Responses!$AV$2:$AV$501,MOD(SMALL(Responses!$BD$2:$BD$501,93),1000)-1)/60),2)&amp;":"&amp;RIGHT("0"&amp;MOD(INDEX(Responses!$AV$2:$AV$501,MOD(SMALL(Responses!$BD$2:$BD$501,93),1000)-1),60),2)),"")</f>
        <v/>
      </c>
      <c r="D98" s="28">
        <f>IFERROR(INDEX(Responses!$AS$2:$AS$501,MOD(SMALL(Responses!$BD$2:$BD$501,93),1000)-1),"")</f>
        <v/>
      </c>
      <c r="E98" s="28">
        <f>IFERROR(INDEX(Responses!$AW$2:$AW$501,MOD(SMALL(Responses!$BD$2:$BD$501,93),1000)-1),"")</f>
        <v/>
      </c>
      <c r="F98" s="28">
        <f>IFERROR(INDEX(Responses!$AX$2:$AX$501,MOD(SMALL(Responses!$BD$2:$BD$501,93),1000)-1),"")</f>
        <v/>
      </c>
      <c r="G98" s="28">
        <f>IFERROR(INDEX(Responses!$BE$2:$BE$501,MOD(SMALL(Responses!$BD$2:$BD$501,93),1000)-1),"")</f>
        <v/>
      </c>
    </row>
    <row r="99">
      <c r="A99" s="30">
        <f>IFERROR(INT(SMALL(Responses!$BD$2:$BD$501,94)/10000000),"")</f>
        <v/>
      </c>
      <c r="B99" s="28">
        <f>IFERROR(IF(INDEX(Responses!$AU$2:$AU$501,MOD(SMALL(Responses!$BD$2:$BD$501,94),1000)-1)="","",RIGHT("0"&amp;INT(INDEX(Responses!$AU$2:$AU$501,MOD(SMALL(Responses!$BD$2:$BD$501,94),1000)-1)/60),2)&amp;":"&amp;RIGHT("0"&amp;MOD(INDEX(Responses!$AU$2:$AU$501,MOD(SMALL(Responses!$BD$2:$BD$501,94),1000)-1),60),2)),"")</f>
        <v/>
      </c>
      <c r="C99" s="28">
        <f>IFERROR(IF(INDEX(Responses!$AV$2:$AV$501,MOD(SMALL(Responses!$BD$2:$BD$501,94),1000)-1)="","",RIGHT("0"&amp;INT(INDEX(Responses!$AV$2:$AV$501,MOD(SMALL(Responses!$BD$2:$BD$501,94),1000)-1)/60),2)&amp;":"&amp;RIGHT("0"&amp;MOD(INDEX(Responses!$AV$2:$AV$501,MOD(SMALL(Responses!$BD$2:$BD$501,94),1000)-1),60),2)),"")</f>
        <v/>
      </c>
      <c r="D99" s="28">
        <f>IFERROR(INDEX(Responses!$AS$2:$AS$501,MOD(SMALL(Responses!$BD$2:$BD$501,94),1000)-1),"")</f>
        <v/>
      </c>
      <c r="E99" s="28">
        <f>IFERROR(INDEX(Responses!$AW$2:$AW$501,MOD(SMALL(Responses!$BD$2:$BD$501,94),1000)-1),"")</f>
        <v/>
      </c>
      <c r="F99" s="28">
        <f>IFERROR(INDEX(Responses!$AX$2:$AX$501,MOD(SMALL(Responses!$BD$2:$BD$501,94),1000)-1),"")</f>
        <v/>
      </c>
      <c r="G99" s="28">
        <f>IFERROR(INDEX(Responses!$BE$2:$BE$501,MOD(SMALL(Responses!$BD$2:$BD$501,94),1000)-1),"")</f>
        <v/>
      </c>
    </row>
    <row r="100">
      <c r="A100" s="30">
        <f>IFERROR(INT(SMALL(Responses!$BD$2:$BD$501,95)/10000000),"")</f>
        <v/>
      </c>
      <c r="B100" s="28">
        <f>IFERROR(IF(INDEX(Responses!$AU$2:$AU$501,MOD(SMALL(Responses!$BD$2:$BD$501,95),1000)-1)="","",RIGHT("0"&amp;INT(INDEX(Responses!$AU$2:$AU$501,MOD(SMALL(Responses!$BD$2:$BD$501,95),1000)-1)/60),2)&amp;":"&amp;RIGHT("0"&amp;MOD(INDEX(Responses!$AU$2:$AU$501,MOD(SMALL(Responses!$BD$2:$BD$501,95),1000)-1),60),2)),"")</f>
        <v/>
      </c>
      <c r="C100" s="28">
        <f>IFERROR(IF(INDEX(Responses!$AV$2:$AV$501,MOD(SMALL(Responses!$BD$2:$BD$501,95),1000)-1)="","",RIGHT("0"&amp;INT(INDEX(Responses!$AV$2:$AV$501,MOD(SMALL(Responses!$BD$2:$BD$501,95),1000)-1)/60),2)&amp;":"&amp;RIGHT("0"&amp;MOD(INDEX(Responses!$AV$2:$AV$501,MOD(SMALL(Responses!$BD$2:$BD$501,95),1000)-1),60),2)),"")</f>
        <v/>
      </c>
      <c r="D100" s="28">
        <f>IFERROR(INDEX(Responses!$AS$2:$AS$501,MOD(SMALL(Responses!$BD$2:$BD$501,95),1000)-1),"")</f>
        <v/>
      </c>
      <c r="E100" s="28">
        <f>IFERROR(INDEX(Responses!$AW$2:$AW$501,MOD(SMALL(Responses!$BD$2:$BD$501,95),1000)-1),"")</f>
        <v/>
      </c>
      <c r="F100" s="28">
        <f>IFERROR(INDEX(Responses!$AX$2:$AX$501,MOD(SMALL(Responses!$BD$2:$BD$501,95),1000)-1),"")</f>
        <v/>
      </c>
      <c r="G100" s="28">
        <f>IFERROR(INDEX(Responses!$BE$2:$BE$501,MOD(SMALL(Responses!$BD$2:$BD$501,95),1000)-1),"")</f>
        <v/>
      </c>
    </row>
    <row r="101">
      <c r="A101" s="30">
        <f>IFERROR(INT(SMALL(Responses!$BD$2:$BD$501,96)/10000000),"")</f>
        <v/>
      </c>
      <c r="B101" s="28">
        <f>IFERROR(IF(INDEX(Responses!$AU$2:$AU$501,MOD(SMALL(Responses!$BD$2:$BD$501,96),1000)-1)="","",RIGHT("0"&amp;INT(INDEX(Responses!$AU$2:$AU$501,MOD(SMALL(Responses!$BD$2:$BD$501,96),1000)-1)/60),2)&amp;":"&amp;RIGHT("0"&amp;MOD(INDEX(Responses!$AU$2:$AU$501,MOD(SMALL(Responses!$BD$2:$BD$501,96),1000)-1),60),2)),"")</f>
        <v/>
      </c>
      <c r="C101" s="28">
        <f>IFERROR(IF(INDEX(Responses!$AV$2:$AV$501,MOD(SMALL(Responses!$BD$2:$BD$501,96),1000)-1)="","",RIGHT("0"&amp;INT(INDEX(Responses!$AV$2:$AV$501,MOD(SMALL(Responses!$BD$2:$BD$501,96),1000)-1)/60),2)&amp;":"&amp;RIGHT("0"&amp;MOD(INDEX(Responses!$AV$2:$AV$501,MOD(SMALL(Responses!$BD$2:$BD$501,96),1000)-1),60),2)),"")</f>
        <v/>
      </c>
      <c r="D101" s="28">
        <f>IFERROR(INDEX(Responses!$AS$2:$AS$501,MOD(SMALL(Responses!$BD$2:$BD$501,96),1000)-1),"")</f>
        <v/>
      </c>
      <c r="E101" s="28">
        <f>IFERROR(INDEX(Responses!$AW$2:$AW$501,MOD(SMALL(Responses!$BD$2:$BD$501,96),1000)-1),"")</f>
        <v/>
      </c>
      <c r="F101" s="28">
        <f>IFERROR(INDEX(Responses!$AX$2:$AX$501,MOD(SMALL(Responses!$BD$2:$BD$501,96),1000)-1),"")</f>
        <v/>
      </c>
      <c r="G101" s="28">
        <f>IFERROR(INDEX(Responses!$BE$2:$BE$501,MOD(SMALL(Responses!$BD$2:$BD$501,96),1000)-1),"")</f>
        <v/>
      </c>
    </row>
    <row r="102">
      <c r="A102" s="30">
        <f>IFERROR(INT(SMALL(Responses!$BD$2:$BD$501,97)/10000000),"")</f>
        <v/>
      </c>
      <c r="B102" s="28">
        <f>IFERROR(IF(INDEX(Responses!$AU$2:$AU$501,MOD(SMALL(Responses!$BD$2:$BD$501,97),1000)-1)="","",RIGHT("0"&amp;INT(INDEX(Responses!$AU$2:$AU$501,MOD(SMALL(Responses!$BD$2:$BD$501,97),1000)-1)/60),2)&amp;":"&amp;RIGHT("0"&amp;MOD(INDEX(Responses!$AU$2:$AU$501,MOD(SMALL(Responses!$BD$2:$BD$501,97),1000)-1),60),2)),"")</f>
        <v/>
      </c>
      <c r="C102" s="28">
        <f>IFERROR(IF(INDEX(Responses!$AV$2:$AV$501,MOD(SMALL(Responses!$BD$2:$BD$501,97),1000)-1)="","",RIGHT("0"&amp;INT(INDEX(Responses!$AV$2:$AV$501,MOD(SMALL(Responses!$BD$2:$BD$501,97),1000)-1)/60),2)&amp;":"&amp;RIGHT("0"&amp;MOD(INDEX(Responses!$AV$2:$AV$501,MOD(SMALL(Responses!$BD$2:$BD$501,97),1000)-1),60),2)),"")</f>
        <v/>
      </c>
      <c r="D102" s="28">
        <f>IFERROR(INDEX(Responses!$AS$2:$AS$501,MOD(SMALL(Responses!$BD$2:$BD$501,97),1000)-1),"")</f>
        <v/>
      </c>
      <c r="E102" s="28">
        <f>IFERROR(INDEX(Responses!$AW$2:$AW$501,MOD(SMALL(Responses!$BD$2:$BD$501,97),1000)-1),"")</f>
        <v/>
      </c>
      <c r="F102" s="28">
        <f>IFERROR(INDEX(Responses!$AX$2:$AX$501,MOD(SMALL(Responses!$BD$2:$BD$501,97),1000)-1),"")</f>
        <v/>
      </c>
      <c r="G102" s="28">
        <f>IFERROR(INDEX(Responses!$BE$2:$BE$501,MOD(SMALL(Responses!$BD$2:$BD$501,97),1000)-1),"")</f>
        <v/>
      </c>
    </row>
    <row r="103">
      <c r="A103" s="30">
        <f>IFERROR(INT(SMALL(Responses!$BD$2:$BD$501,98)/10000000),"")</f>
        <v/>
      </c>
      <c r="B103" s="28">
        <f>IFERROR(IF(INDEX(Responses!$AU$2:$AU$501,MOD(SMALL(Responses!$BD$2:$BD$501,98),1000)-1)="","",RIGHT("0"&amp;INT(INDEX(Responses!$AU$2:$AU$501,MOD(SMALL(Responses!$BD$2:$BD$501,98),1000)-1)/60),2)&amp;":"&amp;RIGHT("0"&amp;MOD(INDEX(Responses!$AU$2:$AU$501,MOD(SMALL(Responses!$BD$2:$BD$501,98),1000)-1),60),2)),"")</f>
        <v/>
      </c>
      <c r="C103" s="28">
        <f>IFERROR(IF(INDEX(Responses!$AV$2:$AV$501,MOD(SMALL(Responses!$BD$2:$BD$501,98),1000)-1)="","",RIGHT("0"&amp;INT(INDEX(Responses!$AV$2:$AV$501,MOD(SMALL(Responses!$BD$2:$BD$501,98),1000)-1)/60),2)&amp;":"&amp;RIGHT("0"&amp;MOD(INDEX(Responses!$AV$2:$AV$501,MOD(SMALL(Responses!$BD$2:$BD$501,98),1000)-1),60),2)),"")</f>
        <v/>
      </c>
      <c r="D103" s="28">
        <f>IFERROR(INDEX(Responses!$AS$2:$AS$501,MOD(SMALL(Responses!$BD$2:$BD$501,98),1000)-1),"")</f>
        <v/>
      </c>
      <c r="E103" s="28">
        <f>IFERROR(INDEX(Responses!$AW$2:$AW$501,MOD(SMALL(Responses!$BD$2:$BD$501,98),1000)-1),"")</f>
        <v/>
      </c>
      <c r="F103" s="28">
        <f>IFERROR(INDEX(Responses!$AX$2:$AX$501,MOD(SMALL(Responses!$BD$2:$BD$501,98),1000)-1),"")</f>
        <v/>
      </c>
      <c r="G103" s="28">
        <f>IFERROR(INDEX(Responses!$BE$2:$BE$501,MOD(SMALL(Responses!$BD$2:$BD$501,98),1000)-1),"")</f>
        <v/>
      </c>
    </row>
    <row r="104">
      <c r="A104" s="30">
        <f>IFERROR(INT(SMALL(Responses!$BD$2:$BD$501,99)/10000000),"")</f>
        <v/>
      </c>
      <c r="B104" s="28">
        <f>IFERROR(IF(INDEX(Responses!$AU$2:$AU$501,MOD(SMALL(Responses!$BD$2:$BD$501,99),1000)-1)="","",RIGHT("0"&amp;INT(INDEX(Responses!$AU$2:$AU$501,MOD(SMALL(Responses!$BD$2:$BD$501,99),1000)-1)/60),2)&amp;":"&amp;RIGHT("0"&amp;MOD(INDEX(Responses!$AU$2:$AU$501,MOD(SMALL(Responses!$BD$2:$BD$501,99),1000)-1),60),2)),"")</f>
        <v/>
      </c>
      <c r="C104" s="28">
        <f>IFERROR(IF(INDEX(Responses!$AV$2:$AV$501,MOD(SMALL(Responses!$BD$2:$BD$501,99),1000)-1)="","",RIGHT("0"&amp;INT(INDEX(Responses!$AV$2:$AV$501,MOD(SMALL(Responses!$BD$2:$BD$501,99),1000)-1)/60),2)&amp;":"&amp;RIGHT("0"&amp;MOD(INDEX(Responses!$AV$2:$AV$501,MOD(SMALL(Responses!$BD$2:$BD$501,99),1000)-1),60),2)),"")</f>
        <v/>
      </c>
      <c r="D104" s="28">
        <f>IFERROR(INDEX(Responses!$AS$2:$AS$501,MOD(SMALL(Responses!$BD$2:$BD$501,99),1000)-1),"")</f>
        <v/>
      </c>
      <c r="E104" s="28">
        <f>IFERROR(INDEX(Responses!$AW$2:$AW$501,MOD(SMALL(Responses!$BD$2:$BD$501,99),1000)-1),"")</f>
        <v/>
      </c>
      <c r="F104" s="28">
        <f>IFERROR(INDEX(Responses!$AX$2:$AX$501,MOD(SMALL(Responses!$BD$2:$BD$501,99),1000)-1),"")</f>
        <v/>
      </c>
      <c r="G104" s="28">
        <f>IFERROR(INDEX(Responses!$BE$2:$BE$501,MOD(SMALL(Responses!$BD$2:$BD$501,99),1000)-1),"")</f>
        <v/>
      </c>
    </row>
    <row r="105">
      <c r="A105" s="30">
        <f>IFERROR(INT(SMALL(Responses!$BD$2:$BD$501,100)/10000000),"")</f>
        <v/>
      </c>
      <c r="B105" s="28">
        <f>IFERROR(IF(INDEX(Responses!$AU$2:$AU$501,MOD(SMALL(Responses!$BD$2:$BD$501,100),1000)-1)="","",RIGHT("0"&amp;INT(INDEX(Responses!$AU$2:$AU$501,MOD(SMALL(Responses!$BD$2:$BD$501,100),1000)-1)/60),2)&amp;":"&amp;RIGHT("0"&amp;MOD(INDEX(Responses!$AU$2:$AU$501,MOD(SMALL(Responses!$BD$2:$BD$501,100),1000)-1),60),2)),"")</f>
        <v/>
      </c>
      <c r="C105" s="28">
        <f>IFERROR(IF(INDEX(Responses!$AV$2:$AV$501,MOD(SMALL(Responses!$BD$2:$BD$501,100),1000)-1)="","",RIGHT("0"&amp;INT(INDEX(Responses!$AV$2:$AV$501,MOD(SMALL(Responses!$BD$2:$BD$501,100),1000)-1)/60),2)&amp;":"&amp;RIGHT("0"&amp;MOD(INDEX(Responses!$AV$2:$AV$501,MOD(SMALL(Responses!$BD$2:$BD$501,100),1000)-1),60),2)),"")</f>
        <v/>
      </c>
      <c r="D105" s="28">
        <f>IFERROR(INDEX(Responses!$AS$2:$AS$501,MOD(SMALL(Responses!$BD$2:$BD$501,100),1000)-1),"")</f>
        <v/>
      </c>
      <c r="E105" s="28">
        <f>IFERROR(INDEX(Responses!$AW$2:$AW$501,MOD(SMALL(Responses!$BD$2:$BD$501,100),1000)-1),"")</f>
        <v/>
      </c>
      <c r="F105" s="28">
        <f>IFERROR(INDEX(Responses!$AX$2:$AX$501,MOD(SMALL(Responses!$BD$2:$BD$501,100),1000)-1),"")</f>
        <v/>
      </c>
      <c r="G105" s="28">
        <f>IFERROR(INDEX(Responses!$BE$2:$BE$501,MOD(SMALL(Responses!$BD$2:$BD$501,100),1000)-1),"")</f>
        <v/>
      </c>
    </row>
    <row r="106">
      <c r="A106" s="30">
        <f>IFERROR(INT(SMALL(Responses!$BD$2:$BD$501,101)/10000000),"")</f>
        <v/>
      </c>
      <c r="B106" s="28">
        <f>IFERROR(IF(INDEX(Responses!$AU$2:$AU$501,MOD(SMALL(Responses!$BD$2:$BD$501,101),1000)-1)="","",RIGHT("0"&amp;INT(INDEX(Responses!$AU$2:$AU$501,MOD(SMALL(Responses!$BD$2:$BD$501,101),1000)-1)/60),2)&amp;":"&amp;RIGHT("0"&amp;MOD(INDEX(Responses!$AU$2:$AU$501,MOD(SMALL(Responses!$BD$2:$BD$501,101),1000)-1),60),2)),"")</f>
        <v/>
      </c>
      <c r="C106" s="28">
        <f>IFERROR(IF(INDEX(Responses!$AV$2:$AV$501,MOD(SMALL(Responses!$BD$2:$BD$501,101),1000)-1)="","",RIGHT("0"&amp;INT(INDEX(Responses!$AV$2:$AV$501,MOD(SMALL(Responses!$BD$2:$BD$501,101),1000)-1)/60),2)&amp;":"&amp;RIGHT("0"&amp;MOD(INDEX(Responses!$AV$2:$AV$501,MOD(SMALL(Responses!$BD$2:$BD$501,101),1000)-1),60),2)),"")</f>
        <v/>
      </c>
      <c r="D106" s="28">
        <f>IFERROR(INDEX(Responses!$AS$2:$AS$501,MOD(SMALL(Responses!$BD$2:$BD$501,101),1000)-1),"")</f>
        <v/>
      </c>
      <c r="E106" s="28">
        <f>IFERROR(INDEX(Responses!$AW$2:$AW$501,MOD(SMALL(Responses!$BD$2:$BD$501,101),1000)-1),"")</f>
        <v/>
      </c>
      <c r="F106" s="28">
        <f>IFERROR(INDEX(Responses!$AX$2:$AX$501,MOD(SMALL(Responses!$BD$2:$BD$501,101),1000)-1),"")</f>
        <v/>
      </c>
      <c r="G106" s="28">
        <f>IFERROR(INDEX(Responses!$BE$2:$BE$501,MOD(SMALL(Responses!$BD$2:$BD$501,101),1000)-1),"")</f>
        <v/>
      </c>
    </row>
    <row r="107">
      <c r="A107" s="30">
        <f>IFERROR(INT(SMALL(Responses!$BD$2:$BD$501,102)/10000000),"")</f>
        <v/>
      </c>
      <c r="B107" s="28">
        <f>IFERROR(IF(INDEX(Responses!$AU$2:$AU$501,MOD(SMALL(Responses!$BD$2:$BD$501,102),1000)-1)="","",RIGHT("0"&amp;INT(INDEX(Responses!$AU$2:$AU$501,MOD(SMALL(Responses!$BD$2:$BD$501,102),1000)-1)/60),2)&amp;":"&amp;RIGHT("0"&amp;MOD(INDEX(Responses!$AU$2:$AU$501,MOD(SMALL(Responses!$BD$2:$BD$501,102),1000)-1),60),2)),"")</f>
        <v/>
      </c>
      <c r="C107" s="28">
        <f>IFERROR(IF(INDEX(Responses!$AV$2:$AV$501,MOD(SMALL(Responses!$BD$2:$BD$501,102),1000)-1)="","",RIGHT("0"&amp;INT(INDEX(Responses!$AV$2:$AV$501,MOD(SMALL(Responses!$BD$2:$BD$501,102),1000)-1)/60),2)&amp;":"&amp;RIGHT("0"&amp;MOD(INDEX(Responses!$AV$2:$AV$501,MOD(SMALL(Responses!$BD$2:$BD$501,102),1000)-1),60),2)),"")</f>
        <v/>
      </c>
      <c r="D107" s="28">
        <f>IFERROR(INDEX(Responses!$AS$2:$AS$501,MOD(SMALL(Responses!$BD$2:$BD$501,102),1000)-1),"")</f>
        <v/>
      </c>
      <c r="E107" s="28">
        <f>IFERROR(INDEX(Responses!$AW$2:$AW$501,MOD(SMALL(Responses!$BD$2:$BD$501,102),1000)-1),"")</f>
        <v/>
      </c>
      <c r="F107" s="28">
        <f>IFERROR(INDEX(Responses!$AX$2:$AX$501,MOD(SMALL(Responses!$BD$2:$BD$501,102),1000)-1),"")</f>
        <v/>
      </c>
      <c r="G107" s="28">
        <f>IFERROR(INDEX(Responses!$BE$2:$BE$501,MOD(SMALL(Responses!$BD$2:$BD$501,102),1000)-1),"")</f>
        <v/>
      </c>
    </row>
    <row r="108">
      <c r="A108" s="30">
        <f>IFERROR(INT(SMALL(Responses!$BD$2:$BD$501,103)/10000000),"")</f>
        <v/>
      </c>
      <c r="B108" s="28">
        <f>IFERROR(IF(INDEX(Responses!$AU$2:$AU$501,MOD(SMALL(Responses!$BD$2:$BD$501,103),1000)-1)="","",RIGHT("0"&amp;INT(INDEX(Responses!$AU$2:$AU$501,MOD(SMALL(Responses!$BD$2:$BD$501,103),1000)-1)/60),2)&amp;":"&amp;RIGHT("0"&amp;MOD(INDEX(Responses!$AU$2:$AU$501,MOD(SMALL(Responses!$BD$2:$BD$501,103),1000)-1),60),2)),"")</f>
        <v/>
      </c>
      <c r="C108" s="28">
        <f>IFERROR(IF(INDEX(Responses!$AV$2:$AV$501,MOD(SMALL(Responses!$BD$2:$BD$501,103),1000)-1)="","",RIGHT("0"&amp;INT(INDEX(Responses!$AV$2:$AV$501,MOD(SMALL(Responses!$BD$2:$BD$501,103),1000)-1)/60),2)&amp;":"&amp;RIGHT("0"&amp;MOD(INDEX(Responses!$AV$2:$AV$501,MOD(SMALL(Responses!$BD$2:$BD$501,103),1000)-1),60),2)),"")</f>
        <v/>
      </c>
      <c r="D108" s="28">
        <f>IFERROR(INDEX(Responses!$AS$2:$AS$501,MOD(SMALL(Responses!$BD$2:$BD$501,103),1000)-1),"")</f>
        <v/>
      </c>
      <c r="E108" s="28">
        <f>IFERROR(INDEX(Responses!$AW$2:$AW$501,MOD(SMALL(Responses!$BD$2:$BD$501,103),1000)-1),"")</f>
        <v/>
      </c>
      <c r="F108" s="28">
        <f>IFERROR(INDEX(Responses!$AX$2:$AX$501,MOD(SMALL(Responses!$BD$2:$BD$501,103),1000)-1),"")</f>
        <v/>
      </c>
      <c r="G108" s="28">
        <f>IFERROR(INDEX(Responses!$BE$2:$BE$501,MOD(SMALL(Responses!$BD$2:$BD$501,103),1000)-1),"")</f>
        <v/>
      </c>
    </row>
    <row r="109">
      <c r="A109" s="30">
        <f>IFERROR(INT(SMALL(Responses!$BD$2:$BD$501,104)/10000000),"")</f>
        <v/>
      </c>
      <c r="B109" s="28">
        <f>IFERROR(IF(INDEX(Responses!$AU$2:$AU$501,MOD(SMALL(Responses!$BD$2:$BD$501,104),1000)-1)="","",RIGHT("0"&amp;INT(INDEX(Responses!$AU$2:$AU$501,MOD(SMALL(Responses!$BD$2:$BD$501,104),1000)-1)/60),2)&amp;":"&amp;RIGHT("0"&amp;MOD(INDEX(Responses!$AU$2:$AU$501,MOD(SMALL(Responses!$BD$2:$BD$501,104),1000)-1),60),2)),"")</f>
        <v/>
      </c>
      <c r="C109" s="28">
        <f>IFERROR(IF(INDEX(Responses!$AV$2:$AV$501,MOD(SMALL(Responses!$BD$2:$BD$501,104),1000)-1)="","",RIGHT("0"&amp;INT(INDEX(Responses!$AV$2:$AV$501,MOD(SMALL(Responses!$BD$2:$BD$501,104),1000)-1)/60),2)&amp;":"&amp;RIGHT("0"&amp;MOD(INDEX(Responses!$AV$2:$AV$501,MOD(SMALL(Responses!$BD$2:$BD$501,104),1000)-1),60),2)),"")</f>
        <v/>
      </c>
      <c r="D109" s="28">
        <f>IFERROR(INDEX(Responses!$AS$2:$AS$501,MOD(SMALL(Responses!$BD$2:$BD$501,104),1000)-1),"")</f>
        <v/>
      </c>
      <c r="E109" s="28">
        <f>IFERROR(INDEX(Responses!$AW$2:$AW$501,MOD(SMALL(Responses!$BD$2:$BD$501,104),1000)-1),"")</f>
        <v/>
      </c>
      <c r="F109" s="28">
        <f>IFERROR(INDEX(Responses!$AX$2:$AX$501,MOD(SMALL(Responses!$BD$2:$BD$501,104),1000)-1),"")</f>
        <v/>
      </c>
      <c r="G109" s="28">
        <f>IFERROR(INDEX(Responses!$BE$2:$BE$501,MOD(SMALL(Responses!$BD$2:$BD$501,104),1000)-1),"")</f>
        <v/>
      </c>
    </row>
    <row r="110">
      <c r="A110" s="30">
        <f>IFERROR(INT(SMALL(Responses!$BD$2:$BD$501,105)/10000000),"")</f>
        <v/>
      </c>
      <c r="B110" s="28">
        <f>IFERROR(IF(INDEX(Responses!$AU$2:$AU$501,MOD(SMALL(Responses!$BD$2:$BD$501,105),1000)-1)="","",RIGHT("0"&amp;INT(INDEX(Responses!$AU$2:$AU$501,MOD(SMALL(Responses!$BD$2:$BD$501,105),1000)-1)/60),2)&amp;":"&amp;RIGHT("0"&amp;MOD(INDEX(Responses!$AU$2:$AU$501,MOD(SMALL(Responses!$BD$2:$BD$501,105),1000)-1),60),2)),"")</f>
        <v/>
      </c>
      <c r="C110" s="28">
        <f>IFERROR(IF(INDEX(Responses!$AV$2:$AV$501,MOD(SMALL(Responses!$BD$2:$BD$501,105),1000)-1)="","",RIGHT("0"&amp;INT(INDEX(Responses!$AV$2:$AV$501,MOD(SMALL(Responses!$BD$2:$BD$501,105),1000)-1)/60),2)&amp;":"&amp;RIGHT("0"&amp;MOD(INDEX(Responses!$AV$2:$AV$501,MOD(SMALL(Responses!$BD$2:$BD$501,105),1000)-1),60),2)),"")</f>
        <v/>
      </c>
      <c r="D110" s="28">
        <f>IFERROR(INDEX(Responses!$AS$2:$AS$501,MOD(SMALL(Responses!$BD$2:$BD$501,105),1000)-1),"")</f>
        <v/>
      </c>
      <c r="E110" s="28">
        <f>IFERROR(INDEX(Responses!$AW$2:$AW$501,MOD(SMALL(Responses!$BD$2:$BD$501,105),1000)-1),"")</f>
        <v/>
      </c>
      <c r="F110" s="28">
        <f>IFERROR(INDEX(Responses!$AX$2:$AX$501,MOD(SMALL(Responses!$BD$2:$BD$501,105),1000)-1),"")</f>
        <v/>
      </c>
      <c r="G110" s="28">
        <f>IFERROR(INDEX(Responses!$BE$2:$BE$501,MOD(SMALL(Responses!$BD$2:$BD$501,105),1000)-1),"")</f>
        <v/>
      </c>
    </row>
    <row r="111">
      <c r="A111" s="30">
        <f>IFERROR(INT(SMALL(Responses!$BD$2:$BD$501,106)/10000000),"")</f>
        <v/>
      </c>
      <c r="B111" s="28">
        <f>IFERROR(IF(INDEX(Responses!$AU$2:$AU$501,MOD(SMALL(Responses!$BD$2:$BD$501,106),1000)-1)="","",RIGHT("0"&amp;INT(INDEX(Responses!$AU$2:$AU$501,MOD(SMALL(Responses!$BD$2:$BD$501,106),1000)-1)/60),2)&amp;":"&amp;RIGHT("0"&amp;MOD(INDEX(Responses!$AU$2:$AU$501,MOD(SMALL(Responses!$BD$2:$BD$501,106),1000)-1),60),2)),"")</f>
        <v/>
      </c>
      <c r="C111" s="28">
        <f>IFERROR(IF(INDEX(Responses!$AV$2:$AV$501,MOD(SMALL(Responses!$BD$2:$BD$501,106),1000)-1)="","",RIGHT("0"&amp;INT(INDEX(Responses!$AV$2:$AV$501,MOD(SMALL(Responses!$BD$2:$BD$501,106),1000)-1)/60),2)&amp;":"&amp;RIGHT("0"&amp;MOD(INDEX(Responses!$AV$2:$AV$501,MOD(SMALL(Responses!$BD$2:$BD$501,106),1000)-1),60),2)),"")</f>
        <v/>
      </c>
      <c r="D111" s="28">
        <f>IFERROR(INDEX(Responses!$AS$2:$AS$501,MOD(SMALL(Responses!$BD$2:$BD$501,106),1000)-1),"")</f>
        <v/>
      </c>
      <c r="E111" s="28">
        <f>IFERROR(INDEX(Responses!$AW$2:$AW$501,MOD(SMALL(Responses!$BD$2:$BD$501,106),1000)-1),"")</f>
        <v/>
      </c>
      <c r="F111" s="28">
        <f>IFERROR(INDEX(Responses!$AX$2:$AX$501,MOD(SMALL(Responses!$BD$2:$BD$501,106),1000)-1),"")</f>
        <v/>
      </c>
      <c r="G111" s="28">
        <f>IFERROR(INDEX(Responses!$BE$2:$BE$501,MOD(SMALL(Responses!$BD$2:$BD$501,106),1000)-1),"")</f>
        <v/>
      </c>
    </row>
    <row r="112">
      <c r="A112" s="30">
        <f>IFERROR(INT(SMALL(Responses!$BD$2:$BD$501,107)/10000000),"")</f>
        <v/>
      </c>
      <c r="B112" s="28">
        <f>IFERROR(IF(INDEX(Responses!$AU$2:$AU$501,MOD(SMALL(Responses!$BD$2:$BD$501,107),1000)-1)="","",RIGHT("0"&amp;INT(INDEX(Responses!$AU$2:$AU$501,MOD(SMALL(Responses!$BD$2:$BD$501,107),1000)-1)/60),2)&amp;":"&amp;RIGHT("0"&amp;MOD(INDEX(Responses!$AU$2:$AU$501,MOD(SMALL(Responses!$BD$2:$BD$501,107),1000)-1),60),2)),"")</f>
        <v/>
      </c>
      <c r="C112" s="28">
        <f>IFERROR(IF(INDEX(Responses!$AV$2:$AV$501,MOD(SMALL(Responses!$BD$2:$BD$501,107),1000)-1)="","",RIGHT("0"&amp;INT(INDEX(Responses!$AV$2:$AV$501,MOD(SMALL(Responses!$BD$2:$BD$501,107),1000)-1)/60),2)&amp;":"&amp;RIGHT("0"&amp;MOD(INDEX(Responses!$AV$2:$AV$501,MOD(SMALL(Responses!$BD$2:$BD$501,107),1000)-1),60),2)),"")</f>
        <v/>
      </c>
      <c r="D112" s="28">
        <f>IFERROR(INDEX(Responses!$AS$2:$AS$501,MOD(SMALL(Responses!$BD$2:$BD$501,107),1000)-1),"")</f>
        <v/>
      </c>
      <c r="E112" s="28">
        <f>IFERROR(INDEX(Responses!$AW$2:$AW$501,MOD(SMALL(Responses!$BD$2:$BD$501,107),1000)-1),"")</f>
        <v/>
      </c>
      <c r="F112" s="28">
        <f>IFERROR(INDEX(Responses!$AX$2:$AX$501,MOD(SMALL(Responses!$BD$2:$BD$501,107),1000)-1),"")</f>
        <v/>
      </c>
      <c r="G112" s="28">
        <f>IFERROR(INDEX(Responses!$BE$2:$BE$501,MOD(SMALL(Responses!$BD$2:$BD$501,107),1000)-1),"")</f>
        <v/>
      </c>
    </row>
    <row r="113">
      <c r="A113" s="30">
        <f>IFERROR(INT(SMALL(Responses!$BD$2:$BD$501,108)/10000000),"")</f>
        <v/>
      </c>
      <c r="B113" s="28">
        <f>IFERROR(IF(INDEX(Responses!$AU$2:$AU$501,MOD(SMALL(Responses!$BD$2:$BD$501,108),1000)-1)="","",RIGHT("0"&amp;INT(INDEX(Responses!$AU$2:$AU$501,MOD(SMALL(Responses!$BD$2:$BD$501,108),1000)-1)/60),2)&amp;":"&amp;RIGHT("0"&amp;MOD(INDEX(Responses!$AU$2:$AU$501,MOD(SMALL(Responses!$BD$2:$BD$501,108),1000)-1),60),2)),"")</f>
        <v/>
      </c>
      <c r="C113" s="28">
        <f>IFERROR(IF(INDEX(Responses!$AV$2:$AV$501,MOD(SMALL(Responses!$BD$2:$BD$501,108),1000)-1)="","",RIGHT("0"&amp;INT(INDEX(Responses!$AV$2:$AV$501,MOD(SMALL(Responses!$BD$2:$BD$501,108),1000)-1)/60),2)&amp;":"&amp;RIGHT("0"&amp;MOD(INDEX(Responses!$AV$2:$AV$501,MOD(SMALL(Responses!$BD$2:$BD$501,108),1000)-1),60),2)),"")</f>
        <v/>
      </c>
      <c r="D113" s="28">
        <f>IFERROR(INDEX(Responses!$AS$2:$AS$501,MOD(SMALL(Responses!$BD$2:$BD$501,108),1000)-1),"")</f>
        <v/>
      </c>
      <c r="E113" s="28">
        <f>IFERROR(INDEX(Responses!$AW$2:$AW$501,MOD(SMALL(Responses!$BD$2:$BD$501,108),1000)-1),"")</f>
        <v/>
      </c>
      <c r="F113" s="28">
        <f>IFERROR(INDEX(Responses!$AX$2:$AX$501,MOD(SMALL(Responses!$BD$2:$BD$501,108),1000)-1),"")</f>
        <v/>
      </c>
      <c r="G113" s="28">
        <f>IFERROR(INDEX(Responses!$BE$2:$BE$501,MOD(SMALL(Responses!$BD$2:$BD$501,108),1000)-1),"")</f>
        <v/>
      </c>
    </row>
    <row r="114">
      <c r="A114" s="30">
        <f>IFERROR(INT(SMALL(Responses!$BD$2:$BD$501,109)/10000000),"")</f>
        <v/>
      </c>
      <c r="B114" s="28">
        <f>IFERROR(IF(INDEX(Responses!$AU$2:$AU$501,MOD(SMALL(Responses!$BD$2:$BD$501,109),1000)-1)="","",RIGHT("0"&amp;INT(INDEX(Responses!$AU$2:$AU$501,MOD(SMALL(Responses!$BD$2:$BD$501,109),1000)-1)/60),2)&amp;":"&amp;RIGHT("0"&amp;MOD(INDEX(Responses!$AU$2:$AU$501,MOD(SMALL(Responses!$BD$2:$BD$501,109),1000)-1),60),2)),"")</f>
        <v/>
      </c>
      <c r="C114" s="28">
        <f>IFERROR(IF(INDEX(Responses!$AV$2:$AV$501,MOD(SMALL(Responses!$BD$2:$BD$501,109),1000)-1)="","",RIGHT("0"&amp;INT(INDEX(Responses!$AV$2:$AV$501,MOD(SMALL(Responses!$BD$2:$BD$501,109),1000)-1)/60),2)&amp;":"&amp;RIGHT("0"&amp;MOD(INDEX(Responses!$AV$2:$AV$501,MOD(SMALL(Responses!$BD$2:$BD$501,109),1000)-1),60),2)),"")</f>
        <v/>
      </c>
      <c r="D114" s="28">
        <f>IFERROR(INDEX(Responses!$AS$2:$AS$501,MOD(SMALL(Responses!$BD$2:$BD$501,109),1000)-1),"")</f>
        <v/>
      </c>
      <c r="E114" s="28">
        <f>IFERROR(INDEX(Responses!$AW$2:$AW$501,MOD(SMALL(Responses!$BD$2:$BD$501,109),1000)-1),"")</f>
        <v/>
      </c>
      <c r="F114" s="28">
        <f>IFERROR(INDEX(Responses!$AX$2:$AX$501,MOD(SMALL(Responses!$BD$2:$BD$501,109),1000)-1),"")</f>
        <v/>
      </c>
      <c r="G114" s="28">
        <f>IFERROR(INDEX(Responses!$BE$2:$BE$501,MOD(SMALL(Responses!$BD$2:$BD$501,109),1000)-1),"")</f>
        <v/>
      </c>
    </row>
    <row r="115">
      <c r="A115" s="30">
        <f>IFERROR(INT(SMALL(Responses!$BD$2:$BD$501,110)/10000000),"")</f>
        <v/>
      </c>
      <c r="B115" s="28">
        <f>IFERROR(IF(INDEX(Responses!$AU$2:$AU$501,MOD(SMALL(Responses!$BD$2:$BD$501,110),1000)-1)="","",RIGHT("0"&amp;INT(INDEX(Responses!$AU$2:$AU$501,MOD(SMALL(Responses!$BD$2:$BD$501,110),1000)-1)/60),2)&amp;":"&amp;RIGHT("0"&amp;MOD(INDEX(Responses!$AU$2:$AU$501,MOD(SMALL(Responses!$BD$2:$BD$501,110),1000)-1),60),2)),"")</f>
        <v/>
      </c>
      <c r="C115" s="28">
        <f>IFERROR(IF(INDEX(Responses!$AV$2:$AV$501,MOD(SMALL(Responses!$BD$2:$BD$501,110),1000)-1)="","",RIGHT("0"&amp;INT(INDEX(Responses!$AV$2:$AV$501,MOD(SMALL(Responses!$BD$2:$BD$501,110),1000)-1)/60),2)&amp;":"&amp;RIGHT("0"&amp;MOD(INDEX(Responses!$AV$2:$AV$501,MOD(SMALL(Responses!$BD$2:$BD$501,110),1000)-1),60),2)),"")</f>
        <v/>
      </c>
      <c r="D115" s="28">
        <f>IFERROR(INDEX(Responses!$AS$2:$AS$501,MOD(SMALL(Responses!$BD$2:$BD$501,110),1000)-1),"")</f>
        <v/>
      </c>
      <c r="E115" s="28">
        <f>IFERROR(INDEX(Responses!$AW$2:$AW$501,MOD(SMALL(Responses!$BD$2:$BD$501,110),1000)-1),"")</f>
        <v/>
      </c>
      <c r="F115" s="28">
        <f>IFERROR(INDEX(Responses!$AX$2:$AX$501,MOD(SMALL(Responses!$BD$2:$BD$501,110),1000)-1),"")</f>
        <v/>
      </c>
      <c r="G115" s="28">
        <f>IFERROR(INDEX(Responses!$BE$2:$BE$501,MOD(SMALL(Responses!$BD$2:$BD$501,110),1000)-1),"")</f>
        <v/>
      </c>
    </row>
    <row r="116">
      <c r="A116" s="30">
        <f>IFERROR(INT(SMALL(Responses!$BD$2:$BD$501,111)/10000000),"")</f>
        <v/>
      </c>
      <c r="B116" s="28">
        <f>IFERROR(IF(INDEX(Responses!$AU$2:$AU$501,MOD(SMALL(Responses!$BD$2:$BD$501,111),1000)-1)="","",RIGHT("0"&amp;INT(INDEX(Responses!$AU$2:$AU$501,MOD(SMALL(Responses!$BD$2:$BD$501,111),1000)-1)/60),2)&amp;":"&amp;RIGHT("0"&amp;MOD(INDEX(Responses!$AU$2:$AU$501,MOD(SMALL(Responses!$BD$2:$BD$501,111),1000)-1),60),2)),"")</f>
        <v/>
      </c>
      <c r="C116" s="28">
        <f>IFERROR(IF(INDEX(Responses!$AV$2:$AV$501,MOD(SMALL(Responses!$BD$2:$BD$501,111),1000)-1)="","",RIGHT("0"&amp;INT(INDEX(Responses!$AV$2:$AV$501,MOD(SMALL(Responses!$BD$2:$BD$501,111),1000)-1)/60),2)&amp;":"&amp;RIGHT("0"&amp;MOD(INDEX(Responses!$AV$2:$AV$501,MOD(SMALL(Responses!$BD$2:$BD$501,111),1000)-1),60),2)),"")</f>
        <v/>
      </c>
      <c r="D116" s="28">
        <f>IFERROR(INDEX(Responses!$AS$2:$AS$501,MOD(SMALL(Responses!$BD$2:$BD$501,111),1000)-1),"")</f>
        <v/>
      </c>
      <c r="E116" s="28">
        <f>IFERROR(INDEX(Responses!$AW$2:$AW$501,MOD(SMALL(Responses!$BD$2:$BD$501,111),1000)-1),"")</f>
        <v/>
      </c>
      <c r="F116" s="28">
        <f>IFERROR(INDEX(Responses!$AX$2:$AX$501,MOD(SMALL(Responses!$BD$2:$BD$501,111),1000)-1),"")</f>
        <v/>
      </c>
      <c r="G116" s="28">
        <f>IFERROR(INDEX(Responses!$BE$2:$BE$501,MOD(SMALL(Responses!$BD$2:$BD$501,111),1000)-1),"")</f>
        <v/>
      </c>
    </row>
    <row r="117">
      <c r="A117" s="30">
        <f>IFERROR(INT(SMALL(Responses!$BD$2:$BD$501,112)/10000000),"")</f>
        <v/>
      </c>
      <c r="B117" s="28">
        <f>IFERROR(IF(INDEX(Responses!$AU$2:$AU$501,MOD(SMALL(Responses!$BD$2:$BD$501,112),1000)-1)="","",RIGHT("0"&amp;INT(INDEX(Responses!$AU$2:$AU$501,MOD(SMALL(Responses!$BD$2:$BD$501,112),1000)-1)/60),2)&amp;":"&amp;RIGHT("0"&amp;MOD(INDEX(Responses!$AU$2:$AU$501,MOD(SMALL(Responses!$BD$2:$BD$501,112),1000)-1),60),2)),"")</f>
        <v/>
      </c>
      <c r="C117" s="28">
        <f>IFERROR(IF(INDEX(Responses!$AV$2:$AV$501,MOD(SMALL(Responses!$BD$2:$BD$501,112),1000)-1)="","",RIGHT("0"&amp;INT(INDEX(Responses!$AV$2:$AV$501,MOD(SMALL(Responses!$BD$2:$BD$501,112),1000)-1)/60),2)&amp;":"&amp;RIGHT("0"&amp;MOD(INDEX(Responses!$AV$2:$AV$501,MOD(SMALL(Responses!$BD$2:$BD$501,112),1000)-1),60),2)),"")</f>
        <v/>
      </c>
      <c r="D117" s="28">
        <f>IFERROR(INDEX(Responses!$AS$2:$AS$501,MOD(SMALL(Responses!$BD$2:$BD$501,112),1000)-1),"")</f>
        <v/>
      </c>
      <c r="E117" s="28">
        <f>IFERROR(INDEX(Responses!$AW$2:$AW$501,MOD(SMALL(Responses!$BD$2:$BD$501,112),1000)-1),"")</f>
        <v/>
      </c>
      <c r="F117" s="28">
        <f>IFERROR(INDEX(Responses!$AX$2:$AX$501,MOD(SMALL(Responses!$BD$2:$BD$501,112),1000)-1),"")</f>
        <v/>
      </c>
      <c r="G117" s="28">
        <f>IFERROR(INDEX(Responses!$BE$2:$BE$501,MOD(SMALL(Responses!$BD$2:$BD$501,112),1000)-1),"")</f>
        <v/>
      </c>
    </row>
    <row r="118">
      <c r="A118" s="30">
        <f>IFERROR(INT(SMALL(Responses!$BD$2:$BD$501,113)/10000000),"")</f>
        <v/>
      </c>
      <c r="B118" s="28">
        <f>IFERROR(IF(INDEX(Responses!$AU$2:$AU$501,MOD(SMALL(Responses!$BD$2:$BD$501,113),1000)-1)="","",RIGHT("0"&amp;INT(INDEX(Responses!$AU$2:$AU$501,MOD(SMALL(Responses!$BD$2:$BD$501,113),1000)-1)/60),2)&amp;":"&amp;RIGHT("0"&amp;MOD(INDEX(Responses!$AU$2:$AU$501,MOD(SMALL(Responses!$BD$2:$BD$501,113),1000)-1),60),2)),"")</f>
        <v/>
      </c>
      <c r="C118" s="28">
        <f>IFERROR(IF(INDEX(Responses!$AV$2:$AV$501,MOD(SMALL(Responses!$BD$2:$BD$501,113),1000)-1)="","",RIGHT("0"&amp;INT(INDEX(Responses!$AV$2:$AV$501,MOD(SMALL(Responses!$BD$2:$BD$501,113),1000)-1)/60),2)&amp;":"&amp;RIGHT("0"&amp;MOD(INDEX(Responses!$AV$2:$AV$501,MOD(SMALL(Responses!$BD$2:$BD$501,113),1000)-1),60),2)),"")</f>
        <v/>
      </c>
      <c r="D118" s="28">
        <f>IFERROR(INDEX(Responses!$AS$2:$AS$501,MOD(SMALL(Responses!$BD$2:$BD$501,113),1000)-1),"")</f>
        <v/>
      </c>
      <c r="E118" s="28">
        <f>IFERROR(INDEX(Responses!$AW$2:$AW$501,MOD(SMALL(Responses!$BD$2:$BD$501,113),1000)-1),"")</f>
        <v/>
      </c>
      <c r="F118" s="28">
        <f>IFERROR(INDEX(Responses!$AX$2:$AX$501,MOD(SMALL(Responses!$BD$2:$BD$501,113),1000)-1),"")</f>
        <v/>
      </c>
      <c r="G118" s="28">
        <f>IFERROR(INDEX(Responses!$BE$2:$BE$501,MOD(SMALL(Responses!$BD$2:$BD$501,113),1000)-1),"")</f>
        <v/>
      </c>
    </row>
    <row r="119">
      <c r="A119" s="30">
        <f>IFERROR(INT(SMALL(Responses!$BD$2:$BD$501,114)/10000000),"")</f>
        <v/>
      </c>
      <c r="B119" s="28">
        <f>IFERROR(IF(INDEX(Responses!$AU$2:$AU$501,MOD(SMALL(Responses!$BD$2:$BD$501,114),1000)-1)="","",RIGHT("0"&amp;INT(INDEX(Responses!$AU$2:$AU$501,MOD(SMALL(Responses!$BD$2:$BD$501,114),1000)-1)/60),2)&amp;":"&amp;RIGHT("0"&amp;MOD(INDEX(Responses!$AU$2:$AU$501,MOD(SMALL(Responses!$BD$2:$BD$501,114),1000)-1),60),2)),"")</f>
        <v/>
      </c>
      <c r="C119" s="28">
        <f>IFERROR(IF(INDEX(Responses!$AV$2:$AV$501,MOD(SMALL(Responses!$BD$2:$BD$501,114),1000)-1)="","",RIGHT("0"&amp;INT(INDEX(Responses!$AV$2:$AV$501,MOD(SMALL(Responses!$BD$2:$BD$501,114),1000)-1)/60),2)&amp;":"&amp;RIGHT("0"&amp;MOD(INDEX(Responses!$AV$2:$AV$501,MOD(SMALL(Responses!$BD$2:$BD$501,114),1000)-1),60),2)),"")</f>
        <v/>
      </c>
      <c r="D119" s="28">
        <f>IFERROR(INDEX(Responses!$AS$2:$AS$501,MOD(SMALL(Responses!$BD$2:$BD$501,114),1000)-1),"")</f>
        <v/>
      </c>
      <c r="E119" s="28">
        <f>IFERROR(INDEX(Responses!$AW$2:$AW$501,MOD(SMALL(Responses!$BD$2:$BD$501,114),1000)-1),"")</f>
        <v/>
      </c>
      <c r="F119" s="28">
        <f>IFERROR(INDEX(Responses!$AX$2:$AX$501,MOD(SMALL(Responses!$BD$2:$BD$501,114),1000)-1),"")</f>
        <v/>
      </c>
      <c r="G119" s="28">
        <f>IFERROR(INDEX(Responses!$BE$2:$BE$501,MOD(SMALL(Responses!$BD$2:$BD$501,114),1000)-1),"")</f>
        <v/>
      </c>
    </row>
    <row r="120">
      <c r="A120" s="30">
        <f>IFERROR(INT(SMALL(Responses!$BD$2:$BD$501,115)/10000000),"")</f>
        <v/>
      </c>
      <c r="B120" s="28">
        <f>IFERROR(IF(INDEX(Responses!$AU$2:$AU$501,MOD(SMALL(Responses!$BD$2:$BD$501,115),1000)-1)="","",RIGHT("0"&amp;INT(INDEX(Responses!$AU$2:$AU$501,MOD(SMALL(Responses!$BD$2:$BD$501,115),1000)-1)/60),2)&amp;":"&amp;RIGHT("0"&amp;MOD(INDEX(Responses!$AU$2:$AU$501,MOD(SMALL(Responses!$BD$2:$BD$501,115),1000)-1),60),2)),"")</f>
        <v/>
      </c>
      <c r="C120" s="28">
        <f>IFERROR(IF(INDEX(Responses!$AV$2:$AV$501,MOD(SMALL(Responses!$BD$2:$BD$501,115),1000)-1)="","",RIGHT("0"&amp;INT(INDEX(Responses!$AV$2:$AV$501,MOD(SMALL(Responses!$BD$2:$BD$501,115),1000)-1)/60),2)&amp;":"&amp;RIGHT("0"&amp;MOD(INDEX(Responses!$AV$2:$AV$501,MOD(SMALL(Responses!$BD$2:$BD$501,115),1000)-1),60),2)),"")</f>
        <v/>
      </c>
      <c r="D120" s="28">
        <f>IFERROR(INDEX(Responses!$AS$2:$AS$501,MOD(SMALL(Responses!$BD$2:$BD$501,115),1000)-1),"")</f>
        <v/>
      </c>
      <c r="E120" s="28">
        <f>IFERROR(INDEX(Responses!$AW$2:$AW$501,MOD(SMALL(Responses!$BD$2:$BD$501,115),1000)-1),"")</f>
        <v/>
      </c>
      <c r="F120" s="28">
        <f>IFERROR(INDEX(Responses!$AX$2:$AX$501,MOD(SMALL(Responses!$BD$2:$BD$501,115),1000)-1),"")</f>
        <v/>
      </c>
      <c r="G120" s="28">
        <f>IFERROR(INDEX(Responses!$BE$2:$BE$501,MOD(SMALL(Responses!$BD$2:$BD$501,115),1000)-1),"")</f>
        <v/>
      </c>
    </row>
    <row r="121">
      <c r="A121" s="30">
        <f>IFERROR(INT(SMALL(Responses!$BD$2:$BD$501,116)/10000000),"")</f>
        <v/>
      </c>
      <c r="B121" s="28">
        <f>IFERROR(IF(INDEX(Responses!$AU$2:$AU$501,MOD(SMALL(Responses!$BD$2:$BD$501,116),1000)-1)="","",RIGHT("0"&amp;INT(INDEX(Responses!$AU$2:$AU$501,MOD(SMALL(Responses!$BD$2:$BD$501,116),1000)-1)/60),2)&amp;":"&amp;RIGHT("0"&amp;MOD(INDEX(Responses!$AU$2:$AU$501,MOD(SMALL(Responses!$BD$2:$BD$501,116),1000)-1),60),2)),"")</f>
        <v/>
      </c>
      <c r="C121" s="28">
        <f>IFERROR(IF(INDEX(Responses!$AV$2:$AV$501,MOD(SMALL(Responses!$BD$2:$BD$501,116),1000)-1)="","",RIGHT("0"&amp;INT(INDEX(Responses!$AV$2:$AV$501,MOD(SMALL(Responses!$BD$2:$BD$501,116),1000)-1)/60),2)&amp;":"&amp;RIGHT("0"&amp;MOD(INDEX(Responses!$AV$2:$AV$501,MOD(SMALL(Responses!$BD$2:$BD$501,116),1000)-1),60),2)),"")</f>
        <v/>
      </c>
      <c r="D121" s="28">
        <f>IFERROR(INDEX(Responses!$AS$2:$AS$501,MOD(SMALL(Responses!$BD$2:$BD$501,116),1000)-1),"")</f>
        <v/>
      </c>
      <c r="E121" s="28">
        <f>IFERROR(INDEX(Responses!$AW$2:$AW$501,MOD(SMALL(Responses!$BD$2:$BD$501,116),1000)-1),"")</f>
        <v/>
      </c>
      <c r="F121" s="28">
        <f>IFERROR(INDEX(Responses!$AX$2:$AX$501,MOD(SMALL(Responses!$BD$2:$BD$501,116),1000)-1),"")</f>
        <v/>
      </c>
      <c r="G121" s="28">
        <f>IFERROR(INDEX(Responses!$BE$2:$BE$501,MOD(SMALL(Responses!$BD$2:$BD$501,116),1000)-1),"")</f>
        <v/>
      </c>
    </row>
    <row r="122">
      <c r="A122" s="30">
        <f>IFERROR(INT(SMALL(Responses!$BD$2:$BD$501,117)/10000000),"")</f>
        <v/>
      </c>
      <c r="B122" s="28">
        <f>IFERROR(IF(INDEX(Responses!$AU$2:$AU$501,MOD(SMALL(Responses!$BD$2:$BD$501,117),1000)-1)="","",RIGHT("0"&amp;INT(INDEX(Responses!$AU$2:$AU$501,MOD(SMALL(Responses!$BD$2:$BD$501,117),1000)-1)/60),2)&amp;":"&amp;RIGHT("0"&amp;MOD(INDEX(Responses!$AU$2:$AU$501,MOD(SMALL(Responses!$BD$2:$BD$501,117),1000)-1),60),2)),"")</f>
        <v/>
      </c>
      <c r="C122" s="28">
        <f>IFERROR(IF(INDEX(Responses!$AV$2:$AV$501,MOD(SMALL(Responses!$BD$2:$BD$501,117),1000)-1)="","",RIGHT("0"&amp;INT(INDEX(Responses!$AV$2:$AV$501,MOD(SMALL(Responses!$BD$2:$BD$501,117),1000)-1)/60),2)&amp;":"&amp;RIGHT("0"&amp;MOD(INDEX(Responses!$AV$2:$AV$501,MOD(SMALL(Responses!$BD$2:$BD$501,117),1000)-1),60),2)),"")</f>
        <v/>
      </c>
      <c r="D122" s="28">
        <f>IFERROR(INDEX(Responses!$AS$2:$AS$501,MOD(SMALL(Responses!$BD$2:$BD$501,117),1000)-1),"")</f>
        <v/>
      </c>
      <c r="E122" s="28">
        <f>IFERROR(INDEX(Responses!$AW$2:$AW$501,MOD(SMALL(Responses!$BD$2:$BD$501,117),1000)-1),"")</f>
        <v/>
      </c>
      <c r="F122" s="28">
        <f>IFERROR(INDEX(Responses!$AX$2:$AX$501,MOD(SMALL(Responses!$BD$2:$BD$501,117),1000)-1),"")</f>
        <v/>
      </c>
      <c r="G122" s="28">
        <f>IFERROR(INDEX(Responses!$BE$2:$BE$501,MOD(SMALL(Responses!$BD$2:$BD$501,117),1000)-1),"")</f>
        <v/>
      </c>
    </row>
    <row r="123">
      <c r="A123" s="30">
        <f>IFERROR(INT(SMALL(Responses!$BD$2:$BD$501,118)/10000000),"")</f>
        <v/>
      </c>
      <c r="B123" s="28">
        <f>IFERROR(IF(INDEX(Responses!$AU$2:$AU$501,MOD(SMALL(Responses!$BD$2:$BD$501,118),1000)-1)="","",RIGHT("0"&amp;INT(INDEX(Responses!$AU$2:$AU$501,MOD(SMALL(Responses!$BD$2:$BD$501,118),1000)-1)/60),2)&amp;":"&amp;RIGHT("0"&amp;MOD(INDEX(Responses!$AU$2:$AU$501,MOD(SMALL(Responses!$BD$2:$BD$501,118),1000)-1),60),2)),"")</f>
        <v/>
      </c>
      <c r="C123" s="28">
        <f>IFERROR(IF(INDEX(Responses!$AV$2:$AV$501,MOD(SMALL(Responses!$BD$2:$BD$501,118),1000)-1)="","",RIGHT("0"&amp;INT(INDEX(Responses!$AV$2:$AV$501,MOD(SMALL(Responses!$BD$2:$BD$501,118),1000)-1)/60),2)&amp;":"&amp;RIGHT("0"&amp;MOD(INDEX(Responses!$AV$2:$AV$501,MOD(SMALL(Responses!$BD$2:$BD$501,118),1000)-1),60),2)),"")</f>
        <v/>
      </c>
      <c r="D123" s="28">
        <f>IFERROR(INDEX(Responses!$AS$2:$AS$501,MOD(SMALL(Responses!$BD$2:$BD$501,118),1000)-1),"")</f>
        <v/>
      </c>
      <c r="E123" s="28">
        <f>IFERROR(INDEX(Responses!$AW$2:$AW$501,MOD(SMALL(Responses!$BD$2:$BD$501,118),1000)-1),"")</f>
        <v/>
      </c>
      <c r="F123" s="28">
        <f>IFERROR(INDEX(Responses!$AX$2:$AX$501,MOD(SMALL(Responses!$BD$2:$BD$501,118),1000)-1),"")</f>
        <v/>
      </c>
      <c r="G123" s="28">
        <f>IFERROR(INDEX(Responses!$BE$2:$BE$501,MOD(SMALL(Responses!$BD$2:$BD$501,118),1000)-1),"")</f>
        <v/>
      </c>
    </row>
    <row r="124">
      <c r="A124" s="30">
        <f>IFERROR(INT(SMALL(Responses!$BD$2:$BD$501,119)/10000000),"")</f>
        <v/>
      </c>
      <c r="B124" s="28">
        <f>IFERROR(IF(INDEX(Responses!$AU$2:$AU$501,MOD(SMALL(Responses!$BD$2:$BD$501,119),1000)-1)="","",RIGHT("0"&amp;INT(INDEX(Responses!$AU$2:$AU$501,MOD(SMALL(Responses!$BD$2:$BD$501,119),1000)-1)/60),2)&amp;":"&amp;RIGHT("0"&amp;MOD(INDEX(Responses!$AU$2:$AU$501,MOD(SMALL(Responses!$BD$2:$BD$501,119),1000)-1),60),2)),"")</f>
        <v/>
      </c>
      <c r="C124" s="28">
        <f>IFERROR(IF(INDEX(Responses!$AV$2:$AV$501,MOD(SMALL(Responses!$BD$2:$BD$501,119),1000)-1)="","",RIGHT("0"&amp;INT(INDEX(Responses!$AV$2:$AV$501,MOD(SMALL(Responses!$BD$2:$BD$501,119),1000)-1)/60),2)&amp;":"&amp;RIGHT("0"&amp;MOD(INDEX(Responses!$AV$2:$AV$501,MOD(SMALL(Responses!$BD$2:$BD$501,119),1000)-1),60),2)),"")</f>
        <v/>
      </c>
      <c r="D124" s="28">
        <f>IFERROR(INDEX(Responses!$AS$2:$AS$501,MOD(SMALL(Responses!$BD$2:$BD$501,119),1000)-1),"")</f>
        <v/>
      </c>
      <c r="E124" s="28">
        <f>IFERROR(INDEX(Responses!$AW$2:$AW$501,MOD(SMALL(Responses!$BD$2:$BD$501,119),1000)-1),"")</f>
        <v/>
      </c>
      <c r="F124" s="28">
        <f>IFERROR(INDEX(Responses!$AX$2:$AX$501,MOD(SMALL(Responses!$BD$2:$BD$501,119),1000)-1),"")</f>
        <v/>
      </c>
      <c r="G124" s="28">
        <f>IFERROR(INDEX(Responses!$BE$2:$BE$501,MOD(SMALL(Responses!$BD$2:$BD$501,119),1000)-1),"")</f>
        <v/>
      </c>
    </row>
    <row r="125">
      <c r="A125" s="30">
        <f>IFERROR(INT(SMALL(Responses!$BD$2:$BD$501,120)/10000000),"")</f>
        <v/>
      </c>
      <c r="B125" s="28">
        <f>IFERROR(IF(INDEX(Responses!$AU$2:$AU$501,MOD(SMALL(Responses!$BD$2:$BD$501,120),1000)-1)="","",RIGHT("0"&amp;INT(INDEX(Responses!$AU$2:$AU$501,MOD(SMALL(Responses!$BD$2:$BD$501,120),1000)-1)/60),2)&amp;":"&amp;RIGHT("0"&amp;MOD(INDEX(Responses!$AU$2:$AU$501,MOD(SMALL(Responses!$BD$2:$BD$501,120),1000)-1),60),2)),"")</f>
        <v/>
      </c>
      <c r="C125" s="28">
        <f>IFERROR(IF(INDEX(Responses!$AV$2:$AV$501,MOD(SMALL(Responses!$BD$2:$BD$501,120),1000)-1)="","",RIGHT("0"&amp;INT(INDEX(Responses!$AV$2:$AV$501,MOD(SMALL(Responses!$BD$2:$BD$501,120),1000)-1)/60),2)&amp;":"&amp;RIGHT("0"&amp;MOD(INDEX(Responses!$AV$2:$AV$501,MOD(SMALL(Responses!$BD$2:$BD$501,120),1000)-1),60),2)),"")</f>
        <v/>
      </c>
      <c r="D125" s="28">
        <f>IFERROR(INDEX(Responses!$AS$2:$AS$501,MOD(SMALL(Responses!$BD$2:$BD$501,120),1000)-1),"")</f>
        <v/>
      </c>
      <c r="E125" s="28">
        <f>IFERROR(INDEX(Responses!$AW$2:$AW$501,MOD(SMALL(Responses!$BD$2:$BD$501,120),1000)-1),"")</f>
        <v/>
      </c>
      <c r="F125" s="28">
        <f>IFERROR(INDEX(Responses!$AX$2:$AX$501,MOD(SMALL(Responses!$BD$2:$BD$501,120),1000)-1),"")</f>
        <v/>
      </c>
      <c r="G125" s="28">
        <f>IFERROR(INDEX(Responses!$BE$2:$BE$501,MOD(SMALL(Responses!$BD$2:$BD$501,120),1000)-1),"")</f>
        <v/>
      </c>
    </row>
    <row r="126">
      <c r="A126" s="30">
        <f>IFERROR(INT(SMALL(Responses!$BD$2:$BD$501,121)/10000000),"")</f>
        <v/>
      </c>
      <c r="B126" s="28">
        <f>IFERROR(IF(INDEX(Responses!$AU$2:$AU$501,MOD(SMALL(Responses!$BD$2:$BD$501,121),1000)-1)="","",RIGHT("0"&amp;INT(INDEX(Responses!$AU$2:$AU$501,MOD(SMALL(Responses!$BD$2:$BD$501,121),1000)-1)/60),2)&amp;":"&amp;RIGHT("0"&amp;MOD(INDEX(Responses!$AU$2:$AU$501,MOD(SMALL(Responses!$BD$2:$BD$501,121),1000)-1),60),2)),"")</f>
        <v/>
      </c>
      <c r="C126" s="28">
        <f>IFERROR(IF(INDEX(Responses!$AV$2:$AV$501,MOD(SMALL(Responses!$BD$2:$BD$501,121),1000)-1)="","",RIGHT("0"&amp;INT(INDEX(Responses!$AV$2:$AV$501,MOD(SMALL(Responses!$BD$2:$BD$501,121),1000)-1)/60),2)&amp;":"&amp;RIGHT("0"&amp;MOD(INDEX(Responses!$AV$2:$AV$501,MOD(SMALL(Responses!$BD$2:$BD$501,121),1000)-1),60),2)),"")</f>
        <v/>
      </c>
      <c r="D126" s="28">
        <f>IFERROR(INDEX(Responses!$AS$2:$AS$501,MOD(SMALL(Responses!$BD$2:$BD$501,121),1000)-1),"")</f>
        <v/>
      </c>
      <c r="E126" s="28">
        <f>IFERROR(INDEX(Responses!$AW$2:$AW$501,MOD(SMALL(Responses!$BD$2:$BD$501,121),1000)-1),"")</f>
        <v/>
      </c>
      <c r="F126" s="28">
        <f>IFERROR(INDEX(Responses!$AX$2:$AX$501,MOD(SMALL(Responses!$BD$2:$BD$501,121),1000)-1),"")</f>
        <v/>
      </c>
      <c r="G126" s="28">
        <f>IFERROR(INDEX(Responses!$BE$2:$BE$501,MOD(SMALL(Responses!$BD$2:$BD$501,121),1000)-1),"")</f>
        <v/>
      </c>
    </row>
    <row r="127">
      <c r="A127" s="30">
        <f>IFERROR(INT(SMALL(Responses!$BD$2:$BD$501,122)/10000000),"")</f>
        <v/>
      </c>
      <c r="B127" s="28">
        <f>IFERROR(IF(INDEX(Responses!$AU$2:$AU$501,MOD(SMALL(Responses!$BD$2:$BD$501,122),1000)-1)="","",RIGHT("0"&amp;INT(INDEX(Responses!$AU$2:$AU$501,MOD(SMALL(Responses!$BD$2:$BD$501,122),1000)-1)/60),2)&amp;":"&amp;RIGHT("0"&amp;MOD(INDEX(Responses!$AU$2:$AU$501,MOD(SMALL(Responses!$BD$2:$BD$501,122),1000)-1),60),2)),"")</f>
        <v/>
      </c>
      <c r="C127" s="28">
        <f>IFERROR(IF(INDEX(Responses!$AV$2:$AV$501,MOD(SMALL(Responses!$BD$2:$BD$501,122),1000)-1)="","",RIGHT("0"&amp;INT(INDEX(Responses!$AV$2:$AV$501,MOD(SMALL(Responses!$BD$2:$BD$501,122),1000)-1)/60),2)&amp;":"&amp;RIGHT("0"&amp;MOD(INDEX(Responses!$AV$2:$AV$501,MOD(SMALL(Responses!$BD$2:$BD$501,122),1000)-1),60),2)),"")</f>
        <v/>
      </c>
      <c r="D127" s="28">
        <f>IFERROR(INDEX(Responses!$AS$2:$AS$501,MOD(SMALL(Responses!$BD$2:$BD$501,122),1000)-1),"")</f>
        <v/>
      </c>
      <c r="E127" s="28">
        <f>IFERROR(INDEX(Responses!$AW$2:$AW$501,MOD(SMALL(Responses!$BD$2:$BD$501,122),1000)-1),"")</f>
        <v/>
      </c>
      <c r="F127" s="28">
        <f>IFERROR(INDEX(Responses!$AX$2:$AX$501,MOD(SMALL(Responses!$BD$2:$BD$501,122),1000)-1),"")</f>
        <v/>
      </c>
      <c r="G127" s="28">
        <f>IFERROR(INDEX(Responses!$BE$2:$BE$501,MOD(SMALL(Responses!$BD$2:$BD$501,122),1000)-1),"")</f>
        <v/>
      </c>
    </row>
    <row r="128">
      <c r="A128" s="30">
        <f>IFERROR(INT(SMALL(Responses!$BD$2:$BD$501,123)/10000000),"")</f>
        <v/>
      </c>
      <c r="B128" s="28">
        <f>IFERROR(IF(INDEX(Responses!$AU$2:$AU$501,MOD(SMALL(Responses!$BD$2:$BD$501,123),1000)-1)="","",RIGHT("0"&amp;INT(INDEX(Responses!$AU$2:$AU$501,MOD(SMALL(Responses!$BD$2:$BD$501,123),1000)-1)/60),2)&amp;":"&amp;RIGHT("0"&amp;MOD(INDEX(Responses!$AU$2:$AU$501,MOD(SMALL(Responses!$BD$2:$BD$501,123),1000)-1),60),2)),"")</f>
        <v/>
      </c>
      <c r="C128" s="28">
        <f>IFERROR(IF(INDEX(Responses!$AV$2:$AV$501,MOD(SMALL(Responses!$BD$2:$BD$501,123),1000)-1)="","",RIGHT("0"&amp;INT(INDEX(Responses!$AV$2:$AV$501,MOD(SMALL(Responses!$BD$2:$BD$501,123),1000)-1)/60),2)&amp;":"&amp;RIGHT("0"&amp;MOD(INDEX(Responses!$AV$2:$AV$501,MOD(SMALL(Responses!$BD$2:$BD$501,123),1000)-1),60),2)),"")</f>
        <v/>
      </c>
      <c r="D128" s="28">
        <f>IFERROR(INDEX(Responses!$AS$2:$AS$501,MOD(SMALL(Responses!$BD$2:$BD$501,123),1000)-1),"")</f>
        <v/>
      </c>
      <c r="E128" s="28">
        <f>IFERROR(INDEX(Responses!$AW$2:$AW$501,MOD(SMALL(Responses!$BD$2:$BD$501,123),1000)-1),"")</f>
        <v/>
      </c>
      <c r="F128" s="28">
        <f>IFERROR(INDEX(Responses!$AX$2:$AX$501,MOD(SMALL(Responses!$BD$2:$BD$501,123),1000)-1),"")</f>
        <v/>
      </c>
      <c r="G128" s="28">
        <f>IFERROR(INDEX(Responses!$BE$2:$BE$501,MOD(SMALL(Responses!$BD$2:$BD$501,123),1000)-1),"")</f>
        <v/>
      </c>
    </row>
    <row r="129">
      <c r="A129" s="30">
        <f>IFERROR(INT(SMALL(Responses!$BD$2:$BD$501,124)/10000000),"")</f>
        <v/>
      </c>
      <c r="B129" s="28">
        <f>IFERROR(IF(INDEX(Responses!$AU$2:$AU$501,MOD(SMALL(Responses!$BD$2:$BD$501,124),1000)-1)="","",RIGHT("0"&amp;INT(INDEX(Responses!$AU$2:$AU$501,MOD(SMALL(Responses!$BD$2:$BD$501,124),1000)-1)/60),2)&amp;":"&amp;RIGHT("0"&amp;MOD(INDEX(Responses!$AU$2:$AU$501,MOD(SMALL(Responses!$BD$2:$BD$501,124),1000)-1),60),2)),"")</f>
        <v/>
      </c>
      <c r="C129" s="28">
        <f>IFERROR(IF(INDEX(Responses!$AV$2:$AV$501,MOD(SMALL(Responses!$BD$2:$BD$501,124),1000)-1)="","",RIGHT("0"&amp;INT(INDEX(Responses!$AV$2:$AV$501,MOD(SMALL(Responses!$BD$2:$BD$501,124),1000)-1)/60),2)&amp;":"&amp;RIGHT("0"&amp;MOD(INDEX(Responses!$AV$2:$AV$501,MOD(SMALL(Responses!$BD$2:$BD$501,124),1000)-1),60),2)),"")</f>
        <v/>
      </c>
      <c r="D129" s="28">
        <f>IFERROR(INDEX(Responses!$AS$2:$AS$501,MOD(SMALL(Responses!$BD$2:$BD$501,124),1000)-1),"")</f>
        <v/>
      </c>
      <c r="E129" s="28">
        <f>IFERROR(INDEX(Responses!$AW$2:$AW$501,MOD(SMALL(Responses!$BD$2:$BD$501,124),1000)-1),"")</f>
        <v/>
      </c>
      <c r="F129" s="28">
        <f>IFERROR(INDEX(Responses!$AX$2:$AX$501,MOD(SMALL(Responses!$BD$2:$BD$501,124),1000)-1),"")</f>
        <v/>
      </c>
      <c r="G129" s="28">
        <f>IFERROR(INDEX(Responses!$BE$2:$BE$501,MOD(SMALL(Responses!$BD$2:$BD$501,124),1000)-1),"")</f>
        <v/>
      </c>
    </row>
    <row r="130">
      <c r="A130" s="30">
        <f>IFERROR(INT(SMALL(Responses!$BD$2:$BD$501,125)/10000000),"")</f>
        <v/>
      </c>
      <c r="B130" s="28">
        <f>IFERROR(IF(INDEX(Responses!$AU$2:$AU$501,MOD(SMALL(Responses!$BD$2:$BD$501,125),1000)-1)="","",RIGHT("0"&amp;INT(INDEX(Responses!$AU$2:$AU$501,MOD(SMALL(Responses!$BD$2:$BD$501,125),1000)-1)/60),2)&amp;":"&amp;RIGHT("0"&amp;MOD(INDEX(Responses!$AU$2:$AU$501,MOD(SMALL(Responses!$BD$2:$BD$501,125),1000)-1),60),2)),"")</f>
        <v/>
      </c>
      <c r="C130" s="28">
        <f>IFERROR(IF(INDEX(Responses!$AV$2:$AV$501,MOD(SMALL(Responses!$BD$2:$BD$501,125),1000)-1)="","",RIGHT("0"&amp;INT(INDEX(Responses!$AV$2:$AV$501,MOD(SMALL(Responses!$BD$2:$BD$501,125),1000)-1)/60),2)&amp;":"&amp;RIGHT("0"&amp;MOD(INDEX(Responses!$AV$2:$AV$501,MOD(SMALL(Responses!$BD$2:$BD$501,125),1000)-1),60),2)),"")</f>
        <v/>
      </c>
      <c r="D130" s="28">
        <f>IFERROR(INDEX(Responses!$AS$2:$AS$501,MOD(SMALL(Responses!$BD$2:$BD$501,125),1000)-1),"")</f>
        <v/>
      </c>
      <c r="E130" s="28">
        <f>IFERROR(INDEX(Responses!$AW$2:$AW$501,MOD(SMALL(Responses!$BD$2:$BD$501,125),1000)-1),"")</f>
        <v/>
      </c>
      <c r="F130" s="28">
        <f>IFERROR(INDEX(Responses!$AX$2:$AX$501,MOD(SMALL(Responses!$BD$2:$BD$501,125),1000)-1),"")</f>
        <v/>
      </c>
      <c r="G130" s="28">
        <f>IFERROR(INDEX(Responses!$BE$2:$BE$501,MOD(SMALL(Responses!$BD$2:$BD$501,125),1000)-1),"")</f>
        <v/>
      </c>
    </row>
    <row r="131">
      <c r="A131" s="30">
        <f>IFERROR(INT(SMALL(Responses!$BD$2:$BD$501,126)/10000000),"")</f>
        <v/>
      </c>
      <c r="B131" s="28">
        <f>IFERROR(IF(INDEX(Responses!$AU$2:$AU$501,MOD(SMALL(Responses!$BD$2:$BD$501,126),1000)-1)="","",RIGHT("0"&amp;INT(INDEX(Responses!$AU$2:$AU$501,MOD(SMALL(Responses!$BD$2:$BD$501,126),1000)-1)/60),2)&amp;":"&amp;RIGHT("0"&amp;MOD(INDEX(Responses!$AU$2:$AU$501,MOD(SMALL(Responses!$BD$2:$BD$501,126),1000)-1),60),2)),"")</f>
        <v/>
      </c>
      <c r="C131" s="28">
        <f>IFERROR(IF(INDEX(Responses!$AV$2:$AV$501,MOD(SMALL(Responses!$BD$2:$BD$501,126),1000)-1)="","",RIGHT("0"&amp;INT(INDEX(Responses!$AV$2:$AV$501,MOD(SMALL(Responses!$BD$2:$BD$501,126),1000)-1)/60),2)&amp;":"&amp;RIGHT("0"&amp;MOD(INDEX(Responses!$AV$2:$AV$501,MOD(SMALL(Responses!$BD$2:$BD$501,126),1000)-1),60),2)),"")</f>
        <v/>
      </c>
      <c r="D131" s="28">
        <f>IFERROR(INDEX(Responses!$AS$2:$AS$501,MOD(SMALL(Responses!$BD$2:$BD$501,126),1000)-1),"")</f>
        <v/>
      </c>
      <c r="E131" s="28">
        <f>IFERROR(INDEX(Responses!$AW$2:$AW$501,MOD(SMALL(Responses!$BD$2:$BD$501,126),1000)-1),"")</f>
        <v/>
      </c>
      <c r="F131" s="28">
        <f>IFERROR(INDEX(Responses!$AX$2:$AX$501,MOD(SMALL(Responses!$BD$2:$BD$501,126),1000)-1),"")</f>
        <v/>
      </c>
      <c r="G131" s="28">
        <f>IFERROR(INDEX(Responses!$BE$2:$BE$501,MOD(SMALL(Responses!$BD$2:$BD$501,126),1000)-1),"")</f>
        <v/>
      </c>
    </row>
    <row r="132">
      <c r="A132" s="30">
        <f>IFERROR(INT(SMALL(Responses!$BD$2:$BD$501,127)/10000000),"")</f>
        <v/>
      </c>
      <c r="B132" s="28">
        <f>IFERROR(IF(INDEX(Responses!$AU$2:$AU$501,MOD(SMALL(Responses!$BD$2:$BD$501,127),1000)-1)="","",RIGHT("0"&amp;INT(INDEX(Responses!$AU$2:$AU$501,MOD(SMALL(Responses!$BD$2:$BD$501,127),1000)-1)/60),2)&amp;":"&amp;RIGHT("0"&amp;MOD(INDEX(Responses!$AU$2:$AU$501,MOD(SMALL(Responses!$BD$2:$BD$501,127),1000)-1),60),2)),"")</f>
        <v/>
      </c>
      <c r="C132" s="28">
        <f>IFERROR(IF(INDEX(Responses!$AV$2:$AV$501,MOD(SMALL(Responses!$BD$2:$BD$501,127),1000)-1)="","",RIGHT("0"&amp;INT(INDEX(Responses!$AV$2:$AV$501,MOD(SMALL(Responses!$BD$2:$BD$501,127),1000)-1)/60),2)&amp;":"&amp;RIGHT("0"&amp;MOD(INDEX(Responses!$AV$2:$AV$501,MOD(SMALL(Responses!$BD$2:$BD$501,127),1000)-1),60),2)),"")</f>
        <v/>
      </c>
      <c r="D132" s="28">
        <f>IFERROR(INDEX(Responses!$AS$2:$AS$501,MOD(SMALL(Responses!$BD$2:$BD$501,127),1000)-1),"")</f>
        <v/>
      </c>
      <c r="E132" s="28">
        <f>IFERROR(INDEX(Responses!$AW$2:$AW$501,MOD(SMALL(Responses!$BD$2:$BD$501,127),1000)-1),"")</f>
        <v/>
      </c>
      <c r="F132" s="28">
        <f>IFERROR(INDEX(Responses!$AX$2:$AX$501,MOD(SMALL(Responses!$BD$2:$BD$501,127),1000)-1),"")</f>
        <v/>
      </c>
      <c r="G132" s="28">
        <f>IFERROR(INDEX(Responses!$BE$2:$BE$501,MOD(SMALL(Responses!$BD$2:$BD$501,127),1000)-1),"")</f>
        <v/>
      </c>
    </row>
    <row r="133">
      <c r="A133" s="30">
        <f>IFERROR(INT(SMALL(Responses!$BD$2:$BD$501,128)/10000000),"")</f>
        <v/>
      </c>
      <c r="B133" s="28">
        <f>IFERROR(IF(INDEX(Responses!$AU$2:$AU$501,MOD(SMALL(Responses!$BD$2:$BD$501,128),1000)-1)="","",RIGHT("0"&amp;INT(INDEX(Responses!$AU$2:$AU$501,MOD(SMALL(Responses!$BD$2:$BD$501,128),1000)-1)/60),2)&amp;":"&amp;RIGHT("0"&amp;MOD(INDEX(Responses!$AU$2:$AU$501,MOD(SMALL(Responses!$BD$2:$BD$501,128),1000)-1),60),2)),"")</f>
        <v/>
      </c>
      <c r="C133" s="28">
        <f>IFERROR(IF(INDEX(Responses!$AV$2:$AV$501,MOD(SMALL(Responses!$BD$2:$BD$501,128),1000)-1)="","",RIGHT("0"&amp;INT(INDEX(Responses!$AV$2:$AV$501,MOD(SMALL(Responses!$BD$2:$BD$501,128),1000)-1)/60),2)&amp;":"&amp;RIGHT("0"&amp;MOD(INDEX(Responses!$AV$2:$AV$501,MOD(SMALL(Responses!$BD$2:$BD$501,128),1000)-1),60),2)),"")</f>
        <v/>
      </c>
      <c r="D133" s="28">
        <f>IFERROR(INDEX(Responses!$AS$2:$AS$501,MOD(SMALL(Responses!$BD$2:$BD$501,128),1000)-1),"")</f>
        <v/>
      </c>
      <c r="E133" s="28">
        <f>IFERROR(INDEX(Responses!$AW$2:$AW$501,MOD(SMALL(Responses!$BD$2:$BD$501,128),1000)-1),"")</f>
        <v/>
      </c>
      <c r="F133" s="28">
        <f>IFERROR(INDEX(Responses!$AX$2:$AX$501,MOD(SMALL(Responses!$BD$2:$BD$501,128),1000)-1),"")</f>
        <v/>
      </c>
      <c r="G133" s="28">
        <f>IFERROR(INDEX(Responses!$BE$2:$BE$501,MOD(SMALL(Responses!$BD$2:$BD$501,128),1000)-1),"")</f>
        <v/>
      </c>
    </row>
    <row r="134">
      <c r="A134" s="30">
        <f>IFERROR(INT(SMALL(Responses!$BD$2:$BD$501,129)/10000000),"")</f>
        <v/>
      </c>
      <c r="B134" s="28">
        <f>IFERROR(IF(INDEX(Responses!$AU$2:$AU$501,MOD(SMALL(Responses!$BD$2:$BD$501,129),1000)-1)="","",RIGHT("0"&amp;INT(INDEX(Responses!$AU$2:$AU$501,MOD(SMALL(Responses!$BD$2:$BD$501,129),1000)-1)/60),2)&amp;":"&amp;RIGHT("0"&amp;MOD(INDEX(Responses!$AU$2:$AU$501,MOD(SMALL(Responses!$BD$2:$BD$501,129),1000)-1),60),2)),"")</f>
        <v/>
      </c>
      <c r="C134" s="28">
        <f>IFERROR(IF(INDEX(Responses!$AV$2:$AV$501,MOD(SMALL(Responses!$BD$2:$BD$501,129),1000)-1)="","",RIGHT("0"&amp;INT(INDEX(Responses!$AV$2:$AV$501,MOD(SMALL(Responses!$BD$2:$BD$501,129),1000)-1)/60),2)&amp;":"&amp;RIGHT("0"&amp;MOD(INDEX(Responses!$AV$2:$AV$501,MOD(SMALL(Responses!$BD$2:$BD$501,129),1000)-1),60),2)),"")</f>
        <v/>
      </c>
      <c r="D134" s="28">
        <f>IFERROR(INDEX(Responses!$AS$2:$AS$501,MOD(SMALL(Responses!$BD$2:$BD$501,129),1000)-1),"")</f>
        <v/>
      </c>
      <c r="E134" s="28">
        <f>IFERROR(INDEX(Responses!$AW$2:$AW$501,MOD(SMALL(Responses!$BD$2:$BD$501,129),1000)-1),"")</f>
        <v/>
      </c>
      <c r="F134" s="28">
        <f>IFERROR(INDEX(Responses!$AX$2:$AX$501,MOD(SMALL(Responses!$BD$2:$BD$501,129),1000)-1),"")</f>
        <v/>
      </c>
      <c r="G134" s="28">
        <f>IFERROR(INDEX(Responses!$BE$2:$BE$501,MOD(SMALL(Responses!$BD$2:$BD$501,129),1000)-1),"")</f>
        <v/>
      </c>
    </row>
    <row r="135">
      <c r="A135" s="30">
        <f>IFERROR(INT(SMALL(Responses!$BD$2:$BD$501,130)/10000000),"")</f>
        <v/>
      </c>
      <c r="B135" s="28">
        <f>IFERROR(IF(INDEX(Responses!$AU$2:$AU$501,MOD(SMALL(Responses!$BD$2:$BD$501,130),1000)-1)="","",RIGHT("0"&amp;INT(INDEX(Responses!$AU$2:$AU$501,MOD(SMALL(Responses!$BD$2:$BD$501,130),1000)-1)/60),2)&amp;":"&amp;RIGHT("0"&amp;MOD(INDEX(Responses!$AU$2:$AU$501,MOD(SMALL(Responses!$BD$2:$BD$501,130),1000)-1),60),2)),"")</f>
        <v/>
      </c>
      <c r="C135" s="28">
        <f>IFERROR(IF(INDEX(Responses!$AV$2:$AV$501,MOD(SMALL(Responses!$BD$2:$BD$501,130),1000)-1)="","",RIGHT("0"&amp;INT(INDEX(Responses!$AV$2:$AV$501,MOD(SMALL(Responses!$BD$2:$BD$501,130),1000)-1)/60),2)&amp;":"&amp;RIGHT("0"&amp;MOD(INDEX(Responses!$AV$2:$AV$501,MOD(SMALL(Responses!$BD$2:$BD$501,130),1000)-1),60),2)),"")</f>
        <v/>
      </c>
      <c r="D135" s="28">
        <f>IFERROR(INDEX(Responses!$AS$2:$AS$501,MOD(SMALL(Responses!$BD$2:$BD$501,130),1000)-1),"")</f>
        <v/>
      </c>
      <c r="E135" s="28">
        <f>IFERROR(INDEX(Responses!$AW$2:$AW$501,MOD(SMALL(Responses!$BD$2:$BD$501,130),1000)-1),"")</f>
        <v/>
      </c>
      <c r="F135" s="28">
        <f>IFERROR(INDEX(Responses!$AX$2:$AX$501,MOD(SMALL(Responses!$BD$2:$BD$501,130),1000)-1),"")</f>
        <v/>
      </c>
      <c r="G135" s="28">
        <f>IFERROR(INDEX(Responses!$BE$2:$BE$501,MOD(SMALL(Responses!$BD$2:$BD$501,130),1000)-1),"")</f>
        <v/>
      </c>
    </row>
    <row r="136">
      <c r="A136" s="30">
        <f>IFERROR(INT(SMALL(Responses!$BD$2:$BD$501,131)/10000000),"")</f>
        <v/>
      </c>
      <c r="B136" s="28">
        <f>IFERROR(IF(INDEX(Responses!$AU$2:$AU$501,MOD(SMALL(Responses!$BD$2:$BD$501,131),1000)-1)="","",RIGHT("0"&amp;INT(INDEX(Responses!$AU$2:$AU$501,MOD(SMALL(Responses!$BD$2:$BD$501,131),1000)-1)/60),2)&amp;":"&amp;RIGHT("0"&amp;MOD(INDEX(Responses!$AU$2:$AU$501,MOD(SMALL(Responses!$BD$2:$BD$501,131),1000)-1),60),2)),"")</f>
        <v/>
      </c>
      <c r="C136" s="28">
        <f>IFERROR(IF(INDEX(Responses!$AV$2:$AV$501,MOD(SMALL(Responses!$BD$2:$BD$501,131),1000)-1)="","",RIGHT("0"&amp;INT(INDEX(Responses!$AV$2:$AV$501,MOD(SMALL(Responses!$BD$2:$BD$501,131),1000)-1)/60),2)&amp;":"&amp;RIGHT("0"&amp;MOD(INDEX(Responses!$AV$2:$AV$501,MOD(SMALL(Responses!$BD$2:$BD$501,131),1000)-1),60),2)),"")</f>
        <v/>
      </c>
      <c r="D136" s="28">
        <f>IFERROR(INDEX(Responses!$AS$2:$AS$501,MOD(SMALL(Responses!$BD$2:$BD$501,131),1000)-1),"")</f>
        <v/>
      </c>
      <c r="E136" s="28">
        <f>IFERROR(INDEX(Responses!$AW$2:$AW$501,MOD(SMALL(Responses!$BD$2:$BD$501,131),1000)-1),"")</f>
        <v/>
      </c>
      <c r="F136" s="28">
        <f>IFERROR(INDEX(Responses!$AX$2:$AX$501,MOD(SMALL(Responses!$BD$2:$BD$501,131),1000)-1),"")</f>
        <v/>
      </c>
      <c r="G136" s="28">
        <f>IFERROR(INDEX(Responses!$BE$2:$BE$501,MOD(SMALL(Responses!$BD$2:$BD$501,131),1000)-1),"")</f>
        <v/>
      </c>
    </row>
    <row r="137">
      <c r="A137" s="30">
        <f>IFERROR(INT(SMALL(Responses!$BD$2:$BD$501,132)/10000000),"")</f>
        <v/>
      </c>
      <c r="B137" s="28">
        <f>IFERROR(IF(INDEX(Responses!$AU$2:$AU$501,MOD(SMALL(Responses!$BD$2:$BD$501,132),1000)-1)="","",RIGHT("0"&amp;INT(INDEX(Responses!$AU$2:$AU$501,MOD(SMALL(Responses!$BD$2:$BD$501,132),1000)-1)/60),2)&amp;":"&amp;RIGHT("0"&amp;MOD(INDEX(Responses!$AU$2:$AU$501,MOD(SMALL(Responses!$BD$2:$BD$501,132),1000)-1),60),2)),"")</f>
        <v/>
      </c>
      <c r="C137" s="28">
        <f>IFERROR(IF(INDEX(Responses!$AV$2:$AV$501,MOD(SMALL(Responses!$BD$2:$BD$501,132),1000)-1)="","",RIGHT("0"&amp;INT(INDEX(Responses!$AV$2:$AV$501,MOD(SMALL(Responses!$BD$2:$BD$501,132),1000)-1)/60),2)&amp;":"&amp;RIGHT("0"&amp;MOD(INDEX(Responses!$AV$2:$AV$501,MOD(SMALL(Responses!$BD$2:$BD$501,132),1000)-1),60),2)),"")</f>
        <v/>
      </c>
      <c r="D137" s="28">
        <f>IFERROR(INDEX(Responses!$AS$2:$AS$501,MOD(SMALL(Responses!$BD$2:$BD$501,132),1000)-1),"")</f>
        <v/>
      </c>
      <c r="E137" s="28">
        <f>IFERROR(INDEX(Responses!$AW$2:$AW$501,MOD(SMALL(Responses!$BD$2:$BD$501,132),1000)-1),"")</f>
        <v/>
      </c>
      <c r="F137" s="28">
        <f>IFERROR(INDEX(Responses!$AX$2:$AX$501,MOD(SMALL(Responses!$BD$2:$BD$501,132),1000)-1),"")</f>
        <v/>
      </c>
      <c r="G137" s="28">
        <f>IFERROR(INDEX(Responses!$BE$2:$BE$501,MOD(SMALL(Responses!$BD$2:$BD$501,132),1000)-1),"")</f>
        <v/>
      </c>
    </row>
    <row r="138">
      <c r="A138" s="30">
        <f>IFERROR(INT(SMALL(Responses!$BD$2:$BD$501,133)/10000000),"")</f>
        <v/>
      </c>
      <c r="B138" s="28">
        <f>IFERROR(IF(INDEX(Responses!$AU$2:$AU$501,MOD(SMALL(Responses!$BD$2:$BD$501,133),1000)-1)="","",RIGHT("0"&amp;INT(INDEX(Responses!$AU$2:$AU$501,MOD(SMALL(Responses!$BD$2:$BD$501,133),1000)-1)/60),2)&amp;":"&amp;RIGHT("0"&amp;MOD(INDEX(Responses!$AU$2:$AU$501,MOD(SMALL(Responses!$BD$2:$BD$501,133),1000)-1),60),2)),"")</f>
        <v/>
      </c>
      <c r="C138" s="28">
        <f>IFERROR(IF(INDEX(Responses!$AV$2:$AV$501,MOD(SMALL(Responses!$BD$2:$BD$501,133),1000)-1)="","",RIGHT("0"&amp;INT(INDEX(Responses!$AV$2:$AV$501,MOD(SMALL(Responses!$BD$2:$BD$501,133),1000)-1)/60),2)&amp;":"&amp;RIGHT("0"&amp;MOD(INDEX(Responses!$AV$2:$AV$501,MOD(SMALL(Responses!$BD$2:$BD$501,133),1000)-1),60),2)),"")</f>
        <v/>
      </c>
      <c r="D138" s="28">
        <f>IFERROR(INDEX(Responses!$AS$2:$AS$501,MOD(SMALL(Responses!$BD$2:$BD$501,133),1000)-1),"")</f>
        <v/>
      </c>
      <c r="E138" s="28">
        <f>IFERROR(INDEX(Responses!$AW$2:$AW$501,MOD(SMALL(Responses!$BD$2:$BD$501,133),1000)-1),"")</f>
        <v/>
      </c>
      <c r="F138" s="28">
        <f>IFERROR(INDEX(Responses!$AX$2:$AX$501,MOD(SMALL(Responses!$BD$2:$BD$501,133),1000)-1),"")</f>
        <v/>
      </c>
      <c r="G138" s="28">
        <f>IFERROR(INDEX(Responses!$BE$2:$BE$501,MOD(SMALL(Responses!$BD$2:$BD$501,133),1000)-1),"")</f>
        <v/>
      </c>
    </row>
    <row r="139">
      <c r="A139" s="30">
        <f>IFERROR(INT(SMALL(Responses!$BD$2:$BD$501,134)/10000000),"")</f>
        <v/>
      </c>
      <c r="B139" s="28">
        <f>IFERROR(IF(INDEX(Responses!$AU$2:$AU$501,MOD(SMALL(Responses!$BD$2:$BD$501,134),1000)-1)="","",RIGHT("0"&amp;INT(INDEX(Responses!$AU$2:$AU$501,MOD(SMALL(Responses!$BD$2:$BD$501,134),1000)-1)/60),2)&amp;":"&amp;RIGHT("0"&amp;MOD(INDEX(Responses!$AU$2:$AU$501,MOD(SMALL(Responses!$BD$2:$BD$501,134),1000)-1),60),2)),"")</f>
        <v/>
      </c>
      <c r="C139" s="28">
        <f>IFERROR(IF(INDEX(Responses!$AV$2:$AV$501,MOD(SMALL(Responses!$BD$2:$BD$501,134),1000)-1)="","",RIGHT("0"&amp;INT(INDEX(Responses!$AV$2:$AV$501,MOD(SMALL(Responses!$BD$2:$BD$501,134),1000)-1)/60),2)&amp;":"&amp;RIGHT("0"&amp;MOD(INDEX(Responses!$AV$2:$AV$501,MOD(SMALL(Responses!$BD$2:$BD$501,134),1000)-1),60),2)),"")</f>
        <v/>
      </c>
      <c r="D139" s="28">
        <f>IFERROR(INDEX(Responses!$AS$2:$AS$501,MOD(SMALL(Responses!$BD$2:$BD$501,134),1000)-1),"")</f>
        <v/>
      </c>
      <c r="E139" s="28">
        <f>IFERROR(INDEX(Responses!$AW$2:$AW$501,MOD(SMALL(Responses!$BD$2:$BD$501,134),1000)-1),"")</f>
        <v/>
      </c>
      <c r="F139" s="28">
        <f>IFERROR(INDEX(Responses!$AX$2:$AX$501,MOD(SMALL(Responses!$BD$2:$BD$501,134),1000)-1),"")</f>
        <v/>
      </c>
      <c r="G139" s="28">
        <f>IFERROR(INDEX(Responses!$BE$2:$BE$501,MOD(SMALL(Responses!$BD$2:$BD$501,134),1000)-1),"")</f>
        <v/>
      </c>
    </row>
    <row r="140">
      <c r="A140" s="30">
        <f>IFERROR(INT(SMALL(Responses!$BD$2:$BD$501,135)/10000000),"")</f>
        <v/>
      </c>
      <c r="B140" s="28">
        <f>IFERROR(IF(INDEX(Responses!$AU$2:$AU$501,MOD(SMALL(Responses!$BD$2:$BD$501,135),1000)-1)="","",RIGHT("0"&amp;INT(INDEX(Responses!$AU$2:$AU$501,MOD(SMALL(Responses!$BD$2:$BD$501,135),1000)-1)/60),2)&amp;":"&amp;RIGHT("0"&amp;MOD(INDEX(Responses!$AU$2:$AU$501,MOD(SMALL(Responses!$BD$2:$BD$501,135),1000)-1),60),2)),"")</f>
        <v/>
      </c>
      <c r="C140" s="28">
        <f>IFERROR(IF(INDEX(Responses!$AV$2:$AV$501,MOD(SMALL(Responses!$BD$2:$BD$501,135),1000)-1)="","",RIGHT("0"&amp;INT(INDEX(Responses!$AV$2:$AV$501,MOD(SMALL(Responses!$BD$2:$BD$501,135),1000)-1)/60),2)&amp;":"&amp;RIGHT("0"&amp;MOD(INDEX(Responses!$AV$2:$AV$501,MOD(SMALL(Responses!$BD$2:$BD$501,135),1000)-1),60),2)),"")</f>
        <v/>
      </c>
      <c r="D140" s="28">
        <f>IFERROR(INDEX(Responses!$AS$2:$AS$501,MOD(SMALL(Responses!$BD$2:$BD$501,135),1000)-1),"")</f>
        <v/>
      </c>
      <c r="E140" s="28">
        <f>IFERROR(INDEX(Responses!$AW$2:$AW$501,MOD(SMALL(Responses!$BD$2:$BD$501,135),1000)-1),"")</f>
        <v/>
      </c>
      <c r="F140" s="28">
        <f>IFERROR(INDEX(Responses!$AX$2:$AX$501,MOD(SMALL(Responses!$BD$2:$BD$501,135),1000)-1),"")</f>
        <v/>
      </c>
      <c r="G140" s="28">
        <f>IFERROR(INDEX(Responses!$BE$2:$BE$501,MOD(SMALL(Responses!$BD$2:$BD$501,135),1000)-1),"")</f>
        <v/>
      </c>
    </row>
    <row r="141">
      <c r="A141" s="30">
        <f>IFERROR(INT(SMALL(Responses!$BD$2:$BD$501,136)/10000000),"")</f>
        <v/>
      </c>
      <c r="B141" s="28">
        <f>IFERROR(IF(INDEX(Responses!$AU$2:$AU$501,MOD(SMALL(Responses!$BD$2:$BD$501,136),1000)-1)="","",RIGHT("0"&amp;INT(INDEX(Responses!$AU$2:$AU$501,MOD(SMALL(Responses!$BD$2:$BD$501,136),1000)-1)/60),2)&amp;":"&amp;RIGHT("0"&amp;MOD(INDEX(Responses!$AU$2:$AU$501,MOD(SMALL(Responses!$BD$2:$BD$501,136),1000)-1),60),2)),"")</f>
        <v/>
      </c>
      <c r="C141" s="28">
        <f>IFERROR(IF(INDEX(Responses!$AV$2:$AV$501,MOD(SMALL(Responses!$BD$2:$BD$501,136),1000)-1)="","",RIGHT("0"&amp;INT(INDEX(Responses!$AV$2:$AV$501,MOD(SMALL(Responses!$BD$2:$BD$501,136),1000)-1)/60),2)&amp;":"&amp;RIGHT("0"&amp;MOD(INDEX(Responses!$AV$2:$AV$501,MOD(SMALL(Responses!$BD$2:$BD$501,136),1000)-1),60),2)),"")</f>
        <v/>
      </c>
      <c r="D141" s="28">
        <f>IFERROR(INDEX(Responses!$AS$2:$AS$501,MOD(SMALL(Responses!$BD$2:$BD$501,136),1000)-1),"")</f>
        <v/>
      </c>
      <c r="E141" s="28">
        <f>IFERROR(INDEX(Responses!$AW$2:$AW$501,MOD(SMALL(Responses!$BD$2:$BD$501,136),1000)-1),"")</f>
        <v/>
      </c>
      <c r="F141" s="28">
        <f>IFERROR(INDEX(Responses!$AX$2:$AX$501,MOD(SMALL(Responses!$BD$2:$BD$501,136),1000)-1),"")</f>
        <v/>
      </c>
      <c r="G141" s="28">
        <f>IFERROR(INDEX(Responses!$BE$2:$BE$501,MOD(SMALL(Responses!$BD$2:$BD$501,136),1000)-1),"")</f>
        <v/>
      </c>
    </row>
    <row r="142">
      <c r="A142" s="30">
        <f>IFERROR(INT(SMALL(Responses!$BD$2:$BD$501,137)/10000000),"")</f>
        <v/>
      </c>
      <c r="B142" s="28">
        <f>IFERROR(IF(INDEX(Responses!$AU$2:$AU$501,MOD(SMALL(Responses!$BD$2:$BD$501,137),1000)-1)="","",RIGHT("0"&amp;INT(INDEX(Responses!$AU$2:$AU$501,MOD(SMALL(Responses!$BD$2:$BD$501,137),1000)-1)/60),2)&amp;":"&amp;RIGHT("0"&amp;MOD(INDEX(Responses!$AU$2:$AU$501,MOD(SMALL(Responses!$BD$2:$BD$501,137),1000)-1),60),2)),"")</f>
        <v/>
      </c>
      <c r="C142" s="28">
        <f>IFERROR(IF(INDEX(Responses!$AV$2:$AV$501,MOD(SMALL(Responses!$BD$2:$BD$501,137),1000)-1)="","",RIGHT("0"&amp;INT(INDEX(Responses!$AV$2:$AV$501,MOD(SMALL(Responses!$BD$2:$BD$501,137),1000)-1)/60),2)&amp;":"&amp;RIGHT("0"&amp;MOD(INDEX(Responses!$AV$2:$AV$501,MOD(SMALL(Responses!$BD$2:$BD$501,137),1000)-1),60),2)),"")</f>
        <v/>
      </c>
      <c r="D142" s="28">
        <f>IFERROR(INDEX(Responses!$AS$2:$AS$501,MOD(SMALL(Responses!$BD$2:$BD$501,137),1000)-1),"")</f>
        <v/>
      </c>
      <c r="E142" s="28">
        <f>IFERROR(INDEX(Responses!$AW$2:$AW$501,MOD(SMALL(Responses!$BD$2:$BD$501,137),1000)-1),"")</f>
        <v/>
      </c>
      <c r="F142" s="28">
        <f>IFERROR(INDEX(Responses!$AX$2:$AX$501,MOD(SMALL(Responses!$BD$2:$BD$501,137),1000)-1),"")</f>
        <v/>
      </c>
      <c r="G142" s="28">
        <f>IFERROR(INDEX(Responses!$BE$2:$BE$501,MOD(SMALL(Responses!$BD$2:$BD$501,137),1000)-1),"")</f>
        <v/>
      </c>
    </row>
    <row r="143">
      <c r="A143" s="30">
        <f>IFERROR(INT(SMALL(Responses!$BD$2:$BD$501,138)/10000000),"")</f>
        <v/>
      </c>
      <c r="B143" s="28">
        <f>IFERROR(IF(INDEX(Responses!$AU$2:$AU$501,MOD(SMALL(Responses!$BD$2:$BD$501,138),1000)-1)="","",RIGHT("0"&amp;INT(INDEX(Responses!$AU$2:$AU$501,MOD(SMALL(Responses!$BD$2:$BD$501,138),1000)-1)/60),2)&amp;":"&amp;RIGHT("0"&amp;MOD(INDEX(Responses!$AU$2:$AU$501,MOD(SMALL(Responses!$BD$2:$BD$501,138),1000)-1),60),2)),"")</f>
        <v/>
      </c>
      <c r="C143" s="28">
        <f>IFERROR(IF(INDEX(Responses!$AV$2:$AV$501,MOD(SMALL(Responses!$BD$2:$BD$501,138),1000)-1)="","",RIGHT("0"&amp;INT(INDEX(Responses!$AV$2:$AV$501,MOD(SMALL(Responses!$BD$2:$BD$501,138),1000)-1)/60),2)&amp;":"&amp;RIGHT("0"&amp;MOD(INDEX(Responses!$AV$2:$AV$501,MOD(SMALL(Responses!$BD$2:$BD$501,138),1000)-1),60),2)),"")</f>
        <v/>
      </c>
      <c r="D143" s="28">
        <f>IFERROR(INDEX(Responses!$AS$2:$AS$501,MOD(SMALL(Responses!$BD$2:$BD$501,138),1000)-1),"")</f>
        <v/>
      </c>
      <c r="E143" s="28">
        <f>IFERROR(INDEX(Responses!$AW$2:$AW$501,MOD(SMALL(Responses!$BD$2:$BD$501,138),1000)-1),"")</f>
        <v/>
      </c>
      <c r="F143" s="28">
        <f>IFERROR(INDEX(Responses!$AX$2:$AX$501,MOD(SMALL(Responses!$BD$2:$BD$501,138),1000)-1),"")</f>
        <v/>
      </c>
      <c r="G143" s="28">
        <f>IFERROR(INDEX(Responses!$BE$2:$BE$501,MOD(SMALL(Responses!$BD$2:$BD$501,138),1000)-1),"")</f>
        <v/>
      </c>
    </row>
    <row r="144">
      <c r="A144" s="30">
        <f>IFERROR(INT(SMALL(Responses!$BD$2:$BD$501,139)/10000000),"")</f>
        <v/>
      </c>
      <c r="B144" s="28">
        <f>IFERROR(IF(INDEX(Responses!$AU$2:$AU$501,MOD(SMALL(Responses!$BD$2:$BD$501,139),1000)-1)="","",RIGHT("0"&amp;INT(INDEX(Responses!$AU$2:$AU$501,MOD(SMALL(Responses!$BD$2:$BD$501,139),1000)-1)/60),2)&amp;":"&amp;RIGHT("0"&amp;MOD(INDEX(Responses!$AU$2:$AU$501,MOD(SMALL(Responses!$BD$2:$BD$501,139),1000)-1),60),2)),"")</f>
        <v/>
      </c>
      <c r="C144" s="28">
        <f>IFERROR(IF(INDEX(Responses!$AV$2:$AV$501,MOD(SMALL(Responses!$BD$2:$BD$501,139),1000)-1)="","",RIGHT("0"&amp;INT(INDEX(Responses!$AV$2:$AV$501,MOD(SMALL(Responses!$BD$2:$BD$501,139),1000)-1)/60),2)&amp;":"&amp;RIGHT("0"&amp;MOD(INDEX(Responses!$AV$2:$AV$501,MOD(SMALL(Responses!$BD$2:$BD$501,139),1000)-1),60),2)),"")</f>
        <v/>
      </c>
      <c r="D144" s="28">
        <f>IFERROR(INDEX(Responses!$AS$2:$AS$501,MOD(SMALL(Responses!$BD$2:$BD$501,139),1000)-1),"")</f>
        <v/>
      </c>
      <c r="E144" s="28">
        <f>IFERROR(INDEX(Responses!$AW$2:$AW$501,MOD(SMALL(Responses!$BD$2:$BD$501,139),1000)-1),"")</f>
        <v/>
      </c>
      <c r="F144" s="28">
        <f>IFERROR(INDEX(Responses!$AX$2:$AX$501,MOD(SMALL(Responses!$BD$2:$BD$501,139),1000)-1),"")</f>
        <v/>
      </c>
      <c r="G144" s="28">
        <f>IFERROR(INDEX(Responses!$BE$2:$BE$501,MOD(SMALL(Responses!$BD$2:$BD$501,139),1000)-1),"")</f>
        <v/>
      </c>
    </row>
    <row r="145">
      <c r="A145" s="30">
        <f>IFERROR(INT(SMALL(Responses!$BD$2:$BD$501,140)/10000000),"")</f>
        <v/>
      </c>
      <c r="B145" s="28">
        <f>IFERROR(IF(INDEX(Responses!$AU$2:$AU$501,MOD(SMALL(Responses!$BD$2:$BD$501,140),1000)-1)="","",RIGHT("0"&amp;INT(INDEX(Responses!$AU$2:$AU$501,MOD(SMALL(Responses!$BD$2:$BD$501,140),1000)-1)/60),2)&amp;":"&amp;RIGHT("0"&amp;MOD(INDEX(Responses!$AU$2:$AU$501,MOD(SMALL(Responses!$BD$2:$BD$501,140),1000)-1),60),2)),"")</f>
        <v/>
      </c>
      <c r="C145" s="28">
        <f>IFERROR(IF(INDEX(Responses!$AV$2:$AV$501,MOD(SMALL(Responses!$BD$2:$BD$501,140),1000)-1)="","",RIGHT("0"&amp;INT(INDEX(Responses!$AV$2:$AV$501,MOD(SMALL(Responses!$BD$2:$BD$501,140),1000)-1)/60),2)&amp;":"&amp;RIGHT("0"&amp;MOD(INDEX(Responses!$AV$2:$AV$501,MOD(SMALL(Responses!$BD$2:$BD$501,140),1000)-1),60),2)),"")</f>
        <v/>
      </c>
      <c r="D145" s="28">
        <f>IFERROR(INDEX(Responses!$AS$2:$AS$501,MOD(SMALL(Responses!$BD$2:$BD$501,140),1000)-1),"")</f>
        <v/>
      </c>
      <c r="E145" s="28">
        <f>IFERROR(INDEX(Responses!$AW$2:$AW$501,MOD(SMALL(Responses!$BD$2:$BD$501,140),1000)-1),"")</f>
        <v/>
      </c>
      <c r="F145" s="28">
        <f>IFERROR(INDEX(Responses!$AX$2:$AX$501,MOD(SMALL(Responses!$BD$2:$BD$501,140),1000)-1),"")</f>
        <v/>
      </c>
      <c r="G145" s="28">
        <f>IFERROR(INDEX(Responses!$BE$2:$BE$501,MOD(SMALL(Responses!$BD$2:$BD$501,140),1000)-1),"")</f>
        <v/>
      </c>
    </row>
    <row r="146">
      <c r="A146" s="30">
        <f>IFERROR(INT(SMALL(Responses!$BD$2:$BD$501,141)/10000000),"")</f>
        <v/>
      </c>
      <c r="B146" s="28">
        <f>IFERROR(IF(INDEX(Responses!$AU$2:$AU$501,MOD(SMALL(Responses!$BD$2:$BD$501,141),1000)-1)="","",RIGHT("0"&amp;INT(INDEX(Responses!$AU$2:$AU$501,MOD(SMALL(Responses!$BD$2:$BD$501,141),1000)-1)/60),2)&amp;":"&amp;RIGHT("0"&amp;MOD(INDEX(Responses!$AU$2:$AU$501,MOD(SMALL(Responses!$BD$2:$BD$501,141),1000)-1),60),2)),"")</f>
        <v/>
      </c>
      <c r="C146" s="28">
        <f>IFERROR(IF(INDEX(Responses!$AV$2:$AV$501,MOD(SMALL(Responses!$BD$2:$BD$501,141),1000)-1)="","",RIGHT("0"&amp;INT(INDEX(Responses!$AV$2:$AV$501,MOD(SMALL(Responses!$BD$2:$BD$501,141),1000)-1)/60),2)&amp;":"&amp;RIGHT("0"&amp;MOD(INDEX(Responses!$AV$2:$AV$501,MOD(SMALL(Responses!$BD$2:$BD$501,141),1000)-1),60),2)),"")</f>
        <v/>
      </c>
      <c r="D146" s="28">
        <f>IFERROR(INDEX(Responses!$AS$2:$AS$501,MOD(SMALL(Responses!$BD$2:$BD$501,141),1000)-1),"")</f>
        <v/>
      </c>
      <c r="E146" s="28">
        <f>IFERROR(INDEX(Responses!$AW$2:$AW$501,MOD(SMALL(Responses!$BD$2:$BD$501,141),1000)-1),"")</f>
        <v/>
      </c>
      <c r="F146" s="28">
        <f>IFERROR(INDEX(Responses!$AX$2:$AX$501,MOD(SMALL(Responses!$BD$2:$BD$501,141),1000)-1),"")</f>
        <v/>
      </c>
      <c r="G146" s="28">
        <f>IFERROR(INDEX(Responses!$BE$2:$BE$501,MOD(SMALL(Responses!$BD$2:$BD$501,141),1000)-1),"")</f>
        <v/>
      </c>
    </row>
    <row r="147">
      <c r="A147" s="30">
        <f>IFERROR(INT(SMALL(Responses!$BD$2:$BD$501,142)/10000000),"")</f>
        <v/>
      </c>
      <c r="B147" s="28">
        <f>IFERROR(IF(INDEX(Responses!$AU$2:$AU$501,MOD(SMALL(Responses!$BD$2:$BD$501,142),1000)-1)="","",RIGHT("0"&amp;INT(INDEX(Responses!$AU$2:$AU$501,MOD(SMALL(Responses!$BD$2:$BD$501,142),1000)-1)/60),2)&amp;":"&amp;RIGHT("0"&amp;MOD(INDEX(Responses!$AU$2:$AU$501,MOD(SMALL(Responses!$BD$2:$BD$501,142),1000)-1),60),2)),"")</f>
        <v/>
      </c>
      <c r="C147" s="28">
        <f>IFERROR(IF(INDEX(Responses!$AV$2:$AV$501,MOD(SMALL(Responses!$BD$2:$BD$501,142),1000)-1)="","",RIGHT("0"&amp;INT(INDEX(Responses!$AV$2:$AV$501,MOD(SMALL(Responses!$BD$2:$BD$501,142),1000)-1)/60),2)&amp;":"&amp;RIGHT("0"&amp;MOD(INDEX(Responses!$AV$2:$AV$501,MOD(SMALL(Responses!$BD$2:$BD$501,142),1000)-1),60),2)),"")</f>
        <v/>
      </c>
      <c r="D147" s="28">
        <f>IFERROR(INDEX(Responses!$AS$2:$AS$501,MOD(SMALL(Responses!$BD$2:$BD$501,142),1000)-1),"")</f>
        <v/>
      </c>
      <c r="E147" s="28">
        <f>IFERROR(INDEX(Responses!$AW$2:$AW$501,MOD(SMALL(Responses!$BD$2:$BD$501,142),1000)-1),"")</f>
        <v/>
      </c>
      <c r="F147" s="28">
        <f>IFERROR(INDEX(Responses!$AX$2:$AX$501,MOD(SMALL(Responses!$BD$2:$BD$501,142),1000)-1),"")</f>
        <v/>
      </c>
      <c r="G147" s="28">
        <f>IFERROR(INDEX(Responses!$BE$2:$BE$501,MOD(SMALL(Responses!$BD$2:$BD$501,142),1000)-1),"")</f>
        <v/>
      </c>
    </row>
    <row r="148">
      <c r="A148" s="30">
        <f>IFERROR(INT(SMALL(Responses!$BD$2:$BD$501,143)/10000000),"")</f>
        <v/>
      </c>
      <c r="B148" s="28">
        <f>IFERROR(IF(INDEX(Responses!$AU$2:$AU$501,MOD(SMALL(Responses!$BD$2:$BD$501,143),1000)-1)="","",RIGHT("0"&amp;INT(INDEX(Responses!$AU$2:$AU$501,MOD(SMALL(Responses!$BD$2:$BD$501,143),1000)-1)/60),2)&amp;":"&amp;RIGHT("0"&amp;MOD(INDEX(Responses!$AU$2:$AU$501,MOD(SMALL(Responses!$BD$2:$BD$501,143),1000)-1),60),2)),"")</f>
        <v/>
      </c>
      <c r="C148" s="28">
        <f>IFERROR(IF(INDEX(Responses!$AV$2:$AV$501,MOD(SMALL(Responses!$BD$2:$BD$501,143),1000)-1)="","",RIGHT("0"&amp;INT(INDEX(Responses!$AV$2:$AV$501,MOD(SMALL(Responses!$BD$2:$BD$501,143),1000)-1)/60),2)&amp;":"&amp;RIGHT("0"&amp;MOD(INDEX(Responses!$AV$2:$AV$501,MOD(SMALL(Responses!$BD$2:$BD$501,143),1000)-1),60),2)),"")</f>
        <v/>
      </c>
      <c r="D148" s="28">
        <f>IFERROR(INDEX(Responses!$AS$2:$AS$501,MOD(SMALL(Responses!$BD$2:$BD$501,143),1000)-1),"")</f>
        <v/>
      </c>
      <c r="E148" s="28">
        <f>IFERROR(INDEX(Responses!$AW$2:$AW$501,MOD(SMALL(Responses!$BD$2:$BD$501,143),1000)-1),"")</f>
        <v/>
      </c>
      <c r="F148" s="28">
        <f>IFERROR(INDEX(Responses!$AX$2:$AX$501,MOD(SMALL(Responses!$BD$2:$BD$501,143),1000)-1),"")</f>
        <v/>
      </c>
      <c r="G148" s="28">
        <f>IFERROR(INDEX(Responses!$BE$2:$BE$501,MOD(SMALL(Responses!$BD$2:$BD$501,143),1000)-1),"")</f>
        <v/>
      </c>
    </row>
    <row r="149">
      <c r="A149" s="30">
        <f>IFERROR(INT(SMALL(Responses!$BD$2:$BD$501,144)/10000000),"")</f>
        <v/>
      </c>
      <c r="B149" s="28">
        <f>IFERROR(IF(INDEX(Responses!$AU$2:$AU$501,MOD(SMALL(Responses!$BD$2:$BD$501,144),1000)-1)="","",RIGHT("0"&amp;INT(INDEX(Responses!$AU$2:$AU$501,MOD(SMALL(Responses!$BD$2:$BD$501,144),1000)-1)/60),2)&amp;":"&amp;RIGHT("0"&amp;MOD(INDEX(Responses!$AU$2:$AU$501,MOD(SMALL(Responses!$BD$2:$BD$501,144),1000)-1),60),2)),"")</f>
        <v/>
      </c>
      <c r="C149" s="28">
        <f>IFERROR(IF(INDEX(Responses!$AV$2:$AV$501,MOD(SMALL(Responses!$BD$2:$BD$501,144),1000)-1)="","",RIGHT("0"&amp;INT(INDEX(Responses!$AV$2:$AV$501,MOD(SMALL(Responses!$BD$2:$BD$501,144),1000)-1)/60),2)&amp;":"&amp;RIGHT("0"&amp;MOD(INDEX(Responses!$AV$2:$AV$501,MOD(SMALL(Responses!$BD$2:$BD$501,144),1000)-1),60),2)),"")</f>
        <v/>
      </c>
      <c r="D149" s="28">
        <f>IFERROR(INDEX(Responses!$AS$2:$AS$501,MOD(SMALL(Responses!$BD$2:$BD$501,144),1000)-1),"")</f>
        <v/>
      </c>
      <c r="E149" s="28">
        <f>IFERROR(INDEX(Responses!$AW$2:$AW$501,MOD(SMALL(Responses!$BD$2:$BD$501,144),1000)-1),"")</f>
        <v/>
      </c>
      <c r="F149" s="28">
        <f>IFERROR(INDEX(Responses!$AX$2:$AX$501,MOD(SMALL(Responses!$BD$2:$BD$501,144),1000)-1),"")</f>
        <v/>
      </c>
      <c r="G149" s="28">
        <f>IFERROR(INDEX(Responses!$BE$2:$BE$501,MOD(SMALL(Responses!$BD$2:$BD$501,144),1000)-1),"")</f>
        <v/>
      </c>
    </row>
    <row r="150">
      <c r="A150" s="30">
        <f>IFERROR(INT(SMALL(Responses!$BD$2:$BD$501,145)/10000000),"")</f>
        <v/>
      </c>
      <c r="B150" s="28">
        <f>IFERROR(IF(INDEX(Responses!$AU$2:$AU$501,MOD(SMALL(Responses!$BD$2:$BD$501,145),1000)-1)="","",RIGHT("0"&amp;INT(INDEX(Responses!$AU$2:$AU$501,MOD(SMALL(Responses!$BD$2:$BD$501,145),1000)-1)/60),2)&amp;":"&amp;RIGHT("0"&amp;MOD(INDEX(Responses!$AU$2:$AU$501,MOD(SMALL(Responses!$BD$2:$BD$501,145),1000)-1),60),2)),"")</f>
        <v/>
      </c>
      <c r="C150" s="28">
        <f>IFERROR(IF(INDEX(Responses!$AV$2:$AV$501,MOD(SMALL(Responses!$BD$2:$BD$501,145),1000)-1)="","",RIGHT("0"&amp;INT(INDEX(Responses!$AV$2:$AV$501,MOD(SMALL(Responses!$BD$2:$BD$501,145),1000)-1)/60),2)&amp;":"&amp;RIGHT("0"&amp;MOD(INDEX(Responses!$AV$2:$AV$501,MOD(SMALL(Responses!$BD$2:$BD$501,145),1000)-1),60),2)),"")</f>
        <v/>
      </c>
      <c r="D150" s="28">
        <f>IFERROR(INDEX(Responses!$AS$2:$AS$501,MOD(SMALL(Responses!$BD$2:$BD$501,145),1000)-1),"")</f>
        <v/>
      </c>
      <c r="E150" s="28">
        <f>IFERROR(INDEX(Responses!$AW$2:$AW$501,MOD(SMALL(Responses!$BD$2:$BD$501,145),1000)-1),"")</f>
        <v/>
      </c>
      <c r="F150" s="28">
        <f>IFERROR(INDEX(Responses!$AX$2:$AX$501,MOD(SMALL(Responses!$BD$2:$BD$501,145),1000)-1),"")</f>
        <v/>
      </c>
      <c r="G150" s="28">
        <f>IFERROR(INDEX(Responses!$BE$2:$BE$501,MOD(SMALL(Responses!$BD$2:$BD$501,145),1000)-1),"")</f>
        <v/>
      </c>
    </row>
    <row r="151">
      <c r="A151" s="30">
        <f>IFERROR(INT(SMALL(Responses!$BD$2:$BD$501,146)/10000000),"")</f>
        <v/>
      </c>
      <c r="B151" s="28">
        <f>IFERROR(IF(INDEX(Responses!$AU$2:$AU$501,MOD(SMALL(Responses!$BD$2:$BD$501,146),1000)-1)="","",RIGHT("0"&amp;INT(INDEX(Responses!$AU$2:$AU$501,MOD(SMALL(Responses!$BD$2:$BD$501,146),1000)-1)/60),2)&amp;":"&amp;RIGHT("0"&amp;MOD(INDEX(Responses!$AU$2:$AU$501,MOD(SMALL(Responses!$BD$2:$BD$501,146),1000)-1),60),2)),"")</f>
        <v/>
      </c>
      <c r="C151" s="28">
        <f>IFERROR(IF(INDEX(Responses!$AV$2:$AV$501,MOD(SMALL(Responses!$BD$2:$BD$501,146),1000)-1)="","",RIGHT("0"&amp;INT(INDEX(Responses!$AV$2:$AV$501,MOD(SMALL(Responses!$BD$2:$BD$501,146),1000)-1)/60),2)&amp;":"&amp;RIGHT("0"&amp;MOD(INDEX(Responses!$AV$2:$AV$501,MOD(SMALL(Responses!$BD$2:$BD$501,146),1000)-1),60),2)),"")</f>
        <v/>
      </c>
      <c r="D151" s="28">
        <f>IFERROR(INDEX(Responses!$AS$2:$AS$501,MOD(SMALL(Responses!$BD$2:$BD$501,146),1000)-1),"")</f>
        <v/>
      </c>
      <c r="E151" s="28">
        <f>IFERROR(INDEX(Responses!$AW$2:$AW$501,MOD(SMALL(Responses!$BD$2:$BD$501,146),1000)-1),"")</f>
        <v/>
      </c>
      <c r="F151" s="28">
        <f>IFERROR(INDEX(Responses!$AX$2:$AX$501,MOD(SMALL(Responses!$BD$2:$BD$501,146),1000)-1),"")</f>
        <v/>
      </c>
      <c r="G151" s="28">
        <f>IFERROR(INDEX(Responses!$BE$2:$BE$501,MOD(SMALL(Responses!$BD$2:$BD$501,146),1000)-1),"")</f>
        <v/>
      </c>
    </row>
    <row r="152">
      <c r="A152" s="30">
        <f>IFERROR(INT(SMALL(Responses!$BD$2:$BD$501,147)/10000000),"")</f>
        <v/>
      </c>
      <c r="B152" s="28">
        <f>IFERROR(IF(INDEX(Responses!$AU$2:$AU$501,MOD(SMALL(Responses!$BD$2:$BD$501,147),1000)-1)="","",RIGHT("0"&amp;INT(INDEX(Responses!$AU$2:$AU$501,MOD(SMALL(Responses!$BD$2:$BD$501,147),1000)-1)/60),2)&amp;":"&amp;RIGHT("0"&amp;MOD(INDEX(Responses!$AU$2:$AU$501,MOD(SMALL(Responses!$BD$2:$BD$501,147),1000)-1),60),2)),"")</f>
        <v/>
      </c>
      <c r="C152" s="28">
        <f>IFERROR(IF(INDEX(Responses!$AV$2:$AV$501,MOD(SMALL(Responses!$BD$2:$BD$501,147),1000)-1)="","",RIGHT("0"&amp;INT(INDEX(Responses!$AV$2:$AV$501,MOD(SMALL(Responses!$BD$2:$BD$501,147),1000)-1)/60),2)&amp;":"&amp;RIGHT("0"&amp;MOD(INDEX(Responses!$AV$2:$AV$501,MOD(SMALL(Responses!$BD$2:$BD$501,147),1000)-1),60),2)),"")</f>
        <v/>
      </c>
      <c r="D152" s="28">
        <f>IFERROR(INDEX(Responses!$AS$2:$AS$501,MOD(SMALL(Responses!$BD$2:$BD$501,147),1000)-1),"")</f>
        <v/>
      </c>
      <c r="E152" s="28">
        <f>IFERROR(INDEX(Responses!$AW$2:$AW$501,MOD(SMALL(Responses!$BD$2:$BD$501,147),1000)-1),"")</f>
        <v/>
      </c>
      <c r="F152" s="28">
        <f>IFERROR(INDEX(Responses!$AX$2:$AX$501,MOD(SMALL(Responses!$BD$2:$BD$501,147),1000)-1),"")</f>
        <v/>
      </c>
      <c r="G152" s="28">
        <f>IFERROR(INDEX(Responses!$BE$2:$BE$501,MOD(SMALL(Responses!$BD$2:$BD$501,147),1000)-1),"")</f>
        <v/>
      </c>
    </row>
    <row r="153">
      <c r="A153" s="30">
        <f>IFERROR(INT(SMALL(Responses!$BD$2:$BD$501,148)/10000000),"")</f>
        <v/>
      </c>
      <c r="B153" s="28">
        <f>IFERROR(IF(INDEX(Responses!$AU$2:$AU$501,MOD(SMALL(Responses!$BD$2:$BD$501,148),1000)-1)="","",RIGHT("0"&amp;INT(INDEX(Responses!$AU$2:$AU$501,MOD(SMALL(Responses!$BD$2:$BD$501,148),1000)-1)/60),2)&amp;":"&amp;RIGHT("0"&amp;MOD(INDEX(Responses!$AU$2:$AU$501,MOD(SMALL(Responses!$BD$2:$BD$501,148),1000)-1),60),2)),"")</f>
        <v/>
      </c>
      <c r="C153" s="28">
        <f>IFERROR(IF(INDEX(Responses!$AV$2:$AV$501,MOD(SMALL(Responses!$BD$2:$BD$501,148),1000)-1)="","",RIGHT("0"&amp;INT(INDEX(Responses!$AV$2:$AV$501,MOD(SMALL(Responses!$BD$2:$BD$501,148),1000)-1)/60),2)&amp;":"&amp;RIGHT("0"&amp;MOD(INDEX(Responses!$AV$2:$AV$501,MOD(SMALL(Responses!$BD$2:$BD$501,148),1000)-1),60),2)),"")</f>
        <v/>
      </c>
      <c r="D153" s="28">
        <f>IFERROR(INDEX(Responses!$AS$2:$AS$501,MOD(SMALL(Responses!$BD$2:$BD$501,148),1000)-1),"")</f>
        <v/>
      </c>
      <c r="E153" s="28">
        <f>IFERROR(INDEX(Responses!$AW$2:$AW$501,MOD(SMALL(Responses!$BD$2:$BD$501,148),1000)-1),"")</f>
        <v/>
      </c>
      <c r="F153" s="28">
        <f>IFERROR(INDEX(Responses!$AX$2:$AX$501,MOD(SMALL(Responses!$BD$2:$BD$501,148),1000)-1),"")</f>
        <v/>
      </c>
      <c r="G153" s="28">
        <f>IFERROR(INDEX(Responses!$BE$2:$BE$501,MOD(SMALL(Responses!$BD$2:$BD$501,148),1000)-1),"")</f>
        <v/>
      </c>
    </row>
    <row r="154">
      <c r="A154" s="30">
        <f>IFERROR(INT(SMALL(Responses!$BD$2:$BD$501,149)/10000000),"")</f>
        <v/>
      </c>
      <c r="B154" s="28">
        <f>IFERROR(IF(INDEX(Responses!$AU$2:$AU$501,MOD(SMALL(Responses!$BD$2:$BD$501,149),1000)-1)="","",RIGHT("0"&amp;INT(INDEX(Responses!$AU$2:$AU$501,MOD(SMALL(Responses!$BD$2:$BD$501,149),1000)-1)/60),2)&amp;":"&amp;RIGHT("0"&amp;MOD(INDEX(Responses!$AU$2:$AU$501,MOD(SMALL(Responses!$BD$2:$BD$501,149),1000)-1),60),2)),"")</f>
        <v/>
      </c>
      <c r="C154" s="28">
        <f>IFERROR(IF(INDEX(Responses!$AV$2:$AV$501,MOD(SMALL(Responses!$BD$2:$BD$501,149),1000)-1)="","",RIGHT("0"&amp;INT(INDEX(Responses!$AV$2:$AV$501,MOD(SMALL(Responses!$BD$2:$BD$501,149),1000)-1)/60),2)&amp;":"&amp;RIGHT("0"&amp;MOD(INDEX(Responses!$AV$2:$AV$501,MOD(SMALL(Responses!$BD$2:$BD$501,149),1000)-1),60),2)),"")</f>
        <v/>
      </c>
      <c r="D154" s="28">
        <f>IFERROR(INDEX(Responses!$AS$2:$AS$501,MOD(SMALL(Responses!$BD$2:$BD$501,149),1000)-1),"")</f>
        <v/>
      </c>
      <c r="E154" s="28">
        <f>IFERROR(INDEX(Responses!$AW$2:$AW$501,MOD(SMALL(Responses!$BD$2:$BD$501,149),1000)-1),"")</f>
        <v/>
      </c>
      <c r="F154" s="28">
        <f>IFERROR(INDEX(Responses!$AX$2:$AX$501,MOD(SMALL(Responses!$BD$2:$BD$501,149),1000)-1),"")</f>
        <v/>
      </c>
      <c r="G154" s="28">
        <f>IFERROR(INDEX(Responses!$BE$2:$BE$501,MOD(SMALL(Responses!$BD$2:$BD$501,149),1000)-1),"")</f>
        <v/>
      </c>
    </row>
    <row r="155">
      <c r="A155" s="30">
        <f>IFERROR(INT(SMALL(Responses!$BD$2:$BD$501,150)/10000000),"")</f>
        <v/>
      </c>
      <c r="B155" s="28">
        <f>IFERROR(IF(INDEX(Responses!$AU$2:$AU$501,MOD(SMALL(Responses!$BD$2:$BD$501,150),1000)-1)="","",RIGHT("0"&amp;INT(INDEX(Responses!$AU$2:$AU$501,MOD(SMALL(Responses!$BD$2:$BD$501,150),1000)-1)/60),2)&amp;":"&amp;RIGHT("0"&amp;MOD(INDEX(Responses!$AU$2:$AU$501,MOD(SMALL(Responses!$BD$2:$BD$501,150),1000)-1),60),2)),"")</f>
        <v/>
      </c>
      <c r="C155" s="28">
        <f>IFERROR(IF(INDEX(Responses!$AV$2:$AV$501,MOD(SMALL(Responses!$BD$2:$BD$501,150),1000)-1)="","",RIGHT("0"&amp;INT(INDEX(Responses!$AV$2:$AV$501,MOD(SMALL(Responses!$BD$2:$BD$501,150),1000)-1)/60),2)&amp;":"&amp;RIGHT("0"&amp;MOD(INDEX(Responses!$AV$2:$AV$501,MOD(SMALL(Responses!$BD$2:$BD$501,150),1000)-1),60),2)),"")</f>
        <v/>
      </c>
      <c r="D155" s="28">
        <f>IFERROR(INDEX(Responses!$AS$2:$AS$501,MOD(SMALL(Responses!$BD$2:$BD$501,150),1000)-1),"")</f>
        <v/>
      </c>
      <c r="E155" s="28">
        <f>IFERROR(INDEX(Responses!$AW$2:$AW$501,MOD(SMALL(Responses!$BD$2:$BD$501,150),1000)-1),"")</f>
        <v/>
      </c>
      <c r="F155" s="28">
        <f>IFERROR(INDEX(Responses!$AX$2:$AX$501,MOD(SMALL(Responses!$BD$2:$BD$501,150),1000)-1),"")</f>
        <v/>
      </c>
      <c r="G155" s="28">
        <f>IFERROR(INDEX(Responses!$BE$2:$BE$501,MOD(SMALL(Responses!$BD$2:$BD$501,150),1000)-1),"")</f>
        <v/>
      </c>
    </row>
    <row r="156">
      <c r="A156" s="30">
        <f>IFERROR(INT(SMALL(Responses!$BD$2:$BD$501,151)/10000000),"")</f>
        <v/>
      </c>
      <c r="B156" s="28">
        <f>IFERROR(IF(INDEX(Responses!$AU$2:$AU$501,MOD(SMALL(Responses!$BD$2:$BD$501,151),1000)-1)="","",RIGHT("0"&amp;INT(INDEX(Responses!$AU$2:$AU$501,MOD(SMALL(Responses!$BD$2:$BD$501,151),1000)-1)/60),2)&amp;":"&amp;RIGHT("0"&amp;MOD(INDEX(Responses!$AU$2:$AU$501,MOD(SMALL(Responses!$BD$2:$BD$501,151),1000)-1),60),2)),"")</f>
        <v/>
      </c>
      <c r="C156" s="28">
        <f>IFERROR(IF(INDEX(Responses!$AV$2:$AV$501,MOD(SMALL(Responses!$BD$2:$BD$501,151),1000)-1)="","",RIGHT("0"&amp;INT(INDEX(Responses!$AV$2:$AV$501,MOD(SMALL(Responses!$BD$2:$BD$501,151),1000)-1)/60),2)&amp;":"&amp;RIGHT("0"&amp;MOD(INDEX(Responses!$AV$2:$AV$501,MOD(SMALL(Responses!$BD$2:$BD$501,151),1000)-1),60),2)),"")</f>
        <v/>
      </c>
      <c r="D156" s="28">
        <f>IFERROR(INDEX(Responses!$AS$2:$AS$501,MOD(SMALL(Responses!$BD$2:$BD$501,151),1000)-1),"")</f>
        <v/>
      </c>
      <c r="E156" s="28">
        <f>IFERROR(INDEX(Responses!$AW$2:$AW$501,MOD(SMALL(Responses!$BD$2:$BD$501,151),1000)-1),"")</f>
        <v/>
      </c>
      <c r="F156" s="28">
        <f>IFERROR(INDEX(Responses!$AX$2:$AX$501,MOD(SMALL(Responses!$BD$2:$BD$501,151),1000)-1),"")</f>
        <v/>
      </c>
      <c r="G156" s="28">
        <f>IFERROR(INDEX(Responses!$BE$2:$BE$501,MOD(SMALL(Responses!$BD$2:$BD$501,151),1000)-1),"")</f>
        <v/>
      </c>
    </row>
    <row r="157">
      <c r="A157" s="30">
        <f>IFERROR(INT(SMALL(Responses!$BD$2:$BD$501,152)/10000000),"")</f>
        <v/>
      </c>
      <c r="B157" s="28">
        <f>IFERROR(IF(INDEX(Responses!$AU$2:$AU$501,MOD(SMALL(Responses!$BD$2:$BD$501,152),1000)-1)="","",RIGHT("0"&amp;INT(INDEX(Responses!$AU$2:$AU$501,MOD(SMALL(Responses!$BD$2:$BD$501,152),1000)-1)/60),2)&amp;":"&amp;RIGHT("0"&amp;MOD(INDEX(Responses!$AU$2:$AU$501,MOD(SMALL(Responses!$BD$2:$BD$501,152),1000)-1),60),2)),"")</f>
        <v/>
      </c>
      <c r="C157" s="28">
        <f>IFERROR(IF(INDEX(Responses!$AV$2:$AV$501,MOD(SMALL(Responses!$BD$2:$BD$501,152),1000)-1)="","",RIGHT("0"&amp;INT(INDEX(Responses!$AV$2:$AV$501,MOD(SMALL(Responses!$BD$2:$BD$501,152),1000)-1)/60),2)&amp;":"&amp;RIGHT("0"&amp;MOD(INDEX(Responses!$AV$2:$AV$501,MOD(SMALL(Responses!$BD$2:$BD$501,152),1000)-1),60),2)),"")</f>
        <v/>
      </c>
      <c r="D157" s="28">
        <f>IFERROR(INDEX(Responses!$AS$2:$AS$501,MOD(SMALL(Responses!$BD$2:$BD$501,152),1000)-1),"")</f>
        <v/>
      </c>
      <c r="E157" s="28">
        <f>IFERROR(INDEX(Responses!$AW$2:$AW$501,MOD(SMALL(Responses!$BD$2:$BD$501,152),1000)-1),"")</f>
        <v/>
      </c>
      <c r="F157" s="28">
        <f>IFERROR(INDEX(Responses!$AX$2:$AX$501,MOD(SMALL(Responses!$BD$2:$BD$501,152),1000)-1),"")</f>
        <v/>
      </c>
      <c r="G157" s="28">
        <f>IFERROR(INDEX(Responses!$BE$2:$BE$501,MOD(SMALL(Responses!$BD$2:$BD$501,152),1000)-1),"")</f>
        <v/>
      </c>
    </row>
    <row r="158">
      <c r="A158" s="30">
        <f>IFERROR(INT(SMALL(Responses!$BD$2:$BD$501,153)/10000000),"")</f>
        <v/>
      </c>
      <c r="B158" s="28">
        <f>IFERROR(IF(INDEX(Responses!$AU$2:$AU$501,MOD(SMALL(Responses!$BD$2:$BD$501,153),1000)-1)="","",RIGHT("0"&amp;INT(INDEX(Responses!$AU$2:$AU$501,MOD(SMALL(Responses!$BD$2:$BD$501,153),1000)-1)/60),2)&amp;":"&amp;RIGHT("0"&amp;MOD(INDEX(Responses!$AU$2:$AU$501,MOD(SMALL(Responses!$BD$2:$BD$501,153),1000)-1),60),2)),"")</f>
        <v/>
      </c>
      <c r="C158" s="28">
        <f>IFERROR(IF(INDEX(Responses!$AV$2:$AV$501,MOD(SMALL(Responses!$BD$2:$BD$501,153),1000)-1)="","",RIGHT("0"&amp;INT(INDEX(Responses!$AV$2:$AV$501,MOD(SMALL(Responses!$BD$2:$BD$501,153),1000)-1)/60),2)&amp;":"&amp;RIGHT("0"&amp;MOD(INDEX(Responses!$AV$2:$AV$501,MOD(SMALL(Responses!$BD$2:$BD$501,153),1000)-1),60),2)),"")</f>
        <v/>
      </c>
      <c r="D158" s="28">
        <f>IFERROR(INDEX(Responses!$AS$2:$AS$501,MOD(SMALL(Responses!$BD$2:$BD$501,153),1000)-1),"")</f>
        <v/>
      </c>
      <c r="E158" s="28">
        <f>IFERROR(INDEX(Responses!$AW$2:$AW$501,MOD(SMALL(Responses!$BD$2:$BD$501,153),1000)-1),"")</f>
        <v/>
      </c>
      <c r="F158" s="28">
        <f>IFERROR(INDEX(Responses!$AX$2:$AX$501,MOD(SMALL(Responses!$BD$2:$BD$501,153),1000)-1),"")</f>
        <v/>
      </c>
      <c r="G158" s="28">
        <f>IFERROR(INDEX(Responses!$BE$2:$BE$501,MOD(SMALL(Responses!$BD$2:$BD$501,153),1000)-1),"")</f>
        <v/>
      </c>
    </row>
    <row r="159">
      <c r="A159" s="30">
        <f>IFERROR(INT(SMALL(Responses!$BD$2:$BD$501,154)/10000000),"")</f>
        <v/>
      </c>
      <c r="B159" s="28">
        <f>IFERROR(IF(INDEX(Responses!$AU$2:$AU$501,MOD(SMALL(Responses!$BD$2:$BD$501,154),1000)-1)="","",RIGHT("0"&amp;INT(INDEX(Responses!$AU$2:$AU$501,MOD(SMALL(Responses!$BD$2:$BD$501,154),1000)-1)/60),2)&amp;":"&amp;RIGHT("0"&amp;MOD(INDEX(Responses!$AU$2:$AU$501,MOD(SMALL(Responses!$BD$2:$BD$501,154),1000)-1),60),2)),"")</f>
        <v/>
      </c>
      <c r="C159" s="28">
        <f>IFERROR(IF(INDEX(Responses!$AV$2:$AV$501,MOD(SMALL(Responses!$BD$2:$BD$501,154),1000)-1)="","",RIGHT("0"&amp;INT(INDEX(Responses!$AV$2:$AV$501,MOD(SMALL(Responses!$BD$2:$BD$501,154),1000)-1)/60),2)&amp;":"&amp;RIGHT("0"&amp;MOD(INDEX(Responses!$AV$2:$AV$501,MOD(SMALL(Responses!$BD$2:$BD$501,154),1000)-1),60),2)),"")</f>
        <v/>
      </c>
      <c r="D159" s="28">
        <f>IFERROR(INDEX(Responses!$AS$2:$AS$501,MOD(SMALL(Responses!$BD$2:$BD$501,154),1000)-1),"")</f>
        <v/>
      </c>
      <c r="E159" s="28">
        <f>IFERROR(INDEX(Responses!$AW$2:$AW$501,MOD(SMALL(Responses!$BD$2:$BD$501,154),1000)-1),"")</f>
        <v/>
      </c>
      <c r="F159" s="28">
        <f>IFERROR(INDEX(Responses!$AX$2:$AX$501,MOD(SMALL(Responses!$BD$2:$BD$501,154),1000)-1),"")</f>
        <v/>
      </c>
      <c r="G159" s="28">
        <f>IFERROR(INDEX(Responses!$BE$2:$BE$501,MOD(SMALL(Responses!$BD$2:$BD$501,154),1000)-1),"")</f>
        <v/>
      </c>
    </row>
    <row r="160">
      <c r="A160" s="30">
        <f>IFERROR(INT(SMALL(Responses!$BD$2:$BD$501,155)/10000000),"")</f>
        <v/>
      </c>
      <c r="B160" s="28">
        <f>IFERROR(IF(INDEX(Responses!$AU$2:$AU$501,MOD(SMALL(Responses!$BD$2:$BD$501,155),1000)-1)="","",RIGHT("0"&amp;INT(INDEX(Responses!$AU$2:$AU$501,MOD(SMALL(Responses!$BD$2:$BD$501,155),1000)-1)/60),2)&amp;":"&amp;RIGHT("0"&amp;MOD(INDEX(Responses!$AU$2:$AU$501,MOD(SMALL(Responses!$BD$2:$BD$501,155),1000)-1),60),2)),"")</f>
        <v/>
      </c>
      <c r="C160" s="28">
        <f>IFERROR(IF(INDEX(Responses!$AV$2:$AV$501,MOD(SMALL(Responses!$BD$2:$BD$501,155),1000)-1)="","",RIGHT("0"&amp;INT(INDEX(Responses!$AV$2:$AV$501,MOD(SMALL(Responses!$BD$2:$BD$501,155),1000)-1)/60),2)&amp;":"&amp;RIGHT("0"&amp;MOD(INDEX(Responses!$AV$2:$AV$501,MOD(SMALL(Responses!$BD$2:$BD$501,155),1000)-1),60),2)),"")</f>
        <v/>
      </c>
      <c r="D160" s="28">
        <f>IFERROR(INDEX(Responses!$AS$2:$AS$501,MOD(SMALL(Responses!$BD$2:$BD$501,155),1000)-1),"")</f>
        <v/>
      </c>
      <c r="E160" s="28">
        <f>IFERROR(INDEX(Responses!$AW$2:$AW$501,MOD(SMALL(Responses!$BD$2:$BD$501,155),1000)-1),"")</f>
        <v/>
      </c>
      <c r="F160" s="28">
        <f>IFERROR(INDEX(Responses!$AX$2:$AX$501,MOD(SMALL(Responses!$BD$2:$BD$501,155),1000)-1),"")</f>
        <v/>
      </c>
      <c r="G160" s="28">
        <f>IFERROR(INDEX(Responses!$BE$2:$BE$501,MOD(SMALL(Responses!$BD$2:$BD$501,155),1000)-1),"")</f>
        <v/>
      </c>
    </row>
    <row r="161">
      <c r="A161" s="30">
        <f>IFERROR(INT(SMALL(Responses!$BD$2:$BD$501,156)/10000000),"")</f>
        <v/>
      </c>
      <c r="B161" s="28">
        <f>IFERROR(IF(INDEX(Responses!$AU$2:$AU$501,MOD(SMALL(Responses!$BD$2:$BD$501,156),1000)-1)="","",RIGHT("0"&amp;INT(INDEX(Responses!$AU$2:$AU$501,MOD(SMALL(Responses!$BD$2:$BD$501,156),1000)-1)/60),2)&amp;":"&amp;RIGHT("0"&amp;MOD(INDEX(Responses!$AU$2:$AU$501,MOD(SMALL(Responses!$BD$2:$BD$501,156),1000)-1),60),2)),"")</f>
        <v/>
      </c>
      <c r="C161" s="28">
        <f>IFERROR(IF(INDEX(Responses!$AV$2:$AV$501,MOD(SMALL(Responses!$BD$2:$BD$501,156),1000)-1)="","",RIGHT("0"&amp;INT(INDEX(Responses!$AV$2:$AV$501,MOD(SMALL(Responses!$BD$2:$BD$501,156),1000)-1)/60),2)&amp;":"&amp;RIGHT("0"&amp;MOD(INDEX(Responses!$AV$2:$AV$501,MOD(SMALL(Responses!$BD$2:$BD$501,156),1000)-1),60),2)),"")</f>
        <v/>
      </c>
      <c r="D161" s="28">
        <f>IFERROR(INDEX(Responses!$AS$2:$AS$501,MOD(SMALL(Responses!$BD$2:$BD$501,156),1000)-1),"")</f>
        <v/>
      </c>
      <c r="E161" s="28">
        <f>IFERROR(INDEX(Responses!$AW$2:$AW$501,MOD(SMALL(Responses!$BD$2:$BD$501,156),1000)-1),"")</f>
        <v/>
      </c>
      <c r="F161" s="28">
        <f>IFERROR(INDEX(Responses!$AX$2:$AX$501,MOD(SMALL(Responses!$BD$2:$BD$501,156),1000)-1),"")</f>
        <v/>
      </c>
      <c r="G161" s="28">
        <f>IFERROR(INDEX(Responses!$BE$2:$BE$501,MOD(SMALL(Responses!$BD$2:$BD$501,156),1000)-1),"")</f>
        <v/>
      </c>
    </row>
    <row r="162">
      <c r="A162" s="30">
        <f>IFERROR(INT(SMALL(Responses!$BD$2:$BD$501,157)/10000000),"")</f>
        <v/>
      </c>
      <c r="B162" s="28">
        <f>IFERROR(IF(INDEX(Responses!$AU$2:$AU$501,MOD(SMALL(Responses!$BD$2:$BD$501,157),1000)-1)="","",RIGHT("0"&amp;INT(INDEX(Responses!$AU$2:$AU$501,MOD(SMALL(Responses!$BD$2:$BD$501,157),1000)-1)/60),2)&amp;":"&amp;RIGHT("0"&amp;MOD(INDEX(Responses!$AU$2:$AU$501,MOD(SMALL(Responses!$BD$2:$BD$501,157),1000)-1),60),2)),"")</f>
        <v/>
      </c>
      <c r="C162" s="28">
        <f>IFERROR(IF(INDEX(Responses!$AV$2:$AV$501,MOD(SMALL(Responses!$BD$2:$BD$501,157),1000)-1)="","",RIGHT("0"&amp;INT(INDEX(Responses!$AV$2:$AV$501,MOD(SMALL(Responses!$BD$2:$BD$501,157),1000)-1)/60),2)&amp;":"&amp;RIGHT("0"&amp;MOD(INDEX(Responses!$AV$2:$AV$501,MOD(SMALL(Responses!$BD$2:$BD$501,157),1000)-1),60),2)),"")</f>
        <v/>
      </c>
      <c r="D162" s="28">
        <f>IFERROR(INDEX(Responses!$AS$2:$AS$501,MOD(SMALL(Responses!$BD$2:$BD$501,157),1000)-1),"")</f>
        <v/>
      </c>
      <c r="E162" s="28">
        <f>IFERROR(INDEX(Responses!$AW$2:$AW$501,MOD(SMALL(Responses!$BD$2:$BD$501,157),1000)-1),"")</f>
        <v/>
      </c>
      <c r="F162" s="28">
        <f>IFERROR(INDEX(Responses!$AX$2:$AX$501,MOD(SMALL(Responses!$BD$2:$BD$501,157),1000)-1),"")</f>
        <v/>
      </c>
      <c r="G162" s="28">
        <f>IFERROR(INDEX(Responses!$BE$2:$BE$501,MOD(SMALL(Responses!$BD$2:$BD$501,157),1000)-1),"")</f>
        <v/>
      </c>
    </row>
    <row r="163">
      <c r="A163" s="30">
        <f>IFERROR(INT(SMALL(Responses!$BD$2:$BD$501,158)/10000000),"")</f>
        <v/>
      </c>
      <c r="B163" s="28">
        <f>IFERROR(IF(INDEX(Responses!$AU$2:$AU$501,MOD(SMALL(Responses!$BD$2:$BD$501,158),1000)-1)="","",RIGHT("0"&amp;INT(INDEX(Responses!$AU$2:$AU$501,MOD(SMALL(Responses!$BD$2:$BD$501,158),1000)-1)/60),2)&amp;":"&amp;RIGHT("0"&amp;MOD(INDEX(Responses!$AU$2:$AU$501,MOD(SMALL(Responses!$BD$2:$BD$501,158),1000)-1),60),2)),"")</f>
        <v/>
      </c>
      <c r="C163" s="28">
        <f>IFERROR(IF(INDEX(Responses!$AV$2:$AV$501,MOD(SMALL(Responses!$BD$2:$BD$501,158),1000)-1)="","",RIGHT("0"&amp;INT(INDEX(Responses!$AV$2:$AV$501,MOD(SMALL(Responses!$BD$2:$BD$501,158),1000)-1)/60),2)&amp;":"&amp;RIGHT("0"&amp;MOD(INDEX(Responses!$AV$2:$AV$501,MOD(SMALL(Responses!$BD$2:$BD$501,158),1000)-1),60),2)),"")</f>
        <v/>
      </c>
      <c r="D163" s="28">
        <f>IFERROR(INDEX(Responses!$AS$2:$AS$501,MOD(SMALL(Responses!$BD$2:$BD$501,158),1000)-1),"")</f>
        <v/>
      </c>
      <c r="E163" s="28">
        <f>IFERROR(INDEX(Responses!$AW$2:$AW$501,MOD(SMALL(Responses!$BD$2:$BD$501,158),1000)-1),"")</f>
        <v/>
      </c>
      <c r="F163" s="28">
        <f>IFERROR(INDEX(Responses!$AX$2:$AX$501,MOD(SMALL(Responses!$BD$2:$BD$501,158),1000)-1),"")</f>
        <v/>
      </c>
      <c r="G163" s="28">
        <f>IFERROR(INDEX(Responses!$BE$2:$BE$501,MOD(SMALL(Responses!$BD$2:$BD$501,158),1000)-1),"")</f>
        <v/>
      </c>
    </row>
    <row r="164">
      <c r="A164" s="30">
        <f>IFERROR(INT(SMALL(Responses!$BD$2:$BD$501,159)/10000000),"")</f>
        <v/>
      </c>
      <c r="B164" s="28">
        <f>IFERROR(IF(INDEX(Responses!$AU$2:$AU$501,MOD(SMALL(Responses!$BD$2:$BD$501,159),1000)-1)="","",RIGHT("0"&amp;INT(INDEX(Responses!$AU$2:$AU$501,MOD(SMALL(Responses!$BD$2:$BD$501,159),1000)-1)/60),2)&amp;":"&amp;RIGHT("0"&amp;MOD(INDEX(Responses!$AU$2:$AU$501,MOD(SMALL(Responses!$BD$2:$BD$501,159),1000)-1),60),2)),"")</f>
        <v/>
      </c>
      <c r="C164" s="28">
        <f>IFERROR(IF(INDEX(Responses!$AV$2:$AV$501,MOD(SMALL(Responses!$BD$2:$BD$501,159),1000)-1)="","",RIGHT("0"&amp;INT(INDEX(Responses!$AV$2:$AV$501,MOD(SMALL(Responses!$BD$2:$BD$501,159),1000)-1)/60),2)&amp;":"&amp;RIGHT("0"&amp;MOD(INDEX(Responses!$AV$2:$AV$501,MOD(SMALL(Responses!$BD$2:$BD$501,159),1000)-1),60),2)),"")</f>
        <v/>
      </c>
      <c r="D164" s="28">
        <f>IFERROR(INDEX(Responses!$AS$2:$AS$501,MOD(SMALL(Responses!$BD$2:$BD$501,159),1000)-1),"")</f>
        <v/>
      </c>
      <c r="E164" s="28">
        <f>IFERROR(INDEX(Responses!$AW$2:$AW$501,MOD(SMALL(Responses!$BD$2:$BD$501,159),1000)-1),"")</f>
        <v/>
      </c>
      <c r="F164" s="28">
        <f>IFERROR(INDEX(Responses!$AX$2:$AX$501,MOD(SMALL(Responses!$BD$2:$BD$501,159),1000)-1),"")</f>
        <v/>
      </c>
      <c r="G164" s="28">
        <f>IFERROR(INDEX(Responses!$BE$2:$BE$501,MOD(SMALL(Responses!$BD$2:$BD$501,159),1000)-1),"")</f>
        <v/>
      </c>
    </row>
    <row r="165">
      <c r="A165" s="30">
        <f>IFERROR(INT(SMALL(Responses!$BD$2:$BD$501,160)/10000000),"")</f>
        <v/>
      </c>
      <c r="B165" s="28">
        <f>IFERROR(IF(INDEX(Responses!$AU$2:$AU$501,MOD(SMALL(Responses!$BD$2:$BD$501,160),1000)-1)="","",RIGHT("0"&amp;INT(INDEX(Responses!$AU$2:$AU$501,MOD(SMALL(Responses!$BD$2:$BD$501,160),1000)-1)/60),2)&amp;":"&amp;RIGHT("0"&amp;MOD(INDEX(Responses!$AU$2:$AU$501,MOD(SMALL(Responses!$BD$2:$BD$501,160),1000)-1),60),2)),"")</f>
        <v/>
      </c>
      <c r="C165" s="28">
        <f>IFERROR(IF(INDEX(Responses!$AV$2:$AV$501,MOD(SMALL(Responses!$BD$2:$BD$501,160),1000)-1)="","",RIGHT("0"&amp;INT(INDEX(Responses!$AV$2:$AV$501,MOD(SMALL(Responses!$BD$2:$BD$501,160),1000)-1)/60),2)&amp;":"&amp;RIGHT("0"&amp;MOD(INDEX(Responses!$AV$2:$AV$501,MOD(SMALL(Responses!$BD$2:$BD$501,160),1000)-1),60),2)),"")</f>
        <v/>
      </c>
      <c r="D165" s="28">
        <f>IFERROR(INDEX(Responses!$AS$2:$AS$501,MOD(SMALL(Responses!$BD$2:$BD$501,160),1000)-1),"")</f>
        <v/>
      </c>
      <c r="E165" s="28">
        <f>IFERROR(INDEX(Responses!$AW$2:$AW$501,MOD(SMALL(Responses!$BD$2:$BD$501,160),1000)-1),"")</f>
        <v/>
      </c>
      <c r="F165" s="28">
        <f>IFERROR(INDEX(Responses!$AX$2:$AX$501,MOD(SMALL(Responses!$BD$2:$BD$501,160),1000)-1),"")</f>
        <v/>
      </c>
      <c r="G165" s="28">
        <f>IFERROR(INDEX(Responses!$BE$2:$BE$501,MOD(SMALL(Responses!$BD$2:$BD$501,160),1000)-1),"")</f>
        <v/>
      </c>
    </row>
    <row r="166">
      <c r="A166" s="30">
        <f>IFERROR(INT(SMALL(Responses!$BD$2:$BD$501,161)/10000000),"")</f>
        <v/>
      </c>
      <c r="B166" s="28">
        <f>IFERROR(IF(INDEX(Responses!$AU$2:$AU$501,MOD(SMALL(Responses!$BD$2:$BD$501,161),1000)-1)="","",RIGHT("0"&amp;INT(INDEX(Responses!$AU$2:$AU$501,MOD(SMALL(Responses!$BD$2:$BD$501,161),1000)-1)/60),2)&amp;":"&amp;RIGHT("0"&amp;MOD(INDEX(Responses!$AU$2:$AU$501,MOD(SMALL(Responses!$BD$2:$BD$501,161),1000)-1),60),2)),"")</f>
        <v/>
      </c>
      <c r="C166" s="28">
        <f>IFERROR(IF(INDEX(Responses!$AV$2:$AV$501,MOD(SMALL(Responses!$BD$2:$BD$501,161),1000)-1)="","",RIGHT("0"&amp;INT(INDEX(Responses!$AV$2:$AV$501,MOD(SMALL(Responses!$BD$2:$BD$501,161),1000)-1)/60),2)&amp;":"&amp;RIGHT("0"&amp;MOD(INDEX(Responses!$AV$2:$AV$501,MOD(SMALL(Responses!$BD$2:$BD$501,161),1000)-1),60),2)),"")</f>
        <v/>
      </c>
      <c r="D166" s="28">
        <f>IFERROR(INDEX(Responses!$AS$2:$AS$501,MOD(SMALL(Responses!$BD$2:$BD$501,161),1000)-1),"")</f>
        <v/>
      </c>
      <c r="E166" s="28">
        <f>IFERROR(INDEX(Responses!$AW$2:$AW$501,MOD(SMALL(Responses!$BD$2:$BD$501,161),1000)-1),"")</f>
        <v/>
      </c>
      <c r="F166" s="28">
        <f>IFERROR(INDEX(Responses!$AX$2:$AX$501,MOD(SMALL(Responses!$BD$2:$BD$501,161),1000)-1),"")</f>
        <v/>
      </c>
      <c r="G166" s="28">
        <f>IFERROR(INDEX(Responses!$BE$2:$BE$501,MOD(SMALL(Responses!$BD$2:$BD$501,161),1000)-1),"")</f>
        <v/>
      </c>
    </row>
    <row r="167">
      <c r="A167" s="30">
        <f>IFERROR(INT(SMALL(Responses!$BD$2:$BD$501,162)/10000000),"")</f>
        <v/>
      </c>
      <c r="B167" s="28">
        <f>IFERROR(IF(INDEX(Responses!$AU$2:$AU$501,MOD(SMALL(Responses!$BD$2:$BD$501,162),1000)-1)="","",RIGHT("0"&amp;INT(INDEX(Responses!$AU$2:$AU$501,MOD(SMALL(Responses!$BD$2:$BD$501,162),1000)-1)/60),2)&amp;":"&amp;RIGHT("0"&amp;MOD(INDEX(Responses!$AU$2:$AU$501,MOD(SMALL(Responses!$BD$2:$BD$501,162),1000)-1),60),2)),"")</f>
        <v/>
      </c>
      <c r="C167" s="28">
        <f>IFERROR(IF(INDEX(Responses!$AV$2:$AV$501,MOD(SMALL(Responses!$BD$2:$BD$501,162),1000)-1)="","",RIGHT("0"&amp;INT(INDEX(Responses!$AV$2:$AV$501,MOD(SMALL(Responses!$BD$2:$BD$501,162),1000)-1)/60),2)&amp;":"&amp;RIGHT("0"&amp;MOD(INDEX(Responses!$AV$2:$AV$501,MOD(SMALL(Responses!$BD$2:$BD$501,162),1000)-1),60),2)),"")</f>
        <v/>
      </c>
      <c r="D167" s="28">
        <f>IFERROR(INDEX(Responses!$AS$2:$AS$501,MOD(SMALL(Responses!$BD$2:$BD$501,162),1000)-1),"")</f>
        <v/>
      </c>
      <c r="E167" s="28">
        <f>IFERROR(INDEX(Responses!$AW$2:$AW$501,MOD(SMALL(Responses!$BD$2:$BD$501,162),1000)-1),"")</f>
        <v/>
      </c>
      <c r="F167" s="28">
        <f>IFERROR(INDEX(Responses!$AX$2:$AX$501,MOD(SMALL(Responses!$BD$2:$BD$501,162),1000)-1),"")</f>
        <v/>
      </c>
      <c r="G167" s="28">
        <f>IFERROR(INDEX(Responses!$BE$2:$BE$501,MOD(SMALL(Responses!$BD$2:$BD$501,162),1000)-1),"")</f>
        <v/>
      </c>
    </row>
    <row r="168">
      <c r="A168" s="30">
        <f>IFERROR(INT(SMALL(Responses!$BD$2:$BD$501,163)/10000000),"")</f>
        <v/>
      </c>
      <c r="B168" s="28">
        <f>IFERROR(IF(INDEX(Responses!$AU$2:$AU$501,MOD(SMALL(Responses!$BD$2:$BD$501,163),1000)-1)="","",RIGHT("0"&amp;INT(INDEX(Responses!$AU$2:$AU$501,MOD(SMALL(Responses!$BD$2:$BD$501,163),1000)-1)/60),2)&amp;":"&amp;RIGHT("0"&amp;MOD(INDEX(Responses!$AU$2:$AU$501,MOD(SMALL(Responses!$BD$2:$BD$501,163),1000)-1),60),2)),"")</f>
        <v/>
      </c>
      <c r="C168" s="28">
        <f>IFERROR(IF(INDEX(Responses!$AV$2:$AV$501,MOD(SMALL(Responses!$BD$2:$BD$501,163),1000)-1)="","",RIGHT("0"&amp;INT(INDEX(Responses!$AV$2:$AV$501,MOD(SMALL(Responses!$BD$2:$BD$501,163),1000)-1)/60),2)&amp;":"&amp;RIGHT("0"&amp;MOD(INDEX(Responses!$AV$2:$AV$501,MOD(SMALL(Responses!$BD$2:$BD$501,163),1000)-1),60),2)),"")</f>
        <v/>
      </c>
      <c r="D168" s="28">
        <f>IFERROR(INDEX(Responses!$AS$2:$AS$501,MOD(SMALL(Responses!$BD$2:$BD$501,163),1000)-1),"")</f>
        <v/>
      </c>
      <c r="E168" s="28">
        <f>IFERROR(INDEX(Responses!$AW$2:$AW$501,MOD(SMALL(Responses!$BD$2:$BD$501,163),1000)-1),"")</f>
        <v/>
      </c>
      <c r="F168" s="28">
        <f>IFERROR(INDEX(Responses!$AX$2:$AX$501,MOD(SMALL(Responses!$BD$2:$BD$501,163),1000)-1),"")</f>
        <v/>
      </c>
      <c r="G168" s="28">
        <f>IFERROR(INDEX(Responses!$BE$2:$BE$501,MOD(SMALL(Responses!$BD$2:$BD$501,163),1000)-1),"")</f>
        <v/>
      </c>
    </row>
    <row r="169">
      <c r="A169" s="30">
        <f>IFERROR(INT(SMALL(Responses!$BD$2:$BD$501,164)/10000000),"")</f>
        <v/>
      </c>
      <c r="B169" s="28">
        <f>IFERROR(IF(INDEX(Responses!$AU$2:$AU$501,MOD(SMALL(Responses!$BD$2:$BD$501,164),1000)-1)="","",RIGHT("0"&amp;INT(INDEX(Responses!$AU$2:$AU$501,MOD(SMALL(Responses!$BD$2:$BD$501,164),1000)-1)/60),2)&amp;":"&amp;RIGHT("0"&amp;MOD(INDEX(Responses!$AU$2:$AU$501,MOD(SMALL(Responses!$BD$2:$BD$501,164),1000)-1),60),2)),"")</f>
        <v/>
      </c>
      <c r="C169" s="28">
        <f>IFERROR(IF(INDEX(Responses!$AV$2:$AV$501,MOD(SMALL(Responses!$BD$2:$BD$501,164),1000)-1)="","",RIGHT("0"&amp;INT(INDEX(Responses!$AV$2:$AV$501,MOD(SMALL(Responses!$BD$2:$BD$501,164),1000)-1)/60),2)&amp;":"&amp;RIGHT("0"&amp;MOD(INDEX(Responses!$AV$2:$AV$501,MOD(SMALL(Responses!$BD$2:$BD$501,164),1000)-1),60),2)),"")</f>
        <v/>
      </c>
      <c r="D169" s="28">
        <f>IFERROR(INDEX(Responses!$AS$2:$AS$501,MOD(SMALL(Responses!$BD$2:$BD$501,164),1000)-1),"")</f>
        <v/>
      </c>
      <c r="E169" s="28">
        <f>IFERROR(INDEX(Responses!$AW$2:$AW$501,MOD(SMALL(Responses!$BD$2:$BD$501,164),1000)-1),"")</f>
        <v/>
      </c>
      <c r="F169" s="28">
        <f>IFERROR(INDEX(Responses!$AX$2:$AX$501,MOD(SMALL(Responses!$BD$2:$BD$501,164),1000)-1),"")</f>
        <v/>
      </c>
      <c r="G169" s="28">
        <f>IFERROR(INDEX(Responses!$BE$2:$BE$501,MOD(SMALL(Responses!$BD$2:$BD$501,164),1000)-1),"")</f>
        <v/>
      </c>
    </row>
    <row r="170">
      <c r="A170" s="30">
        <f>IFERROR(INT(SMALL(Responses!$BD$2:$BD$501,165)/10000000),"")</f>
        <v/>
      </c>
      <c r="B170" s="28">
        <f>IFERROR(IF(INDEX(Responses!$AU$2:$AU$501,MOD(SMALL(Responses!$BD$2:$BD$501,165),1000)-1)="","",RIGHT("0"&amp;INT(INDEX(Responses!$AU$2:$AU$501,MOD(SMALL(Responses!$BD$2:$BD$501,165),1000)-1)/60),2)&amp;":"&amp;RIGHT("0"&amp;MOD(INDEX(Responses!$AU$2:$AU$501,MOD(SMALL(Responses!$BD$2:$BD$501,165),1000)-1),60),2)),"")</f>
        <v/>
      </c>
      <c r="C170" s="28">
        <f>IFERROR(IF(INDEX(Responses!$AV$2:$AV$501,MOD(SMALL(Responses!$BD$2:$BD$501,165),1000)-1)="","",RIGHT("0"&amp;INT(INDEX(Responses!$AV$2:$AV$501,MOD(SMALL(Responses!$BD$2:$BD$501,165),1000)-1)/60),2)&amp;":"&amp;RIGHT("0"&amp;MOD(INDEX(Responses!$AV$2:$AV$501,MOD(SMALL(Responses!$BD$2:$BD$501,165),1000)-1),60),2)),"")</f>
        <v/>
      </c>
      <c r="D170" s="28">
        <f>IFERROR(INDEX(Responses!$AS$2:$AS$501,MOD(SMALL(Responses!$BD$2:$BD$501,165),1000)-1),"")</f>
        <v/>
      </c>
      <c r="E170" s="28">
        <f>IFERROR(INDEX(Responses!$AW$2:$AW$501,MOD(SMALL(Responses!$BD$2:$BD$501,165),1000)-1),"")</f>
        <v/>
      </c>
      <c r="F170" s="28">
        <f>IFERROR(INDEX(Responses!$AX$2:$AX$501,MOD(SMALL(Responses!$BD$2:$BD$501,165),1000)-1),"")</f>
        <v/>
      </c>
      <c r="G170" s="28">
        <f>IFERROR(INDEX(Responses!$BE$2:$BE$501,MOD(SMALL(Responses!$BD$2:$BD$501,165),1000)-1),"")</f>
        <v/>
      </c>
    </row>
    <row r="171">
      <c r="A171" s="30">
        <f>IFERROR(INT(SMALL(Responses!$BD$2:$BD$501,166)/10000000),"")</f>
        <v/>
      </c>
      <c r="B171" s="28">
        <f>IFERROR(IF(INDEX(Responses!$AU$2:$AU$501,MOD(SMALL(Responses!$BD$2:$BD$501,166),1000)-1)="","",RIGHT("0"&amp;INT(INDEX(Responses!$AU$2:$AU$501,MOD(SMALL(Responses!$BD$2:$BD$501,166),1000)-1)/60),2)&amp;":"&amp;RIGHT("0"&amp;MOD(INDEX(Responses!$AU$2:$AU$501,MOD(SMALL(Responses!$BD$2:$BD$501,166),1000)-1),60),2)),"")</f>
        <v/>
      </c>
      <c r="C171" s="28">
        <f>IFERROR(IF(INDEX(Responses!$AV$2:$AV$501,MOD(SMALL(Responses!$BD$2:$BD$501,166),1000)-1)="","",RIGHT("0"&amp;INT(INDEX(Responses!$AV$2:$AV$501,MOD(SMALL(Responses!$BD$2:$BD$501,166),1000)-1)/60),2)&amp;":"&amp;RIGHT("0"&amp;MOD(INDEX(Responses!$AV$2:$AV$501,MOD(SMALL(Responses!$BD$2:$BD$501,166),1000)-1),60),2)),"")</f>
        <v/>
      </c>
      <c r="D171" s="28">
        <f>IFERROR(INDEX(Responses!$AS$2:$AS$501,MOD(SMALL(Responses!$BD$2:$BD$501,166),1000)-1),"")</f>
        <v/>
      </c>
      <c r="E171" s="28">
        <f>IFERROR(INDEX(Responses!$AW$2:$AW$501,MOD(SMALL(Responses!$BD$2:$BD$501,166),1000)-1),"")</f>
        <v/>
      </c>
      <c r="F171" s="28">
        <f>IFERROR(INDEX(Responses!$AX$2:$AX$501,MOD(SMALL(Responses!$BD$2:$BD$501,166),1000)-1),"")</f>
        <v/>
      </c>
      <c r="G171" s="28">
        <f>IFERROR(INDEX(Responses!$BE$2:$BE$501,MOD(SMALL(Responses!$BD$2:$BD$501,166),1000)-1),"")</f>
        <v/>
      </c>
    </row>
    <row r="172">
      <c r="A172" s="30">
        <f>IFERROR(INT(SMALL(Responses!$BD$2:$BD$501,167)/10000000),"")</f>
        <v/>
      </c>
      <c r="B172" s="28">
        <f>IFERROR(IF(INDEX(Responses!$AU$2:$AU$501,MOD(SMALL(Responses!$BD$2:$BD$501,167),1000)-1)="","",RIGHT("0"&amp;INT(INDEX(Responses!$AU$2:$AU$501,MOD(SMALL(Responses!$BD$2:$BD$501,167),1000)-1)/60),2)&amp;":"&amp;RIGHT("0"&amp;MOD(INDEX(Responses!$AU$2:$AU$501,MOD(SMALL(Responses!$BD$2:$BD$501,167),1000)-1),60),2)),"")</f>
        <v/>
      </c>
      <c r="C172" s="28">
        <f>IFERROR(IF(INDEX(Responses!$AV$2:$AV$501,MOD(SMALL(Responses!$BD$2:$BD$501,167),1000)-1)="","",RIGHT("0"&amp;INT(INDEX(Responses!$AV$2:$AV$501,MOD(SMALL(Responses!$BD$2:$BD$501,167),1000)-1)/60),2)&amp;":"&amp;RIGHT("0"&amp;MOD(INDEX(Responses!$AV$2:$AV$501,MOD(SMALL(Responses!$BD$2:$BD$501,167),1000)-1),60),2)),"")</f>
        <v/>
      </c>
      <c r="D172" s="28">
        <f>IFERROR(INDEX(Responses!$AS$2:$AS$501,MOD(SMALL(Responses!$BD$2:$BD$501,167),1000)-1),"")</f>
        <v/>
      </c>
      <c r="E172" s="28">
        <f>IFERROR(INDEX(Responses!$AW$2:$AW$501,MOD(SMALL(Responses!$BD$2:$BD$501,167),1000)-1),"")</f>
        <v/>
      </c>
      <c r="F172" s="28">
        <f>IFERROR(INDEX(Responses!$AX$2:$AX$501,MOD(SMALL(Responses!$BD$2:$BD$501,167),1000)-1),"")</f>
        <v/>
      </c>
      <c r="G172" s="28">
        <f>IFERROR(INDEX(Responses!$BE$2:$BE$501,MOD(SMALL(Responses!$BD$2:$BD$501,167),1000)-1),"")</f>
        <v/>
      </c>
    </row>
    <row r="173">
      <c r="A173" s="30">
        <f>IFERROR(INT(SMALL(Responses!$BD$2:$BD$501,168)/10000000),"")</f>
        <v/>
      </c>
      <c r="B173" s="28">
        <f>IFERROR(IF(INDEX(Responses!$AU$2:$AU$501,MOD(SMALL(Responses!$BD$2:$BD$501,168),1000)-1)="","",RIGHT("0"&amp;INT(INDEX(Responses!$AU$2:$AU$501,MOD(SMALL(Responses!$BD$2:$BD$501,168),1000)-1)/60),2)&amp;":"&amp;RIGHT("0"&amp;MOD(INDEX(Responses!$AU$2:$AU$501,MOD(SMALL(Responses!$BD$2:$BD$501,168),1000)-1),60),2)),"")</f>
        <v/>
      </c>
      <c r="C173" s="28">
        <f>IFERROR(IF(INDEX(Responses!$AV$2:$AV$501,MOD(SMALL(Responses!$BD$2:$BD$501,168),1000)-1)="","",RIGHT("0"&amp;INT(INDEX(Responses!$AV$2:$AV$501,MOD(SMALL(Responses!$BD$2:$BD$501,168),1000)-1)/60),2)&amp;":"&amp;RIGHT("0"&amp;MOD(INDEX(Responses!$AV$2:$AV$501,MOD(SMALL(Responses!$BD$2:$BD$501,168),1000)-1),60),2)),"")</f>
        <v/>
      </c>
      <c r="D173" s="28">
        <f>IFERROR(INDEX(Responses!$AS$2:$AS$501,MOD(SMALL(Responses!$BD$2:$BD$501,168),1000)-1),"")</f>
        <v/>
      </c>
      <c r="E173" s="28">
        <f>IFERROR(INDEX(Responses!$AW$2:$AW$501,MOD(SMALL(Responses!$BD$2:$BD$501,168),1000)-1),"")</f>
        <v/>
      </c>
      <c r="F173" s="28">
        <f>IFERROR(INDEX(Responses!$AX$2:$AX$501,MOD(SMALL(Responses!$BD$2:$BD$501,168),1000)-1),"")</f>
        <v/>
      </c>
      <c r="G173" s="28">
        <f>IFERROR(INDEX(Responses!$BE$2:$BE$501,MOD(SMALL(Responses!$BD$2:$BD$501,168),1000)-1),"")</f>
        <v/>
      </c>
    </row>
    <row r="174">
      <c r="A174" s="30">
        <f>IFERROR(INT(SMALL(Responses!$BD$2:$BD$501,169)/10000000),"")</f>
        <v/>
      </c>
      <c r="B174" s="28">
        <f>IFERROR(IF(INDEX(Responses!$AU$2:$AU$501,MOD(SMALL(Responses!$BD$2:$BD$501,169),1000)-1)="","",RIGHT("0"&amp;INT(INDEX(Responses!$AU$2:$AU$501,MOD(SMALL(Responses!$BD$2:$BD$501,169),1000)-1)/60),2)&amp;":"&amp;RIGHT("0"&amp;MOD(INDEX(Responses!$AU$2:$AU$501,MOD(SMALL(Responses!$BD$2:$BD$501,169),1000)-1),60),2)),"")</f>
        <v/>
      </c>
      <c r="C174" s="28">
        <f>IFERROR(IF(INDEX(Responses!$AV$2:$AV$501,MOD(SMALL(Responses!$BD$2:$BD$501,169),1000)-1)="","",RIGHT("0"&amp;INT(INDEX(Responses!$AV$2:$AV$501,MOD(SMALL(Responses!$BD$2:$BD$501,169),1000)-1)/60),2)&amp;":"&amp;RIGHT("0"&amp;MOD(INDEX(Responses!$AV$2:$AV$501,MOD(SMALL(Responses!$BD$2:$BD$501,169),1000)-1),60),2)),"")</f>
        <v/>
      </c>
      <c r="D174" s="28">
        <f>IFERROR(INDEX(Responses!$AS$2:$AS$501,MOD(SMALL(Responses!$BD$2:$BD$501,169),1000)-1),"")</f>
        <v/>
      </c>
      <c r="E174" s="28">
        <f>IFERROR(INDEX(Responses!$AW$2:$AW$501,MOD(SMALL(Responses!$BD$2:$BD$501,169),1000)-1),"")</f>
        <v/>
      </c>
      <c r="F174" s="28">
        <f>IFERROR(INDEX(Responses!$AX$2:$AX$501,MOD(SMALL(Responses!$BD$2:$BD$501,169),1000)-1),"")</f>
        <v/>
      </c>
      <c r="G174" s="28">
        <f>IFERROR(INDEX(Responses!$BE$2:$BE$501,MOD(SMALL(Responses!$BD$2:$BD$501,169),1000)-1),"")</f>
        <v/>
      </c>
    </row>
    <row r="175">
      <c r="A175" s="30">
        <f>IFERROR(INT(SMALL(Responses!$BD$2:$BD$501,170)/10000000),"")</f>
        <v/>
      </c>
      <c r="B175" s="28">
        <f>IFERROR(IF(INDEX(Responses!$AU$2:$AU$501,MOD(SMALL(Responses!$BD$2:$BD$501,170),1000)-1)="","",RIGHT("0"&amp;INT(INDEX(Responses!$AU$2:$AU$501,MOD(SMALL(Responses!$BD$2:$BD$501,170),1000)-1)/60),2)&amp;":"&amp;RIGHT("0"&amp;MOD(INDEX(Responses!$AU$2:$AU$501,MOD(SMALL(Responses!$BD$2:$BD$501,170),1000)-1),60),2)),"")</f>
        <v/>
      </c>
      <c r="C175" s="28">
        <f>IFERROR(IF(INDEX(Responses!$AV$2:$AV$501,MOD(SMALL(Responses!$BD$2:$BD$501,170),1000)-1)="","",RIGHT("0"&amp;INT(INDEX(Responses!$AV$2:$AV$501,MOD(SMALL(Responses!$BD$2:$BD$501,170),1000)-1)/60),2)&amp;":"&amp;RIGHT("0"&amp;MOD(INDEX(Responses!$AV$2:$AV$501,MOD(SMALL(Responses!$BD$2:$BD$501,170),1000)-1),60),2)),"")</f>
        <v/>
      </c>
      <c r="D175" s="28">
        <f>IFERROR(INDEX(Responses!$AS$2:$AS$501,MOD(SMALL(Responses!$BD$2:$BD$501,170),1000)-1),"")</f>
        <v/>
      </c>
      <c r="E175" s="28">
        <f>IFERROR(INDEX(Responses!$AW$2:$AW$501,MOD(SMALL(Responses!$BD$2:$BD$501,170),1000)-1),"")</f>
        <v/>
      </c>
      <c r="F175" s="28">
        <f>IFERROR(INDEX(Responses!$AX$2:$AX$501,MOD(SMALL(Responses!$BD$2:$BD$501,170),1000)-1),"")</f>
        <v/>
      </c>
      <c r="G175" s="28">
        <f>IFERROR(INDEX(Responses!$BE$2:$BE$501,MOD(SMALL(Responses!$BD$2:$BD$501,170),1000)-1),"")</f>
        <v/>
      </c>
    </row>
    <row r="176">
      <c r="A176" s="30">
        <f>IFERROR(INT(SMALL(Responses!$BD$2:$BD$501,171)/10000000),"")</f>
        <v/>
      </c>
      <c r="B176" s="28">
        <f>IFERROR(IF(INDEX(Responses!$AU$2:$AU$501,MOD(SMALL(Responses!$BD$2:$BD$501,171),1000)-1)="","",RIGHT("0"&amp;INT(INDEX(Responses!$AU$2:$AU$501,MOD(SMALL(Responses!$BD$2:$BD$501,171),1000)-1)/60),2)&amp;":"&amp;RIGHT("0"&amp;MOD(INDEX(Responses!$AU$2:$AU$501,MOD(SMALL(Responses!$BD$2:$BD$501,171),1000)-1),60),2)),"")</f>
        <v/>
      </c>
      <c r="C176" s="28">
        <f>IFERROR(IF(INDEX(Responses!$AV$2:$AV$501,MOD(SMALL(Responses!$BD$2:$BD$501,171),1000)-1)="","",RIGHT("0"&amp;INT(INDEX(Responses!$AV$2:$AV$501,MOD(SMALL(Responses!$BD$2:$BD$501,171),1000)-1)/60),2)&amp;":"&amp;RIGHT("0"&amp;MOD(INDEX(Responses!$AV$2:$AV$501,MOD(SMALL(Responses!$BD$2:$BD$501,171),1000)-1),60),2)),"")</f>
        <v/>
      </c>
      <c r="D176" s="28">
        <f>IFERROR(INDEX(Responses!$AS$2:$AS$501,MOD(SMALL(Responses!$BD$2:$BD$501,171),1000)-1),"")</f>
        <v/>
      </c>
      <c r="E176" s="28">
        <f>IFERROR(INDEX(Responses!$AW$2:$AW$501,MOD(SMALL(Responses!$BD$2:$BD$501,171),1000)-1),"")</f>
        <v/>
      </c>
      <c r="F176" s="28">
        <f>IFERROR(INDEX(Responses!$AX$2:$AX$501,MOD(SMALL(Responses!$BD$2:$BD$501,171),1000)-1),"")</f>
        <v/>
      </c>
      <c r="G176" s="28">
        <f>IFERROR(INDEX(Responses!$BE$2:$BE$501,MOD(SMALL(Responses!$BD$2:$BD$501,171),1000)-1),"")</f>
        <v/>
      </c>
    </row>
    <row r="177">
      <c r="A177" s="30">
        <f>IFERROR(INT(SMALL(Responses!$BD$2:$BD$501,172)/10000000),"")</f>
        <v/>
      </c>
      <c r="B177" s="28">
        <f>IFERROR(IF(INDEX(Responses!$AU$2:$AU$501,MOD(SMALL(Responses!$BD$2:$BD$501,172),1000)-1)="","",RIGHT("0"&amp;INT(INDEX(Responses!$AU$2:$AU$501,MOD(SMALL(Responses!$BD$2:$BD$501,172),1000)-1)/60),2)&amp;":"&amp;RIGHT("0"&amp;MOD(INDEX(Responses!$AU$2:$AU$501,MOD(SMALL(Responses!$BD$2:$BD$501,172),1000)-1),60),2)),"")</f>
        <v/>
      </c>
      <c r="C177" s="28">
        <f>IFERROR(IF(INDEX(Responses!$AV$2:$AV$501,MOD(SMALL(Responses!$BD$2:$BD$501,172),1000)-1)="","",RIGHT("0"&amp;INT(INDEX(Responses!$AV$2:$AV$501,MOD(SMALL(Responses!$BD$2:$BD$501,172),1000)-1)/60),2)&amp;":"&amp;RIGHT("0"&amp;MOD(INDEX(Responses!$AV$2:$AV$501,MOD(SMALL(Responses!$BD$2:$BD$501,172),1000)-1),60),2)),"")</f>
        <v/>
      </c>
      <c r="D177" s="28">
        <f>IFERROR(INDEX(Responses!$AS$2:$AS$501,MOD(SMALL(Responses!$BD$2:$BD$501,172),1000)-1),"")</f>
        <v/>
      </c>
      <c r="E177" s="28">
        <f>IFERROR(INDEX(Responses!$AW$2:$AW$501,MOD(SMALL(Responses!$BD$2:$BD$501,172),1000)-1),"")</f>
        <v/>
      </c>
      <c r="F177" s="28">
        <f>IFERROR(INDEX(Responses!$AX$2:$AX$501,MOD(SMALL(Responses!$BD$2:$BD$501,172),1000)-1),"")</f>
        <v/>
      </c>
      <c r="G177" s="28">
        <f>IFERROR(INDEX(Responses!$BE$2:$BE$501,MOD(SMALL(Responses!$BD$2:$BD$501,172),1000)-1),"")</f>
        <v/>
      </c>
    </row>
    <row r="178">
      <c r="A178" s="30">
        <f>IFERROR(INT(SMALL(Responses!$BD$2:$BD$501,173)/10000000),"")</f>
        <v/>
      </c>
      <c r="B178" s="28">
        <f>IFERROR(IF(INDEX(Responses!$AU$2:$AU$501,MOD(SMALL(Responses!$BD$2:$BD$501,173),1000)-1)="","",RIGHT("0"&amp;INT(INDEX(Responses!$AU$2:$AU$501,MOD(SMALL(Responses!$BD$2:$BD$501,173),1000)-1)/60),2)&amp;":"&amp;RIGHT("0"&amp;MOD(INDEX(Responses!$AU$2:$AU$501,MOD(SMALL(Responses!$BD$2:$BD$501,173),1000)-1),60),2)),"")</f>
        <v/>
      </c>
      <c r="C178" s="28">
        <f>IFERROR(IF(INDEX(Responses!$AV$2:$AV$501,MOD(SMALL(Responses!$BD$2:$BD$501,173),1000)-1)="","",RIGHT("0"&amp;INT(INDEX(Responses!$AV$2:$AV$501,MOD(SMALL(Responses!$BD$2:$BD$501,173),1000)-1)/60),2)&amp;":"&amp;RIGHT("0"&amp;MOD(INDEX(Responses!$AV$2:$AV$501,MOD(SMALL(Responses!$BD$2:$BD$501,173),1000)-1),60),2)),"")</f>
        <v/>
      </c>
      <c r="D178" s="28">
        <f>IFERROR(INDEX(Responses!$AS$2:$AS$501,MOD(SMALL(Responses!$BD$2:$BD$501,173),1000)-1),"")</f>
        <v/>
      </c>
      <c r="E178" s="28">
        <f>IFERROR(INDEX(Responses!$AW$2:$AW$501,MOD(SMALL(Responses!$BD$2:$BD$501,173),1000)-1),"")</f>
        <v/>
      </c>
      <c r="F178" s="28">
        <f>IFERROR(INDEX(Responses!$AX$2:$AX$501,MOD(SMALL(Responses!$BD$2:$BD$501,173),1000)-1),"")</f>
        <v/>
      </c>
      <c r="G178" s="28">
        <f>IFERROR(INDEX(Responses!$BE$2:$BE$501,MOD(SMALL(Responses!$BD$2:$BD$501,173),1000)-1),"")</f>
        <v/>
      </c>
    </row>
    <row r="179">
      <c r="A179" s="30">
        <f>IFERROR(INT(SMALL(Responses!$BD$2:$BD$501,174)/10000000),"")</f>
        <v/>
      </c>
      <c r="B179" s="28">
        <f>IFERROR(IF(INDEX(Responses!$AU$2:$AU$501,MOD(SMALL(Responses!$BD$2:$BD$501,174),1000)-1)="","",RIGHT("0"&amp;INT(INDEX(Responses!$AU$2:$AU$501,MOD(SMALL(Responses!$BD$2:$BD$501,174),1000)-1)/60),2)&amp;":"&amp;RIGHT("0"&amp;MOD(INDEX(Responses!$AU$2:$AU$501,MOD(SMALL(Responses!$BD$2:$BD$501,174),1000)-1),60),2)),"")</f>
        <v/>
      </c>
      <c r="C179" s="28">
        <f>IFERROR(IF(INDEX(Responses!$AV$2:$AV$501,MOD(SMALL(Responses!$BD$2:$BD$501,174),1000)-1)="","",RIGHT("0"&amp;INT(INDEX(Responses!$AV$2:$AV$501,MOD(SMALL(Responses!$BD$2:$BD$501,174),1000)-1)/60),2)&amp;":"&amp;RIGHT("0"&amp;MOD(INDEX(Responses!$AV$2:$AV$501,MOD(SMALL(Responses!$BD$2:$BD$501,174),1000)-1),60),2)),"")</f>
        <v/>
      </c>
      <c r="D179" s="28">
        <f>IFERROR(INDEX(Responses!$AS$2:$AS$501,MOD(SMALL(Responses!$BD$2:$BD$501,174),1000)-1),"")</f>
        <v/>
      </c>
      <c r="E179" s="28">
        <f>IFERROR(INDEX(Responses!$AW$2:$AW$501,MOD(SMALL(Responses!$BD$2:$BD$501,174),1000)-1),"")</f>
        <v/>
      </c>
      <c r="F179" s="28">
        <f>IFERROR(INDEX(Responses!$AX$2:$AX$501,MOD(SMALL(Responses!$BD$2:$BD$501,174),1000)-1),"")</f>
        <v/>
      </c>
      <c r="G179" s="28">
        <f>IFERROR(INDEX(Responses!$BE$2:$BE$501,MOD(SMALL(Responses!$BD$2:$BD$501,174),1000)-1),"")</f>
        <v/>
      </c>
    </row>
    <row r="180">
      <c r="A180" s="30">
        <f>IFERROR(INT(SMALL(Responses!$BD$2:$BD$501,175)/10000000),"")</f>
        <v/>
      </c>
      <c r="B180" s="28">
        <f>IFERROR(IF(INDEX(Responses!$AU$2:$AU$501,MOD(SMALL(Responses!$BD$2:$BD$501,175),1000)-1)="","",RIGHT("0"&amp;INT(INDEX(Responses!$AU$2:$AU$501,MOD(SMALL(Responses!$BD$2:$BD$501,175),1000)-1)/60),2)&amp;":"&amp;RIGHT("0"&amp;MOD(INDEX(Responses!$AU$2:$AU$501,MOD(SMALL(Responses!$BD$2:$BD$501,175),1000)-1),60),2)),"")</f>
        <v/>
      </c>
      <c r="C180" s="28">
        <f>IFERROR(IF(INDEX(Responses!$AV$2:$AV$501,MOD(SMALL(Responses!$BD$2:$BD$501,175),1000)-1)="","",RIGHT("0"&amp;INT(INDEX(Responses!$AV$2:$AV$501,MOD(SMALL(Responses!$BD$2:$BD$501,175),1000)-1)/60),2)&amp;":"&amp;RIGHT("0"&amp;MOD(INDEX(Responses!$AV$2:$AV$501,MOD(SMALL(Responses!$BD$2:$BD$501,175),1000)-1),60),2)),"")</f>
        <v/>
      </c>
      <c r="D180" s="28">
        <f>IFERROR(INDEX(Responses!$AS$2:$AS$501,MOD(SMALL(Responses!$BD$2:$BD$501,175),1000)-1),"")</f>
        <v/>
      </c>
      <c r="E180" s="28">
        <f>IFERROR(INDEX(Responses!$AW$2:$AW$501,MOD(SMALL(Responses!$BD$2:$BD$501,175),1000)-1),"")</f>
        <v/>
      </c>
      <c r="F180" s="28">
        <f>IFERROR(INDEX(Responses!$AX$2:$AX$501,MOD(SMALL(Responses!$BD$2:$BD$501,175),1000)-1),"")</f>
        <v/>
      </c>
      <c r="G180" s="28">
        <f>IFERROR(INDEX(Responses!$BE$2:$BE$501,MOD(SMALL(Responses!$BD$2:$BD$501,175),1000)-1),"")</f>
        <v/>
      </c>
    </row>
    <row r="181">
      <c r="A181" s="30">
        <f>IFERROR(INT(SMALL(Responses!$BD$2:$BD$501,176)/10000000),"")</f>
        <v/>
      </c>
      <c r="B181" s="28">
        <f>IFERROR(IF(INDEX(Responses!$AU$2:$AU$501,MOD(SMALL(Responses!$BD$2:$BD$501,176),1000)-1)="","",RIGHT("0"&amp;INT(INDEX(Responses!$AU$2:$AU$501,MOD(SMALL(Responses!$BD$2:$BD$501,176),1000)-1)/60),2)&amp;":"&amp;RIGHT("0"&amp;MOD(INDEX(Responses!$AU$2:$AU$501,MOD(SMALL(Responses!$BD$2:$BD$501,176),1000)-1),60),2)),"")</f>
        <v/>
      </c>
      <c r="C181" s="28">
        <f>IFERROR(IF(INDEX(Responses!$AV$2:$AV$501,MOD(SMALL(Responses!$BD$2:$BD$501,176),1000)-1)="","",RIGHT("0"&amp;INT(INDEX(Responses!$AV$2:$AV$501,MOD(SMALL(Responses!$BD$2:$BD$501,176),1000)-1)/60),2)&amp;":"&amp;RIGHT("0"&amp;MOD(INDEX(Responses!$AV$2:$AV$501,MOD(SMALL(Responses!$BD$2:$BD$501,176),1000)-1),60),2)),"")</f>
        <v/>
      </c>
      <c r="D181" s="28">
        <f>IFERROR(INDEX(Responses!$AS$2:$AS$501,MOD(SMALL(Responses!$BD$2:$BD$501,176),1000)-1),"")</f>
        <v/>
      </c>
      <c r="E181" s="28">
        <f>IFERROR(INDEX(Responses!$AW$2:$AW$501,MOD(SMALL(Responses!$BD$2:$BD$501,176),1000)-1),"")</f>
        <v/>
      </c>
      <c r="F181" s="28">
        <f>IFERROR(INDEX(Responses!$AX$2:$AX$501,MOD(SMALL(Responses!$BD$2:$BD$501,176),1000)-1),"")</f>
        <v/>
      </c>
      <c r="G181" s="28">
        <f>IFERROR(INDEX(Responses!$BE$2:$BE$501,MOD(SMALL(Responses!$BD$2:$BD$501,176),1000)-1),"")</f>
        <v/>
      </c>
    </row>
    <row r="182">
      <c r="A182" s="30">
        <f>IFERROR(INT(SMALL(Responses!$BD$2:$BD$501,177)/10000000),"")</f>
        <v/>
      </c>
      <c r="B182" s="28">
        <f>IFERROR(IF(INDEX(Responses!$AU$2:$AU$501,MOD(SMALL(Responses!$BD$2:$BD$501,177),1000)-1)="","",RIGHT("0"&amp;INT(INDEX(Responses!$AU$2:$AU$501,MOD(SMALL(Responses!$BD$2:$BD$501,177),1000)-1)/60),2)&amp;":"&amp;RIGHT("0"&amp;MOD(INDEX(Responses!$AU$2:$AU$501,MOD(SMALL(Responses!$BD$2:$BD$501,177),1000)-1),60),2)),"")</f>
        <v/>
      </c>
      <c r="C182" s="28">
        <f>IFERROR(IF(INDEX(Responses!$AV$2:$AV$501,MOD(SMALL(Responses!$BD$2:$BD$501,177),1000)-1)="","",RIGHT("0"&amp;INT(INDEX(Responses!$AV$2:$AV$501,MOD(SMALL(Responses!$BD$2:$BD$501,177),1000)-1)/60),2)&amp;":"&amp;RIGHT("0"&amp;MOD(INDEX(Responses!$AV$2:$AV$501,MOD(SMALL(Responses!$BD$2:$BD$501,177),1000)-1),60),2)),"")</f>
        <v/>
      </c>
      <c r="D182" s="28">
        <f>IFERROR(INDEX(Responses!$AS$2:$AS$501,MOD(SMALL(Responses!$BD$2:$BD$501,177),1000)-1),"")</f>
        <v/>
      </c>
      <c r="E182" s="28">
        <f>IFERROR(INDEX(Responses!$AW$2:$AW$501,MOD(SMALL(Responses!$BD$2:$BD$501,177),1000)-1),"")</f>
        <v/>
      </c>
      <c r="F182" s="28">
        <f>IFERROR(INDEX(Responses!$AX$2:$AX$501,MOD(SMALL(Responses!$BD$2:$BD$501,177),1000)-1),"")</f>
        <v/>
      </c>
      <c r="G182" s="28">
        <f>IFERROR(INDEX(Responses!$BE$2:$BE$501,MOD(SMALL(Responses!$BD$2:$BD$501,177),1000)-1),"")</f>
        <v/>
      </c>
    </row>
    <row r="183">
      <c r="A183" s="30">
        <f>IFERROR(INT(SMALL(Responses!$BD$2:$BD$501,178)/10000000),"")</f>
        <v/>
      </c>
      <c r="B183" s="28">
        <f>IFERROR(IF(INDEX(Responses!$AU$2:$AU$501,MOD(SMALL(Responses!$BD$2:$BD$501,178),1000)-1)="","",RIGHT("0"&amp;INT(INDEX(Responses!$AU$2:$AU$501,MOD(SMALL(Responses!$BD$2:$BD$501,178),1000)-1)/60),2)&amp;":"&amp;RIGHT("0"&amp;MOD(INDEX(Responses!$AU$2:$AU$501,MOD(SMALL(Responses!$BD$2:$BD$501,178),1000)-1),60),2)),"")</f>
        <v/>
      </c>
      <c r="C183" s="28">
        <f>IFERROR(IF(INDEX(Responses!$AV$2:$AV$501,MOD(SMALL(Responses!$BD$2:$BD$501,178),1000)-1)="","",RIGHT("0"&amp;INT(INDEX(Responses!$AV$2:$AV$501,MOD(SMALL(Responses!$BD$2:$BD$501,178),1000)-1)/60),2)&amp;":"&amp;RIGHT("0"&amp;MOD(INDEX(Responses!$AV$2:$AV$501,MOD(SMALL(Responses!$BD$2:$BD$501,178),1000)-1),60),2)),"")</f>
        <v/>
      </c>
      <c r="D183" s="28">
        <f>IFERROR(INDEX(Responses!$AS$2:$AS$501,MOD(SMALL(Responses!$BD$2:$BD$501,178),1000)-1),"")</f>
        <v/>
      </c>
      <c r="E183" s="28">
        <f>IFERROR(INDEX(Responses!$AW$2:$AW$501,MOD(SMALL(Responses!$BD$2:$BD$501,178),1000)-1),"")</f>
        <v/>
      </c>
      <c r="F183" s="28">
        <f>IFERROR(INDEX(Responses!$AX$2:$AX$501,MOD(SMALL(Responses!$BD$2:$BD$501,178),1000)-1),"")</f>
        <v/>
      </c>
      <c r="G183" s="28">
        <f>IFERROR(INDEX(Responses!$BE$2:$BE$501,MOD(SMALL(Responses!$BD$2:$BD$501,178),1000)-1),"")</f>
        <v/>
      </c>
    </row>
    <row r="184">
      <c r="A184" s="30">
        <f>IFERROR(INT(SMALL(Responses!$BD$2:$BD$501,179)/10000000),"")</f>
        <v/>
      </c>
      <c r="B184" s="28">
        <f>IFERROR(IF(INDEX(Responses!$AU$2:$AU$501,MOD(SMALL(Responses!$BD$2:$BD$501,179),1000)-1)="","",RIGHT("0"&amp;INT(INDEX(Responses!$AU$2:$AU$501,MOD(SMALL(Responses!$BD$2:$BD$501,179),1000)-1)/60),2)&amp;":"&amp;RIGHT("0"&amp;MOD(INDEX(Responses!$AU$2:$AU$501,MOD(SMALL(Responses!$BD$2:$BD$501,179),1000)-1),60),2)),"")</f>
        <v/>
      </c>
      <c r="C184" s="28">
        <f>IFERROR(IF(INDEX(Responses!$AV$2:$AV$501,MOD(SMALL(Responses!$BD$2:$BD$501,179),1000)-1)="","",RIGHT("0"&amp;INT(INDEX(Responses!$AV$2:$AV$501,MOD(SMALL(Responses!$BD$2:$BD$501,179),1000)-1)/60),2)&amp;":"&amp;RIGHT("0"&amp;MOD(INDEX(Responses!$AV$2:$AV$501,MOD(SMALL(Responses!$BD$2:$BD$501,179),1000)-1),60),2)),"")</f>
        <v/>
      </c>
      <c r="D184" s="28">
        <f>IFERROR(INDEX(Responses!$AS$2:$AS$501,MOD(SMALL(Responses!$BD$2:$BD$501,179),1000)-1),"")</f>
        <v/>
      </c>
      <c r="E184" s="28">
        <f>IFERROR(INDEX(Responses!$AW$2:$AW$501,MOD(SMALL(Responses!$BD$2:$BD$501,179),1000)-1),"")</f>
        <v/>
      </c>
      <c r="F184" s="28">
        <f>IFERROR(INDEX(Responses!$AX$2:$AX$501,MOD(SMALL(Responses!$BD$2:$BD$501,179),1000)-1),"")</f>
        <v/>
      </c>
      <c r="G184" s="28">
        <f>IFERROR(INDEX(Responses!$BE$2:$BE$501,MOD(SMALL(Responses!$BD$2:$BD$501,179),1000)-1),"")</f>
        <v/>
      </c>
    </row>
    <row r="185">
      <c r="A185" s="30">
        <f>IFERROR(INT(SMALL(Responses!$BD$2:$BD$501,180)/10000000),"")</f>
        <v/>
      </c>
      <c r="B185" s="28">
        <f>IFERROR(IF(INDEX(Responses!$AU$2:$AU$501,MOD(SMALL(Responses!$BD$2:$BD$501,180),1000)-1)="","",RIGHT("0"&amp;INT(INDEX(Responses!$AU$2:$AU$501,MOD(SMALL(Responses!$BD$2:$BD$501,180),1000)-1)/60),2)&amp;":"&amp;RIGHT("0"&amp;MOD(INDEX(Responses!$AU$2:$AU$501,MOD(SMALL(Responses!$BD$2:$BD$501,180),1000)-1),60),2)),"")</f>
        <v/>
      </c>
      <c r="C185" s="28">
        <f>IFERROR(IF(INDEX(Responses!$AV$2:$AV$501,MOD(SMALL(Responses!$BD$2:$BD$501,180),1000)-1)="","",RIGHT("0"&amp;INT(INDEX(Responses!$AV$2:$AV$501,MOD(SMALL(Responses!$BD$2:$BD$501,180),1000)-1)/60),2)&amp;":"&amp;RIGHT("0"&amp;MOD(INDEX(Responses!$AV$2:$AV$501,MOD(SMALL(Responses!$BD$2:$BD$501,180),1000)-1),60),2)),"")</f>
        <v/>
      </c>
      <c r="D185" s="28">
        <f>IFERROR(INDEX(Responses!$AS$2:$AS$501,MOD(SMALL(Responses!$BD$2:$BD$501,180),1000)-1),"")</f>
        <v/>
      </c>
      <c r="E185" s="28">
        <f>IFERROR(INDEX(Responses!$AW$2:$AW$501,MOD(SMALL(Responses!$BD$2:$BD$501,180),1000)-1),"")</f>
        <v/>
      </c>
      <c r="F185" s="28">
        <f>IFERROR(INDEX(Responses!$AX$2:$AX$501,MOD(SMALL(Responses!$BD$2:$BD$501,180),1000)-1),"")</f>
        <v/>
      </c>
      <c r="G185" s="28">
        <f>IFERROR(INDEX(Responses!$BE$2:$BE$501,MOD(SMALL(Responses!$BD$2:$BD$501,180),1000)-1),"")</f>
        <v/>
      </c>
    </row>
    <row r="186">
      <c r="A186" s="30">
        <f>IFERROR(INT(SMALL(Responses!$BD$2:$BD$501,181)/10000000),"")</f>
        <v/>
      </c>
      <c r="B186" s="28">
        <f>IFERROR(IF(INDEX(Responses!$AU$2:$AU$501,MOD(SMALL(Responses!$BD$2:$BD$501,181),1000)-1)="","",RIGHT("0"&amp;INT(INDEX(Responses!$AU$2:$AU$501,MOD(SMALL(Responses!$BD$2:$BD$501,181),1000)-1)/60),2)&amp;":"&amp;RIGHT("0"&amp;MOD(INDEX(Responses!$AU$2:$AU$501,MOD(SMALL(Responses!$BD$2:$BD$501,181),1000)-1),60),2)),"")</f>
        <v/>
      </c>
      <c r="C186" s="28">
        <f>IFERROR(IF(INDEX(Responses!$AV$2:$AV$501,MOD(SMALL(Responses!$BD$2:$BD$501,181),1000)-1)="","",RIGHT("0"&amp;INT(INDEX(Responses!$AV$2:$AV$501,MOD(SMALL(Responses!$BD$2:$BD$501,181),1000)-1)/60),2)&amp;":"&amp;RIGHT("0"&amp;MOD(INDEX(Responses!$AV$2:$AV$501,MOD(SMALL(Responses!$BD$2:$BD$501,181),1000)-1),60),2)),"")</f>
        <v/>
      </c>
      <c r="D186" s="28">
        <f>IFERROR(INDEX(Responses!$AS$2:$AS$501,MOD(SMALL(Responses!$BD$2:$BD$501,181),1000)-1),"")</f>
        <v/>
      </c>
      <c r="E186" s="28">
        <f>IFERROR(INDEX(Responses!$AW$2:$AW$501,MOD(SMALL(Responses!$BD$2:$BD$501,181),1000)-1),"")</f>
        <v/>
      </c>
      <c r="F186" s="28">
        <f>IFERROR(INDEX(Responses!$AX$2:$AX$501,MOD(SMALL(Responses!$BD$2:$BD$501,181),1000)-1),"")</f>
        <v/>
      </c>
      <c r="G186" s="28">
        <f>IFERROR(INDEX(Responses!$BE$2:$BE$501,MOD(SMALL(Responses!$BD$2:$BD$501,181),1000)-1),"")</f>
        <v/>
      </c>
    </row>
    <row r="187">
      <c r="A187" s="30">
        <f>IFERROR(INT(SMALL(Responses!$BD$2:$BD$501,182)/10000000),"")</f>
        <v/>
      </c>
      <c r="B187" s="28">
        <f>IFERROR(IF(INDEX(Responses!$AU$2:$AU$501,MOD(SMALL(Responses!$BD$2:$BD$501,182),1000)-1)="","",RIGHT("0"&amp;INT(INDEX(Responses!$AU$2:$AU$501,MOD(SMALL(Responses!$BD$2:$BD$501,182),1000)-1)/60),2)&amp;":"&amp;RIGHT("0"&amp;MOD(INDEX(Responses!$AU$2:$AU$501,MOD(SMALL(Responses!$BD$2:$BD$501,182),1000)-1),60),2)),"")</f>
        <v/>
      </c>
      <c r="C187" s="28">
        <f>IFERROR(IF(INDEX(Responses!$AV$2:$AV$501,MOD(SMALL(Responses!$BD$2:$BD$501,182),1000)-1)="","",RIGHT("0"&amp;INT(INDEX(Responses!$AV$2:$AV$501,MOD(SMALL(Responses!$BD$2:$BD$501,182),1000)-1)/60),2)&amp;":"&amp;RIGHT("0"&amp;MOD(INDEX(Responses!$AV$2:$AV$501,MOD(SMALL(Responses!$BD$2:$BD$501,182),1000)-1),60),2)),"")</f>
        <v/>
      </c>
      <c r="D187" s="28">
        <f>IFERROR(INDEX(Responses!$AS$2:$AS$501,MOD(SMALL(Responses!$BD$2:$BD$501,182),1000)-1),"")</f>
        <v/>
      </c>
      <c r="E187" s="28">
        <f>IFERROR(INDEX(Responses!$AW$2:$AW$501,MOD(SMALL(Responses!$BD$2:$BD$501,182),1000)-1),"")</f>
        <v/>
      </c>
      <c r="F187" s="28">
        <f>IFERROR(INDEX(Responses!$AX$2:$AX$501,MOD(SMALL(Responses!$BD$2:$BD$501,182),1000)-1),"")</f>
        <v/>
      </c>
      <c r="G187" s="28">
        <f>IFERROR(INDEX(Responses!$BE$2:$BE$501,MOD(SMALL(Responses!$BD$2:$BD$501,182),1000)-1),"")</f>
        <v/>
      </c>
    </row>
    <row r="188">
      <c r="A188" s="30">
        <f>IFERROR(INT(SMALL(Responses!$BD$2:$BD$501,183)/10000000),"")</f>
        <v/>
      </c>
      <c r="B188" s="28">
        <f>IFERROR(IF(INDEX(Responses!$AU$2:$AU$501,MOD(SMALL(Responses!$BD$2:$BD$501,183),1000)-1)="","",RIGHT("0"&amp;INT(INDEX(Responses!$AU$2:$AU$501,MOD(SMALL(Responses!$BD$2:$BD$501,183),1000)-1)/60),2)&amp;":"&amp;RIGHT("0"&amp;MOD(INDEX(Responses!$AU$2:$AU$501,MOD(SMALL(Responses!$BD$2:$BD$501,183),1000)-1),60),2)),"")</f>
        <v/>
      </c>
      <c r="C188" s="28">
        <f>IFERROR(IF(INDEX(Responses!$AV$2:$AV$501,MOD(SMALL(Responses!$BD$2:$BD$501,183),1000)-1)="","",RIGHT("0"&amp;INT(INDEX(Responses!$AV$2:$AV$501,MOD(SMALL(Responses!$BD$2:$BD$501,183),1000)-1)/60),2)&amp;":"&amp;RIGHT("0"&amp;MOD(INDEX(Responses!$AV$2:$AV$501,MOD(SMALL(Responses!$BD$2:$BD$501,183),1000)-1),60),2)),"")</f>
        <v/>
      </c>
      <c r="D188" s="28">
        <f>IFERROR(INDEX(Responses!$AS$2:$AS$501,MOD(SMALL(Responses!$BD$2:$BD$501,183),1000)-1),"")</f>
        <v/>
      </c>
      <c r="E188" s="28">
        <f>IFERROR(INDEX(Responses!$AW$2:$AW$501,MOD(SMALL(Responses!$BD$2:$BD$501,183),1000)-1),"")</f>
        <v/>
      </c>
      <c r="F188" s="28">
        <f>IFERROR(INDEX(Responses!$AX$2:$AX$501,MOD(SMALL(Responses!$BD$2:$BD$501,183),1000)-1),"")</f>
        <v/>
      </c>
      <c r="G188" s="28">
        <f>IFERROR(INDEX(Responses!$BE$2:$BE$501,MOD(SMALL(Responses!$BD$2:$BD$501,183),1000)-1),"")</f>
        <v/>
      </c>
    </row>
    <row r="189">
      <c r="A189" s="30">
        <f>IFERROR(INT(SMALL(Responses!$BD$2:$BD$501,184)/10000000),"")</f>
        <v/>
      </c>
      <c r="B189" s="28">
        <f>IFERROR(IF(INDEX(Responses!$AU$2:$AU$501,MOD(SMALL(Responses!$BD$2:$BD$501,184),1000)-1)="","",RIGHT("0"&amp;INT(INDEX(Responses!$AU$2:$AU$501,MOD(SMALL(Responses!$BD$2:$BD$501,184),1000)-1)/60),2)&amp;":"&amp;RIGHT("0"&amp;MOD(INDEX(Responses!$AU$2:$AU$501,MOD(SMALL(Responses!$BD$2:$BD$501,184),1000)-1),60),2)),"")</f>
        <v/>
      </c>
      <c r="C189" s="28">
        <f>IFERROR(IF(INDEX(Responses!$AV$2:$AV$501,MOD(SMALL(Responses!$BD$2:$BD$501,184),1000)-1)="","",RIGHT("0"&amp;INT(INDEX(Responses!$AV$2:$AV$501,MOD(SMALL(Responses!$BD$2:$BD$501,184),1000)-1)/60),2)&amp;":"&amp;RIGHT("0"&amp;MOD(INDEX(Responses!$AV$2:$AV$501,MOD(SMALL(Responses!$BD$2:$BD$501,184),1000)-1),60),2)),"")</f>
        <v/>
      </c>
      <c r="D189" s="28">
        <f>IFERROR(INDEX(Responses!$AS$2:$AS$501,MOD(SMALL(Responses!$BD$2:$BD$501,184),1000)-1),"")</f>
        <v/>
      </c>
      <c r="E189" s="28">
        <f>IFERROR(INDEX(Responses!$AW$2:$AW$501,MOD(SMALL(Responses!$BD$2:$BD$501,184),1000)-1),"")</f>
        <v/>
      </c>
      <c r="F189" s="28">
        <f>IFERROR(INDEX(Responses!$AX$2:$AX$501,MOD(SMALL(Responses!$BD$2:$BD$501,184),1000)-1),"")</f>
        <v/>
      </c>
      <c r="G189" s="28">
        <f>IFERROR(INDEX(Responses!$BE$2:$BE$501,MOD(SMALL(Responses!$BD$2:$BD$501,184),1000)-1),"")</f>
        <v/>
      </c>
    </row>
    <row r="190">
      <c r="A190" s="30">
        <f>IFERROR(INT(SMALL(Responses!$BD$2:$BD$501,185)/10000000),"")</f>
        <v/>
      </c>
      <c r="B190" s="28">
        <f>IFERROR(IF(INDEX(Responses!$AU$2:$AU$501,MOD(SMALL(Responses!$BD$2:$BD$501,185),1000)-1)="","",RIGHT("0"&amp;INT(INDEX(Responses!$AU$2:$AU$501,MOD(SMALL(Responses!$BD$2:$BD$501,185),1000)-1)/60),2)&amp;":"&amp;RIGHT("0"&amp;MOD(INDEX(Responses!$AU$2:$AU$501,MOD(SMALL(Responses!$BD$2:$BD$501,185),1000)-1),60),2)),"")</f>
        <v/>
      </c>
      <c r="C190" s="28">
        <f>IFERROR(IF(INDEX(Responses!$AV$2:$AV$501,MOD(SMALL(Responses!$BD$2:$BD$501,185),1000)-1)="","",RIGHT("0"&amp;INT(INDEX(Responses!$AV$2:$AV$501,MOD(SMALL(Responses!$BD$2:$BD$501,185),1000)-1)/60),2)&amp;":"&amp;RIGHT("0"&amp;MOD(INDEX(Responses!$AV$2:$AV$501,MOD(SMALL(Responses!$BD$2:$BD$501,185),1000)-1),60),2)),"")</f>
        <v/>
      </c>
      <c r="D190" s="28">
        <f>IFERROR(INDEX(Responses!$AS$2:$AS$501,MOD(SMALL(Responses!$BD$2:$BD$501,185),1000)-1),"")</f>
        <v/>
      </c>
      <c r="E190" s="28">
        <f>IFERROR(INDEX(Responses!$AW$2:$AW$501,MOD(SMALL(Responses!$BD$2:$BD$501,185),1000)-1),"")</f>
        <v/>
      </c>
      <c r="F190" s="28">
        <f>IFERROR(INDEX(Responses!$AX$2:$AX$501,MOD(SMALL(Responses!$BD$2:$BD$501,185),1000)-1),"")</f>
        <v/>
      </c>
      <c r="G190" s="28">
        <f>IFERROR(INDEX(Responses!$BE$2:$BE$501,MOD(SMALL(Responses!$BD$2:$BD$501,185),1000)-1),"")</f>
        <v/>
      </c>
    </row>
    <row r="191">
      <c r="A191" s="30">
        <f>IFERROR(INT(SMALL(Responses!$BD$2:$BD$501,186)/10000000),"")</f>
        <v/>
      </c>
      <c r="B191" s="28">
        <f>IFERROR(IF(INDEX(Responses!$AU$2:$AU$501,MOD(SMALL(Responses!$BD$2:$BD$501,186),1000)-1)="","",RIGHT("0"&amp;INT(INDEX(Responses!$AU$2:$AU$501,MOD(SMALL(Responses!$BD$2:$BD$501,186),1000)-1)/60),2)&amp;":"&amp;RIGHT("0"&amp;MOD(INDEX(Responses!$AU$2:$AU$501,MOD(SMALL(Responses!$BD$2:$BD$501,186),1000)-1),60),2)),"")</f>
        <v/>
      </c>
      <c r="C191" s="28">
        <f>IFERROR(IF(INDEX(Responses!$AV$2:$AV$501,MOD(SMALL(Responses!$BD$2:$BD$501,186),1000)-1)="","",RIGHT("0"&amp;INT(INDEX(Responses!$AV$2:$AV$501,MOD(SMALL(Responses!$BD$2:$BD$501,186),1000)-1)/60),2)&amp;":"&amp;RIGHT("0"&amp;MOD(INDEX(Responses!$AV$2:$AV$501,MOD(SMALL(Responses!$BD$2:$BD$501,186),1000)-1),60),2)),"")</f>
        <v/>
      </c>
      <c r="D191" s="28">
        <f>IFERROR(INDEX(Responses!$AS$2:$AS$501,MOD(SMALL(Responses!$BD$2:$BD$501,186),1000)-1),"")</f>
        <v/>
      </c>
      <c r="E191" s="28">
        <f>IFERROR(INDEX(Responses!$AW$2:$AW$501,MOD(SMALL(Responses!$BD$2:$BD$501,186),1000)-1),"")</f>
        <v/>
      </c>
      <c r="F191" s="28">
        <f>IFERROR(INDEX(Responses!$AX$2:$AX$501,MOD(SMALL(Responses!$BD$2:$BD$501,186),1000)-1),"")</f>
        <v/>
      </c>
      <c r="G191" s="28">
        <f>IFERROR(INDEX(Responses!$BE$2:$BE$501,MOD(SMALL(Responses!$BD$2:$BD$501,186),1000)-1),"")</f>
        <v/>
      </c>
    </row>
    <row r="192">
      <c r="A192" s="30">
        <f>IFERROR(INT(SMALL(Responses!$BD$2:$BD$501,187)/10000000),"")</f>
        <v/>
      </c>
      <c r="B192" s="28">
        <f>IFERROR(IF(INDEX(Responses!$AU$2:$AU$501,MOD(SMALL(Responses!$BD$2:$BD$501,187),1000)-1)="","",RIGHT("0"&amp;INT(INDEX(Responses!$AU$2:$AU$501,MOD(SMALL(Responses!$BD$2:$BD$501,187),1000)-1)/60),2)&amp;":"&amp;RIGHT("0"&amp;MOD(INDEX(Responses!$AU$2:$AU$501,MOD(SMALL(Responses!$BD$2:$BD$501,187),1000)-1),60),2)),"")</f>
        <v/>
      </c>
      <c r="C192" s="28">
        <f>IFERROR(IF(INDEX(Responses!$AV$2:$AV$501,MOD(SMALL(Responses!$BD$2:$BD$501,187),1000)-1)="","",RIGHT("0"&amp;INT(INDEX(Responses!$AV$2:$AV$501,MOD(SMALL(Responses!$BD$2:$BD$501,187),1000)-1)/60),2)&amp;":"&amp;RIGHT("0"&amp;MOD(INDEX(Responses!$AV$2:$AV$501,MOD(SMALL(Responses!$BD$2:$BD$501,187),1000)-1),60),2)),"")</f>
        <v/>
      </c>
      <c r="D192" s="28">
        <f>IFERROR(INDEX(Responses!$AS$2:$AS$501,MOD(SMALL(Responses!$BD$2:$BD$501,187),1000)-1),"")</f>
        <v/>
      </c>
      <c r="E192" s="28">
        <f>IFERROR(INDEX(Responses!$AW$2:$AW$501,MOD(SMALL(Responses!$BD$2:$BD$501,187),1000)-1),"")</f>
        <v/>
      </c>
      <c r="F192" s="28">
        <f>IFERROR(INDEX(Responses!$AX$2:$AX$501,MOD(SMALL(Responses!$BD$2:$BD$501,187),1000)-1),"")</f>
        <v/>
      </c>
      <c r="G192" s="28">
        <f>IFERROR(INDEX(Responses!$BE$2:$BE$501,MOD(SMALL(Responses!$BD$2:$BD$501,187),1000)-1),"")</f>
        <v/>
      </c>
    </row>
    <row r="193">
      <c r="A193" s="30">
        <f>IFERROR(INT(SMALL(Responses!$BD$2:$BD$501,188)/10000000),"")</f>
        <v/>
      </c>
      <c r="B193" s="28">
        <f>IFERROR(IF(INDEX(Responses!$AU$2:$AU$501,MOD(SMALL(Responses!$BD$2:$BD$501,188),1000)-1)="","",RIGHT("0"&amp;INT(INDEX(Responses!$AU$2:$AU$501,MOD(SMALL(Responses!$BD$2:$BD$501,188),1000)-1)/60),2)&amp;":"&amp;RIGHT("0"&amp;MOD(INDEX(Responses!$AU$2:$AU$501,MOD(SMALL(Responses!$BD$2:$BD$501,188),1000)-1),60),2)),"")</f>
        <v/>
      </c>
      <c r="C193" s="28">
        <f>IFERROR(IF(INDEX(Responses!$AV$2:$AV$501,MOD(SMALL(Responses!$BD$2:$BD$501,188),1000)-1)="","",RIGHT("0"&amp;INT(INDEX(Responses!$AV$2:$AV$501,MOD(SMALL(Responses!$BD$2:$BD$501,188),1000)-1)/60),2)&amp;":"&amp;RIGHT("0"&amp;MOD(INDEX(Responses!$AV$2:$AV$501,MOD(SMALL(Responses!$BD$2:$BD$501,188),1000)-1),60),2)),"")</f>
        <v/>
      </c>
      <c r="D193" s="28">
        <f>IFERROR(INDEX(Responses!$AS$2:$AS$501,MOD(SMALL(Responses!$BD$2:$BD$501,188),1000)-1),"")</f>
        <v/>
      </c>
      <c r="E193" s="28">
        <f>IFERROR(INDEX(Responses!$AW$2:$AW$501,MOD(SMALL(Responses!$BD$2:$BD$501,188),1000)-1),"")</f>
        <v/>
      </c>
      <c r="F193" s="28">
        <f>IFERROR(INDEX(Responses!$AX$2:$AX$501,MOD(SMALL(Responses!$BD$2:$BD$501,188),1000)-1),"")</f>
        <v/>
      </c>
      <c r="G193" s="28">
        <f>IFERROR(INDEX(Responses!$BE$2:$BE$501,MOD(SMALL(Responses!$BD$2:$BD$501,188),1000)-1),"")</f>
        <v/>
      </c>
    </row>
    <row r="194">
      <c r="A194" s="30">
        <f>IFERROR(INT(SMALL(Responses!$BD$2:$BD$501,189)/10000000),"")</f>
        <v/>
      </c>
      <c r="B194" s="28">
        <f>IFERROR(IF(INDEX(Responses!$AU$2:$AU$501,MOD(SMALL(Responses!$BD$2:$BD$501,189),1000)-1)="","",RIGHT("0"&amp;INT(INDEX(Responses!$AU$2:$AU$501,MOD(SMALL(Responses!$BD$2:$BD$501,189),1000)-1)/60),2)&amp;":"&amp;RIGHT("0"&amp;MOD(INDEX(Responses!$AU$2:$AU$501,MOD(SMALL(Responses!$BD$2:$BD$501,189),1000)-1),60),2)),"")</f>
        <v/>
      </c>
      <c r="C194" s="28">
        <f>IFERROR(IF(INDEX(Responses!$AV$2:$AV$501,MOD(SMALL(Responses!$BD$2:$BD$501,189),1000)-1)="","",RIGHT("0"&amp;INT(INDEX(Responses!$AV$2:$AV$501,MOD(SMALL(Responses!$BD$2:$BD$501,189),1000)-1)/60),2)&amp;":"&amp;RIGHT("0"&amp;MOD(INDEX(Responses!$AV$2:$AV$501,MOD(SMALL(Responses!$BD$2:$BD$501,189),1000)-1),60),2)),"")</f>
        <v/>
      </c>
      <c r="D194" s="28">
        <f>IFERROR(INDEX(Responses!$AS$2:$AS$501,MOD(SMALL(Responses!$BD$2:$BD$501,189),1000)-1),"")</f>
        <v/>
      </c>
      <c r="E194" s="28">
        <f>IFERROR(INDEX(Responses!$AW$2:$AW$501,MOD(SMALL(Responses!$BD$2:$BD$501,189),1000)-1),"")</f>
        <v/>
      </c>
      <c r="F194" s="28">
        <f>IFERROR(INDEX(Responses!$AX$2:$AX$501,MOD(SMALL(Responses!$BD$2:$BD$501,189),1000)-1),"")</f>
        <v/>
      </c>
      <c r="G194" s="28">
        <f>IFERROR(INDEX(Responses!$BE$2:$BE$501,MOD(SMALL(Responses!$BD$2:$BD$501,189),1000)-1),"")</f>
        <v/>
      </c>
    </row>
    <row r="195">
      <c r="A195" s="30">
        <f>IFERROR(INT(SMALL(Responses!$BD$2:$BD$501,190)/10000000),"")</f>
        <v/>
      </c>
      <c r="B195" s="28">
        <f>IFERROR(IF(INDEX(Responses!$AU$2:$AU$501,MOD(SMALL(Responses!$BD$2:$BD$501,190),1000)-1)="","",RIGHT("0"&amp;INT(INDEX(Responses!$AU$2:$AU$501,MOD(SMALL(Responses!$BD$2:$BD$501,190),1000)-1)/60),2)&amp;":"&amp;RIGHT("0"&amp;MOD(INDEX(Responses!$AU$2:$AU$501,MOD(SMALL(Responses!$BD$2:$BD$501,190),1000)-1),60),2)),"")</f>
        <v/>
      </c>
      <c r="C195" s="28">
        <f>IFERROR(IF(INDEX(Responses!$AV$2:$AV$501,MOD(SMALL(Responses!$BD$2:$BD$501,190),1000)-1)="","",RIGHT("0"&amp;INT(INDEX(Responses!$AV$2:$AV$501,MOD(SMALL(Responses!$BD$2:$BD$501,190),1000)-1)/60),2)&amp;":"&amp;RIGHT("0"&amp;MOD(INDEX(Responses!$AV$2:$AV$501,MOD(SMALL(Responses!$BD$2:$BD$501,190),1000)-1),60),2)),"")</f>
        <v/>
      </c>
      <c r="D195" s="28">
        <f>IFERROR(INDEX(Responses!$AS$2:$AS$501,MOD(SMALL(Responses!$BD$2:$BD$501,190),1000)-1),"")</f>
        <v/>
      </c>
      <c r="E195" s="28">
        <f>IFERROR(INDEX(Responses!$AW$2:$AW$501,MOD(SMALL(Responses!$BD$2:$BD$501,190),1000)-1),"")</f>
        <v/>
      </c>
      <c r="F195" s="28">
        <f>IFERROR(INDEX(Responses!$AX$2:$AX$501,MOD(SMALL(Responses!$BD$2:$BD$501,190),1000)-1),"")</f>
        <v/>
      </c>
      <c r="G195" s="28">
        <f>IFERROR(INDEX(Responses!$BE$2:$BE$501,MOD(SMALL(Responses!$BD$2:$BD$501,190),1000)-1),"")</f>
        <v/>
      </c>
    </row>
    <row r="196">
      <c r="A196" s="30">
        <f>IFERROR(INT(SMALL(Responses!$BD$2:$BD$501,191)/10000000),"")</f>
        <v/>
      </c>
      <c r="B196" s="28">
        <f>IFERROR(IF(INDEX(Responses!$AU$2:$AU$501,MOD(SMALL(Responses!$BD$2:$BD$501,191),1000)-1)="","",RIGHT("0"&amp;INT(INDEX(Responses!$AU$2:$AU$501,MOD(SMALL(Responses!$BD$2:$BD$501,191),1000)-1)/60),2)&amp;":"&amp;RIGHT("0"&amp;MOD(INDEX(Responses!$AU$2:$AU$501,MOD(SMALL(Responses!$BD$2:$BD$501,191),1000)-1),60),2)),"")</f>
        <v/>
      </c>
      <c r="C196" s="28">
        <f>IFERROR(IF(INDEX(Responses!$AV$2:$AV$501,MOD(SMALL(Responses!$BD$2:$BD$501,191),1000)-1)="","",RIGHT("0"&amp;INT(INDEX(Responses!$AV$2:$AV$501,MOD(SMALL(Responses!$BD$2:$BD$501,191),1000)-1)/60),2)&amp;":"&amp;RIGHT("0"&amp;MOD(INDEX(Responses!$AV$2:$AV$501,MOD(SMALL(Responses!$BD$2:$BD$501,191),1000)-1),60),2)),"")</f>
        <v/>
      </c>
      <c r="D196" s="28">
        <f>IFERROR(INDEX(Responses!$AS$2:$AS$501,MOD(SMALL(Responses!$BD$2:$BD$501,191),1000)-1),"")</f>
        <v/>
      </c>
      <c r="E196" s="28">
        <f>IFERROR(INDEX(Responses!$AW$2:$AW$501,MOD(SMALL(Responses!$BD$2:$BD$501,191),1000)-1),"")</f>
        <v/>
      </c>
      <c r="F196" s="28">
        <f>IFERROR(INDEX(Responses!$AX$2:$AX$501,MOD(SMALL(Responses!$BD$2:$BD$501,191),1000)-1),"")</f>
        <v/>
      </c>
      <c r="G196" s="28">
        <f>IFERROR(INDEX(Responses!$BE$2:$BE$501,MOD(SMALL(Responses!$BD$2:$BD$501,191),1000)-1),"")</f>
        <v/>
      </c>
    </row>
    <row r="197">
      <c r="A197" s="30">
        <f>IFERROR(INT(SMALL(Responses!$BD$2:$BD$501,192)/10000000),"")</f>
        <v/>
      </c>
      <c r="B197" s="28">
        <f>IFERROR(IF(INDEX(Responses!$AU$2:$AU$501,MOD(SMALL(Responses!$BD$2:$BD$501,192),1000)-1)="","",RIGHT("0"&amp;INT(INDEX(Responses!$AU$2:$AU$501,MOD(SMALL(Responses!$BD$2:$BD$501,192),1000)-1)/60),2)&amp;":"&amp;RIGHT("0"&amp;MOD(INDEX(Responses!$AU$2:$AU$501,MOD(SMALL(Responses!$BD$2:$BD$501,192),1000)-1),60),2)),"")</f>
        <v/>
      </c>
      <c r="C197" s="28">
        <f>IFERROR(IF(INDEX(Responses!$AV$2:$AV$501,MOD(SMALL(Responses!$BD$2:$BD$501,192),1000)-1)="","",RIGHT("0"&amp;INT(INDEX(Responses!$AV$2:$AV$501,MOD(SMALL(Responses!$BD$2:$BD$501,192),1000)-1)/60),2)&amp;":"&amp;RIGHT("0"&amp;MOD(INDEX(Responses!$AV$2:$AV$501,MOD(SMALL(Responses!$BD$2:$BD$501,192),1000)-1),60),2)),"")</f>
        <v/>
      </c>
      <c r="D197" s="28">
        <f>IFERROR(INDEX(Responses!$AS$2:$AS$501,MOD(SMALL(Responses!$BD$2:$BD$501,192),1000)-1),"")</f>
        <v/>
      </c>
      <c r="E197" s="28">
        <f>IFERROR(INDEX(Responses!$AW$2:$AW$501,MOD(SMALL(Responses!$BD$2:$BD$501,192),1000)-1),"")</f>
        <v/>
      </c>
      <c r="F197" s="28">
        <f>IFERROR(INDEX(Responses!$AX$2:$AX$501,MOD(SMALL(Responses!$BD$2:$BD$501,192),1000)-1),"")</f>
        <v/>
      </c>
      <c r="G197" s="28">
        <f>IFERROR(INDEX(Responses!$BE$2:$BE$501,MOD(SMALL(Responses!$BD$2:$BD$501,192),1000)-1),"")</f>
        <v/>
      </c>
    </row>
    <row r="198">
      <c r="A198" s="30">
        <f>IFERROR(INT(SMALL(Responses!$BD$2:$BD$501,193)/10000000),"")</f>
        <v/>
      </c>
      <c r="B198" s="28">
        <f>IFERROR(IF(INDEX(Responses!$AU$2:$AU$501,MOD(SMALL(Responses!$BD$2:$BD$501,193),1000)-1)="","",RIGHT("0"&amp;INT(INDEX(Responses!$AU$2:$AU$501,MOD(SMALL(Responses!$BD$2:$BD$501,193),1000)-1)/60),2)&amp;":"&amp;RIGHT("0"&amp;MOD(INDEX(Responses!$AU$2:$AU$501,MOD(SMALL(Responses!$BD$2:$BD$501,193),1000)-1),60),2)),"")</f>
        <v/>
      </c>
      <c r="C198" s="28">
        <f>IFERROR(IF(INDEX(Responses!$AV$2:$AV$501,MOD(SMALL(Responses!$BD$2:$BD$501,193),1000)-1)="","",RIGHT("0"&amp;INT(INDEX(Responses!$AV$2:$AV$501,MOD(SMALL(Responses!$BD$2:$BD$501,193),1000)-1)/60),2)&amp;":"&amp;RIGHT("0"&amp;MOD(INDEX(Responses!$AV$2:$AV$501,MOD(SMALL(Responses!$BD$2:$BD$501,193),1000)-1),60),2)),"")</f>
        <v/>
      </c>
      <c r="D198" s="28">
        <f>IFERROR(INDEX(Responses!$AS$2:$AS$501,MOD(SMALL(Responses!$BD$2:$BD$501,193),1000)-1),"")</f>
        <v/>
      </c>
      <c r="E198" s="28">
        <f>IFERROR(INDEX(Responses!$AW$2:$AW$501,MOD(SMALL(Responses!$BD$2:$BD$501,193),1000)-1),"")</f>
        <v/>
      </c>
      <c r="F198" s="28">
        <f>IFERROR(INDEX(Responses!$AX$2:$AX$501,MOD(SMALL(Responses!$BD$2:$BD$501,193),1000)-1),"")</f>
        <v/>
      </c>
      <c r="G198" s="28">
        <f>IFERROR(INDEX(Responses!$BE$2:$BE$501,MOD(SMALL(Responses!$BD$2:$BD$501,193),1000)-1),"")</f>
        <v/>
      </c>
    </row>
    <row r="199">
      <c r="A199" s="30">
        <f>IFERROR(INT(SMALL(Responses!$BD$2:$BD$501,194)/10000000),"")</f>
        <v/>
      </c>
      <c r="B199" s="28">
        <f>IFERROR(IF(INDEX(Responses!$AU$2:$AU$501,MOD(SMALL(Responses!$BD$2:$BD$501,194),1000)-1)="","",RIGHT("0"&amp;INT(INDEX(Responses!$AU$2:$AU$501,MOD(SMALL(Responses!$BD$2:$BD$501,194),1000)-1)/60),2)&amp;":"&amp;RIGHT("0"&amp;MOD(INDEX(Responses!$AU$2:$AU$501,MOD(SMALL(Responses!$BD$2:$BD$501,194),1000)-1),60),2)),"")</f>
        <v/>
      </c>
      <c r="C199" s="28">
        <f>IFERROR(IF(INDEX(Responses!$AV$2:$AV$501,MOD(SMALL(Responses!$BD$2:$BD$501,194),1000)-1)="","",RIGHT("0"&amp;INT(INDEX(Responses!$AV$2:$AV$501,MOD(SMALL(Responses!$BD$2:$BD$501,194),1000)-1)/60),2)&amp;":"&amp;RIGHT("0"&amp;MOD(INDEX(Responses!$AV$2:$AV$501,MOD(SMALL(Responses!$BD$2:$BD$501,194),1000)-1),60),2)),"")</f>
        <v/>
      </c>
      <c r="D199" s="28">
        <f>IFERROR(INDEX(Responses!$AS$2:$AS$501,MOD(SMALL(Responses!$BD$2:$BD$501,194),1000)-1),"")</f>
        <v/>
      </c>
      <c r="E199" s="28">
        <f>IFERROR(INDEX(Responses!$AW$2:$AW$501,MOD(SMALL(Responses!$BD$2:$BD$501,194),1000)-1),"")</f>
        <v/>
      </c>
      <c r="F199" s="28">
        <f>IFERROR(INDEX(Responses!$AX$2:$AX$501,MOD(SMALL(Responses!$BD$2:$BD$501,194),1000)-1),"")</f>
        <v/>
      </c>
      <c r="G199" s="28">
        <f>IFERROR(INDEX(Responses!$BE$2:$BE$501,MOD(SMALL(Responses!$BD$2:$BD$501,194),1000)-1),"")</f>
        <v/>
      </c>
    </row>
    <row r="200">
      <c r="A200" s="30">
        <f>IFERROR(INT(SMALL(Responses!$BD$2:$BD$501,195)/10000000),"")</f>
        <v/>
      </c>
      <c r="B200" s="28">
        <f>IFERROR(IF(INDEX(Responses!$AU$2:$AU$501,MOD(SMALL(Responses!$BD$2:$BD$501,195),1000)-1)="","",RIGHT("0"&amp;INT(INDEX(Responses!$AU$2:$AU$501,MOD(SMALL(Responses!$BD$2:$BD$501,195),1000)-1)/60),2)&amp;":"&amp;RIGHT("0"&amp;MOD(INDEX(Responses!$AU$2:$AU$501,MOD(SMALL(Responses!$BD$2:$BD$501,195),1000)-1),60),2)),"")</f>
        <v/>
      </c>
      <c r="C200" s="28">
        <f>IFERROR(IF(INDEX(Responses!$AV$2:$AV$501,MOD(SMALL(Responses!$BD$2:$BD$501,195),1000)-1)="","",RIGHT("0"&amp;INT(INDEX(Responses!$AV$2:$AV$501,MOD(SMALL(Responses!$BD$2:$BD$501,195),1000)-1)/60),2)&amp;":"&amp;RIGHT("0"&amp;MOD(INDEX(Responses!$AV$2:$AV$501,MOD(SMALL(Responses!$BD$2:$BD$501,195),1000)-1),60),2)),"")</f>
        <v/>
      </c>
      <c r="D200" s="28">
        <f>IFERROR(INDEX(Responses!$AS$2:$AS$501,MOD(SMALL(Responses!$BD$2:$BD$501,195),1000)-1),"")</f>
        <v/>
      </c>
      <c r="E200" s="28">
        <f>IFERROR(INDEX(Responses!$AW$2:$AW$501,MOD(SMALL(Responses!$BD$2:$BD$501,195),1000)-1),"")</f>
        <v/>
      </c>
      <c r="F200" s="28">
        <f>IFERROR(INDEX(Responses!$AX$2:$AX$501,MOD(SMALL(Responses!$BD$2:$BD$501,195),1000)-1),"")</f>
        <v/>
      </c>
      <c r="G200" s="28">
        <f>IFERROR(INDEX(Responses!$BE$2:$BE$501,MOD(SMALL(Responses!$BD$2:$BD$501,195),1000)-1),"")</f>
        <v/>
      </c>
    </row>
    <row r="201">
      <c r="A201" s="30">
        <f>IFERROR(INT(SMALL(Responses!$BD$2:$BD$501,196)/10000000),"")</f>
        <v/>
      </c>
      <c r="B201" s="28">
        <f>IFERROR(IF(INDEX(Responses!$AU$2:$AU$501,MOD(SMALL(Responses!$BD$2:$BD$501,196),1000)-1)="","",RIGHT("0"&amp;INT(INDEX(Responses!$AU$2:$AU$501,MOD(SMALL(Responses!$BD$2:$BD$501,196),1000)-1)/60),2)&amp;":"&amp;RIGHT("0"&amp;MOD(INDEX(Responses!$AU$2:$AU$501,MOD(SMALL(Responses!$BD$2:$BD$501,196),1000)-1),60),2)),"")</f>
        <v/>
      </c>
      <c r="C201" s="28">
        <f>IFERROR(IF(INDEX(Responses!$AV$2:$AV$501,MOD(SMALL(Responses!$BD$2:$BD$501,196),1000)-1)="","",RIGHT("0"&amp;INT(INDEX(Responses!$AV$2:$AV$501,MOD(SMALL(Responses!$BD$2:$BD$501,196),1000)-1)/60),2)&amp;":"&amp;RIGHT("0"&amp;MOD(INDEX(Responses!$AV$2:$AV$501,MOD(SMALL(Responses!$BD$2:$BD$501,196),1000)-1),60),2)),"")</f>
        <v/>
      </c>
      <c r="D201" s="28">
        <f>IFERROR(INDEX(Responses!$AS$2:$AS$501,MOD(SMALL(Responses!$BD$2:$BD$501,196),1000)-1),"")</f>
        <v/>
      </c>
      <c r="E201" s="28">
        <f>IFERROR(INDEX(Responses!$AW$2:$AW$501,MOD(SMALL(Responses!$BD$2:$BD$501,196),1000)-1),"")</f>
        <v/>
      </c>
      <c r="F201" s="28">
        <f>IFERROR(INDEX(Responses!$AX$2:$AX$501,MOD(SMALL(Responses!$BD$2:$BD$501,196),1000)-1),"")</f>
        <v/>
      </c>
      <c r="G201" s="28">
        <f>IFERROR(INDEX(Responses!$BE$2:$BE$501,MOD(SMALL(Responses!$BD$2:$BD$501,196),1000)-1),"")</f>
        <v/>
      </c>
    </row>
    <row r="202">
      <c r="A202" s="30">
        <f>IFERROR(INT(SMALL(Responses!$BD$2:$BD$501,197)/10000000),"")</f>
        <v/>
      </c>
      <c r="B202" s="28">
        <f>IFERROR(IF(INDEX(Responses!$AU$2:$AU$501,MOD(SMALL(Responses!$BD$2:$BD$501,197),1000)-1)="","",RIGHT("0"&amp;INT(INDEX(Responses!$AU$2:$AU$501,MOD(SMALL(Responses!$BD$2:$BD$501,197),1000)-1)/60),2)&amp;":"&amp;RIGHT("0"&amp;MOD(INDEX(Responses!$AU$2:$AU$501,MOD(SMALL(Responses!$BD$2:$BD$501,197),1000)-1),60),2)),"")</f>
        <v/>
      </c>
      <c r="C202" s="28">
        <f>IFERROR(IF(INDEX(Responses!$AV$2:$AV$501,MOD(SMALL(Responses!$BD$2:$BD$501,197),1000)-1)="","",RIGHT("0"&amp;INT(INDEX(Responses!$AV$2:$AV$501,MOD(SMALL(Responses!$BD$2:$BD$501,197),1000)-1)/60),2)&amp;":"&amp;RIGHT("0"&amp;MOD(INDEX(Responses!$AV$2:$AV$501,MOD(SMALL(Responses!$BD$2:$BD$501,197),1000)-1),60),2)),"")</f>
        <v/>
      </c>
      <c r="D202" s="28">
        <f>IFERROR(INDEX(Responses!$AS$2:$AS$501,MOD(SMALL(Responses!$BD$2:$BD$501,197),1000)-1),"")</f>
        <v/>
      </c>
      <c r="E202" s="28">
        <f>IFERROR(INDEX(Responses!$AW$2:$AW$501,MOD(SMALL(Responses!$BD$2:$BD$501,197),1000)-1),"")</f>
        <v/>
      </c>
      <c r="F202" s="28">
        <f>IFERROR(INDEX(Responses!$AX$2:$AX$501,MOD(SMALL(Responses!$BD$2:$BD$501,197),1000)-1),"")</f>
        <v/>
      </c>
      <c r="G202" s="28">
        <f>IFERROR(INDEX(Responses!$BE$2:$BE$501,MOD(SMALL(Responses!$BD$2:$BD$501,197),1000)-1),"")</f>
        <v/>
      </c>
    </row>
    <row r="203">
      <c r="A203" s="30">
        <f>IFERROR(INT(SMALL(Responses!$BD$2:$BD$501,198)/10000000),"")</f>
        <v/>
      </c>
      <c r="B203" s="28">
        <f>IFERROR(IF(INDEX(Responses!$AU$2:$AU$501,MOD(SMALL(Responses!$BD$2:$BD$501,198),1000)-1)="","",RIGHT("0"&amp;INT(INDEX(Responses!$AU$2:$AU$501,MOD(SMALL(Responses!$BD$2:$BD$501,198),1000)-1)/60),2)&amp;":"&amp;RIGHT("0"&amp;MOD(INDEX(Responses!$AU$2:$AU$501,MOD(SMALL(Responses!$BD$2:$BD$501,198),1000)-1),60),2)),"")</f>
        <v/>
      </c>
      <c r="C203" s="28">
        <f>IFERROR(IF(INDEX(Responses!$AV$2:$AV$501,MOD(SMALL(Responses!$BD$2:$BD$501,198),1000)-1)="","",RIGHT("0"&amp;INT(INDEX(Responses!$AV$2:$AV$501,MOD(SMALL(Responses!$BD$2:$BD$501,198),1000)-1)/60),2)&amp;":"&amp;RIGHT("0"&amp;MOD(INDEX(Responses!$AV$2:$AV$501,MOD(SMALL(Responses!$BD$2:$BD$501,198),1000)-1),60),2)),"")</f>
        <v/>
      </c>
      <c r="D203" s="28">
        <f>IFERROR(INDEX(Responses!$AS$2:$AS$501,MOD(SMALL(Responses!$BD$2:$BD$501,198),1000)-1),"")</f>
        <v/>
      </c>
      <c r="E203" s="28">
        <f>IFERROR(INDEX(Responses!$AW$2:$AW$501,MOD(SMALL(Responses!$BD$2:$BD$501,198),1000)-1),"")</f>
        <v/>
      </c>
      <c r="F203" s="28">
        <f>IFERROR(INDEX(Responses!$AX$2:$AX$501,MOD(SMALL(Responses!$BD$2:$BD$501,198),1000)-1),"")</f>
        <v/>
      </c>
      <c r="G203" s="28">
        <f>IFERROR(INDEX(Responses!$BE$2:$BE$501,MOD(SMALL(Responses!$BD$2:$BD$501,198),1000)-1),"")</f>
        <v/>
      </c>
    </row>
    <row r="204">
      <c r="A204" s="30">
        <f>IFERROR(INT(SMALL(Responses!$BD$2:$BD$501,199)/10000000),"")</f>
        <v/>
      </c>
      <c r="B204" s="28">
        <f>IFERROR(IF(INDEX(Responses!$AU$2:$AU$501,MOD(SMALL(Responses!$BD$2:$BD$501,199),1000)-1)="","",RIGHT("0"&amp;INT(INDEX(Responses!$AU$2:$AU$501,MOD(SMALL(Responses!$BD$2:$BD$501,199),1000)-1)/60),2)&amp;":"&amp;RIGHT("0"&amp;MOD(INDEX(Responses!$AU$2:$AU$501,MOD(SMALL(Responses!$BD$2:$BD$501,199),1000)-1),60),2)),"")</f>
        <v/>
      </c>
      <c r="C204" s="28">
        <f>IFERROR(IF(INDEX(Responses!$AV$2:$AV$501,MOD(SMALL(Responses!$BD$2:$BD$501,199),1000)-1)="","",RIGHT("0"&amp;INT(INDEX(Responses!$AV$2:$AV$501,MOD(SMALL(Responses!$BD$2:$BD$501,199),1000)-1)/60),2)&amp;":"&amp;RIGHT("0"&amp;MOD(INDEX(Responses!$AV$2:$AV$501,MOD(SMALL(Responses!$BD$2:$BD$501,199),1000)-1),60),2)),"")</f>
        <v/>
      </c>
      <c r="D204" s="28">
        <f>IFERROR(INDEX(Responses!$AS$2:$AS$501,MOD(SMALL(Responses!$BD$2:$BD$501,199),1000)-1),"")</f>
        <v/>
      </c>
      <c r="E204" s="28">
        <f>IFERROR(INDEX(Responses!$AW$2:$AW$501,MOD(SMALL(Responses!$BD$2:$BD$501,199),1000)-1),"")</f>
        <v/>
      </c>
      <c r="F204" s="28">
        <f>IFERROR(INDEX(Responses!$AX$2:$AX$501,MOD(SMALL(Responses!$BD$2:$BD$501,199),1000)-1),"")</f>
        <v/>
      </c>
      <c r="G204" s="28">
        <f>IFERROR(INDEX(Responses!$BE$2:$BE$501,MOD(SMALL(Responses!$BD$2:$BD$501,199),1000)-1),"")</f>
        <v/>
      </c>
    </row>
    <row r="205">
      <c r="A205" s="30">
        <f>IFERROR(INT(SMALL(Responses!$BD$2:$BD$501,200)/10000000),"")</f>
        <v/>
      </c>
      <c r="B205" s="28">
        <f>IFERROR(IF(INDEX(Responses!$AU$2:$AU$501,MOD(SMALL(Responses!$BD$2:$BD$501,200),1000)-1)="","",RIGHT("0"&amp;INT(INDEX(Responses!$AU$2:$AU$501,MOD(SMALL(Responses!$BD$2:$BD$501,200),1000)-1)/60),2)&amp;":"&amp;RIGHT("0"&amp;MOD(INDEX(Responses!$AU$2:$AU$501,MOD(SMALL(Responses!$BD$2:$BD$501,200),1000)-1),60),2)),"")</f>
        <v/>
      </c>
      <c r="C205" s="28">
        <f>IFERROR(IF(INDEX(Responses!$AV$2:$AV$501,MOD(SMALL(Responses!$BD$2:$BD$501,200),1000)-1)="","",RIGHT("0"&amp;INT(INDEX(Responses!$AV$2:$AV$501,MOD(SMALL(Responses!$BD$2:$BD$501,200),1000)-1)/60),2)&amp;":"&amp;RIGHT("0"&amp;MOD(INDEX(Responses!$AV$2:$AV$501,MOD(SMALL(Responses!$BD$2:$BD$501,200),1000)-1),60),2)),"")</f>
        <v/>
      </c>
      <c r="D205" s="28">
        <f>IFERROR(INDEX(Responses!$AS$2:$AS$501,MOD(SMALL(Responses!$BD$2:$BD$501,200),1000)-1),"")</f>
        <v/>
      </c>
      <c r="E205" s="28">
        <f>IFERROR(INDEX(Responses!$AW$2:$AW$501,MOD(SMALL(Responses!$BD$2:$BD$501,200),1000)-1),"")</f>
        <v/>
      </c>
      <c r="F205" s="28">
        <f>IFERROR(INDEX(Responses!$AX$2:$AX$501,MOD(SMALL(Responses!$BD$2:$BD$501,200),1000)-1),"")</f>
        <v/>
      </c>
      <c r="G205" s="28">
        <f>IFERROR(INDEX(Responses!$BE$2:$BE$501,MOD(SMALL(Responses!$BD$2:$BD$501,200),1000)-1),"")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B2E83"/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6" customWidth="1" min="3" max="3"/>
    <col width="12" customWidth="1" min="4" max="4"/>
  </cols>
  <sheetData>
    <row r="1">
      <c r="A1" s="24" t="inlineStr">
        <is>
          <t>Spaces: your list and how many people each holds</t>
        </is>
      </c>
    </row>
    <row r="2">
      <c r="A2" s="25" t="inlineStr">
        <is>
          <t>Type each space the way it appears on the form. Capacity is your own number: leave it empty and the Log skips the capacity check. Anyone who picks Other shows up under the name they typed, so add it here too.</t>
        </is>
      </c>
    </row>
    <row r="4" ht="32" customHeight="1">
      <c r="A4" s="16" t="inlineStr">
        <is>
          <t>Space</t>
        </is>
      </c>
      <c r="B4" s="16" t="inlineStr">
        <is>
          <t>Capacity (your number)</t>
        </is>
      </c>
      <c r="C4" s="3" t="inlineStr">
        <is>
          <t>Active requests</t>
        </is>
      </c>
      <c r="D4" s="3" t="inlineStr">
        <is>
          <t>Confirmed</t>
        </is>
      </c>
    </row>
    <row r="5">
      <c r="A5" s="23" t="inlineStr">
        <is>
          <t>Pavilion</t>
        </is>
      </c>
      <c r="B5" s="31" t="n"/>
      <c r="C5" s="29">
        <f>IF(A5="","",COUNTIFS(Responses!$AS$2:$AS$501,A5,Responses!$AY$2:$AY$501,"&lt;&gt;Declined"))</f>
        <v/>
      </c>
      <c r="D5" s="29">
        <f>IF(A5="","",COUNTIFS(Responses!$AS$2:$AS$501,A5,Responses!$AY$2:$AY$501,"Confirmed"))</f>
        <v/>
      </c>
    </row>
    <row r="6">
      <c r="A6" s="23" t="inlineStr">
        <is>
          <t>Community room</t>
        </is>
      </c>
      <c r="B6" s="31" t="n"/>
      <c r="C6" s="29">
        <f>IF(A6="","",COUNTIFS(Responses!$AS$2:$AS$501,A6,Responses!$AY$2:$AY$501,"&lt;&gt;Declined"))</f>
        <v/>
      </c>
      <c r="D6" s="29">
        <f>IF(A6="","",COUNTIFS(Responses!$AS$2:$AS$501,A6,Responses!$AY$2:$AY$501,"Confirmed"))</f>
        <v/>
      </c>
    </row>
    <row r="7">
      <c r="A7" s="23" t="inlineStr">
        <is>
          <t>Gym</t>
        </is>
      </c>
      <c r="B7" s="31" t="n"/>
      <c r="C7" s="29">
        <f>IF(A7="","",COUNTIFS(Responses!$AS$2:$AS$501,A7,Responses!$AY$2:$AY$501,"&lt;&gt;Declined"))</f>
        <v/>
      </c>
      <c r="D7" s="29">
        <f>IF(A7="","",COUNTIFS(Responses!$AS$2:$AS$501,A7,Responses!$AY$2:$AY$501,"Confirmed"))</f>
        <v/>
      </c>
    </row>
    <row r="8">
      <c r="A8" s="23" t="inlineStr">
        <is>
          <t>Kitchen</t>
        </is>
      </c>
      <c r="B8" s="31" t="n"/>
      <c r="C8" s="29">
        <f>IF(A8="","",COUNTIFS(Responses!$AS$2:$AS$501,A8,Responses!$AY$2:$AY$501,"&lt;&gt;Declined"))</f>
        <v/>
      </c>
      <c r="D8" s="29">
        <f>IF(A8="","",COUNTIFS(Responses!$AS$2:$AS$501,A8,Responses!$AY$2:$AY$501,"Confirmed"))</f>
        <v/>
      </c>
    </row>
    <row r="9">
      <c r="A9" s="23" t="inlineStr">
        <is>
          <t>Other</t>
        </is>
      </c>
      <c r="B9" s="31" t="n"/>
      <c r="C9" s="29">
        <f>IF(A9="","",COUNTIFS(Responses!$AS$2:$AS$501,A9,Responses!$AY$2:$AY$501,"&lt;&gt;Declined"))</f>
        <v/>
      </c>
      <c r="D9" s="29">
        <f>IF(A9="","",COUNTIFS(Responses!$AS$2:$AS$501,A9,Responses!$AY$2:$AY$501,"Confirmed"))</f>
        <v/>
      </c>
    </row>
    <row r="10">
      <c r="A10" s="23" t="n"/>
      <c r="B10" s="31" t="n"/>
      <c r="C10" s="29">
        <f>IF(A10="","",COUNTIFS(Responses!$AS$2:$AS$501,A10,Responses!$AY$2:$AY$501,"&lt;&gt;Declined"))</f>
        <v/>
      </c>
      <c r="D10" s="29">
        <f>IF(A10="","",COUNTIFS(Responses!$AS$2:$AS$501,A10,Responses!$AY$2:$AY$501,"Confirmed"))</f>
        <v/>
      </c>
    </row>
    <row r="11">
      <c r="A11" s="23" t="n"/>
      <c r="B11" s="31" t="n"/>
      <c r="C11" s="29">
        <f>IF(A11="","",COUNTIFS(Responses!$AS$2:$AS$501,A11,Responses!$AY$2:$AY$501,"&lt;&gt;Declined"))</f>
        <v/>
      </c>
      <c r="D11" s="29">
        <f>IF(A11="","",COUNTIFS(Responses!$AS$2:$AS$501,A11,Responses!$AY$2:$AY$501,"Confirmed"))</f>
        <v/>
      </c>
    </row>
    <row r="12">
      <c r="A12" s="23" t="n"/>
      <c r="B12" s="31" t="n"/>
      <c r="C12" s="29">
        <f>IF(A12="","",COUNTIFS(Responses!$AS$2:$AS$501,A12,Responses!$AY$2:$AY$501,"&lt;&gt;Declined"))</f>
        <v/>
      </c>
      <c r="D12" s="29">
        <f>IF(A12="","",COUNTIFS(Responses!$AS$2:$AS$501,A12,Responses!$AY$2:$AY$501,"Confirmed"))</f>
        <v/>
      </c>
    </row>
    <row r="13">
      <c r="A13" s="23" t="n"/>
      <c r="B13" s="31" t="n"/>
      <c r="C13" s="29">
        <f>IF(A13="","",COUNTIFS(Responses!$AS$2:$AS$501,A13,Responses!$AY$2:$AY$501,"&lt;&gt;Declined"))</f>
        <v/>
      </c>
      <c r="D13" s="29">
        <f>IF(A13="","",COUNTIFS(Responses!$AS$2:$AS$501,A13,Responses!$AY$2:$AY$501,"Confirmed"))</f>
        <v/>
      </c>
    </row>
    <row r="14">
      <c r="A14" s="23" t="n"/>
      <c r="B14" s="31" t="n"/>
      <c r="C14" s="29">
        <f>IF(A14="","",COUNTIFS(Responses!$AS$2:$AS$501,A14,Responses!$AY$2:$AY$501,"&lt;&gt;Declined"))</f>
        <v/>
      </c>
      <c r="D14" s="29">
        <f>IF(A14="","",COUNTIFS(Responses!$AS$2:$AS$501,A14,Responses!$AY$2:$AY$501,"Confirmed"))</f>
        <v/>
      </c>
    </row>
    <row r="15">
      <c r="A15" s="23" t="n"/>
      <c r="B15" s="31" t="n"/>
      <c r="C15" s="29">
        <f>IF(A15="","",COUNTIFS(Responses!$AS$2:$AS$501,A15,Responses!$AY$2:$AY$501,"&lt;&gt;Declined"))</f>
        <v/>
      </c>
      <c r="D15" s="29">
        <f>IF(A15="","",COUNTIFS(Responses!$AS$2:$AS$501,A15,Responses!$AY$2:$AY$501,"Confirmed"))</f>
        <v/>
      </c>
    </row>
    <row r="16">
      <c r="A16" s="23" t="n"/>
      <c r="B16" s="31" t="n"/>
      <c r="C16" s="29">
        <f>IF(A16="","",COUNTIFS(Responses!$AS$2:$AS$501,A16,Responses!$AY$2:$AY$501,"&lt;&gt;Declined"))</f>
        <v/>
      </c>
      <c r="D16" s="29">
        <f>IF(A16="","",COUNTIFS(Responses!$AS$2:$AS$501,A16,Responses!$AY$2:$AY$501,"Confirmed"))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" customWidth="1" min="2" max="2"/>
    <col width="12" customWidth="1" min="3" max="3"/>
    <col width="3" customWidth="1" min="4" max="4"/>
    <col width="44" customWidth="1" min="5" max="5"/>
    <col width="60" customWidth="1" min="6" max="6"/>
  </cols>
  <sheetData>
    <row r="1" ht="32" customHeight="1">
      <c r="A1" s="3" t="inlineStr">
        <is>
          <t>Status (edit me)</t>
        </is>
      </c>
      <c r="C1" s="3" t="inlineStr">
        <is>
          <t>Yes or No</t>
        </is>
      </c>
      <c r="E1" s="3" t="inlineStr">
        <is>
          <t>Column names to look for</t>
        </is>
      </c>
      <c r="F1" s="3" t="inlineStr">
        <is>
          <t>Header in your export (edit if you renamed a question)</t>
        </is>
      </c>
    </row>
    <row r="2">
      <c r="A2" s="23" t="inlineStr">
        <is>
          <t>New</t>
        </is>
      </c>
      <c r="C2" s="23" t="inlineStr">
        <is>
          <t>Yes</t>
        </is>
      </c>
      <c r="E2" s="32" t="inlineStr">
        <is>
          <t>Response ID</t>
        </is>
      </c>
      <c r="F2" s="23" t="inlineStr">
        <is>
          <t>Response ID</t>
        </is>
      </c>
    </row>
    <row r="3">
      <c r="A3" s="23" t="inlineStr">
        <is>
          <t>Confirmed</t>
        </is>
      </c>
      <c r="C3" s="23" t="inlineStr">
        <is>
          <t>No</t>
        </is>
      </c>
      <c r="E3" s="32" t="inlineStr">
        <is>
          <t>Space</t>
        </is>
      </c>
      <c r="F3" s="23" t="inlineStr">
        <is>
          <t>Which space?</t>
        </is>
      </c>
    </row>
    <row r="4">
      <c r="A4" s="23" t="inlineStr">
        <is>
          <t>Declined</t>
        </is>
      </c>
      <c r="E4" s="32" t="inlineStr">
        <is>
          <t>Other space</t>
        </is>
      </c>
      <c r="F4" s="23" t="inlineStr">
        <is>
          <t>Which other space?</t>
        </is>
      </c>
    </row>
    <row r="5">
      <c r="E5" s="32" t="inlineStr">
        <is>
          <t>Date wanted</t>
        </is>
      </c>
      <c r="F5" s="23" t="inlineStr">
        <is>
          <t>Date you'd like</t>
        </is>
      </c>
    </row>
    <row r="6">
      <c r="E6" s="32" t="inlineStr">
        <is>
          <t>Start time</t>
        </is>
      </c>
      <c r="F6" s="23" t="inlineStr">
        <is>
          <t>Start time, including setup</t>
        </is>
      </c>
    </row>
    <row r="7">
      <c r="E7" s="32" t="inlineStr">
        <is>
          <t>End time</t>
        </is>
      </c>
      <c r="F7" s="23" t="inlineStr">
        <is>
          <t>End time, including cleanup</t>
        </is>
      </c>
    </row>
    <row r="8">
      <c r="E8" s="32" t="inlineStr">
        <is>
          <t>Group</t>
        </is>
      </c>
      <c r="F8" s="23" t="inlineStr">
        <is>
          <t>Group or organization (if any)</t>
        </is>
      </c>
    </row>
    <row r="9">
      <c r="E9" s="32" t="inlineStr">
        <is>
          <t>Name</t>
        </is>
      </c>
      <c r="F9" s="23" t="inlineStr">
        <is>
          <t>Your full name</t>
        </is>
      </c>
    </row>
    <row r="10">
      <c r="E10" s="32" t="inlineStr">
        <is>
          <t>Headcount</t>
        </is>
      </c>
      <c r="F10" s="23" t="inlineStr">
        <is>
          <t>How many people do you expect?</t>
        </is>
      </c>
    </row>
    <row r="11">
      <c r="E11" s="32" t="inlineStr">
        <is>
          <t>Event</t>
        </is>
      </c>
      <c r="F11" s="23" t="inlineStr">
        <is>
          <t>What's the event?</t>
        </is>
      </c>
    </row>
    <row r="12">
      <c r="E12" s="32" t="inlineStr">
        <is>
          <t>Insurance answer</t>
        </is>
      </c>
      <c r="F12" s="23" t="inlineStr">
        <is>
          <t>Do you have a certificate of liability insurance for this event?</t>
        </is>
      </c>
    </row>
    <row r="13">
      <c r="E13" s="32" t="inlineStr">
        <is>
          <t>Payment status (only if the form has a Payment block)</t>
        </is>
      </c>
      <c r="F13" s="23" t="inlineStr">
        <is>
          <t>Payment status</t>
        </is>
      </c>
    </row>
    <row r="15">
      <c r="E15" s="14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2026-10-27T11:26:07Z</dcterms:created>
  <dcterms:modified xmlns:dcterms="http://purl.org/dc/terms/" xmlns:xsi="http://www.w3.org/2001/XMLSchema-instance" xsi:type="dcterms:W3CDTF">2026-10-27T11:26:08Z</dcterms:modified>
</cp:coreProperties>
</file>